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1.xml" ContentType="application/vnd.openxmlformats-officedocument.spreadsheetml.table+xml"/>
  <Override PartName="/xl/queryTables/queryTable1.xml" ContentType="application/vnd.openxmlformats-officedocument.spreadsheetml.queryTable+xml"/>
  <Override PartName="/xl/tables/table12.xml" ContentType="application/vnd.openxmlformats-officedocument.spreadsheetml.table+xml"/>
  <Override PartName="/xl/queryTables/queryTable2.xml" ContentType="application/vnd.openxmlformats-officedocument.spreadsheetml.queryTable+xml"/>
  <Override PartName="/xl/tables/table13.xml" ContentType="application/vnd.openxmlformats-officedocument.spreadsheetml.table+xml"/>
  <Override PartName="/xl/queryTables/queryTable3.xml" ContentType="application/vnd.openxmlformats-officedocument.spreadsheetml.queryTable+xml"/>
  <Override PartName="/xl/tables/table14.xml" ContentType="application/vnd.openxmlformats-officedocument.spreadsheetml.table+xml"/>
  <Override PartName="/xl/queryTables/queryTable4.xml" ContentType="application/vnd.openxmlformats-officedocument.spreadsheetml.queryTable+xml"/>
  <Override PartName="/xl/tables/table15.xml" ContentType="application/vnd.openxmlformats-officedocument.spreadsheetml.table+xml"/>
  <Override PartName="/xl/queryTables/queryTable5.xml" ContentType="application/vnd.openxmlformats-officedocument.spreadsheetml.queryTable+xml"/>
  <Override PartName="/xl/tables/table16.xml" ContentType="application/vnd.openxmlformats-officedocument.spreadsheetml.table+xml"/>
  <Override PartName="/xl/queryTables/queryTable6.xml" ContentType="application/vnd.openxmlformats-officedocument.spreadsheetml.queryTable+xml"/>
  <Override PartName="/xl/tables/table17.xml" ContentType="application/vnd.openxmlformats-officedocument.spreadsheetml.table+xml"/>
  <Override PartName="/xl/queryTables/queryTable7.xml" ContentType="application/vnd.openxmlformats-officedocument.spreadsheetml.query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comments1.xml" ContentType="application/vnd.openxmlformats-officedocument.spreadsheetml.comments+xml"/>
  <Override PartName="/xl/drawings/drawing4.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fileSharing readOnlyRecommended="1"/>
  <workbookPr updateLinks="always" codeName="Ten_skoroszyt"/>
  <mc:AlternateContent xmlns:mc="http://schemas.openxmlformats.org/markup-compatibility/2006">
    <mc:Choice Requires="x15">
      <x15ac:absPath xmlns:x15ac="http://schemas.microsoft.com/office/spreadsheetml/2010/11/ac" url="Z:\Programy wycenowe\PV\Wycena\"/>
    </mc:Choice>
  </mc:AlternateContent>
  <xr:revisionPtr revIDLastSave="0" documentId="13_ncr:1_{AAB8C4EA-8B3F-4C2B-A84A-F9226F8179D7}" xr6:coauthVersionLast="47" xr6:coauthVersionMax="47" xr10:uidLastSave="{00000000-0000-0000-0000-000000000000}"/>
  <bookViews>
    <workbookView xWindow="-120" yWindow="-120" windowWidth="29040" windowHeight="15840" tabRatio="821" firstSheet="3" activeTab="13" xr2:uid="{00000000-000D-0000-FFFF-FFFF00000000}"/>
  </bookViews>
  <sheets>
    <sheet name="Dane wejściowe" sheetId="32" r:id="rId1"/>
    <sheet name="PV" sheetId="1" r:id="rId2"/>
    <sheet name="PDF_OFERTAPV" sheetId="31" r:id="rId3"/>
    <sheet name="Schematy elektryczne" sheetId="8" r:id="rId4"/>
    <sheet name="Protokół odbioru" sheetId="15" r:id="rId5"/>
    <sheet name="Konstrukcja dach płaski" sheetId="16" r:id="rId6"/>
    <sheet name="Konstrukcja Dach Skośny" sheetId="17" r:id="rId7"/>
    <sheet name="Konstrukcja naziemna" sheetId="25" r:id="rId8"/>
    <sheet name="TEST" sheetId="19" r:id="rId9"/>
    <sheet name="Referencje" sheetId="20" r:id="rId10"/>
    <sheet name="Protokół z pomiarów" sheetId="24" r:id="rId11"/>
    <sheet name="Hydraulika" sheetId="21" r:id="rId12"/>
    <sheet name="BAZA DANYCH" sheetId="5" r:id="rId13"/>
    <sheet name="Opłacalność" sheetId="29" r:id="rId14"/>
    <sheet name="Listy Rozwijane" sheetId="30" r:id="rId15"/>
  </sheets>
  <externalReferences>
    <externalReference r:id="rId16"/>
  </externalReferences>
  <definedNames>
    <definedName name="DaneZewnętrzne_1" localSheetId="1" hidden="1">PV!$AX$6:$AY$138</definedName>
    <definedName name="DaneZewnętrzne_2" localSheetId="1" hidden="1">PV!$AZ$6:$AZ$94</definedName>
    <definedName name="DaneZewnętrzne_3" localSheetId="1" hidden="1">PV!$BA$6:$BA$20</definedName>
    <definedName name="DaneZewnętrzne_4" localSheetId="1" hidden="1">PV!$BB$6:$BB$17</definedName>
    <definedName name="DaneZewnętrzne_5" localSheetId="1" hidden="1">PV!$BC$6:$BC$15</definedName>
    <definedName name="DaneZewnętrzne_6" localSheetId="1" hidden="1">PV!$BD$6:$BD$31</definedName>
    <definedName name="DaneZewnętrzne_7" localSheetId="1" hidden="1">PV!$BE$6:$BE$10</definedName>
    <definedName name="DTR">INDEX(#REF!,MATCH(PV!$O$93,#REF!,0),2)</definedName>
    <definedName name="Inwerter1">PV!$H$93</definedName>
    <definedName name="konstrukcja">[1]!konstrukcje[#Data]</definedName>
    <definedName name="OBRAZ_INW">INDEX([1]Inwerter!$P$21:$P$87,MATCH('Dane wejściowe'!$G$74,[1]Inwerter!$A$21:$A$87,0))</definedName>
    <definedName name="OBRAZ_MODUŁ">INDEX([1]Panele!$O$2:$O$90,MATCH('Dane wejściowe'!$G$60,[1]Panele!$A$2:$A$90,0))</definedName>
    <definedName name="obraz1">INDEX([1]!Inwerter[#All],MATCH(Inwerter1,[1]!Inwerter[[#All],[Nazwa]],0),MATCH("Zdjęcie_Inwerter",[1]!Inwerter[#Headers],0))</definedName>
    <definedName name="obraz1_panel">INDEX(#REF!,MATCH('Dane wejściowe'!$G$60,#REF!,0))</definedName>
    <definedName name="obraz12">INDEX('[1]wycena PV'!$N$2:$Z$50,MATCH(PV!$AI$229,'[1]wycena PV'!$N$2:$N$50,0),2)</definedName>
    <definedName name="obraz2">INDEX([BD.xlsx]wycena PV!$M$1:$Q$20,MATCH(PV!XFC1,[BD.xlsx]wycena PV!$M$1:$M$20,0),2)</definedName>
    <definedName name="_xlnm.Print_Area" localSheetId="5">'Konstrukcja dach płaski'!$A$1:$AB$103</definedName>
    <definedName name="_xlnm.Print_Area" localSheetId="6">'Konstrukcja Dach Skośny'!$A$1:$AB$104</definedName>
    <definedName name="_xlnm.Print_Area" localSheetId="4">'Protokół odbioru'!$A$1:$T$214</definedName>
    <definedName name="_xlnm.Print_Area" localSheetId="1">PV!$A$1:$AE$283</definedName>
    <definedName name="_xlnm.Print_Area" localSheetId="3">'Schematy elektryczne'!$A$1:$AY$109</definedName>
    <definedName name="panel">PV!$J$84</definedName>
    <definedName name="Panele">INDEX([1]!Panele[#All],MATCH(PV!$J$84,[1]!Panele[[#All],[Panel_Nazwa]],0),MATCH("wygląd",[1]!Panele[#Headers],0))</definedName>
    <definedName name="PC">INDEX([1]!PC[#All],MATCH(#REF!,[1]!PC[[#All],[producent]],0),24)</definedName>
    <definedName name="Sch.inst.">INDEX([1]schematyPC!$A$2:$Y$1290,MATCH(#REF!,[1]schematyPC!$A$2:$A$1290,0),2)</definedName>
    <definedName name="solver_adj" localSheetId="1" hidden="1">PV!$AH$63</definedName>
    <definedName name="solver_cvg" localSheetId="1" hidden="1">0.0001</definedName>
    <definedName name="solver_drv" localSheetId="1" hidden="1">1</definedName>
    <definedName name="solver_eng" localSheetId="1" hidden="1">1</definedName>
    <definedName name="solver_est" localSheetId="1" hidden="1">1</definedName>
    <definedName name="solver_itr" localSheetId="1" hidden="1">2147483647</definedName>
    <definedName name="solver_lhs1" localSheetId="1" hidden="1">PV!$AH$63</definedName>
    <definedName name="solver_lhs2" localSheetId="1" hidden="1">PV!$AK$63</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od" localSheetId="1" hidden="1">2147483647</definedName>
    <definedName name="solver_num" localSheetId="1" hidden="1">1</definedName>
    <definedName name="solver_nwt" localSheetId="1" hidden="1">1</definedName>
    <definedName name="solver_opt" localSheetId="1" hidden="1">PV!$F$126</definedName>
    <definedName name="solver_pre" localSheetId="1" hidden="1">0.000001</definedName>
    <definedName name="solver_rbv" localSheetId="1" hidden="1">1</definedName>
    <definedName name="solver_rel1" localSheetId="1" hidden="1">1</definedName>
    <definedName name="solver_rel2" localSheetId="1" hidden="1">3</definedName>
    <definedName name="solver_rhs1" localSheetId="1" hidden="1">1</definedName>
    <definedName name="solver_rhs2" localSheetId="1" hidden="1">-150</definedName>
    <definedName name="solver_rlx" localSheetId="1" hidden="1">2</definedName>
    <definedName name="solver_rsd" localSheetId="1" hidden="1">0</definedName>
    <definedName name="solver_scl" localSheetId="1" hidden="1">1</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3</definedName>
    <definedName name="solver_val" localSheetId="1" hidden="1">3924</definedName>
    <definedName name="solver_ver" localSheetId="1" hidden="1">3</definedName>
    <definedName name="string1">INDEX('Schematy elektryczne'!$CA$12:$DA$32,MATCH('Schematy elektryczne'!$BD$18,'Schematy elektryczne'!$CA$12:$CA$32,0),2)</definedName>
    <definedName name="string2">'Schematy elektryczne'!$CB$19:$DC$25</definedName>
    <definedName name="string3">INDEX('Schematy elektryczne'!$CA$12:$DA$32,MATCH('Schematy elektryczne'!$BD$20,'Schematy elektryczne'!$CA$12:$CA$32,0),2)</definedName>
    <definedName name="string4">INDEX('Schematy elektryczne'!$CA$19:$DA$32,MATCH('Schematy elektryczne'!$BD$21,'Schematy elektryczne'!$CA$19:$CA$32,0),2)</definedName>
    <definedName name="string5">INDEX('Schematy elektryczne'!$CA$19:$DA$32,MATCH('Schematy elektryczne'!$BD$22,'Schematy elektryczne'!$CA$19:$CA$32,0),2)</definedName>
    <definedName name="string6">INDEX('Schematy elektryczne'!$CA$19:$DA$32,MATCH('Schematy elektryczne'!$BD$23,'Schematy elektryczne'!$CA$19:$CA$32,0),2)</definedName>
    <definedName name="ukpc">INDEX('[1]wycena PC'!$N$20:$U$45,MATCH(#REF!,'[1]wycena PC'!$N$20:$N$45,0),2)</definedName>
    <definedName name="uziem12" localSheetId="3">INDEX('Schematy elektryczne'!$BR$29:$BT$32,MATCH('Schematy elektryczne'!$BB$19,'Schematy elektryczne'!$BR$29:$BR$32,0),2)</definedName>
    <definedName name="uziem21">INDEX('Schematy elektryczne'!$BR$29:$BT$32,MATCH('Schematy elektryczne'!$BB$20,'Schematy elektryczne'!$BR$29:$BR$32,0),2)</definedName>
    <definedName name="uziem22">INDEX('Schematy elektryczne'!$BR$29:$BT$32,MATCH('Schematy elektryczne'!$BB$21,'Schematy elektryczne'!$BR$29:$BR$32,0),2)</definedName>
    <definedName name="uziem31">INDEX('Schematy elektryczne'!$BR$29:$BT$32,MATCH('Schematy elektryczne'!$BB$22,'Schematy elektryczne'!$BR$29:$BR$32,0),2)</definedName>
    <definedName name="uziem32">INDEX('Schematy elektryczne'!$BR$29:$BT$32,MATCH('Schematy elektryczne'!$BB$23,'Schematy elektryczne'!$BR$29:$BR$32,0),2)</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5" i="15" l="1"/>
  <c r="E96" i="32" l="1"/>
  <c r="L96" i="32" s="1"/>
  <c r="N111" i="32" l="1"/>
  <c r="K41" i="31"/>
  <c r="K43" i="31"/>
  <c r="K42" i="31"/>
  <c r="L41" i="31"/>
  <c r="L40" i="31"/>
  <c r="K40" i="31"/>
  <c r="K39" i="31"/>
  <c r="B46" i="31"/>
  <c r="R65" i="31" s="1"/>
  <c r="B11" i="31"/>
  <c r="D6" i="31"/>
  <c r="D5" i="31"/>
  <c r="L102" i="32" l="1"/>
  <c r="F12" i="31"/>
  <c r="F10" i="31"/>
  <c r="F7" i="31"/>
  <c r="F6" i="31"/>
  <c r="F5" i="31"/>
  <c r="J33" i="31"/>
  <c r="J32" i="31"/>
  <c r="J31" i="31"/>
  <c r="J30" i="31"/>
  <c r="Q36" i="31"/>
  <c r="J37" i="31"/>
  <c r="J36" i="31"/>
  <c r="J34" i="31"/>
  <c r="H34" i="31"/>
  <c r="H33" i="31"/>
  <c r="H32" i="31"/>
  <c r="H31" i="31"/>
  <c r="H30" i="31"/>
  <c r="H29" i="31"/>
  <c r="E97" i="32"/>
  <c r="AZ23" i="1"/>
  <c r="AZ24" i="1"/>
  <c r="AZ25" i="1"/>
  <c r="AZ26" i="1"/>
  <c r="AZ27" i="1"/>
  <c r="AZ28" i="1"/>
  <c r="AZ29" i="1"/>
  <c r="AZ30" i="1"/>
  <c r="AZ21" i="1"/>
  <c r="AZ22" i="1"/>
  <c r="L100" i="32" l="1"/>
  <c r="L101" i="32"/>
  <c r="L98" i="32"/>
  <c r="L99" i="32"/>
  <c r="AY8" i="1" l="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7" i="1"/>
  <c r="AY122" i="1"/>
  <c r="AY123" i="1"/>
  <c r="AY124" i="1"/>
  <c r="AY125" i="1"/>
  <c r="AY126" i="1"/>
  <c r="AY127" i="1"/>
  <c r="AY128" i="1"/>
  <c r="AY129" i="1"/>
  <c r="AY130" i="1"/>
  <c r="AY131" i="1"/>
  <c r="AY132" i="1"/>
  <c r="AY133" i="1"/>
  <c r="AY134" i="1"/>
  <c r="AY135" i="1"/>
  <c r="AY136" i="1"/>
  <c r="AY137" i="1"/>
  <c r="G74" i="32" l="1"/>
  <c r="B8" i="31"/>
  <c r="B7" i="31"/>
  <c r="B6" i="31"/>
  <c r="B5" i="3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70" i="1"/>
  <c r="BM269" i="1"/>
  <c r="BM268" i="1"/>
  <c r="BM267" i="1"/>
  <c r="BM266" i="1"/>
  <c r="BM265" i="1"/>
  <c r="BM264" i="1"/>
  <c r="BM263" i="1"/>
  <c r="BM262" i="1"/>
  <c r="BM261" i="1"/>
  <c r="BM260" i="1"/>
  <c r="BM255" i="1"/>
  <c r="BM254" i="1"/>
  <c r="BM253" i="1"/>
  <c r="BM252" i="1"/>
  <c r="BM251" i="1"/>
  <c r="BM250" i="1"/>
  <c r="BL249" i="1"/>
  <c r="BL248" i="1"/>
  <c r="BL247" i="1"/>
  <c r="BL246" i="1"/>
  <c r="BM245" i="1"/>
  <c r="BL244" i="1"/>
  <c r="AN238" i="1"/>
  <c r="BM239" i="1"/>
  <c r="BM238" i="1"/>
  <c r="BM237" i="1"/>
  <c r="BM236" i="1"/>
  <c r="BM235" i="1"/>
  <c r="BM234" i="1"/>
  <c r="BM233" i="1"/>
  <c r="BM232" i="1"/>
  <c r="BM231" i="1"/>
  <c r="BM230" i="1"/>
  <c r="BM229" i="1"/>
  <c r="BM228" i="1"/>
  <c r="BM227" i="1"/>
  <c r="BM226" i="1"/>
  <c r="BM225" i="1"/>
  <c r="X109" i="32"/>
  <c r="L105" i="32"/>
  <c r="L104" i="32"/>
  <c r="L103" i="32"/>
  <c r="L97" i="32"/>
  <c r="L89" i="32"/>
  <c r="AK230" i="1"/>
  <c r="AK229" i="1"/>
  <c r="AZ20" i="1"/>
  <c r="AZ19" i="1"/>
  <c r="AZ18" i="1"/>
  <c r="AZ17" i="1"/>
  <c r="AZ16" i="1"/>
  <c r="AZ15" i="1"/>
  <c r="AZ14" i="1"/>
  <c r="AZ13" i="1"/>
  <c r="AZ12" i="1"/>
  <c r="AZ11" i="1"/>
  <c r="AZ10" i="1"/>
  <c r="AZ9" i="1"/>
  <c r="AZ8" i="1"/>
  <c r="AZ7" i="1"/>
  <c r="BR73" i="8"/>
  <c r="BK58" i="1"/>
  <c r="BK57" i="1"/>
  <c r="BK56" i="1"/>
  <c r="BK55" i="1"/>
  <c r="BK54" i="1"/>
  <c r="BK53" i="1"/>
  <c r="BK52" i="1"/>
  <c r="BK51" i="1"/>
  <c r="BK50" i="1"/>
  <c r="BK49" i="1"/>
  <c r="BK48" i="1"/>
  <c r="BK47" i="1"/>
  <c r="BK46" i="1"/>
  <c r="BK45" i="1"/>
  <c r="BK44" i="1"/>
  <c r="BK43" i="1"/>
  <c r="BK42" i="1"/>
  <c r="BK41" i="1"/>
  <c r="BJ28" i="1"/>
  <c r="BJ27" i="1"/>
  <c r="BJ26" i="1"/>
  <c r="BJ25" i="1"/>
  <c r="BJ24" i="1"/>
  <c r="BJ23" i="1"/>
  <c r="BJ22" i="1"/>
  <c r="BJ21" i="1"/>
  <c r="BJ20" i="1"/>
  <c r="BJ19" i="1"/>
  <c r="BJ18" i="1"/>
  <c r="BJ17" i="1"/>
  <c r="BJ16" i="1"/>
  <c r="BJ15" i="1"/>
  <c r="BJ14" i="1"/>
  <c r="BJ13" i="1"/>
  <c r="BJ12" i="1"/>
  <c r="BJ11" i="1"/>
  <c r="BJ10" i="1"/>
  <c r="BJ9" i="1"/>
  <c r="BJ8" i="1"/>
  <c r="BJ7" i="1"/>
  <c r="BJ6" i="1"/>
  <c r="G76" i="32" l="1"/>
  <c r="F16" i="31" s="1"/>
  <c r="G75" i="32"/>
  <c r="F15" i="31" s="1"/>
  <c r="G78" i="32"/>
  <c r="G77" i="32"/>
  <c r="F17" i="31" s="1"/>
  <c r="F14" i="31"/>
  <c r="G79" i="32"/>
  <c r="N110" i="32"/>
  <c r="N105" i="32" l="1"/>
  <c r="N102" i="32"/>
  <c r="N101" i="32"/>
  <c r="N100" i="32"/>
  <c r="N99" i="32"/>
  <c r="N98" i="32"/>
  <c r="E89" i="32"/>
  <c r="K97" i="32"/>
  <c r="K103" i="32"/>
  <c r="J29" i="31" s="1"/>
  <c r="K96" i="32"/>
  <c r="K95" i="32"/>
  <c r="K94" i="32"/>
  <c r="K93" i="32"/>
  <c r="K92" i="32"/>
  <c r="K90" i="32"/>
  <c r="K89" i="32"/>
  <c r="K88" i="32"/>
  <c r="AK58" i="1" a="1"/>
  <c r="AK58" i="1" s="1"/>
  <c r="P64" i="1" s="1"/>
  <c r="E95" i="32"/>
  <c r="H26" i="31" s="1"/>
  <c r="E94" i="32"/>
  <c r="E93" i="32"/>
  <c r="H23" i="31" s="1"/>
  <c r="E92" i="32"/>
  <c r="E91" i="32"/>
  <c r="E90" i="32"/>
  <c r="E88" i="32"/>
  <c r="E87" i="32"/>
  <c r="AG219" i="1" a="1"/>
  <c r="AG219" i="1" s="1"/>
  <c r="A221" i="1" s="1"/>
  <c r="R222" i="1"/>
  <c r="R221" i="1"/>
  <c r="R220" i="1"/>
  <c r="R219" i="1"/>
  <c r="G60" i="32"/>
  <c r="AI84" i="1" a="1"/>
  <c r="AI84" i="1" s="1"/>
  <c r="H93" i="1" s="1"/>
  <c r="AI83" i="1" a="1"/>
  <c r="AI83" i="1" s="1"/>
  <c r="J84" i="1" s="1"/>
  <c r="C59" i="1"/>
  <c r="G42" i="32"/>
  <c r="AI72" i="1" a="1"/>
  <c r="AI72" i="1" s="1"/>
  <c r="P63" i="1" s="1"/>
  <c r="AI71" i="1" a="1"/>
  <c r="AI71" i="1" s="1"/>
  <c r="P62" i="1" s="1"/>
  <c r="AP58" i="1" a="1"/>
  <c r="AP58" i="1" s="1"/>
  <c r="P67" i="1" s="1"/>
  <c r="AK59" i="1"/>
  <c r="P66" i="1" s="1"/>
  <c r="AF34" i="32"/>
  <c r="AD28" i="32"/>
  <c r="L108" i="32" s="1"/>
  <c r="M1" i="32"/>
  <c r="B14" i="31" s="1"/>
  <c r="F1" i="31" s="1"/>
  <c r="B17" i="32"/>
  <c r="B16" i="32"/>
  <c r="B15" i="32"/>
  <c r="B11" i="32"/>
  <c r="B10" i="32"/>
  <c r="I20" i="31" l="1"/>
  <c r="B13" i="31"/>
  <c r="D13" i="31" s="1"/>
  <c r="B48" i="31"/>
  <c r="T65" i="31" s="1"/>
  <c r="B47" i="31"/>
  <c r="T64" i="31" s="1"/>
  <c r="B12" i="31"/>
  <c r="H28" i="31"/>
  <c r="H25" i="31"/>
  <c r="J22" i="31"/>
  <c r="J26" i="31"/>
  <c r="J25" i="31"/>
  <c r="J23" i="31"/>
  <c r="J24" i="31"/>
  <c r="H24" i="31"/>
  <c r="J28" i="31"/>
  <c r="F4" i="31"/>
  <c r="I27" i="31"/>
  <c r="J21" i="31"/>
  <c r="I21" i="31"/>
  <c r="L95" i="32"/>
  <c r="N95" i="32" s="1"/>
  <c r="L93" i="32"/>
  <c r="N93" i="32" s="1"/>
  <c r="L90" i="32"/>
  <c r="N90" i="32" s="1"/>
  <c r="H32" i="32"/>
  <c r="K130" i="32"/>
  <c r="K131" i="32" s="1"/>
  <c r="K132" i="32" s="1"/>
  <c r="K133" i="32" s="1"/>
  <c r="K134" i="32" s="1"/>
  <c r="K135" i="32" s="1"/>
  <c r="K136" i="32" s="1"/>
  <c r="K137" i="32" s="1"/>
  <c r="K138" i="32" s="1"/>
  <c r="K139" i="32" s="1"/>
  <c r="K140" i="32" s="1"/>
  <c r="K141" i="32" s="1"/>
  <c r="K142" i="32" s="1"/>
  <c r="K143" i="32" s="1"/>
  <c r="K144" i="32" s="1"/>
  <c r="K145" i="32" s="1"/>
  <c r="K146" i="32" s="1"/>
  <c r="K147" i="32" s="1"/>
  <c r="K148" i="32" s="1"/>
  <c r="K149" i="32" s="1"/>
  <c r="K150" i="32" s="1"/>
  <c r="K151" i="32" s="1"/>
  <c r="K152" i="32" s="1"/>
  <c r="K153" i="32" s="1"/>
  <c r="K154" i="32" s="1"/>
  <c r="K155" i="32" s="1"/>
  <c r="K156" i="32" s="1"/>
  <c r="K157" i="32" s="1"/>
  <c r="K158" i="32" s="1"/>
  <c r="K159" i="32" s="1"/>
  <c r="O76" i="8"/>
  <c r="N97" i="1"/>
  <c r="J94" i="1"/>
  <c r="O75" i="8"/>
  <c r="BN4" i="8"/>
  <c r="R96" i="1"/>
  <c r="S93" i="1"/>
  <c r="O74" i="8"/>
  <c r="BN193" i="1"/>
  <c r="P96" i="1"/>
  <c r="O77" i="8"/>
  <c r="O65" i="8"/>
  <c r="AQ100" i="1"/>
  <c r="N96" i="1"/>
  <c r="G65" i="32"/>
  <c r="G63" i="32"/>
  <c r="F11" i="31" s="1"/>
  <c r="G62" i="32"/>
  <c r="F13" i="31" s="1"/>
  <c r="G61" i="32"/>
  <c r="L21" i="24"/>
  <c r="W7" i="25"/>
  <c r="Q7" i="17"/>
  <c r="J7" i="16"/>
  <c r="O69" i="8"/>
  <c r="C85" i="1"/>
  <c r="M22" i="24"/>
  <c r="N20" i="24"/>
  <c r="Q7" i="25"/>
  <c r="J7" i="17"/>
  <c r="H89" i="1"/>
  <c r="L22" i="24"/>
  <c r="M20" i="24"/>
  <c r="J7" i="25"/>
  <c r="W7" i="16"/>
  <c r="O71" i="8"/>
  <c r="O9" i="8"/>
  <c r="H88" i="1"/>
  <c r="M21" i="24"/>
  <c r="L20" i="24"/>
  <c r="W7" i="17"/>
  <c r="Q7" i="16"/>
  <c r="O70" i="8"/>
  <c r="H87" i="1"/>
  <c r="N97" i="32"/>
  <c r="N103" i="32"/>
  <c r="N89" i="32"/>
  <c r="T220" i="1" l="1"/>
  <c r="N96" i="32"/>
  <c r="L94" i="32"/>
  <c r="N94" i="32" s="1"/>
  <c r="L92" i="32"/>
  <c r="N92" i="32" s="1"/>
  <c r="Y109" i="32"/>
  <c r="AP238" i="1"/>
  <c r="O43" i="32"/>
  <c r="K91" i="32" l="1"/>
  <c r="K87" i="32"/>
  <c r="G67" i="32"/>
  <c r="F3" i="31" s="1"/>
  <c r="R218" i="1"/>
  <c r="J20" i="31" l="1"/>
  <c r="J27" i="31"/>
  <c r="K104" i="32"/>
  <c r="C130" i="32"/>
  <c r="E182" i="1"/>
  <c r="J35" i="31" l="1"/>
  <c r="N104" i="32"/>
  <c r="C131" i="32"/>
  <c r="D130" i="32"/>
  <c r="H130" i="32" s="1"/>
  <c r="H182" i="1"/>
  <c r="E183" i="1"/>
  <c r="E184" i="1" s="1"/>
  <c r="E185" i="1" s="1"/>
  <c r="E186" i="1" s="1"/>
  <c r="E187" i="1" s="1"/>
  <c r="E188" i="1" s="1"/>
  <c r="E189" i="1" s="1"/>
  <c r="E190" i="1" s="1"/>
  <c r="E191" i="1" s="1"/>
  <c r="E192" i="1" s="1"/>
  <c r="E193" i="1" s="1"/>
  <c r="E194" i="1" s="1"/>
  <c r="E195" i="1" s="1"/>
  <c r="E196" i="1" s="1"/>
  <c r="E197" i="1" s="1"/>
  <c r="E198" i="1" s="1"/>
  <c r="E199" i="1" s="1"/>
  <c r="E200" i="1" s="1"/>
  <c r="E201" i="1" s="1"/>
  <c r="E202" i="1" s="1"/>
  <c r="E203" i="1" s="1"/>
  <c r="E204" i="1" s="1"/>
  <c r="E205" i="1" s="1"/>
  <c r="E206" i="1" s="1"/>
  <c r="E207" i="1" s="1"/>
  <c r="E208" i="1" s="1"/>
  <c r="E209" i="1" s="1"/>
  <c r="E210" i="1" s="1"/>
  <c r="E211" i="1" s="1"/>
  <c r="E130" i="32" l="1"/>
  <c r="G130" i="32" s="1"/>
  <c r="D131" i="32"/>
  <c r="E131" i="32" s="1"/>
  <c r="G131" i="32" s="1"/>
  <c r="C132" i="32"/>
  <c r="H131" i="32" l="1"/>
  <c r="D132" i="32"/>
  <c r="E132" i="32" s="1"/>
  <c r="G132" i="32" s="1"/>
  <c r="C133" i="32"/>
  <c r="H132" i="32" l="1"/>
  <c r="D133" i="32"/>
  <c r="E133" i="32" s="1"/>
  <c r="G133" i="32" s="1"/>
  <c r="C134" i="32"/>
  <c r="C135" i="32" l="1"/>
  <c r="D134" i="32"/>
  <c r="H134" i="32" s="1"/>
  <c r="H133" i="32"/>
  <c r="E134" i="32" l="1"/>
  <c r="G134" i="32" s="1"/>
  <c r="D135" i="32"/>
  <c r="H135" i="32" s="1"/>
  <c r="C136" i="32"/>
  <c r="E135" i="32" l="1"/>
  <c r="G135" i="32" s="1"/>
  <c r="C137" i="32"/>
  <c r="D136" i="32"/>
  <c r="H136" i="32" s="1"/>
  <c r="E136" i="32" l="1"/>
  <c r="G136" i="32" s="1"/>
  <c r="D137" i="32"/>
  <c r="E137" i="32" s="1"/>
  <c r="G137" i="32" s="1"/>
  <c r="C138" i="32"/>
  <c r="C139" i="32" l="1"/>
  <c r="D138" i="32"/>
  <c r="H138" i="32" s="1"/>
  <c r="H137" i="32"/>
  <c r="E138" i="32" l="1"/>
  <c r="G138" i="32" s="1"/>
  <c r="D139" i="32"/>
  <c r="H139" i="32" s="1"/>
  <c r="C140" i="32"/>
  <c r="D140" i="32" l="1"/>
  <c r="E140" i="32" s="1"/>
  <c r="G140" i="32" s="1"/>
  <c r="C141" i="32"/>
  <c r="E139" i="32"/>
  <c r="G139" i="32" s="1"/>
  <c r="D141" i="32" l="1"/>
  <c r="H141" i="32" s="1"/>
  <c r="C142" i="32"/>
  <c r="H140" i="32"/>
  <c r="E141" i="32" l="1"/>
  <c r="G141" i="32" s="1"/>
  <c r="C143" i="32"/>
  <c r="D142" i="32"/>
  <c r="E142" i="32" s="1"/>
  <c r="G142" i="32" s="1"/>
  <c r="C144" i="32" l="1"/>
  <c r="D143" i="32"/>
  <c r="H143" i="32" s="1"/>
  <c r="H142" i="32"/>
  <c r="E143" i="32" l="1"/>
  <c r="G143" i="32" s="1"/>
  <c r="C145" i="32"/>
  <c r="D144" i="32"/>
  <c r="H144" i="32" s="1"/>
  <c r="E144" i="32" l="1"/>
  <c r="G144" i="32" s="1"/>
  <c r="D145" i="32"/>
  <c r="H145" i="32" s="1"/>
  <c r="C146" i="32"/>
  <c r="E145" i="32" l="1"/>
  <c r="G145" i="32" s="1"/>
  <c r="C147" i="32"/>
  <c r="D146" i="32"/>
  <c r="H146" i="32" s="1"/>
  <c r="E146" i="32" l="1"/>
  <c r="G146" i="32" s="1"/>
  <c r="C148" i="32"/>
  <c r="D147" i="32"/>
  <c r="H147" i="32" s="1"/>
  <c r="E147" i="32" l="1"/>
  <c r="G147" i="32" s="1"/>
  <c r="D148" i="32"/>
  <c r="H148" i="32" s="1"/>
  <c r="C149" i="32"/>
  <c r="E148" i="32" l="1"/>
  <c r="G148" i="32" s="1"/>
  <c r="D149" i="32"/>
  <c r="E149" i="32" s="1"/>
  <c r="G149" i="32" s="1"/>
  <c r="C150" i="32"/>
  <c r="C151" i="32" l="1"/>
  <c r="D150" i="32"/>
  <c r="E150" i="32" s="1"/>
  <c r="G150" i="32" s="1"/>
  <c r="H149" i="32"/>
  <c r="D151" i="32" l="1"/>
  <c r="H151" i="32" s="1"/>
  <c r="C152" i="32"/>
  <c r="H150" i="32"/>
  <c r="E151" i="32" l="1"/>
  <c r="G151" i="32" s="1"/>
  <c r="C153" i="32"/>
  <c r="D152" i="32"/>
  <c r="H152" i="32" s="1"/>
  <c r="E152" i="32" l="1"/>
  <c r="G152" i="32" s="1"/>
  <c r="D153" i="32"/>
  <c r="E153" i="32" s="1"/>
  <c r="G153" i="32" s="1"/>
  <c r="C154" i="32"/>
  <c r="D154" i="32" l="1"/>
  <c r="E154" i="32" s="1"/>
  <c r="G154" i="32" s="1"/>
  <c r="C155" i="32"/>
  <c r="H153" i="32"/>
  <c r="C156" i="32" l="1"/>
  <c r="D155" i="32"/>
  <c r="H155" i="32" s="1"/>
  <c r="H154" i="32"/>
  <c r="E155" i="32" l="1"/>
  <c r="G155" i="32" s="1"/>
  <c r="C157" i="32"/>
  <c r="D156" i="32"/>
  <c r="H156" i="32" s="1"/>
  <c r="E156" i="32" l="1"/>
  <c r="G156" i="32" s="1"/>
  <c r="D157" i="32"/>
  <c r="H157" i="32" s="1"/>
  <c r="C158" i="32"/>
  <c r="C159" i="32" l="1"/>
  <c r="D158" i="32"/>
  <c r="H158" i="32" s="1"/>
  <c r="E157" i="32"/>
  <c r="G157" i="32" s="1"/>
  <c r="E158" i="32" l="1"/>
  <c r="G158" i="32" s="1"/>
  <c r="D159" i="32"/>
  <c r="E159" i="32" s="1"/>
  <c r="G159" i="32" s="1"/>
  <c r="H159" i="32" l="1"/>
  <c r="P36" i="31" l="1"/>
  <c r="AV219" i="1" l="1"/>
  <c r="AV220" i="1"/>
  <c r="AV221" i="1"/>
  <c r="AV222" i="1"/>
  <c r="AV223" i="1"/>
  <c r="AV224" i="1"/>
  <c r="AV226" i="1"/>
  <c r="AV227" i="1"/>
  <c r="AV228" i="1"/>
  <c r="AV229" i="1"/>
  <c r="AV230" i="1"/>
  <c r="AV232" i="1"/>
  <c r="AV233" i="1"/>
  <c r="AU233" i="1"/>
  <c r="AU232" i="1"/>
  <c r="AU231" i="1"/>
  <c r="T231" i="1" s="1"/>
  <c r="AU230" i="1"/>
  <c r="AU229" i="1"/>
  <c r="AU228" i="1"/>
  <c r="AU227" i="1"/>
  <c r="AU226" i="1"/>
  <c r="AU224" i="1"/>
  <c r="AU223" i="1"/>
  <c r="AU222" i="1"/>
  <c r="T222" i="1" s="1"/>
  <c r="AU221" i="1"/>
  <c r="AU220" i="1"/>
  <c r="AU235" i="1"/>
  <c r="H37" i="31"/>
  <c r="H36" i="31"/>
  <c r="H35" i="31"/>
  <c r="H27" i="31"/>
  <c r="T227" i="1" l="1"/>
  <c r="T223" i="1"/>
  <c r="T228" i="1"/>
  <c r="T232" i="1"/>
  <c r="T224" i="1"/>
  <c r="T229" i="1"/>
  <c r="T226" i="1"/>
  <c r="T230" i="1"/>
  <c r="D12" i="31"/>
  <c r="D11" i="31"/>
  <c r="P243" i="1"/>
  <c r="T221" i="1" l="1"/>
  <c r="Z221" i="1"/>
  <c r="Z222" i="1"/>
  <c r="Z223" i="1"/>
  <c r="Z224" i="1"/>
  <c r="Z225" i="1"/>
  <c r="Z226" i="1"/>
  <c r="Z227" i="1"/>
  <c r="Z228" i="1"/>
  <c r="Z229" i="1"/>
  <c r="Z230" i="1"/>
  <c r="Z231" i="1"/>
  <c r="Z232" i="1"/>
  <c r="Z233" i="1"/>
  <c r="Z220" i="1"/>
  <c r="Z219" i="1"/>
  <c r="Z218" i="1"/>
  <c r="BJ37" i="8" l="1"/>
  <c r="E40" i="30"/>
  <c r="F40" i="30"/>
  <c r="G40" i="30"/>
  <c r="H40" i="30"/>
  <c r="I40" i="30"/>
  <c r="J40" i="30"/>
  <c r="K40" i="30"/>
  <c r="L40" i="30"/>
  <c r="M40" i="30"/>
  <c r="N40" i="30"/>
  <c r="O40" i="30"/>
  <c r="P40" i="30"/>
  <c r="Q40" i="30"/>
  <c r="R40" i="30"/>
  <c r="S40" i="30"/>
  <c r="T40" i="30"/>
  <c r="U40" i="30"/>
  <c r="V40" i="30"/>
  <c r="W40" i="30"/>
  <c r="X40" i="30"/>
  <c r="Y40" i="30"/>
  <c r="Z40" i="30"/>
  <c r="AA40" i="30"/>
  <c r="AB40" i="30"/>
  <c r="D40" i="30"/>
  <c r="C40" i="30"/>
  <c r="E31" i="29"/>
  <c r="D4" i="29"/>
  <c r="D3" i="29"/>
  <c r="D40" i="24"/>
  <c r="C40" i="24"/>
  <c r="K22" i="24"/>
  <c r="K21" i="24"/>
  <c r="K20" i="24"/>
  <c r="N18" i="15"/>
  <c r="N125" i="15"/>
  <c r="H21" i="24" l="1"/>
  <c r="H22" i="24"/>
  <c r="H20" i="24"/>
  <c r="E20" i="24"/>
  <c r="P78" i="1"/>
  <c r="Z13" i="20" s="1"/>
  <c r="G1" i="25"/>
  <c r="G1" i="16"/>
  <c r="I8" i="17"/>
  <c r="AT42" i="8"/>
  <c r="AC38" i="24"/>
  <c r="AA38" i="24"/>
  <c r="AE38" i="24" s="1"/>
  <c r="AA37" i="24"/>
  <c r="AE37" i="24" s="1"/>
  <c r="AA36" i="24"/>
  <c r="AE36" i="24" s="1"/>
  <c r="AA35" i="24"/>
  <c r="AE35" i="24" s="1"/>
  <c r="AA34" i="24"/>
  <c r="AE34" i="24" s="1"/>
  <c r="AA33" i="24"/>
  <c r="AE33" i="24" s="1"/>
  <c r="AA32" i="24"/>
  <c r="AE32" i="24" s="1"/>
  <c r="AA27" i="24"/>
  <c r="AE27" i="24" s="1"/>
  <c r="AA26" i="24"/>
  <c r="AE26" i="24" s="1"/>
  <c r="AC25" i="24"/>
  <c r="AA25" i="24"/>
  <c r="AE25" i="24" s="1"/>
  <c r="AC24" i="24"/>
  <c r="AA24" i="24"/>
  <c r="AE24" i="24" s="1"/>
  <c r="AC23" i="24"/>
  <c r="AA23" i="24"/>
  <c r="AE23" i="24" s="1"/>
  <c r="AA22" i="24"/>
  <c r="AE22" i="24" s="1"/>
  <c r="AA21" i="24"/>
  <c r="AE21" i="24" s="1"/>
  <c r="AA20" i="24"/>
  <c r="AE20" i="24" s="1"/>
  <c r="AA19" i="24"/>
  <c r="AE19" i="24" s="1"/>
  <c r="AA18" i="24"/>
  <c r="AE18" i="24" s="1"/>
  <c r="AA17" i="24"/>
  <c r="AE17" i="24" s="1"/>
  <c r="AA3" i="24"/>
  <c r="AA4" i="24"/>
  <c r="H40" i="24" s="1"/>
  <c r="AA5" i="24"/>
  <c r="AA6" i="24"/>
  <c r="AA7" i="24"/>
  <c r="AA8" i="24"/>
  <c r="AA9" i="24"/>
  <c r="AA10" i="24"/>
  <c r="AA11" i="24"/>
  <c r="AA12" i="24"/>
  <c r="AA2" i="24"/>
  <c r="AC2" i="24" s="1"/>
  <c r="AV54" i="8"/>
  <c r="G9" i="17"/>
  <c r="G1" i="17"/>
  <c r="S72" i="25"/>
  <c r="H43" i="24" l="1"/>
  <c r="E21" i="24"/>
  <c r="E22" i="24"/>
  <c r="AG54" i="8"/>
  <c r="F6" i="15"/>
  <c r="F13" i="20"/>
  <c r="AC32" i="24"/>
  <c r="D45" i="24" s="1"/>
  <c r="S71" i="25"/>
  <c r="AC26" i="24"/>
  <c r="AC17" i="24"/>
  <c r="AC27" i="24"/>
  <c r="F109" i="15" l="1"/>
  <c r="Z109" i="15"/>
  <c r="O3" i="19"/>
  <c r="AC12" i="24"/>
  <c r="P10" i="25"/>
  <c r="G10" i="25"/>
  <c r="A21" i="25"/>
  <c r="W32" i="20"/>
  <c r="V30" i="15"/>
  <c r="U16" i="15"/>
  <c r="U16" i="20" s="1"/>
  <c r="D4" i="24"/>
  <c r="P9" i="17"/>
  <c r="P9" i="16"/>
  <c r="G9" i="16"/>
  <c r="O72" i="25"/>
  <c r="P72" i="25"/>
  <c r="A22" i="25"/>
  <c r="AE11" i="24"/>
  <c r="D9" i="8"/>
  <c r="Z4" i="15"/>
  <c r="F4" i="15"/>
  <c r="F107" i="15" s="1"/>
  <c r="AH20" i="15"/>
  <c r="N121" i="15"/>
  <c r="AA20" i="15"/>
  <c r="G18" i="15"/>
  <c r="G121" i="15" s="1"/>
  <c r="AE2" i="24"/>
  <c r="D42" i="24"/>
  <c r="AE12" i="24" l="1"/>
  <c r="AC11" i="24"/>
  <c r="Q72" i="25"/>
  <c r="R72" i="25" s="1"/>
  <c r="G6" i="25" l="1"/>
  <c r="G5" i="25"/>
  <c r="G4" i="25"/>
  <c r="G3" i="25"/>
  <c r="G2" i="25"/>
  <c r="P71" i="25"/>
  <c r="P68" i="25" s="1"/>
  <c r="O71" i="25"/>
  <c r="O68" i="25" s="1"/>
  <c r="A20" i="25"/>
  <c r="A19" i="25"/>
  <c r="A18" i="25"/>
  <c r="A17" i="25"/>
  <c r="A16" i="25"/>
  <c r="A14" i="25"/>
  <c r="Q56" i="25"/>
  <c r="A15" i="25" s="1"/>
  <c r="Z6" i="25"/>
  <c r="U6" i="25"/>
  <c r="I5" i="17"/>
  <c r="H6" i="17"/>
  <c r="U6" i="17"/>
  <c r="Z6" i="17"/>
  <c r="Q58" i="17"/>
  <c r="A14" i="17" s="1"/>
  <c r="A13" i="17"/>
  <c r="A15" i="17"/>
  <c r="A16" i="17"/>
  <c r="A17" i="17"/>
  <c r="A18" i="17"/>
  <c r="A19" i="17"/>
  <c r="O73" i="17"/>
  <c r="P73" i="17"/>
  <c r="X73" i="17"/>
  <c r="O74" i="17"/>
  <c r="P74" i="17"/>
  <c r="X74" i="17"/>
  <c r="O75" i="17"/>
  <c r="P75" i="17"/>
  <c r="X75" i="17"/>
  <c r="O76" i="17"/>
  <c r="P76" i="17"/>
  <c r="X76" i="17"/>
  <c r="O77" i="17"/>
  <c r="P77" i="17"/>
  <c r="X77" i="17"/>
  <c r="O78" i="17"/>
  <c r="P78" i="17"/>
  <c r="X78" i="17"/>
  <c r="O79" i="17"/>
  <c r="P79" i="17"/>
  <c r="X79" i="17"/>
  <c r="O80" i="17"/>
  <c r="P80" i="17"/>
  <c r="X80" i="17"/>
  <c r="O81" i="17"/>
  <c r="P81" i="17"/>
  <c r="X81" i="17"/>
  <c r="O82" i="17"/>
  <c r="P82" i="17"/>
  <c r="X82" i="17"/>
  <c r="X119" i="15"/>
  <c r="AH121" i="15"/>
  <c r="AH71" i="15"/>
  <c r="N70" i="15"/>
  <c r="G70" i="15"/>
  <c r="AA71" i="15"/>
  <c r="AA121" i="15"/>
  <c r="H5" i="16"/>
  <c r="AE10" i="24"/>
  <c r="AC10" i="24"/>
  <c r="AE9" i="24"/>
  <c r="AC9" i="24"/>
  <c r="AE8" i="24"/>
  <c r="AC8" i="24"/>
  <c r="AE7" i="24"/>
  <c r="AE6" i="24"/>
  <c r="AE5" i="24"/>
  <c r="AE4" i="24"/>
  <c r="AE3" i="24"/>
  <c r="D5" i="24"/>
  <c r="Y58" i="17" l="1"/>
  <c r="A22" i="17" s="1"/>
  <c r="X58" i="17"/>
  <c r="A21" i="17" s="1"/>
  <c r="W72" i="25"/>
  <c r="T72" i="25"/>
  <c r="Q75" i="17"/>
  <c r="R75" i="17" s="1"/>
  <c r="Q79" i="17"/>
  <c r="R79" i="17" s="1"/>
  <c r="Q80" i="17"/>
  <c r="R80" i="17" s="1"/>
  <c r="Q76" i="17"/>
  <c r="R76" i="17" s="1"/>
  <c r="P70" i="17"/>
  <c r="M13" i="17" s="1"/>
  <c r="Q81" i="17"/>
  <c r="R81" i="17" s="1"/>
  <c r="Q77" i="17"/>
  <c r="R77" i="17" s="1"/>
  <c r="O70" i="17"/>
  <c r="M12" i="17" s="1"/>
  <c r="X70" i="17"/>
  <c r="M21" i="17" s="1"/>
  <c r="Q82" i="17"/>
  <c r="R82" i="17" s="1"/>
  <c r="Q78" i="17"/>
  <c r="R78" i="17" s="1"/>
  <c r="Q74" i="17"/>
  <c r="R74" i="17" s="1"/>
  <c r="X56" i="16"/>
  <c r="W56" i="16"/>
  <c r="AN1" i="16" s="1"/>
  <c r="Q71" i="25"/>
  <c r="M13" i="25"/>
  <c r="M14" i="25"/>
  <c r="Y80" i="17"/>
  <c r="W79" i="17"/>
  <c r="Z77" i="17"/>
  <c r="Z82" i="17"/>
  <c r="Z79" i="17"/>
  <c r="Y76" i="17"/>
  <c r="Y82" i="17"/>
  <c r="Z81" i="17"/>
  <c r="W80" i="17"/>
  <c r="Y79" i="17"/>
  <c r="W77" i="17"/>
  <c r="Y74" i="17"/>
  <c r="Z73" i="17"/>
  <c r="W81" i="17"/>
  <c r="W78" i="17"/>
  <c r="Z75" i="17"/>
  <c r="Y81" i="17"/>
  <c r="Y78" i="17"/>
  <c r="W75" i="17"/>
  <c r="Y77" i="17"/>
  <c r="W76" i="17"/>
  <c r="Y75" i="17"/>
  <c r="W74" i="17"/>
  <c r="Y73" i="17"/>
  <c r="W58" i="17"/>
  <c r="A20" i="17" s="1"/>
  <c r="Z80" i="17"/>
  <c r="Z78" i="17"/>
  <c r="Z76" i="17"/>
  <c r="Z74" i="17"/>
  <c r="Z58" i="17"/>
  <c r="A23" i="17" s="1"/>
  <c r="W73" i="17"/>
  <c r="O56" i="25"/>
  <c r="A13" i="25" s="1"/>
  <c r="W71" i="25"/>
  <c r="W82" i="17"/>
  <c r="Q73" i="17"/>
  <c r="O58" i="17"/>
  <c r="A12" i="17" s="1"/>
  <c r="R71" i="25" l="1"/>
  <c r="R68" i="25" s="1"/>
  <c r="M16" i="25" s="1"/>
  <c r="Q68" i="25"/>
  <c r="M15" i="25" s="1"/>
  <c r="M22" i="25"/>
  <c r="W68" i="25"/>
  <c r="T71" i="25"/>
  <c r="T68" i="25" s="1"/>
  <c r="M18" i="25" s="1"/>
  <c r="S68" i="25"/>
  <c r="M17" i="25" s="1"/>
  <c r="W70" i="17"/>
  <c r="M20" i="17" s="1"/>
  <c r="Z70" i="17"/>
  <c r="M23" i="17" s="1"/>
  <c r="Y70" i="17"/>
  <c r="M22" i="17" s="1"/>
  <c r="R73" i="17"/>
  <c r="R70" i="17" s="1"/>
  <c r="M15" i="17" s="1"/>
  <c r="Q70" i="17"/>
  <c r="M14" i="17" s="1"/>
  <c r="AQ34" i="8"/>
  <c r="BN6" i="8" s="1"/>
  <c r="D50" i="8" l="1"/>
  <c r="AG18" i="15"/>
  <c r="Y9" i="20" l="1"/>
  <c r="AB51" i="5" l="1"/>
  <c r="B84" i="1" s="1"/>
  <c r="G92" i="5" l="1"/>
  <c r="L71" i="5"/>
  <c r="X67" i="5"/>
  <c r="V64" i="5"/>
  <c r="X63" i="5"/>
  <c r="X62" i="5"/>
  <c r="O71" i="5"/>
  <c r="R55" i="5"/>
  <c r="G40" i="5"/>
  <c r="G39" i="5"/>
  <c r="G38" i="5"/>
  <c r="G37" i="5"/>
  <c r="G36" i="5"/>
  <c r="G35" i="5"/>
  <c r="AH30" i="5"/>
  <c r="AG30" i="5"/>
  <c r="AF30" i="5"/>
  <c r="AE30" i="5"/>
  <c r="AD30" i="5"/>
  <c r="AC30" i="5"/>
  <c r="AB30" i="5"/>
  <c r="AA30" i="5"/>
  <c r="Z30" i="5"/>
  <c r="Y30" i="5"/>
  <c r="X30" i="5"/>
  <c r="W30" i="5"/>
  <c r="AH29" i="5"/>
  <c r="F125" i="1" s="1"/>
  <c r="AG29" i="5"/>
  <c r="F124" i="1" s="1"/>
  <c r="AF29" i="5"/>
  <c r="F123" i="1" s="1"/>
  <c r="AE29" i="5"/>
  <c r="F122" i="1" s="1"/>
  <c r="AD29" i="5"/>
  <c r="F121" i="1" s="1"/>
  <c r="AC29" i="5"/>
  <c r="F120" i="1" s="1"/>
  <c r="AB29" i="5"/>
  <c r="F119" i="1" s="1"/>
  <c r="AA29" i="5"/>
  <c r="F118" i="1" s="1"/>
  <c r="Z29" i="5"/>
  <c r="F117" i="1" s="1"/>
  <c r="Y29" i="5"/>
  <c r="F116" i="1" s="1"/>
  <c r="X29" i="5"/>
  <c r="F115" i="1" s="1"/>
  <c r="W29" i="5"/>
  <c r="AI48" i="5" s="1"/>
  <c r="J23" i="5"/>
  <c r="I23" i="5" s="1"/>
  <c r="V22" i="5"/>
  <c r="V21" i="5"/>
  <c r="U20" i="5"/>
  <c r="U19" i="5"/>
  <c r="U18" i="5"/>
  <c r="U17" i="5"/>
  <c r="H13" i="5"/>
  <c r="H12" i="5"/>
  <c r="H11" i="5"/>
  <c r="S7" i="5"/>
  <c r="S6" i="5"/>
  <c r="S5" i="5"/>
  <c r="I21" i="15"/>
  <c r="F114" i="1" l="1"/>
  <c r="K81" i="1"/>
  <c r="AI29" i="5"/>
  <c r="S6" i="25"/>
  <c r="S6" i="17"/>
  <c r="R56" i="5"/>
  <c r="O73" i="5"/>
  <c r="O74" i="5" s="1"/>
  <c r="O75" i="5" s="1"/>
  <c r="O60" i="5"/>
  <c r="O62" i="5" s="1"/>
  <c r="AI32" i="5"/>
  <c r="AG31" i="5" s="1"/>
  <c r="O56" i="5"/>
  <c r="O66" i="5" s="1"/>
  <c r="P60" i="5"/>
  <c r="Z6" i="16"/>
  <c r="D17" i="29" l="1"/>
  <c r="G127" i="1"/>
  <c r="I9" i="25"/>
  <c r="X71" i="25" s="1"/>
  <c r="Z31" i="5"/>
  <c r="AF31" i="5"/>
  <c r="W31" i="5"/>
  <c r="O61" i="5"/>
  <c r="AD31" i="5"/>
  <c r="Y31" i="5"/>
  <c r="AA31" i="5"/>
  <c r="AH31" i="5"/>
  <c r="AC31" i="5"/>
  <c r="AE31" i="5"/>
  <c r="AB31" i="5"/>
  <c r="X31" i="5"/>
  <c r="P62" i="5"/>
  <c r="P61" i="5"/>
  <c r="O65" i="5"/>
  <c r="D12" i="21"/>
  <c r="D11" i="21"/>
  <c r="M19" i="21" s="1"/>
  <c r="D10" i="21"/>
  <c r="D18" i="29" l="1"/>
  <c r="D36" i="29"/>
  <c r="U72" i="25"/>
  <c r="V72" i="25" s="1"/>
  <c r="X68" i="25"/>
  <c r="M21" i="25" s="1"/>
  <c r="U71" i="25"/>
  <c r="P65" i="5"/>
  <c r="Q65" i="5" s="1"/>
  <c r="L97" i="1"/>
  <c r="P97" i="1" l="1"/>
  <c r="R97" i="1" s="1"/>
  <c r="C30" i="30"/>
  <c r="C37" i="30"/>
  <c r="D20" i="29"/>
  <c r="D21" i="29" s="1"/>
  <c r="D23" i="29" s="1"/>
  <c r="C44" i="30"/>
  <c r="V71" i="25"/>
  <c r="U68" i="25"/>
  <c r="M19" i="25" s="1"/>
  <c r="R44" i="30" l="1"/>
  <c r="AB44" i="30"/>
  <c r="Q44" i="30"/>
  <c r="M44" i="30"/>
  <c r="P44" i="30"/>
  <c r="J44" i="30"/>
  <c r="S44" i="30"/>
  <c r="H44" i="30"/>
  <c r="F44" i="30"/>
  <c r="I44" i="30"/>
  <c r="D44" i="30"/>
  <c r="V44" i="30"/>
  <c r="U44" i="30"/>
  <c r="X44" i="30"/>
  <c r="Y44" i="30"/>
  <c r="K44" i="30"/>
  <c r="Z44" i="30"/>
  <c r="N44" i="30"/>
  <c r="L44" i="30"/>
  <c r="O44" i="30"/>
  <c r="T44" i="30"/>
  <c r="AA44" i="30"/>
  <c r="E44" i="30"/>
  <c r="W44" i="30"/>
  <c r="C45" i="30"/>
  <c r="G44" i="30"/>
  <c r="D37" i="29"/>
  <c r="C50" i="30"/>
  <c r="V68" i="25"/>
  <c r="M20" i="25" s="1"/>
  <c r="AV5" i="21"/>
  <c r="AA5" i="21"/>
  <c r="F5" i="21"/>
  <c r="AT12" i="21"/>
  <c r="AT11" i="21"/>
  <c r="AT10" i="21"/>
  <c r="AV7" i="21"/>
  <c r="Y12" i="21"/>
  <c r="Y11" i="21"/>
  <c r="Y10" i="21"/>
  <c r="E45" i="30" l="1"/>
  <c r="E47" i="30"/>
  <c r="L45" i="30"/>
  <c r="L47" i="30"/>
  <c r="Y45" i="30"/>
  <c r="Y47" i="30"/>
  <c r="D45" i="30"/>
  <c r="D47" i="30"/>
  <c r="S45" i="30"/>
  <c r="S47" i="30"/>
  <c r="Q45" i="30"/>
  <c r="Q47" i="30"/>
  <c r="W47" i="30"/>
  <c r="W45" i="30"/>
  <c r="O47" i="30"/>
  <c r="O45" i="30"/>
  <c r="K45" i="30"/>
  <c r="K47" i="30"/>
  <c r="V45" i="30"/>
  <c r="V47" i="30"/>
  <c r="H45" i="30"/>
  <c r="H47" i="30"/>
  <c r="M47" i="30"/>
  <c r="M45" i="30"/>
  <c r="G45" i="30"/>
  <c r="G47" i="30"/>
  <c r="AA45" i="30"/>
  <c r="AA47" i="30"/>
  <c r="N47" i="30"/>
  <c r="N45" i="30"/>
  <c r="X47" i="30"/>
  <c r="X45" i="30"/>
  <c r="I47" i="30"/>
  <c r="I45" i="30"/>
  <c r="J47" i="30"/>
  <c r="J45" i="30"/>
  <c r="AB45" i="30"/>
  <c r="AB47" i="30"/>
  <c r="T45" i="30"/>
  <c r="T47" i="30"/>
  <c r="Z45" i="30"/>
  <c r="Z47" i="30"/>
  <c r="U47" i="30"/>
  <c r="U45" i="30"/>
  <c r="F47" i="30"/>
  <c r="F45" i="30"/>
  <c r="P45" i="30"/>
  <c r="P47" i="30"/>
  <c r="R47" i="30"/>
  <c r="R45" i="30"/>
  <c r="D8" i="15"/>
  <c r="X111" i="15" s="1"/>
  <c r="G2" i="16" l="1"/>
  <c r="D111" i="15"/>
  <c r="X9" i="15"/>
  <c r="U1" i="20" s="1"/>
  <c r="G2" i="17"/>
  <c r="AQ4" i="8" l="1"/>
  <c r="O55" i="8"/>
  <c r="A54" i="8" l="1"/>
  <c r="E9" i="20" l="1"/>
  <c r="U71" i="20" l="1"/>
  <c r="A71" i="20"/>
  <c r="D10" i="15"/>
  <c r="D9" i="15"/>
  <c r="AL52" i="8"/>
  <c r="AB53" i="8"/>
  <c r="AB55" i="8"/>
  <c r="F59" i="1"/>
  <c r="H59" i="1"/>
  <c r="I59" i="1"/>
  <c r="J59" i="1"/>
  <c r="L59" i="1"/>
  <c r="M59" i="1"/>
  <c r="N59" i="1"/>
  <c r="P59" i="1"/>
  <c r="Q59" i="1"/>
  <c r="S59" i="1"/>
  <c r="T64" i="1"/>
  <c r="P261" i="1"/>
  <c r="T261" i="1"/>
  <c r="F79" i="1"/>
  <c r="J262" i="1" s="1"/>
  <c r="T79" i="1"/>
  <c r="P219" i="1"/>
  <c r="N98" i="1"/>
  <c r="P98" i="1"/>
  <c r="L98" i="1"/>
  <c r="H218" i="1"/>
  <c r="H219" i="1"/>
  <c r="G225" i="1"/>
  <c r="G235" i="1"/>
  <c r="U235" i="1"/>
  <c r="V237" i="1"/>
  <c r="H255" i="1"/>
  <c r="P255" i="1"/>
  <c r="J258" i="1"/>
  <c r="T258" i="1"/>
  <c r="J259" i="1"/>
  <c r="P259" i="1"/>
  <c r="T259" i="1"/>
  <c r="J260" i="1"/>
  <c r="P260" i="1"/>
  <c r="T260" i="1"/>
  <c r="J261" i="1"/>
  <c r="T262" i="1"/>
  <c r="J263" i="1"/>
  <c r="P263" i="1"/>
  <c r="J265" i="1"/>
  <c r="P265" i="1"/>
  <c r="AU225" i="1" l="1"/>
  <c r="AU219" i="1"/>
  <c r="AU218" i="1"/>
  <c r="O59" i="1"/>
  <c r="R59" i="1"/>
  <c r="Z234" i="1"/>
  <c r="G3" i="17"/>
  <c r="D112" i="15"/>
  <c r="G4" i="17"/>
  <c r="D113" i="15"/>
  <c r="X112" i="15"/>
  <c r="AG119" i="15" s="1"/>
  <c r="X10" i="15"/>
  <c r="X113" i="15"/>
  <c r="X11" i="15"/>
  <c r="A1" i="20"/>
  <c r="E18" i="20"/>
  <c r="A2" i="20"/>
  <c r="P99" i="1"/>
  <c r="P102" i="1" s="1"/>
  <c r="R98" i="1"/>
  <c r="R99" i="1" s="1"/>
  <c r="F54" i="15"/>
  <c r="P100" i="1" l="1"/>
  <c r="R102" i="1"/>
  <c r="R101" i="1"/>
  <c r="R100" i="1"/>
  <c r="P101" i="1"/>
  <c r="Y18" i="20"/>
  <c r="U2" i="20"/>
  <c r="Z107" i="15"/>
  <c r="D3" i="19"/>
  <c r="D29" i="19"/>
  <c r="D27" i="19"/>
  <c r="I26" i="19"/>
  <c r="D26" i="19"/>
  <c r="D25" i="19"/>
  <c r="D10" i="19"/>
  <c r="BB118" i="15" l="1"/>
  <c r="AU118" i="15"/>
  <c r="AR108" i="15"/>
  <c r="AR109" i="15"/>
  <c r="AR107" i="15"/>
  <c r="AT102" i="15"/>
  <c r="AZ75" i="15" l="1"/>
  <c r="AZ42" i="15" l="1"/>
  <c r="AZ44" i="15" s="1"/>
  <c r="BC18" i="15"/>
  <c r="BJ20" i="15" s="1"/>
  <c r="BC19" i="15"/>
  <c r="AQ22" i="15"/>
  <c r="AZ39" i="15" s="1"/>
  <c r="AQ20" i="15"/>
  <c r="AQ17" i="15"/>
  <c r="AS6" i="15"/>
  <c r="AX12" i="15" s="1"/>
  <c r="AS5" i="15"/>
  <c r="AQ12" i="15" s="1"/>
  <c r="AS4" i="15"/>
  <c r="AS3" i="15"/>
  <c r="BJ21" i="15" l="1"/>
  <c r="BJ30" i="15" s="1"/>
  <c r="V6" i="16"/>
  <c r="S151" i="8" l="1"/>
  <c r="S135" i="8" l="1"/>
  <c r="S119" i="8"/>
  <c r="S117" i="8"/>
  <c r="S139" i="8" s="1"/>
  <c r="S115" i="8"/>
  <c r="S153" i="8" s="1"/>
  <c r="D117" i="8"/>
  <c r="S113" i="8"/>
  <c r="S137" i="8"/>
  <c r="S123" i="8"/>
  <c r="S127" i="8" s="1"/>
  <c r="S125" i="8" l="1"/>
  <c r="S141" i="8"/>
  <c r="S143" i="8" l="1"/>
  <c r="O78" i="8"/>
  <c r="O63" i="8"/>
  <c r="O67" i="8"/>
  <c r="S145" i="8" l="1"/>
  <c r="AS72" i="1" l="1"/>
  <c r="AQ72" i="1"/>
  <c r="D59" i="1" l="1"/>
  <c r="A20" i="16" l="1"/>
  <c r="A19" i="16"/>
  <c r="A18" i="16"/>
  <c r="A17" i="16"/>
  <c r="A16" i="16"/>
  <c r="A14" i="16"/>
  <c r="D61" i="15" l="1"/>
  <c r="D60" i="15"/>
  <c r="M68" i="15" s="1"/>
  <c r="D59" i="15"/>
  <c r="F55" i="15"/>
  <c r="Z108" i="15" s="1"/>
  <c r="M16" i="15" l="1"/>
  <c r="BA116" i="15" l="1"/>
  <c r="M119" i="15"/>
  <c r="G4" i="16"/>
  <c r="G3" i="16"/>
  <c r="AP1" i="17" l="1"/>
  <c r="AP2" i="17"/>
  <c r="P56" i="16"/>
  <c r="A15" i="16" s="1"/>
  <c r="AO2" i="16"/>
  <c r="AO3" i="16"/>
  <c r="H6" i="16"/>
  <c r="Y80" i="16"/>
  <c r="O80" i="16"/>
  <c r="N80" i="16"/>
  <c r="Y79" i="16"/>
  <c r="O79" i="16"/>
  <c r="N79" i="16"/>
  <c r="Y78" i="16"/>
  <c r="O78" i="16"/>
  <c r="N78" i="16"/>
  <c r="Y77" i="16"/>
  <c r="O77" i="16"/>
  <c r="N77" i="16"/>
  <c r="Y76" i="16"/>
  <c r="O76" i="16"/>
  <c r="N76" i="16"/>
  <c r="Y75" i="16"/>
  <c r="O75" i="16"/>
  <c r="N75" i="16"/>
  <c r="Y74" i="16"/>
  <c r="O74" i="16"/>
  <c r="N74" i="16"/>
  <c r="Y73" i="16"/>
  <c r="O73" i="16"/>
  <c r="N73" i="16"/>
  <c r="Y72" i="16"/>
  <c r="O72" i="16"/>
  <c r="N72" i="16"/>
  <c r="Y71" i="16"/>
  <c r="O71" i="16"/>
  <c r="N71" i="16"/>
  <c r="Z56" i="16"/>
  <c r="A25" i="16" s="1"/>
  <c r="Y56" i="16"/>
  <c r="A24" i="16" s="1"/>
  <c r="A23" i="16"/>
  <c r="A22" i="16"/>
  <c r="V56" i="16"/>
  <c r="A21" i="16" s="1"/>
  <c r="H8" i="16" l="1"/>
  <c r="R73" i="16"/>
  <c r="R77" i="16"/>
  <c r="R72" i="16"/>
  <c r="R74" i="16"/>
  <c r="R78" i="16"/>
  <c r="R71" i="16"/>
  <c r="R75" i="16"/>
  <c r="R79" i="16"/>
  <c r="R76" i="16"/>
  <c r="R80" i="16"/>
  <c r="T73" i="17"/>
  <c r="S76" i="17"/>
  <c r="S80" i="17"/>
  <c r="S77" i="17"/>
  <c r="S81" i="17"/>
  <c r="S74" i="17"/>
  <c r="S78" i="17"/>
  <c r="S82" i="17"/>
  <c r="S75" i="17"/>
  <c r="S79" i="17"/>
  <c r="S73" i="17"/>
  <c r="S73" i="16"/>
  <c r="S77" i="16"/>
  <c r="S71" i="16"/>
  <c r="S79" i="16"/>
  <c r="S72" i="16"/>
  <c r="S80" i="16"/>
  <c r="S74" i="16"/>
  <c r="S78" i="16"/>
  <c r="S75" i="16"/>
  <c r="S76" i="16"/>
  <c r="T74" i="17"/>
  <c r="U74" i="17" s="1"/>
  <c r="V74" i="17" s="1"/>
  <c r="T75" i="17"/>
  <c r="U75" i="17" s="1"/>
  <c r="V75" i="17" s="1"/>
  <c r="T76" i="17"/>
  <c r="U76" i="17" s="1"/>
  <c r="V76" i="17" s="1"/>
  <c r="T77" i="17"/>
  <c r="U77" i="17" s="1"/>
  <c r="V77" i="17" s="1"/>
  <c r="T78" i="17"/>
  <c r="U78" i="17" s="1"/>
  <c r="V78" i="17" s="1"/>
  <c r="T79" i="17"/>
  <c r="U79" i="17" s="1"/>
  <c r="V79" i="17" s="1"/>
  <c r="T80" i="17"/>
  <c r="U80" i="17" s="1"/>
  <c r="V80" i="17" s="1"/>
  <c r="T81" i="17"/>
  <c r="U81" i="17" s="1"/>
  <c r="V81" i="17" s="1"/>
  <c r="T82" i="17"/>
  <c r="U82" i="17" s="1"/>
  <c r="V82" i="17" s="1"/>
  <c r="P79" i="16"/>
  <c r="Q79" i="16" s="1"/>
  <c r="P76" i="16"/>
  <c r="Q76" i="16" s="1"/>
  <c r="Y68" i="16"/>
  <c r="M24" i="16" s="1"/>
  <c r="P77" i="16"/>
  <c r="Q77" i="16" s="1"/>
  <c r="P72" i="16"/>
  <c r="Q72" i="16" s="1"/>
  <c r="P75" i="16"/>
  <c r="Q75" i="16" s="1"/>
  <c r="P80" i="16"/>
  <c r="Q80" i="16" s="1"/>
  <c r="P73" i="16"/>
  <c r="Q73" i="16" s="1"/>
  <c r="P78" i="16"/>
  <c r="Q78" i="16" s="1"/>
  <c r="P71" i="16"/>
  <c r="Q71" i="16" s="1"/>
  <c r="P74" i="16"/>
  <c r="Q74" i="16" s="1"/>
  <c r="N56" i="16"/>
  <c r="A13" i="16" s="1"/>
  <c r="O68" i="16"/>
  <c r="M14" i="16" s="1"/>
  <c r="N68" i="16"/>
  <c r="M13" i="16" s="1"/>
  <c r="T70" i="17" l="1"/>
  <c r="U73" i="17"/>
  <c r="S70" i="17"/>
  <c r="M16" i="17" s="1"/>
  <c r="Q68" i="16"/>
  <c r="M16" i="16" s="1"/>
  <c r="P68" i="16"/>
  <c r="M15" i="16" s="1"/>
  <c r="V73" i="17" l="1"/>
  <c r="V70" i="17" s="1"/>
  <c r="M19" i="17" s="1"/>
  <c r="U70" i="17"/>
  <c r="M18" i="17" l="1"/>
  <c r="M17" i="17"/>
  <c r="R68" i="16"/>
  <c r="M17" i="16" s="1"/>
  <c r="S68" i="16"/>
  <c r="M18" i="16" s="1"/>
  <c r="Y238" i="1"/>
  <c r="M45" i="31" s="1"/>
  <c r="F22" i="15" l="1"/>
  <c r="AT126" i="15" s="1"/>
  <c r="D9" i="19" l="1"/>
  <c r="D8" i="19"/>
  <c r="AZ32" i="15"/>
  <c r="D7" i="19" l="1"/>
  <c r="AZ35" i="15"/>
  <c r="D4" i="19"/>
  <c r="AT104" i="15"/>
  <c r="D5" i="29" l="1"/>
  <c r="O48" i="30" s="1"/>
  <c r="BA3" i="15"/>
  <c r="T182" i="1" l="1"/>
  <c r="K182" i="1"/>
  <c r="Q182" i="1" s="1"/>
  <c r="D13" i="29"/>
  <c r="E48" i="30"/>
  <c r="J48" i="30"/>
  <c r="D8" i="29"/>
  <c r="R48" i="30"/>
  <c r="L48" i="30"/>
  <c r="M48" i="30"/>
  <c r="G48" i="30"/>
  <c r="D6" i="29"/>
  <c r="E28" i="29" s="1"/>
  <c r="D48" i="30"/>
  <c r="AB48" i="30"/>
  <c r="W48" i="30"/>
  <c r="Z48" i="30"/>
  <c r="U48" i="30"/>
  <c r="T48" i="30"/>
  <c r="C48" i="30"/>
  <c r="N48" i="30"/>
  <c r="Y48" i="30"/>
  <c r="I48" i="30"/>
  <c r="X48" i="30"/>
  <c r="H48" i="30"/>
  <c r="S48" i="30"/>
  <c r="D12" i="29"/>
  <c r="V48" i="30"/>
  <c r="F48" i="30"/>
  <c r="Q48" i="30"/>
  <c r="D7" i="29"/>
  <c r="P48" i="30"/>
  <c r="AA48" i="30"/>
  <c r="K48" i="30"/>
  <c r="BN3" i="8"/>
  <c r="P65" i="1" l="1"/>
  <c r="AF33" i="32"/>
  <c r="H31" i="32" s="1"/>
  <c r="J130" i="32" s="1"/>
  <c r="Z32" i="30"/>
  <c r="X39" i="30"/>
  <c r="X33" i="30" s="1"/>
  <c r="D11" i="29"/>
  <c r="D15" i="29" s="1"/>
  <c r="D38" i="30" s="1"/>
  <c r="Z39" i="30"/>
  <c r="Z33" i="30" s="1"/>
  <c r="P31" i="30"/>
  <c r="Y39" i="30"/>
  <c r="Y33" i="30" s="1"/>
  <c r="I32" i="30"/>
  <c r="L39" i="30"/>
  <c r="L33" i="30" s="1"/>
  <c r="W32" i="30"/>
  <c r="AA39" i="30"/>
  <c r="AA46" i="30" s="1"/>
  <c r="AA38" i="30" s="1"/>
  <c r="F32" i="30"/>
  <c r="Q39" i="30"/>
  <c r="Q46" i="30" s="1"/>
  <c r="Q38" i="30" s="1"/>
  <c r="L32" i="30"/>
  <c r="K32" i="30"/>
  <c r="K31" i="30"/>
  <c r="G32" i="30"/>
  <c r="R39" i="30"/>
  <c r="R46" i="30" s="1"/>
  <c r="R38" i="30" s="1"/>
  <c r="N31" i="30"/>
  <c r="O32" i="30"/>
  <c r="F20" i="29"/>
  <c r="J32" i="30"/>
  <c r="H39" i="30"/>
  <c r="H46" i="30" s="1"/>
  <c r="H38" i="30" s="1"/>
  <c r="E31" i="30"/>
  <c r="Q31" i="30"/>
  <c r="K39" i="30"/>
  <c r="K46" i="30" s="1"/>
  <c r="K38" i="30" s="1"/>
  <c r="Y31" i="30"/>
  <c r="G31" i="30"/>
  <c r="S39" i="30"/>
  <c r="S41" i="30" s="1"/>
  <c r="AB32" i="30"/>
  <c r="P39" i="30"/>
  <c r="P33" i="30" s="1"/>
  <c r="M39" i="30"/>
  <c r="M41" i="30" s="1"/>
  <c r="N39" i="30"/>
  <c r="N33" i="30" s="1"/>
  <c r="D39" i="30"/>
  <c r="D46" i="30" s="1"/>
  <c r="H32" i="30"/>
  <c r="Y32" i="30"/>
  <c r="I31" i="30"/>
  <c r="AA32" i="30"/>
  <c r="D32" i="30"/>
  <c r="AB31" i="30"/>
  <c r="N32" i="30"/>
  <c r="W31" i="30"/>
  <c r="F31" i="30"/>
  <c r="F39" i="30"/>
  <c r="F46" i="30" s="1"/>
  <c r="F38" i="30" s="1"/>
  <c r="AA31" i="30"/>
  <c r="I39" i="30"/>
  <c r="I33" i="30" s="1"/>
  <c r="O39" i="30"/>
  <c r="O46" i="30" s="1"/>
  <c r="O38" i="30" s="1"/>
  <c r="U31" i="30"/>
  <c r="E30" i="29"/>
  <c r="V31" i="30"/>
  <c r="H31" i="30"/>
  <c r="Z31" i="30"/>
  <c r="R32" i="30"/>
  <c r="T32" i="30"/>
  <c r="M32" i="30"/>
  <c r="T39" i="30"/>
  <c r="T33" i="30" s="1"/>
  <c r="S31" i="30"/>
  <c r="Q32" i="30"/>
  <c r="W39" i="30"/>
  <c r="W33" i="30" s="1"/>
  <c r="M31" i="30"/>
  <c r="J39" i="30"/>
  <c r="J46" i="30" s="1"/>
  <c r="J38" i="30" s="1"/>
  <c r="AB39" i="30"/>
  <c r="AB41" i="30" s="1"/>
  <c r="E39" i="30"/>
  <c r="E41" i="30" s="1"/>
  <c r="J31" i="30"/>
  <c r="P32" i="30"/>
  <c r="T31" i="30"/>
  <c r="R31" i="30"/>
  <c r="V32" i="30"/>
  <c r="U32" i="30"/>
  <c r="O31" i="30"/>
  <c r="S32" i="30"/>
  <c r="U39" i="30"/>
  <c r="U46" i="30" s="1"/>
  <c r="U38" i="30" s="1"/>
  <c r="C39" i="30"/>
  <c r="C41" i="30" s="1"/>
  <c r="E32" i="30"/>
  <c r="V39" i="30"/>
  <c r="V46" i="30" s="1"/>
  <c r="V38" i="30" s="1"/>
  <c r="X31" i="30"/>
  <c r="X32" i="30"/>
  <c r="L31" i="30"/>
  <c r="G39" i="30"/>
  <c r="G46" i="30" s="1"/>
  <c r="G38" i="30" s="1"/>
  <c r="C32" i="30"/>
  <c r="BO31" i="8"/>
  <c r="BO22" i="8"/>
  <c r="Z182" i="1" l="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H33" i="30"/>
  <c r="E33" i="30"/>
  <c r="H41" i="30"/>
  <c r="D41" i="30"/>
  <c r="D37" i="30" s="1"/>
  <c r="D33" i="30"/>
  <c r="F33" i="30"/>
  <c r="F41" i="30"/>
  <c r="G41" i="30"/>
  <c r="G33" i="30"/>
  <c r="AA33" i="30"/>
  <c r="I41" i="30"/>
  <c r="X46" i="30"/>
  <c r="X38" i="30" s="1"/>
  <c r="Y41" i="30"/>
  <c r="X41" i="30"/>
  <c r="Y46" i="30"/>
  <c r="Y38" i="30" s="1"/>
  <c r="AB46" i="30"/>
  <c r="AB38" i="30" s="1"/>
  <c r="Z46" i="30"/>
  <c r="Z38" i="30" s="1"/>
  <c r="E46" i="30"/>
  <c r="E38" i="30" s="1"/>
  <c r="Z41" i="30"/>
  <c r="I46" i="30"/>
  <c r="I38" i="30" s="1"/>
  <c r="K33" i="30"/>
  <c r="R41" i="30"/>
  <c r="R33" i="30"/>
  <c r="K41" i="30"/>
  <c r="AB33" i="30"/>
  <c r="L41" i="30"/>
  <c r="S33" i="30"/>
  <c r="W41" i="30"/>
  <c r="M33" i="30"/>
  <c r="M46" i="30"/>
  <c r="M38" i="30" s="1"/>
  <c r="AA41" i="30"/>
  <c r="O33" i="30"/>
  <c r="L46" i="30"/>
  <c r="L38" i="30" s="1"/>
  <c r="P46" i="30"/>
  <c r="P38" i="30" s="1"/>
  <c r="N46" i="30"/>
  <c r="N38" i="30" s="1"/>
  <c r="V41" i="30"/>
  <c r="S46" i="30"/>
  <c r="S38" i="30" s="1"/>
  <c r="W46" i="30"/>
  <c r="W38" i="30" s="1"/>
  <c r="V33" i="30"/>
  <c r="O41" i="30"/>
  <c r="P41" i="30"/>
  <c r="Q33" i="30"/>
  <c r="N41" i="30"/>
  <c r="Q41" i="30"/>
  <c r="T41" i="30"/>
  <c r="U41" i="30"/>
  <c r="T46" i="30"/>
  <c r="T38" i="30" s="1"/>
  <c r="U33" i="30"/>
  <c r="D31" i="30"/>
  <c r="D30" i="30" s="1"/>
  <c r="E30" i="30" s="1"/>
  <c r="F30" i="30" s="1"/>
  <c r="G30" i="30" s="1"/>
  <c r="H30" i="30" s="1"/>
  <c r="I30" i="30" s="1"/>
  <c r="J30" i="30" s="1"/>
  <c r="K30" i="30" s="1"/>
  <c r="L30" i="30" s="1"/>
  <c r="M30" i="30" s="1"/>
  <c r="N30" i="30" s="1"/>
  <c r="O30" i="30" s="1"/>
  <c r="P30" i="30" s="1"/>
  <c r="Q30" i="30" s="1"/>
  <c r="R30" i="30" s="1"/>
  <c r="S30" i="30" s="1"/>
  <c r="T30" i="30" s="1"/>
  <c r="U30" i="30" s="1"/>
  <c r="V30" i="30" s="1"/>
  <c r="W30" i="30" s="1"/>
  <c r="X30" i="30" s="1"/>
  <c r="Y30" i="30" s="1"/>
  <c r="Z30" i="30" s="1"/>
  <c r="AA30" i="30" s="1"/>
  <c r="AB30" i="30" s="1"/>
  <c r="J33" i="30"/>
  <c r="G15" i="29"/>
  <c r="J41" i="30"/>
  <c r="C33" i="30"/>
  <c r="O80" i="8"/>
  <c r="N182" i="1" l="1"/>
  <c r="AC182" i="1" s="1"/>
  <c r="W182" i="1"/>
  <c r="J131" i="32"/>
  <c r="I130" i="32"/>
  <c r="F130" i="32"/>
  <c r="L130" i="32" s="1"/>
  <c r="E37" i="30"/>
  <c r="E50" i="30" s="1"/>
  <c r="D50" i="30"/>
  <c r="BI27" i="8"/>
  <c r="BG27" i="8" s="1"/>
  <c r="BI31" i="8"/>
  <c r="BG31" i="8" s="1"/>
  <c r="BJ39" i="8"/>
  <c r="BF39" i="8" s="1"/>
  <c r="BJ43" i="8"/>
  <c r="BF43" i="8" s="1"/>
  <c r="BI28" i="8"/>
  <c r="BG28" i="8" s="1"/>
  <c r="BI32" i="8"/>
  <c r="BG32" i="8" s="1"/>
  <c r="BJ40" i="8"/>
  <c r="BF40" i="8" s="1"/>
  <c r="BJ44" i="8"/>
  <c r="BF44" i="8" s="1"/>
  <c r="BI29" i="8"/>
  <c r="BG29" i="8" s="1"/>
  <c r="BI25" i="8"/>
  <c r="BG25" i="8" s="1"/>
  <c r="BJ41" i="8"/>
  <c r="BF41" i="8" s="1"/>
  <c r="BJ45" i="8"/>
  <c r="BF45" i="8" s="1"/>
  <c r="BI26" i="8"/>
  <c r="BG26" i="8" s="1"/>
  <c r="BI30" i="8"/>
  <c r="BG30" i="8" s="1"/>
  <c r="BJ38" i="8"/>
  <c r="BF38" i="8" s="1"/>
  <c r="BJ42" i="8"/>
  <c r="BF42" i="8" s="1"/>
  <c r="J132" i="32" l="1"/>
  <c r="I131" i="32"/>
  <c r="F131" i="32"/>
  <c r="L131" i="32" s="1"/>
  <c r="F37" i="30"/>
  <c r="F50" i="30" s="1"/>
  <c r="D115" i="8"/>
  <c r="J133" i="32" l="1"/>
  <c r="I132" i="32"/>
  <c r="F132" i="32"/>
  <c r="L132" i="32" s="1"/>
  <c r="G37" i="30"/>
  <c r="H37" i="30" s="1"/>
  <c r="H50" i="30" s="1"/>
  <c r="AO226" i="1"/>
  <c r="J134" i="32" l="1"/>
  <c r="I133" i="32"/>
  <c r="F133" i="32"/>
  <c r="L133" i="32" s="1"/>
  <c r="I37" i="30"/>
  <c r="J37" i="30" s="1"/>
  <c r="G50" i="30"/>
  <c r="P7" i="8"/>
  <c r="J7" i="8"/>
  <c r="E7" i="8"/>
  <c r="J135" i="32" l="1"/>
  <c r="I134" i="32"/>
  <c r="F134" i="32"/>
  <c r="L134" i="32" s="1"/>
  <c r="I50" i="30"/>
  <c r="J50" i="30"/>
  <c r="K37" i="30"/>
  <c r="J136" i="32" l="1"/>
  <c r="F135" i="32"/>
  <c r="L135" i="32" s="1"/>
  <c r="I135" i="32"/>
  <c r="K50" i="30"/>
  <c r="L37" i="30"/>
  <c r="J137" i="32" l="1"/>
  <c r="F136" i="32"/>
  <c r="L136" i="32" s="1"/>
  <c r="I136" i="32"/>
  <c r="M37" i="30"/>
  <c r="L50" i="30"/>
  <c r="J138" i="32" l="1"/>
  <c r="I137" i="32"/>
  <c r="F137" i="32"/>
  <c r="L137" i="32" s="1"/>
  <c r="N37" i="30"/>
  <c r="M50" i="30"/>
  <c r="J139" i="32" l="1"/>
  <c r="F138" i="32"/>
  <c r="L138" i="32" s="1"/>
  <c r="I138" i="32"/>
  <c r="O37" i="30"/>
  <c r="N50" i="30"/>
  <c r="J140" i="32" l="1"/>
  <c r="I139" i="32"/>
  <c r="F139" i="32"/>
  <c r="L139" i="32" s="1"/>
  <c r="O50" i="30"/>
  <c r="P37" i="30"/>
  <c r="J141" i="32" l="1"/>
  <c r="F140" i="32"/>
  <c r="L140" i="32" s="1"/>
  <c r="I140" i="32"/>
  <c r="Q37" i="30"/>
  <c r="P50" i="30"/>
  <c r="J142" i="32" l="1"/>
  <c r="I141" i="32"/>
  <c r="F141" i="32"/>
  <c r="L141" i="32" s="1"/>
  <c r="Q50" i="30"/>
  <c r="R37" i="30"/>
  <c r="J143" i="32" l="1"/>
  <c r="I142" i="32"/>
  <c r="F142" i="32"/>
  <c r="L142" i="32" s="1"/>
  <c r="R50" i="30"/>
  <c r="S37" i="30"/>
  <c r="BN5" i="8"/>
  <c r="O79" i="8" s="1"/>
  <c r="J144" i="32" l="1"/>
  <c r="I143" i="32"/>
  <c r="F143" i="32"/>
  <c r="L143" i="32" s="1"/>
  <c r="S50" i="30"/>
  <c r="T37" i="30"/>
  <c r="U37" i="30" s="1"/>
  <c r="V37" i="30" s="1"/>
  <c r="W37" i="30" s="1"/>
  <c r="X37" i="30" s="1"/>
  <c r="Y37" i="30" s="1"/>
  <c r="Z37" i="30" s="1"/>
  <c r="AA37" i="30" s="1"/>
  <c r="AB37" i="30" s="1"/>
  <c r="J145" i="32" l="1"/>
  <c r="F144" i="32"/>
  <c r="L144" i="32" s="1"/>
  <c r="I144" i="32"/>
  <c r="BF37" i="8"/>
  <c r="AH2" i="8"/>
  <c r="D113" i="8" s="1"/>
  <c r="J146" i="32" l="1"/>
  <c r="F145" i="32"/>
  <c r="L145" i="32" s="1"/>
  <c r="I145" i="32"/>
  <c r="AR235" i="1"/>
  <c r="AV42" i="8"/>
  <c r="J147" i="32" l="1"/>
  <c r="F146" i="32"/>
  <c r="L146" i="32" s="1"/>
  <c r="I146" i="32"/>
  <c r="P131" i="8"/>
  <c r="J148" i="32" l="1"/>
  <c r="I147" i="32"/>
  <c r="F147" i="32"/>
  <c r="L147" i="32" s="1"/>
  <c r="AB59" i="1"/>
  <c r="J149" i="32" l="1"/>
  <c r="F148" i="32"/>
  <c r="L148" i="32" s="1"/>
  <c r="I148" i="32"/>
  <c r="AK1" i="20"/>
  <c r="Q1" i="20"/>
  <c r="W233" i="1"/>
  <c r="J150" i="32" l="1"/>
  <c r="F149" i="32"/>
  <c r="L149" i="32" s="1"/>
  <c r="I149" i="32"/>
  <c r="AI112" i="1"/>
  <c r="AI109" i="1"/>
  <c r="J151" i="32" l="1"/>
  <c r="I150" i="32"/>
  <c r="F150" i="32"/>
  <c r="L150" i="32" s="1"/>
  <c r="L99" i="1"/>
  <c r="N99" i="1"/>
  <c r="D5" i="19"/>
  <c r="R225" i="1"/>
  <c r="AV225" i="1" s="1"/>
  <c r="F84" i="1"/>
  <c r="I76" i="15"/>
  <c r="E59" i="1"/>
  <c r="S6" i="16"/>
  <c r="L102" i="1" l="1"/>
  <c r="L103" i="1" s="1"/>
  <c r="L101" i="1"/>
  <c r="AJ101" i="1"/>
  <c r="L100" i="1"/>
  <c r="N102" i="1"/>
  <c r="N101" i="1"/>
  <c r="N100" i="1"/>
  <c r="J152" i="32"/>
  <c r="I151" i="32"/>
  <c r="F151" i="32"/>
  <c r="L151" i="32" s="1"/>
  <c r="AV218" i="1"/>
  <c r="BC16" i="15"/>
  <c r="AC126" i="15"/>
  <c r="AW125" i="15"/>
  <c r="T59" i="1"/>
  <c r="R231" i="1"/>
  <c r="I22" i="19"/>
  <c r="I18" i="19"/>
  <c r="AT13" i="15"/>
  <c r="D6" i="19"/>
  <c r="D16" i="15"/>
  <c r="J153" i="32" l="1"/>
  <c r="F152" i="32"/>
  <c r="L152" i="32" s="1"/>
  <c r="I152" i="32"/>
  <c r="AV231" i="1"/>
  <c r="I115" i="1"/>
  <c r="I119" i="1"/>
  <c r="I123" i="1"/>
  <c r="I121" i="1"/>
  <c r="I116" i="1"/>
  <c r="I120" i="1"/>
  <c r="I124" i="1"/>
  <c r="I117" i="1"/>
  <c r="I125" i="1"/>
  <c r="I118" i="1"/>
  <c r="I122" i="1"/>
  <c r="X18" i="15"/>
  <c r="AK16" i="20" s="1"/>
  <c r="D119" i="15"/>
  <c r="AR116" i="15"/>
  <c r="Q16" i="20"/>
  <c r="P250" i="1"/>
  <c r="I114" i="1"/>
  <c r="P253" i="1"/>
  <c r="D23" i="19"/>
  <c r="D68" i="15"/>
  <c r="BB23" i="8"/>
  <c r="J154" i="32" l="1"/>
  <c r="I153" i="32"/>
  <c r="F153" i="32"/>
  <c r="L153" i="32" s="1"/>
  <c r="I126" i="1"/>
  <c r="F126" i="1"/>
  <c r="P249" i="1"/>
  <c r="P252" i="1"/>
  <c r="D21" i="19"/>
  <c r="D22" i="19"/>
  <c r="J47" i="8"/>
  <c r="I47" i="8"/>
  <c r="E47" i="8"/>
  <c r="D47" i="8"/>
  <c r="Q47" i="8"/>
  <c r="O47" i="8"/>
  <c r="P47" i="8"/>
  <c r="J155" i="32" l="1"/>
  <c r="F154" i="32"/>
  <c r="L154" i="32" s="1"/>
  <c r="I154" i="32"/>
  <c r="AI35" i="5"/>
  <c r="M126" i="1"/>
  <c r="P126" i="1" s="1"/>
  <c r="J156" i="32" l="1"/>
  <c r="I155" i="32"/>
  <c r="F155" i="32"/>
  <c r="L155" i="32" s="1"/>
  <c r="AH35" i="5"/>
  <c r="AC35" i="5"/>
  <c r="Y35" i="5"/>
  <c r="AF35" i="5"/>
  <c r="AB35" i="5"/>
  <c r="X35" i="5"/>
  <c r="AD35" i="5"/>
  <c r="W35" i="5"/>
  <c r="M114" i="1" s="1"/>
  <c r="AE35" i="5"/>
  <c r="AA35" i="5"/>
  <c r="AG35" i="5"/>
  <c r="Z35" i="5"/>
  <c r="J157" i="32" l="1"/>
  <c r="F156" i="32"/>
  <c r="L156" i="32" s="1"/>
  <c r="I156" i="32"/>
  <c r="BJ11" i="8"/>
  <c r="BJ12" i="8"/>
  <c r="J158" i="32" l="1"/>
  <c r="F157" i="32"/>
  <c r="L157" i="32" s="1"/>
  <c r="I157" i="32"/>
  <c r="AN235" i="1"/>
  <c r="BH49" i="8"/>
  <c r="BH53" i="8"/>
  <c r="BH48" i="8"/>
  <c r="BH50" i="8"/>
  <c r="BH54" i="8"/>
  <c r="BH52" i="8"/>
  <c r="BH56" i="8"/>
  <c r="BH51" i="8"/>
  <c r="BH55" i="8"/>
  <c r="J159" i="32" l="1"/>
  <c r="F158" i="32"/>
  <c r="L158" i="32" s="1"/>
  <c r="I158" i="32"/>
  <c r="U47" i="8"/>
  <c r="U46" i="8"/>
  <c r="T46" i="8"/>
  <c r="T47" i="8"/>
  <c r="BP32" i="8"/>
  <c r="AE48" i="8"/>
  <c r="I159" i="32" l="1"/>
  <c r="F159" i="32"/>
  <c r="L159" i="32" s="1"/>
  <c r="BL193" i="1"/>
  <c r="H183" i="1" l="1"/>
  <c r="H184" i="1" l="1"/>
  <c r="T183" i="1" l="1"/>
  <c r="H185" i="1"/>
  <c r="T184" i="1" l="1"/>
  <c r="H186" i="1"/>
  <c r="T185" i="1" l="1"/>
  <c r="H187" i="1"/>
  <c r="T186" i="1" l="1"/>
  <c r="H188" i="1"/>
  <c r="T187" i="1" l="1"/>
  <c r="H189" i="1"/>
  <c r="T188" i="1" l="1"/>
  <c r="H190" i="1"/>
  <c r="T189" i="1" l="1"/>
  <c r="H191" i="1"/>
  <c r="T190" i="1" l="1"/>
  <c r="H192" i="1"/>
  <c r="T191" i="1" l="1"/>
  <c r="H193" i="1"/>
  <c r="T192" i="1" l="1"/>
  <c r="H194" i="1"/>
  <c r="T193" i="1" l="1"/>
  <c r="H195" i="1"/>
  <c r="T194" i="1" l="1"/>
  <c r="H196" i="1"/>
  <c r="T195" i="1" l="1"/>
  <c r="H197" i="1"/>
  <c r="T196" i="1" l="1"/>
  <c r="H198" i="1"/>
  <c r="T197" i="1" l="1"/>
  <c r="H199" i="1"/>
  <c r="T198" i="1" l="1"/>
  <c r="H200" i="1"/>
  <c r="T199" i="1" l="1"/>
  <c r="H201" i="1"/>
  <c r="T200" i="1" l="1"/>
  <c r="H202" i="1"/>
  <c r="T201" i="1" l="1"/>
  <c r="H203" i="1"/>
  <c r="T202" i="1" l="1"/>
  <c r="H204" i="1"/>
  <c r="T203" i="1" l="1"/>
  <c r="H205" i="1"/>
  <c r="T204" i="1" l="1"/>
  <c r="H206" i="1"/>
  <c r="T205" i="1" l="1"/>
  <c r="H207" i="1"/>
  <c r="T206" i="1" l="1"/>
  <c r="H208" i="1"/>
  <c r="T207" i="1" l="1"/>
  <c r="H209" i="1"/>
  <c r="T208" i="1" l="1"/>
  <c r="H210" i="1"/>
  <c r="T209" i="1" l="1"/>
  <c r="H211" i="1"/>
  <c r="T210" i="1" l="1"/>
  <c r="BF4" i="8"/>
  <c r="T211" i="1" l="1"/>
  <c r="BA40" i="8"/>
  <c r="BB19" i="8"/>
  <c r="BB40" i="8"/>
  <c r="BC22" i="8"/>
  <c r="BA22" i="8"/>
  <c r="T14" i="8" l="1"/>
  <c r="U14" i="8"/>
  <c r="BB22" i="8"/>
  <c r="BD22" i="8" s="1"/>
  <c r="BC23" i="8"/>
  <c r="BD23" i="8" s="1"/>
  <c r="BP28" i="8"/>
  <c r="E15" i="8"/>
  <c r="I15" i="8"/>
  <c r="D15" i="8"/>
  <c r="AE16" i="8"/>
  <c r="J15" i="8"/>
  <c r="O15" i="8"/>
  <c r="F47" i="8" l="1"/>
  <c r="K47" i="8"/>
  <c r="P39" i="8"/>
  <c r="E39" i="8"/>
  <c r="F39" i="8"/>
  <c r="J39" i="8"/>
  <c r="K39" i="8"/>
  <c r="T49" i="8"/>
  <c r="V44" i="8"/>
  <c r="T43" i="8"/>
  <c r="T44" i="8"/>
  <c r="I39" i="8"/>
  <c r="O39" i="8"/>
  <c r="T36" i="8"/>
  <c r="U38" i="8"/>
  <c r="U39" i="8"/>
  <c r="T38" i="8"/>
  <c r="V36" i="8"/>
  <c r="Q39" i="8"/>
  <c r="G37" i="8"/>
  <c r="G34" i="8"/>
  <c r="T35" i="8"/>
  <c r="D39" i="8"/>
  <c r="I35" i="8"/>
  <c r="BP31" i="8"/>
  <c r="T39" i="8"/>
  <c r="I37" i="8"/>
  <c r="I36" i="8"/>
  <c r="G35" i="8"/>
  <c r="T41" i="8"/>
  <c r="G36" i="8"/>
  <c r="AE40" i="8"/>
  <c r="BC18" i="8" l="1"/>
  <c r="F7" i="8"/>
  <c r="K7" i="8" s="1"/>
  <c r="D19" i="19" l="1"/>
  <c r="G2" i="8"/>
  <c r="D17" i="19"/>
  <c r="G3" i="8"/>
  <c r="D18" i="19"/>
  <c r="BB18" i="8"/>
  <c r="BD18" i="8" s="1"/>
  <c r="BC19" i="8"/>
  <c r="BD19" i="8" s="1"/>
  <c r="G4" i="8"/>
  <c r="X9" i="8" l="1"/>
  <c r="BF5" i="8"/>
  <c r="BB11" i="8" s="1"/>
  <c r="BC13" i="8" s="1"/>
  <c r="CA19" i="8"/>
  <c r="BP23" i="8" s="1"/>
  <c r="K15" i="8"/>
  <c r="F15" i="8"/>
  <c r="BT35" i="8" l="1"/>
  <c r="BP22" i="8"/>
  <c r="BP19" i="8"/>
  <c r="BA39" i="8"/>
  <c r="BC20" i="8" l="1"/>
  <c r="BB20" i="8" l="1"/>
  <c r="BC21" i="8"/>
  <c r="N22" i="8" l="1"/>
  <c r="R22" i="8"/>
  <c r="L22" i="8"/>
  <c r="D25" i="8"/>
  <c r="O25" i="8"/>
  <c r="Q25" i="8"/>
  <c r="K25" i="8"/>
  <c r="Y24" i="8"/>
  <c r="D23" i="8"/>
  <c r="Y19" i="8"/>
  <c r="O23" i="8"/>
  <c r="Y20" i="8"/>
  <c r="Q23" i="8"/>
  <c r="P23" i="8"/>
  <c r="J23" i="8"/>
  <c r="C22" i="8"/>
  <c r="G22" i="8"/>
  <c r="BD20" i="8"/>
  <c r="X19" i="8" s="1"/>
  <c r="D17" i="8"/>
  <c r="BP29" i="8"/>
  <c r="I18" i="8"/>
  <c r="E23" i="8"/>
  <c r="I23" i="8"/>
  <c r="I20" i="8"/>
  <c r="G17" i="8"/>
  <c r="G18" i="8"/>
  <c r="G20" i="8"/>
  <c r="I19" i="8"/>
  <c r="F23" i="8"/>
  <c r="D20" i="8"/>
  <c r="AE23" i="8"/>
  <c r="G19" i="8"/>
  <c r="D18" i="8"/>
  <c r="K23" i="8"/>
  <c r="D19" i="8"/>
  <c r="BB21" i="8"/>
  <c r="BD21" i="8" l="1"/>
  <c r="BP21" i="8" s="1"/>
  <c r="BP20" i="8"/>
  <c r="I31" i="8"/>
  <c r="J31" i="8"/>
  <c r="AE31" i="8"/>
  <c r="D31" i="8"/>
  <c r="K31" i="8"/>
  <c r="E31" i="8"/>
  <c r="O31" i="8"/>
  <c r="F31" i="8"/>
  <c r="BP30" i="8"/>
  <c r="P258" i="1" l="1"/>
  <c r="M118" i="1" l="1"/>
  <c r="M120" i="1"/>
  <c r="M119" i="1"/>
  <c r="M124" i="1"/>
  <c r="M116" i="1"/>
  <c r="M125" i="1"/>
  <c r="M117" i="1"/>
  <c r="M123" i="1"/>
  <c r="M115" i="1"/>
  <c r="M121" i="1"/>
  <c r="M122" i="1"/>
  <c r="P123" i="1" l="1"/>
  <c r="S123" i="1" s="1"/>
  <c r="V123" i="1"/>
  <c r="V122" i="1"/>
  <c r="P122" i="1"/>
  <c r="S122" i="1" s="1"/>
  <c r="V125" i="1"/>
  <c r="P125" i="1"/>
  <c r="S125" i="1" s="1"/>
  <c r="P116" i="1"/>
  <c r="S116" i="1" s="1"/>
  <c r="V116" i="1"/>
  <c r="AO113" i="1" s="1"/>
  <c r="P119" i="1"/>
  <c r="S119" i="1" s="1"/>
  <c r="V119" i="1"/>
  <c r="P124" i="1"/>
  <c r="S124" i="1" s="1"/>
  <c r="V124" i="1"/>
  <c r="P121" i="1"/>
  <c r="S121" i="1" s="1"/>
  <c r="V121" i="1"/>
  <c r="AI36" i="5"/>
  <c r="P115" i="1"/>
  <c r="S115" i="1" s="1"/>
  <c r="V115" i="1"/>
  <c r="P117" i="1"/>
  <c r="S117" i="1" s="1"/>
  <c r="V117" i="1"/>
  <c r="P120" i="1"/>
  <c r="S120" i="1" s="1"/>
  <c r="V120" i="1"/>
  <c r="V118" i="1"/>
  <c r="P118" i="1"/>
  <c r="S118" i="1" s="1"/>
  <c r="AM121" i="1" l="1"/>
  <c r="AO121" i="1"/>
  <c r="AO114" i="1"/>
  <c r="AM114" i="1"/>
  <c r="AM119" i="1"/>
  <c r="AO119" i="1"/>
  <c r="AM115" i="1"/>
  <c r="AO115" i="1"/>
  <c r="AO118" i="1"/>
  <c r="AM118" i="1"/>
  <c r="AM116" i="1"/>
  <c r="AO116" i="1"/>
  <c r="AM120" i="1"/>
  <c r="AO120" i="1"/>
  <c r="AM117" i="1"/>
  <c r="AO117" i="1"/>
  <c r="AM112" i="1"/>
  <c r="AO112" i="1"/>
  <c r="AO122" i="1"/>
  <c r="AM122" i="1"/>
  <c r="P114" i="1"/>
  <c r="AQ113" i="1" s="1"/>
  <c r="V114" i="1"/>
  <c r="S114" i="1" l="1"/>
  <c r="S126" i="1" s="1"/>
  <c r="AM113" i="1"/>
  <c r="AO111" i="1"/>
  <c r="AO123" i="1" s="1"/>
  <c r="AM111" i="1"/>
  <c r="V126" i="1"/>
  <c r="AM123" i="1" l="1"/>
  <c r="Y126" i="1" s="1"/>
  <c r="K185" i="1"/>
  <c r="Q185" i="1" s="1"/>
  <c r="K183" i="1"/>
  <c r="Q183" i="1" s="1"/>
  <c r="K184" i="1"/>
  <c r="Q184" i="1" s="1"/>
  <c r="K187" i="1"/>
  <c r="Q187" i="1" s="1"/>
  <c r="K188" i="1"/>
  <c r="Q188" i="1" s="1"/>
  <c r="K190" i="1"/>
  <c r="Q190" i="1" s="1"/>
  <c r="K191" i="1"/>
  <c r="Q191" i="1" s="1"/>
  <c r="K192" i="1"/>
  <c r="Q192" i="1" s="1"/>
  <c r="K194" i="1"/>
  <c r="Q194" i="1" s="1"/>
  <c r="K195" i="1"/>
  <c r="Q195" i="1" s="1"/>
  <c r="K197" i="1"/>
  <c r="Q197" i="1" s="1"/>
  <c r="K198" i="1"/>
  <c r="Q198" i="1" s="1"/>
  <c r="K200" i="1"/>
  <c r="Q200" i="1" s="1"/>
  <c r="K201" i="1"/>
  <c r="Q201" i="1" s="1"/>
  <c r="K202" i="1"/>
  <c r="Q202" i="1" s="1"/>
  <c r="K204" i="1"/>
  <c r="Q204" i="1" s="1"/>
  <c r="K205" i="1"/>
  <c r="Q205" i="1" s="1"/>
  <c r="K206" i="1"/>
  <c r="Q206" i="1" s="1"/>
  <c r="K207" i="1"/>
  <c r="Q207" i="1" s="1"/>
  <c r="K208" i="1"/>
  <c r="Q208" i="1" s="1"/>
  <c r="K209" i="1"/>
  <c r="Q209" i="1" s="1"/>
  <c r="K210" i="1"/>
  <c r="Q210" i="1" s="1"/>
  <c r="K211" i="1"/>
  <c r="Q211" i="1" s="1"/>
  <c r="K203" i="1" l="1"/>
  <c r="Q203" i="1" s="1"/>
  <c r="K199" i="1"/>
  <c r="Q199" i="1" s="1"/>
  <c r="K186" i="1"/>
  <c r="Q186" i="1" s="1"/>
  <c r="K196" i="1"/>
  <c r="Q196" i="1" s="1"/>
  <c r="K193" i="1"/>
  <c r="Q193" i="1" s="1"/>
  <c r="K189" i="1"/>
  <c r="Q189" i="1" s="1"/>
  <c r="W72" i="16" l="1"/>
  <c r="W74" i="16"/>
  <c r="W77" i="16"/>
  <c r="V77" i="16" s="1"/>
  <c r="W80" i="16"/>
  <c r="T72" i="16" l="1"/>
  <c r="X72" i="16"/>
  <c r="Z72" i="16" s="1"/>
  <c r="T80" i="16"/>
  <c r="X80" i="16"/>
  <c r="Z80" i="16" s="1"/>
  <c r="T74" i="16"/>
  <c r="X74" i="16"/>
  <c r="Z74" i="16" s="1"/>
  <c r="V72" i="16"/>
  <c r="V80" i="16"/>
  <c r="X77" i="16"/>
  <c r="Z77" i="16" s="1"/>
  <c r="T77" i="16"/>
  <c r="U77" i="16" s="1"/>
  <c r="V74" i="16"/>
  <c r="U80" i="16" l="1"/>
  <c r="U74" i="16"/>
  <c r="U72" i="16"/>
  <c r="W71" i="16"/>
  <c r="W73" i="16"/>
  <c r="V73" i="16" s="1"/>
  <c r="W75" i="16"/>
  <c r="V75" i="16" s="1"/>
  <c r="W76" i="16"/>
  <c r="V76" i="16" s="1"/>
  <c r="W78" i="16"/>
  <c r="V78" i="16" s="1"/>
  <c r="W79" i="16"/>
  <c r="V79" i="16" s="1"/>
  <c r="T71" i="16" l="1"/>
  <c r="V71" i="16"/>
  <c r="V68" i="16" s="1"/>
  <c r="M21" i="16" s="1"/>
  <c r="X75" i="16"/>
  <c r="Z75" i="16" s="1"/>
  <c r="T75" i="16"/>
  <c r="U75" i="16" s="1"/>
  <c r="T73" i="16"/>
  <c r="U73" i="16" s="1"/>
  <c r="X79" i="16"/>
  <c r="Z79" i="16" s="1"/>
  <c r="T79" i="16"/>
  <c r="U79" i="16" s="1"/>
  <c r="X73" i="16"/>
  <c r="Z73" i="16" s="1"/>
  <c r="T76" i="16"/>
  <c r="U76" i="16" s="1"/>
  <c r="X78" i="16"/>
  <c r="Z78" i="16" s="1"/>
  <c r="X71" i="16"/>
  <c r="T78" i="16"/>
  <c r="U78" i="16" s="1"/>
  <c r="W68" i="16"/>
  <c r="M22" i="16" s="1"/>
  <c r="X76" i="16"/>
  <c r="Z76" i="16" s="1"/>
  <c r="T68" i="16" l="1"/>
  <c r="M19" i="16" s="1"/>
  <c r="Z71" i="16"/>
  <c r="Z68" i="16" s="1"/>
  <c r="M25" i="16" s="1"/>
  <c r="X68" i="16"/>
  <c r="M23" i="16" s="1"/>
  <c r="U71" i="16"/>
  <c r="U68" i="16" s="1"/>
  <c r="M20" i="16" s="1"/>
  <c r="AB114" i="1" l="1"/>
  <c r="Y117" i="1"/>
  <c r="Y114" i="1"/>
  <c r="AB125" i="1"/>
  <c r="AB122" i="1"/>
  <c r="AB116" i="1"/>
  <c r="Y121" i="1"/>
  <c r="Y116" i="1"/>
  <c r="Y119" i="1"/>
  <c r="AB115" i="1"/>
  <c r="AB119" i="1"/>
  <c r="AB123" i="1"/>
  <c r="Y123" i="1"/>
  <c r="Y122" i="1"/>
  <c r="AB121" i="1"/>
  <c r="Y115" i="1"/>
  <c r="AB117" i="1"/>
  <c r="Y124" i="1"/>
  <c r="AB120" i="1"/>
  <c r="AB124" i="1"/>
  <c r="AB118" i="1"/>
  <c r="Y125" i="1"/>
  <c r="Y120" i="1"/>
  <c r="Y118" i="1"/>
  <c r="AK63" i="1"/>
  <c r="AM63" i="1" s="1"/>
  <c r="AB126" i="1" l="1"/>
  <c r="Q81" i="1"/>
  <c r="W183" i="1" l="1"/>
  <c r="N183" i="1"/>
  <c r="AC183" i="1" s="1"/>
  <c r="W184" i="1" l="1"/>
  <c r="N184" i="1"/>
  <c r="AC184" i="1" s="1"/>
  <c r="N185" i="1"/>
  <c r="AC185" i="1" s="1"/>
  <c r="W185" i="1" l="1"/>
  <c r="N186" i="1"/>
  <c r="AC186" i="1" s="1"/>
  <c r="W186" i="1" l="1"/>
  <c r="N187" i="1"/>
  <c r="AC187" i="1" s="1"/>
  <c r="W187" i="1" l="1"/>
  <c r="N188" i="1"/>
  <c r="AC188" i="1" s="1"/>
  <c r="W188" i="1" l="1"/>
  <c r="N189" i="1"/>
  <c r="AC189" i="1" s="1"/>
  <c r="W189" i="1" l="1"/>
  <c r="N190" i="1"/>
  <c r="AC190" i="1" s="1"/>
  <c r="W190" i="1" l="1"/>
  <c r="N191" i="1"/>
  <c r="AC191" i="1" s="1"/>
  <c r="W191" i="1" l="1"/>
  <c r="N192" i="1"/>
  <c r="AC192" i="1" s="1"/>
  <c r="W192" i="1" l="1"/>
  <c r="N193" i="1"/>
  <c r="AC193" i="1" s="1"/>
  <c r="W193" i="1" l="1"/>
  <c r="N194" i="1"/>
  <c r="AC194" i="1" s="1"/>
  <c r="W194" i="1" l="1"/>
  <c r="N195" i="1"/>
  <c r="AC195" i="1" s="1"/>
  <c r="W195" i="1" l="1"/>
  <c r="N196" i="1"/>
  <c r="AC196" i="1" s="1"/>
  <c r="W196" i="1" l="1"/>
  <c r="N197" i="1"/>
  <c r="AC197" i="1" s="1"/>
  <c r="W197" i="1" l="1"/>
  <c r="N198" i="1"/>
  <c r="AC198" i="1" s="1"/>
  <c r="W198" i="1" l="1"/>
  <c r="N199" i="1"/>
  <c r="AC199" i="1" s="1"/>
  <c r="W199" i="1" l="1"/>
  <c r="N200" i="1"/>
  <c r="AC200" i="1" s="1"/>
  <c r="W200" i="1" l="1"/>
  <c r="N201" i="1"/>
  <c r="AC201" i="1" s="1"/>
  <c r="W201" i="1" l="1"/>
  <c r="N202" i="1"/>
  <c r="AC202" i="1" s="1"/>
  <c r="W202" i="1" l="1"/>
  <c r="N203" i="1"/>
  <c r="AC203" i="1" s="1"/>
  <c r="W203" i="1" l="1"/>
  <c r="N204" i="1"/>
  <c r="AC204" i="1" s="1"/>
  <c r="W204" i="1" l="1"/>
  <c r="N205" i="1"/>
  <c r="AC205" i="1" s="1"/>
  <c r="W205" i="1" l="1"/>
  <c r="N206" i="1"/>
  <c r="AC206" i="1" s="1"/>
  <c r="W206" i="1" l="1"/>
  <c r="N207" i="1"/>
  <c r="AC207" i="1" s="1"/>
  <c r="W207" i="1" l="1"/>
  <c r="N208" i="1"/>
  <c r="AC208" i="1" s="1"/>
  <c r="W208" i="1" l="1"/>
  <c r="N209" i="1"/>
  <c r="AC209" i="1" s="1"/>
  <c r="W209" i="1" l="1"/>
  <c r="N210" i="1"/>
  <c r="AC210" i="1" s="1"/>
  <c r="W210" i="1" l="1"/>
  <c r="N211" i="1"/>
  <c r="AC211" i="1" s="1"/>
  <c r="W211" i="1" l="1"/>
  <c r="W231" i="1" l="1"/>
  <c r="AB231" i="1" s="1"/>
  <c r="W229" i="1" l="1"/>
  <c r="AB229" i="1" s="1"/>
  <c r="W230" i="1"/>
  <c r="AB230" i="1" s="1"/>
  <c r="W228" i="1"/>
  <c r="AB228" i="1" s="1"/>
  <c r="W227" i="1"/>
  <c r="AB227" i="1" s="1"/>
  <c r="W224" i="1" l="1"/>
  <c r="AB224" i="1" s="1"/>
  <c r="W221" i="1"/>
  <c r="AB221" i="1" s="1"/>
  <c r="W220" i="1"/>
  <c r="AB220" i="1" s="1"/>
  <c r="W226" i="1" l="1"/>
  <c r="AB226" i="1" s="1"/>
  <c r="W223" i="1" l="1"/>
  <c r="AB223" i="1" s="1"/>
  <c r="W232" i="1" l="1"/>
  <c r="W222" i="1" l="1"/>
  <c r="AB222" i="1" l="1"/>
  <c r="T225" i="1" l="1"/>
  <c r="W225" i="1" s="1"/>
  <c r="AB225" i="1" s="1"/>
  <c r="L91" i="32"/>
  <c r="N91" i="32" s="1"/>
  <c r="T219" i="1" l="1"/>
  <c r="W219" i="1" s="1"/>
  <c r="AB219" i="1" s="1"/>
  <c r="L88" i="32"/>
  <c r="N88" i="32" s="1"/>
  <c r="T218" i="1"/>
  <c r="W218" i="1" s="1"/>
  <c r="L87" i="32"/>
  <c r="N87" i="32" s="1"/>
  <c r="N107" i="32" l="1"/>
  <c r="AB218" i="1"/>
  <c r="AB234" i="1" s="1"/>
  <c r="T234" i="1"/>
  <c r="N108" i="32" l="1"/>
  <c r="N109" i="32" s="1"/>
  <c r="P235" i="1"/>
  <c r="BE27" i="15"/>
  <c r="P237" i="1"/>
  <c r="BE28" i="15"/>
  <c r="BE30" i="15" s="1"/>
  <c r="M40" i="31" l="1"/>
  <c r="M39" i="31"/>
  <c r="Q111" i="32"/>
  <c r="N112" i="32"/>
  <c r="M42" i="31" s="1"/>
  <c r="P245" i="1"/>
  <c r="P241" i="1" s="1"/>
  <c r="I19" i="15"/>
  <c r="BE29" i="15"/>
  <c r="BE25" i="15"/>
  <c r="BE16" i="15"/>
  <c r="BE26" i="15"/>
  <c r="BE23" i="15"/>
  <c r="BE21" i="15"/>
  <c r="BE18" i="15"/>
  <c r="BE19" i="15"/>
  <c r="BE24" i="15"/>
  <c r="AI62" i="1"/>
  <c r="N113" i="32" l="1"/>
  <c r="M129" i="32"/>
  <c r="AF181" i="1"/>
  <c r="P239" i="1"/>
  <c r="AW120" i="15"/>
  <c r="AC22" i="15"/>
  <c r="AC40" i="20" s="1"/>
  <c r="I122" i="15"/>
  <c r="I38" i="20"/>
  <c r="M43" i="31" l="1"/>
  <c r="M41" i="31"/>
  <c r="M131" i="32"/>
  <c r="M133" i="32" s="1"/>
  <c r="M135" i="32" s="1"/>
  <c r="M137" i="32" s="1"/>
  <c r="M139" i="32" s="1"/>
  <c r="M141" i="32" s="1"/>
  <c r="M143" i="32" s="1"/>
  <c r="M145" i="32" s="1"/>
  <c r="M147" i="32" s="1"/>
  <c r="M149" i="32" s="1"/>
  <c r="M151" i="32" s="1"/>
  <c r="M153" i="32" s="1"/>
  <c r="M155" i="32" s="1"/>
  <c r="M157" i="32" s="1"/>
  <c r="M159" i="32" s="1"/>
  <c r="M130" i="32"/>
  <c r="M132" i="32" s="1"/>
  <c r="M134" i="32" s="1"/>
  <c r="M136" i="32" s="1"/>
  <c r="M138" i="32" s="1"/>
  <c r="M140" i="32" s="1"/>
  <c r="M142" i="32" s="1"/>
  <c r="M144" i="32" s="1"/>
  <c r="M146" i="32" s="1"/>
  <c r="M148" i="32" s="1"/>
  <c r="M150" i="32" s="1"/>
  <c r="M152" i="32" s="1"/>
  <c r="M154" i="32" s="1"/>
  <c r="M156" i="32" s="1"/>
  <c r="M158" i="32" s="1"/>
  <c r="AF182" i="1"/>
  <c r="AF184" i="1" s="1"/>
  <c r="AF186" i="1" s="1"/>
  <c r="AF188" i="1" s="1"/>
  <c r="AF190" i="1" s="1"/>
  <c r="AF192" i="1" s="1"/>
  <c r="AF194" i="1" s="1"/>
  <c r="AF196" i="1" s="1"/>
  <c r="AF198" i="1" s="1"/>
  <c r="AF200" i="1" s="1"/>
  <c r="AF202" i="1" s="1"/>
  <c r="AF204" i="1" s="1"/>
  <c r="AF206" i="1" s="1"/>
  <c r="AF208" i="1" s="1"/>
  <c r="AF210" i="1" s="1"/>
  <c r="AF183" i="1"/>
  <c r="AF185" i="1" s="1"/>
  <c r="AF187" i="1" s="1"/>
  <c r="AF189" i="1" s="1"/>
  <c r="AF191" i="1" s="1"/>
  <c r="AF193" i="1" s="1"/>
  <c r="AF195" i="1" s="1"/>
  <c r="AF197" i="1" s="1"/>
  <c r="AF199" i="1" s="1"/>
  <c r="AF201" i="1" s="1"/>
  <c r="AF203" i="1" s="1"/>
  <c r="AF205" i="1" s="1"/>
  <c r="AF207" i="1" s="1"/>
  <c r="AF209" i="1" s="1"/>
  <c r="AF21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Paweł</author>
  </authors>
  <commentList>
    <comment ref="C43" authorId="0" shapeId="0" xr:uid="{0858D44C-C3A9-43F4-883A-4AFB7ADCF73F}">
      <text>
        <r>
          <rPr>
            <b/>
            <sz val="9"/>
            <color indexed="81"/>
            <rFont val="Tahoma"/>
            <family val="2"/>
            <charset val="238"/>
          </rPr>
          <t>Paweł:</t>
        </r>
        <r>
          <rPr>
            <sz val="9"/>
            <color indexed="81"/>
            <rFont val="Tahoma"/>
            <family val="2"/>
            <charset val="238"/>
          </rPr>
          <t xml:space="preserve">
wstaw</t>
        </r>
      </text>
    </comment>
    <comment ref="D43" authorId="0" shapeId="0" xr:uid="{E10762E2-77B1-4D84-85CD-92F7B47B16F5}">
      <text>
        <r>
          <rPr>
            <b/>
            <sz val="9"/>
            <color indexed="81"/>
            <rFont val="Tahoma"/>
            <family val="2"/>
            <charset val="238"/>
          </rPr>
          <t>Paweł:</t>
        </r>
        <r>
          <rPr>
            <sz val="9"/>
            <color indexed="81"/>
            <rFont val="Tahoma"/>
            <family val="2"/>
            <charset val="238"/>
          </rPr>
          <t xml:space="preserve">
wstaw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C:\Users\dawid\Dysk Google\2017\Wycena\BD.xlsx" keepAlive="1" name="BD" type="5" refreshedVersion="0" new="1" background="1" refreshOnLoad="1" saveData="1">
    <dbPr connection="Provider=Microsoft.ACE.OLEDB.12.0;Password=&quot;&quot;;User ID=Admin;Data Source=C:\Users\dawid\Dysk Google\2017\Wycena\BD.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Inwerter$" commandType="3"/>
  </connection>
  <connection id="2" xr16:uid="{00000000-0015-0000-FFFF-FFFF01000000}" sourceFile="C:\Users\dawid\Dysk Google\2017\Wycena\BD.xlsx" odcFile="C:\Users\dawid\Documents\Moje źródła danych\BD Panele$.odc" keepAlive="1" interval="1" name="BD Panele$" type="5" refreshedVersion="0" new="1" background="1" refreshOnLoad="1" saveData="1">
    <dbPr connection="Provider=Microsoft.ACE.OLEDB.12.0;Password=&quot;&quot;;User ID=Admin;Data Source=C:\Users\dawid\Dysk Google\2017\Wycena\BD.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Panele$" commandType="3"/>
  </connection>
  <connection id="3" xr16:uid="{00000000-0015-0000-FFFF-FFFF02000000}" sourceFile="C:\Users\dawid\Dysk Google\2017\Wycena\BD.xlsx" keepAlive="1" interval="1" name="BD1" type="5" refreshedVersion="0" new="1" background="1" refreshOnLoad="1" saveData="1">
    <dbPr connection="Provider=Microsoft.ACE.OLEDB.12.0;Password=&quot;&quot;;User ID=Admin;Data Source=C:\Users\dawid\Dysk Google\2017\Wycena\BD.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Konstrukcja$" commandType="3"/>
  </connection>
  <connection id="4" xr16:uid="{6607A582-0291-4AFF-A165-8D0FB6EC2866}" sourceFile="C:\Users\Lenovo\Desktop\Baza\BD.xlsx" keepAlive="1" name="BD2" type="5" refreshedVersion="0" new="1" background="1">
    <dbPr connection="Provider=Microsoft.ACE.OLEDB.12.0;Password=&quot;&quot;;User ID=Admin;Data Source=C:\Users\Lenovo\Desktop\Baza\BD.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Panele$" commandType="3"/>
  </connection>
  <connection id="5" xr16:uid="{CF407B60-1BBC-45CB-AB0D-E7587D1F3454}" keepAlive="1" name="Zapytanie — azymut" description="Połączenie z zapytaniem „azymut” w skoroszycie." type="5" refreshedVersion="0" background="1">
    <dbPr connection="Provider=Microsoft.Mashup.OleDb.1;Data Source=$Workbook$;Location=azymut;Extended Properties=&quot;&quot;" command="SELECT * FROM [azymut]"/>
  </connection>
  <connection id="6" xr16:uid="{9477FA70-C402-4D22-AE33-0FEEA2271131}" keepAlive="1" name="Zapytanie — inne" description="Połączenie z zapytaniem „inne” w skoroszycie." type="5" refreshedVersion="6" background="1" saveData="1">
    <dbPr connection="Provider=Microsoft.Mashup.OleDb.1;Data Source=$Workbook$;Location=inne;Extended Properties=&quot;&quot;" command="SELECT * FROM [inne]"/>
  </connection>
  <connection id="7" xr16:uid="{03CB6661-CD7A-4A34-9195-5844FDF609B3}" keepAlive="1" name="Zapytanie — Inwerter" description="Połączenie z zapytaniem „Inwerter” w skoroszycie." type="5" refreshedVersion="6" background="1" saveData="1">
    <dbPr connection="Provider=Microsoft.Mashup.OleDb.1;Data Source=$Workbook$;Location=Inwerter;Extended Properties=&quot;&quot;" command="SELECT * FROM [Inwerter]"/>
  </connection>
  <connection id="8" xr16:uid="{3AA2F1E1-A7ED-41CA-B850-34F89A35E3D3}" keepAlive="1" name="Zapytanie — kable" description="Połączenie z zapytaniem „kable” w skoroszycie." type="5" refreshedVersion="6" background="1" saveData="1">
    <dbPr connection="Provider=Microsoft.Mashup.OleDb.1;Data Source=$Workbook$;Location=kable;Extended Properties=&quot;&quot;" command="SELECT * FROM [kable]"/>
  </connection>
  <connection id="9" xr16:uid="{219C14E2-8CEB-4C19-AA19-C3D373B9FDE3}" keepAlive="1" name="Zapytanie — katpolaci" description="Połączenie z zapytaniem „katpolaci” w skoroszycie." type="5" refreshedVersion="0" background="1">
    <dbPr connection="Provider=Microsoft.Mashup.OleDb.1;Data Source=$Workbook$;Location=katpolaci;Extended Properties=&quot;&quot;" command="SELECT * FROM [katpolaci]"/>
  </connection>
  <connection id="10" xr16:uid="{87D7D066-4946-4EC3-9A3B-BC7B16D3603B}" keepAlive="1" name="Zapytanie — konstrukcje" description="Połączenie z zapytaniem „konstrukcje” w skoroszycie." type="5" refreshedVersion="6" background="1" saveData="1">
    <dbPr connection="Provider=Microsoft.Mashup.OleDb.1;Data Source=$Workbook$;Location=konstrukcje;Extended Properties=&quot;&quot;" command="SELECT * FROM [konstrukcje]"/>
  </connection>
  <connection id="11" xr16:uid="{6B3AF497-7B9C-46B5-9FD2-8BBC28CBDEB0}" keepAlive="1" name="Zapytanie — Merge1" description="Połączenie z zapytaniem „Merge1” w skoroszycie." type="5" refreshedVersion="0" background="1">
    <dbPr connection="Provider=Microsoft.Mashup.OleDb.1;Data Source=$Workbook$;Location=Merge1;Extended Properties=&quot;&quot;" command="SELECT * FROM [Merge1]"/>
  </connection>
  <connection id="12" xr16:uid="{DB5AAD12-1C99-44D4-8328-5AEAF7C8F82D}" keepAlive="1" name="Zapytanie — Panele" description="Połączenie z zapytaniem „Panele” w skoroszycie." type="5" refreshedVersion="6" background="1" saveData="1">
    <dbPr connection="Provider=Microsoft.Mashup.OleDb.1;Data Source=$Workbook$;Location=Panele;Extended Properties=&quot;&quot;" command="SELECT * FROM [Panele]"/>
  </connection>
  <connection id="13" xr16:uid="{FE88F8C1-BF86-4826-B7D8-7C1B4F0DC58B}" keepAlive="1" name="Zapytanie — skrzynki" description="Połączenie z zapytaniem „skrzynki” w skoroszycie." type="5" refreshedVersion="6" background="1" saveData="1">
    <dbPr connection="Provider=Microsoft.Mashup.OleDb.1;Data Source=$Workbook$;Location=skrzynki;Extended Properties=&quot;&quot;" command="SELECT * FROM [skrzynki]"/>
  </connection>
  <connection id="14" xr16:uid="{CD53CD08-12D7-4B7A-960E-8D92447718CF}" keepAlive="1" name="Zapytanie — Tabela9" description="Połączenie z zapytaniem „Tabela9” w skoroszycie." type="5" refreshedVersion="6" background="1" saveData="1">
    <dbPr connection="Provider=Microsoft.Mashup.OleDb.1;Data Source=$Workbook$;Location=Tabela9;Extended Properties=&quot;&quot;" command="SELECT * FROM [Tabela9]"/>
  </connection>
  <connection id="15" xr16:uid="{E73BC14C-E7AA-40D9-BADC-F2968F748228}" keepAlive="1" name="Zapytanie — TabelaSlonce" description="Połączenie z zapytaniem „TabelaSlonce” w skoroszycie." type="5" refreshedVersion="0" background="1">
    <dbPr connection="Provider=Microsoft.Mashup.OleDb.1;Data Source=$Workbook$;Location=TabelaSlonce;Extended Properties=&quot;&quot;" command="SELECT * FROM [TabelaSlonc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<sst xmlns="http://schemas.openxmlformats.org/spreadsheetml/2006/main" count="2572" uniqueCount="1281">
  <si>
    <t>Dane wejściowe</t>
  </si>
  <si>
    <t>kWh/rok</t>
  </si>
  <si>
    <t>zł</t>
  </si>
  <si>
    <t>Proponowana instalacja</t>
  </si>
  <si>
    <t>kWp</t>
  </si>
  <si>
    <t>Cena instalacji za 1kWp</t>
  </si>
  <si>
    <t>%</t>
  </si>
  <si>
    <t>lata</t>
  </si>
  <si>
    <t>%/rok</t>
  </si>
  <si>
    <t>Wschód</t>
  </si>
  <si>
    <t>Południe</t>
  </si>
  <si>
    <t>Południowy Wschód</t>
  </si>
  <si>
    <t>Północny-Wschód</t>
  </si>
  <si>
    <t>Zachód</t>
  </si>
  <si>
    <t>Północny-Zachód</t>
  </si>
  <si>
    <t>Wschód-Zachód</t>
  </si>
  <si>
    <t>Kąt nachylenia instalacji</t>
  </si>
  <si>
    <t>Wzrost cen energii/rok</t>
  </si>
  <si>
    <t>Ilość energi zużytej bezpośrednio</t>
  </si>
  <si>
    <t>Północ</t>
  </si>
  <si>
    <t>wsp. Strat kabli</t>
  </si>
  <si>
    <t>Dofinansowanie</t>
  </si>
  <si>
    <t>Rentowność</t>
  </si>
  <si>
    <t>Wyprodukuje</t>
  </si>
  <si>
    <t>Oddano do sieci</t>
  </si>
  <si>
    <t>Cena 1kWh wraz z przesyłem</t>
  </si>
  <si>
    <t>Miesiączne rachunki za energię</t>
  </si>
  <si>
    <t>Ilość zużywanej energi na rok</t>
  </si>
  <si>
    <t>Ilość zużywanej energi na miesiąc</t>
  </si>
  <si>
    <t>kWh/mies</t>
  </si>
  <si>
    <t>Roczne rachunki za energię</t>
  </si>
  <si>
    <t>Spadek produkcji PV</t>
  </si>
  <si>
    <t>Całkowity koszt instalacji</t>
  </si>
  <si>
    <t>wsp. Przewymiarowanai instalacji</t>
  </si>
  <si>
    <t>wsp. Kierunek świata</t>
  </si>
  <si>
    <t>wsp. Kąt padanai</t>
  </si>
  <si>
    <t>miesiąc</t>
  </si>
  <si>
    <t>Zużycie bezpośrednio</t>
  </si>
  <si>
    <t>Pobrano z sieci</t>
  </si>
  <si>
    <t>do zapłaty bez PV</t>
  </si>
  <si>
    <t>kWh</t>
  </si>
  <si>
    <t>Bezpośrednio Zużyto</t>
  </si>
  <si>
    <t>Pompa Ciepła</t>
  </si>
  <si>
    <t>Gaz</t>
  </si>
  <si>
    <t>Tak</t>
  </si>
  <si>
    <t>Nie</t>
  </si>
  <si>
    <t>Gruntowa</t>
  </si>
  <si>
    <t>Węgiel</t>
  </si>
  <si>
    <t>Elektryczność</t>
  </si>
  <si>
    <t>kW</t>
  </si>
  <si>
    <t>kg</t>
  </si>
  <si>
    <t>m3</t>
  </si>
  <si>
    <t>Standard</t>
  </si>
  <si>
    <t>Komfort</t>
  </si>
  <si>
    <t>Niski</t>
  </si>
  <si>
    <t>Obliczenia</t>
  </si>
  <si>
    <t>m2</t>
  </si>
  <si>
    <t>Moce grzewcze</t>
  </si>
  <si>
    <t>pasywny</t>
  </si>
  <si>
    <t>niskoenergetyczny</t>
  </si>
  <si>
    <t>szt</t>
  </si>
  <si>
    <t>suma</t>
  </si>
  <si>
    <t>Styczeń</t>
  </si>
  <si>
    <t>Luty</t>
  </si>
  <si>
    <t>Marzec</t>
  </si>
  <si>
    <t>Kwiecień</t>
  </si>
  <si>
    <t>Maj</t>
  </si>
  <si>
    <t>Czerwiec</t>
  </si>
  <si>
    <t>Lipiec</t>
  </si>
  <si>
    <t>Sierpień</t>
  </si>
  <si>
    <t>Wrzesień</t>
  </si>
  <si>
    <t>Październik</t>
  </si>
  <si>
    <t>Listopad</t>
  </si>
  <si>
    <t>Grudzień</t>
  </si>
  <si>
    <t xml:space="preserve">Bilans Miesięczny </t>
  </si>
  <si>
    <t>°</t>
  </si>
  <si>
    <t>kąt nachylenia</t>
  </si>
  <si>
    <t>Kierunki świata</t>
  </si>
  <si>
    <t>Rodzaj ogrzewania</t>
  </si>
  <si>
    <t>W</t>
  </si>
  <si>
    <t>Panele Fotowoltaiczne</t>
  </si>
  <si>
    <t>EXE Solar X-line 260W</t>
  </si>
  <si>
    <t>Aleo Solar S19 300W</t>
  </si>
  <si>
    <t>Moc</t>
  </si>
  <si>
    <t>lat gwarancji produktowej</t>
  </si>
  <si>
    <t>Rodzaj sieci przyłączeniowej</t>
  </si>
  <si>
    <t>m</t>
  </si>
  <si>
    <t>Rodzaj dachu</t>
  </si>
  <si>
    <t>płaski</t>
  </si>
  <si>
    <t>wielopołaciowy</t>
  </si>
  <si>
    <t>dwuspadowy</t>
  </si>
  <si>
    <t>czterospadowy</t>
  </si>
  <si>
    <t>m          x</t>
  </si>
  <si>
    <t>dł krokwi</t>
  </si>
  <si>
    <t>powierzchnia dachu</t>
  </si>
  <si>
    <t>Wymiary budynku [szer x dł]</t>
  </si>
  <si>
    <t>Fronius</t>
  </si>
  <si>
    <t>Primo</t>
  </si>
  <si>
    <t>Katowice</t>
  </si>
  <si>
    <t>Cena własna</t>
  </si>
  <si>
    <t>Konstrukcja naziemna</t>
  </si>
  <si>
    <t>dachówka</t>
  </si>
  <si>
    <t>papa</t>
  </si>
  <si>
    <t>konstrukcja naziemna</t>
  </si>
  <si>
    <t>dach płaski konsole</t>
  </si>
  <si>
    <t>dach płaski delty</t>
  </si>
  <si>
    <t>Wielkość instalacji</t>
  </si>
  <si>
    <t>Wykorzystanie inwertera</t>
  </si>
  <si>
    <t>Drewno</t>
  </si>
  <si>
    <t>Wycena</t>
  </si>
  <si>
    <t>/mies</t>
  </si>
  <si>
    <t>/rok</t>
  </si>
  <si>
    <t>całość</t>
  </si>
  <si>
    <t>gotówka</t>
  </si>
  <si>
    <t>mieszany</t>
  </si>
  <si>
    <t>Firma</t>
  </si>
  <si>
    <t>Inwestor</t>
  </si>
  <si>
    <t xml:space="preserve">Osoba fizyczna </t>
  </si>
  <si>
    <t>opust firma</t>
  </si>
  <si>
    <t>Szacowane obciążenie cieplne aktualnego systemu grzewczego</t>
  </si>
  <si>
    <t>Szacowane obciążenie cieplne ze względu na izolacyjność budynku</t>
  </si>
  <si>
    <t>podłogowe</t>
  </si>
  <si>
    <t>grzejnikowe</t>
  </si>
  <si>
    <t>grawitacyjna</t>
  </si>
  <si>
    <t>mechaniczna</t>
  </si>
  <si>
    <t>rekuperacja</t>
  </si>
  <si>
    <t>jednoszybowa</t>
  </si>
  <si>
    <t>dwuszybowa</t>
  </si>
  <si>
    <t>trójszybowa</t>
  </si>
  <si>
    <t>mieszane</t>
  </si>
  <si>
    <t>1980 - brak ocieplenia ścian</t>
  </si>
  <si>
    <t>1990 - ocieplenie ścian 2cm</t>
  </si>
  <si>
    <t>2000 - ocieplenie ścian 5cm</t>
  </si>
  <si>
    <t>2005 - ocieplenie ścian 10cm</t>
  </si>
  <si>
    <t>2015 - ocieplenie ścian 15cm</t>
  </si>
  <si>
    <t>powietrze - woda Split</t>
  </si>
  <si>
    <t>GJ/m3</t>
  </si>
  <si>
    <t>MJ/kg</t>
  </si>
  <si>
    <t>drewno</t>
  </si>
  <si>
    <t>węgiel kamienny</t>
  </si>
  <si>
    <t>pellet</t>
  </si>
  <si>
    <t>Pellet</t>
  </si>
  <si>
    <t>kWh/kg</t>
  </si>
  <si>
    <t>x</t>
  </si>
  <si>
    <t>Ilość</t>
  </si>
  <si>
    <t>Daikin</t>
  </si>
  <si>
    <t>Junkers</t>
  </si>
  <si>
    <t>Hewalex</t>
  </si>
  <si>
    <t>Boviet</t>
  </si>
  <si>
    <t>brak ocieplenia</t>
  </si>
  <si>
    <t>ocieplenie 2cm</t>
  </si>
  <si>
    <t>ocieplenie 5cm</t>
  </si>
  <si>
    <t>ocieplenie 10cm</t>
  </si>
  <si>
    <t>ocieplenie 15cm</t>
  </si>
  <si>
    <t>ściany</t>
  </si>
  <si>
    <t>Dach</t>
  </si>
  <si>
    <t>Marża</t>
  </si>
  <si>
    <t>styczeń</t>
  </si>
  <si>
    <t>luty</t>
  </si>
  <si>
    <t>marzec</t>
  </si>
  <si>
    <t>kwiecień</t>
  </si>
  <si>
    <t>maj</t>
  </si>
  <si>
    <t>czerwiec</t>
  </si>
  <si>
    <t>lipiec</t>
  </si>
  <si>
    <t>sierpień</t>
  </si>
  <si>
    <t>wrzesień</t>
  </si>
  <si>
    <t>październik</t>
  </si>
  <si>
    <t>listopad</t>
  </si>
  <si>
    <t>grudzień</t>
  </si>
  <si>
    <t>Profil zużycia 4 os. rodziny</t>
  </si>
  <si>
    <t>Bezpośrednie zużycie</t>
  </si>
  <si>
    <t>godzin ogrzewania</t>
  </si>
  <si>
    <t>profil zużycia cwu</t>
  </si>
  <si>
    <t>wartość energetyczna</t>
  </si>
  <si>
    <t>rodzaj stolarki</t>
  </si>
  <si>
    <t>rodzaj wentylacji</t>
  </si>
  <si>
    <t>typ dachu</t>
  </si>
  <si>
    <t>rodzaj pokrycia</t>
  </si>
  <si>
    <t>elementy konstrukcji</t>
  </si>
  <si>
    <t>panele PV</t>
  </si>
  <si>
    <t>wykres inwerter</t>
  </si>
  <si>
    <t>Średnia zużycie bezpośrednie</t>
  </si>
  <si>
    <t>Netto</t>
  </si>
  <si>
    <t>VAT</t>
  </si>
  <si>
    <t>finansowanie</t>
  </si>
  <si>
    <t>Amortyzacja</t>
  </si>
  <si>
    <t>Umożenie</t>
  </si>
  <si>
    <t>Zysk PV</t>
  </si>
  <si>
    <t>Stacja meteorologiczna</t>
  </si>
  <si>
    <t>wykres</t>
  </si>
  <si>
    <t>do zapłaty z PV</t>
  </si>
  <si>
    <t>Profil Inny</t>
  </si>
  <si>
    <t>Inwertery</t>
  </si>
  <si>
    <t>SMA</t>
  </si>
  <si>
    <t>STP</t>
  </si>
  <si>
    <t>ocieplenie 20cm</t>
  </si>
  <si>
    <t>ocieplenie 7cm</t>
  </si>
  <si>
    <t>Robocizna</t>
  </si>
  <si>
    <t>Inwerter</t>
  </si>
  <si>
    <t>Panele fotowoltaiczne</t>
  </si>
  <si>
    <t>Złączki szeregowe</t>
  </si>
  <si>
    <t>Konstrukcja montażowa</t>
  </si>
  <si>
    <t>blacho-dachówka</t>
  </si>
  <si>
    <t>szt.</t>
  </si>
  <si>
    <t>cena jedn.</t>
  </si>
  <si>
    <t>cena netto</t>
  </si>
  <si>
    <t>cena brutto</t>
  </si>
  <si>
    <t>męski/żeński</t>
  </si>
  <si>
    <t>Transport</t>
  </si>
  <si>
    <t>Kod rabatowy</t>
  </si>
  <si>
    <t>gwarancja</t>
  </si>
  <si>
    <t>faza</t>
  </si>
  <si>
    <t>symo</t>
  </si>
  <si>
    <t>Nazwa</t>
  </si>
  <si>
    <t>InfiniSolar</t>
  </si>
  <si>
    <t>Boviet 265W</t>
  </si>
  <si>
    <t>2.5</t>
  </si>
  <si>
    <t>-</t>
  </si>
  <si>
    <t>Zeversolar</t>
  </si>
  <si>
    <t>Elementy dodatkowe</t>
  </si>
  <si>
    <t>oferta ważna do:</t>
  </si>
  <si>
    <t>Dane z projektu budowlanego (audyt energetyczny)</t>
  </si>
  <si>
    <t>Profil firmy dziennej</t>
  </si>
  <si>
    <t>MPPT1</t>
  </si>
  <si>
    <t>MPPT2</t>
  </si>
  <si>
    <t>Data</t>
  </si>
  <si>
    <t>IT InterTech Paweł Jarząbek</t>
  </si>
  <si>
    <t>Tel</t>
  </si>
  <si>
    <t>e-mail</t>
  </si>
  <si>
    <t>www</t>
  </si>
  <si>
    <t>www.SmartEkoDom.pl</t>
  </si>
  <si>
    <t>Napięcia</t>
  </si>
  <si>
    <t>MPP 1</t>
  </si>
  <si>
    <t>V</t>
  </si>
  <si>
    <t>Rodzaj falownika</t>
  </si>
  <si>
    <t>EVU-sieć</t>
  </si>
  <si>
    <t>PEN</t>
  </si>
  <si>
    <t>50Hz</t>
  </si>
  <si>
    <t>L1</t>
  </si>
  <si>
    <t>N</t>
  </si>
  <si>
    <t>PE</t>
  </si>
  <si>
    <t>bezpiecznik</t>
  </si>
  <si>
    <t>mm2</t>
  </si>
  <si>
    <r>
      <t>Umpp (25</t>
    </r>
    <r>
      <rPr>
        <sz val="8"/>
        <color theme="1"/>
        <rFont val="Calibri"/>
        <family val="2"/>
        <charset val="238"/>
      </rPr>
      <t>°</t>
    </r>
    <r>
      <rPr>
        <sz val="8"/>
        <color theme="1"/>
        <rFont val="Calibri"/>
        <family val="2"/>
        <charset val="238"/>
        <scheme val="minor"/>
      </rPr>
      <t>C)</t>
    </r>
  </si>
  <si>
    <t>G</t>
  </si>
  <si>
    <t>+</t>
  </si>
  <si>
    <t>Ilość paneli w stringu</t>
  </si>
  <si>
    <t>Ilość stringów równoległych</t>
  </si>
  <si>
    <t xml:space="preserve">          </t>
  </si>
  <si>
    <t>Projekt Instalacji Fotowoltaicznej</t>
  </si>
  <si>
    <t>nr</t>
  </si>
  <si>
    <t>stawka VAT</t>
  </si>
  <si>
    <t xml:space="preserve">HUAWEI </t>
  </si>
  <si>
    <t>Solaredge</t>
  </si>
  <si>
    <t>Growatt</t>
  </si>
  <si>
    <t>Produkcja instalacji PV</t>
  </si>
  <si>
    <t>zuszycie bezpośrednio</t>
  </si>
  <si>
    <t>Sprawność</t>
  </si>
  <si>
    <t>Konstrukcja</t>
  </si>
  <si>
    <t>DC</t>
  </si>
  <si>
    <t>cena 1kWh</t>
  </si>
  <si>
    <t>MPPT3</t>
  </si>
  <si>
    <t>X</t>
  </si>
  <si>
    <t>Napięcie przy 25°C</t>
  </si>
  <si>
    <t>Napięcie przy 70°C</t>
  </si>
  <si>
    <t>Ilość paneli na MPPT</t>
  </si>
  <si>
    <t>Bilans zysków oraz kosztów</t>
  </si>
  <si>
    <r>
      <t>Umpp (70</t>
    </r>
    <r>
      <rPr>
        <sz val="8"/>
        <color theme="1"/>
        <rFont val="Calibri"/>
        <family val="2"/>
        <charset val="238"/>
      </rPr>
      <t>°</t>
    </r>
    <r>
      <rPr>
        <sz val="8"/>
        <color theme="1"/>
        <rFont val="Calibri"/>
        <family val="2"/>
        <charset val="238"/>
        <scheme val="minor"/>
      </rPr>
      <t>C)</t>
    </r>
  </si>
  <si>
    <t>light</t>
  </si>
  <si>
    <t>straty na kablu</t>
  </si>
  <si>
    <t>1F</t>
  </si>
  <si>
    <t>3F</t>
  </si>
  <si>
    <t>długość przewodu</t>
  </si>
  <si>
    <t>AC</t>
  </si>
  <si>
    <t>prąd znamionowy</t>
  </si>
  <si>
    <t>A</t>
  </si>
  <si>
    <t>napięcie znamionowe</t>
  </si>
  <si>
    <t xml:space="preserve">pole przekroju </t>
  </si>
  <si>
    <t>konduktywność przewodu</t>
  </si>
  <si>
    <t>cos</t>
  </si>
  <si>
    <t>długość stringu</t>
  </si>
  <si>
    <t>pionowo</t>
  </si>
  <si>
    <t>poziomo</t>
  </si>
  <si>
    <t>konstrukcja</t>
  </si>
  <si>
    <t>szerokość</t>
  </si>
  <si>
    <t>Olej opałowy</t>
  </si>
  <si>
    <t>MJ/m3</t>
  </si>
  <si>
    <t>F</t>
  </si>
  <si>
    <t>rata</t>
  </si>
  <si>
    <t>ukryj wycenę szczegółową</t>
  </si>
  <si>
    <t xml:space="preserve"> </t>
  </si>
  <si>
    <t>kredyt WFOŚ</t>
  </si>
  <si>
    <t>kredyt C.A.</t>
  </si>
  <si>
    <t>Kredyt C.A.</t>
  </si>
  <si>
    <t>brutto</t>
  </si>
  <si>
    <t>lat</t>
  </si>
  <si>
    <t>wkład</t>
  </si>
  <si>
    <t>INWERTER</t>
  </si>
  <si>
    <t>lat gwarancji na produkcję</t>
  </si>
  <si>
    <t>Tak1</t>
  </si>
  <si>
    <t>Producent</t>
  </si>
  <si>
    <t>Południowy-Zachód</t>
  </si>
  <si>
    <t>Szacowany roczny spadek emisji gazów cieplarnianych</t>
  </si>
  <si>
    <t>Dodatkowa zdolność wytwarzania energii elektrycznej ze źródeł odnawialnych</t>
  </si>
  <si>
    <t>Stopień redukcji PM10</t>
  </si>
  <si>
    <t>MWh/rok</t>
  </si>
  <si>
    <t>ton/rok</t>
  </si>
  <si>
    <t>MWh</t>
  </si>
  <si>
    <t>Ton ekwiwalentu CO2/rok</t>
  </si>
  <si>
    <t>Produkcja energii elektrycznej z nowo wybudowanych/nowych mocy wytwórczych instalacji wykorzystujących OZE</t>
  </si>
  <si>
    <t>Rozdzielnia</t>
  </si>
  <si>
    <t>1,1,</t>
  </si>
  <si>
    <t>1,2,</t>
  </si>
  <si>
    <t>2,1,</t>
  </si>
  <si>
    <t>2,2,</t>
  </si>
  <si>
    <r>
      <t>Uoc(-20</t>
    </r>
    <r>
      <rPr>
        <sz val="8"/>
        <color theme="1"/>
        <rFont val="Calibri"/>
        <family val="2"/>
        <charset val="238"/>
      </rPr>
      <t>°</t>
    </r>
    <r>
      <rPr>
        <sz val="8"/>
        <color theme="1"/>
        <rFont val="Calibri"/>
        <family val="2"/>
        <charset val="238"/>
        <scheme val="minor"/>
      </rPr>
      <t>C)</t>
    </r>
  </si>
  <si>
    <t>Napięcie przy -20°C</t>
  </si>
  <si>
    <t>SPD T2</t>
  </si>
  <si>
    <t>3,2,</t>
  </si>
  <si>
    <t>licznik dwukierunkowy</t>
  </si>
  <si>
    <t>Przewód DC 4mm2</t>
  </si>
  <si>
    <t>Prąd zwarciowy</t>
  </si>
  <si>
    <t>Odchylenie od południa</t>
  </si>
  <si>
    <t>Czy stosować gPV</t>
  </si>
  <si>
    <t>TAK</t>
  </si>
  <si>
    <t>NIE</t>
  </si>
  <si>
    <t>zabezpieczenia</t>
  </si>
  <si>
    <t>Prekrój znamionowy żył [mm2]</t>
  </si>
  <si>
    <t>Przewód AC 5x2,5mm2</t>
  </si>
  <si>
    <t>A Inwerter</t>
  </si>
  <si>
    <t>Spadek napięcia</t>
  </si>
  <si>
    <t>Obciążalność</t>
  </si>
  <si>
    <t>z dnia</t>
  </si>
  <si>
    <t>Adres inwestycji</t>
  </si>
  <si>
    <t>Tel. Kontaktowy</t>
  </si>
  <si>
    <t>PROTOKÓŁ KOŃCOWEGO ODBIORU PRZEDSIĘWZIĘCIA I PRZEKAZANIA 
DO EKSPLOATACJI</t>
  </si>
  <si>
    <t>44-325 Mszana, ul. Wodzisławska 146</t>
  </si>
  <si>
    <t>NIP 633-161-21-60</t>
  </si>
  <si>
    <t>Przedsięwzięcie wykonane dla obiektu</t>
  </si>
  <si>
    <t>Sporządzony dnia</t>
  </si>
  <si>
    <t>w</t>
  </si>
  <si>
    <t>miejscowość</t>
  </si>
  <si>
    <t xml:space="preserve">w sprawie odbioru robót/przedsięwzięcia pn. </t>
  </si>
  <si>
    <t xml:space="preserve">Projekt oraz wykonanie instalacji fotowoltaicznej </t>
  </si>
  <si>
    <t xml:space="preserve">o mocy </t>
  </si>
  <si>
    <t xml:space="preserve">zlokalizowanej w </t>
  </si>
  <si>
    <t>wykonanej wg umowy nr</t>
  </si>
  <si>
    <t>Wartość przedmiotu umowy wynosi</t>
  </si>
  <si>
    <t>(brutto)</t>
  </si>
  <si>
    <t>W ramach zamówienia wykonano:</t>
  </si>
  <si>
    <t>- Projekt instalacji fotowoltaicznej</t>
  </si>
  <si>
    <t>- Montaż Paneli Fotowoltaicznych</t>
  </si>
  <si>
    <t>- Montaż Inwertera</t>
  </si>
  <si>
    <t>- okablowanie prądu stałego AC oraz prądu zmiennego DC</t>
  </si>
  <si>
    <t>- Wykonanie pomiarów elektrycznych instalacji</t>
  </si>
  <si>
    <t>- Sporządzenie dokumentów do  zgłoszenia instalacji do OSD</t>
  </si>
  <si>
    <t>- skuteczne zgłoszenie instalacji do użytkowania</t>
  </si>
  <si>
    <t>Ustalenia dotyczące wyników robót/pracy:</t>
  </si>
  <si>
    <t>1. Praca została wykonana:</t>
  </si>
  <si>
    <t>a. zgodnie z umową.</t>
  </si>
  <si>
    <t xml:space="preserve">b. zgodnie z projektem i obowiązującymi przepisami: </t>
  </si>
  <si>
    <t>Uwagi:</t>
  </si>
  <si>
    <t>Na tym protokół zakończono i podpisano:</t>
  </si>
  <si>
    <t>Wykonawca:</t>
  </si>
  <si>
    <t xml:space="preserve"> Inwestor:</t>
  </si>
  <si>
    <t>Odnawialne Źródła Energii Sp z o.o.</t>
  </si>
  <si>
    <t>NIP 647-258-37-62</t>
  </si>
  <si>
    <t>2. Instalacja fotowoltaiczna została uruchomiona i funkcjonuje bez zakłóceń; elementy wskazane w harmonogramie rzeczowo-finansowym są utrzymywane w stanie spełniającym zakładane w projekcie budowlano-wykonawczym funkcje tj. produkcja energii elektrycznej.</t>
  </si>
  <si>
    <t>MPPT4</t>
  </si>
  <si>
    <t>Projekt oraz wykonanie instalacji Pompy Ciepła powietrze-woda</t>
  </si>
  <si>
    <t xml:space="preserve">-Hydrauliczny Projekt instalacji </t>
  </si>
  <si>
    <t>- Sporządzenie dokumentacji powykonawczej</t>
  </si>
  <si>
    <t>- Okablowanie instalacji oraz montaż zabezpieczeń różnicowoprądowego przepięciowgo nadprądowego</t>
  </si>
  <si>
    <t>- Skuteczne zgłoszenie instalacji do użytkowania</t>
  </si>
  <si>
    <t>2. Instalacja Pompy Ciepła została uruchomiona i funkcjonuje bez zakłóceń; elementy wskazane w harmonogramie rzeczowo-finansowym są utrzymywane w stanie spełniającym zakładane w projekcie budowlano-wykonawczym funkcje tj. produkcja energii cieplnej.</t>
  </si>
  <si>
    <t>dach płaski betonowy</t>
  </si>
  <si>
    <t>dach płaski drewniany</t>
  </si>
  <si>
    <t>dach płaski Console</t>
  </si>
  <si>
    <t>Kolumna1</t>
  </si>
  <si>
    <t>Kolumna2</t>
  </si>
  <si>
    <t>Kolumna3</t>
  </si>
  <si>
    <t>śruba maszynowa M10</t>
  </si>
  <si>
    <t>Console 15st</t>
  </si>
  <si>
    <t>na dłuższym boku</t>
  </si>
  <si>
    <t>klema końcowa 35mm</t>
  </si>
  <si>
    <t>śruba imbusowa 25mm</t>
  </si>
  <si>
    <t>trójkąt 15st pionowo</t>
  </si>
  <si>
    <t>trójkąt 15st poziomo</t>
  </si>
  <si>
    <t>Obciążenie (żwir)</t>
  </si>
  <si>
    <t>na krótszym boku</t>
  </si>
  <si>
    <t>klema końcowa 40mm</t>
  </si>
  <si>
    <t>śruba imbusowa 30mm</t>
  </si>
  <si>
    <t>śruba dwugwintowa M10 200mm</t>
  </si>
  <si>
    <t>zaślepka profila czarna</t>
  </si>
  <si>
    <t>kołek M14</t>
  </si>
  <si>
    <t>Wymiary Panela</t>
  </si>
  <si>
    <t>wys.</t>
  </si>
  <si>
    <t>mm</t>
  </si>
  <si>
    <t>szer.</t>
  </si>
  <si>
    <t>gr.</t>
  </si>
  <si>
    <t>rozstaw mocowań</t>
  </si>
  <si>
    <t>śruba dwugwintowa M10 250mm</t>
  </si>
  <si>
    <t>klema środkowa</t>
  </si>
  <si>
    <t>wpust przesuwny</t>
  </si>
  <si>
    <t>łącznik profili montażowych</t>
  </si>
  <si>
    <t>śruba teowa M10 30mm</t>
  </si>
  <si>
    <t>nakrętka M10</t>
  </si>
  <si>
    <t>trójkąt 35st poziomo</t>
  </si>
  <si>
    <t>śruba dwugwintowa M10 300mm</t>
  </si>
  <si>
    <t>trójkąt 35st pionowo</t>
  </si>
  <si>
    <t>Pręt gwintowany M10</t>
  </si>
  <si>
    <t>Kołek metalowy M14</t>
  </si>
  <si>
    <t>ilość modółów w rzędzie</t>
  </si>
  <si>
    <t>ilość rzędów</t>
  </si>
  <si>
    <t>ułożenie klem</t>
  </si>
  <si>
    <t>Dachówka</t>
  </si>
  <si>
    <t>Blacho-dachówka</t>
  </si>
  <si>
    <t>Papa</t>
  </si>
  <si>
    <t>mostki trapezowe</t>
  </si>
  <si>
    <t>wkręt do drewna</t>
  </si>
  <si>
    <t>adapter motażowy</t>
  </si>
  <si>
    <t>śruba mostka trapezowego</t>
  </si>
  <si>
    <t xml:space="preserve">Mostek trapezowy </t>
  </si>
  <si>
    <t>podkładka EPDM</t>
  </si>
  <si>
    <t>Mostek trapezowy niski</t>
  </si>
  <si>
    <t>Panel</t>
  </si>
  <si>
    <t>Opust</t>
  </si>
  <si>
    <t>Opust Energia do odebrania</t>
  </si>
  <si>
    <t>Cena energii z przesyłem</t>
  </si>
  <si>
    <t>Skrzynka przepięciowa 1 łańcuch DC 1000V</t>
  </si>
  <si>
    <t>SunTech STP 375S-24Vfh</t>
  </si>
  <si>
    <t xml:space="preserve">Klauzula informacyjna RODO  </t>
  </si>
  <si>
    <t>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zwanym dalej w” RODO”)  informujemy, że:</t>
  </si>
  <si>
    <t xml:space="preserve">
</t>
  </si>
  <si>
    <t>REFERENCJE</t>
  </si>
  <si>
    <t>Potwierdzam, że firma:</t>
  </si>
  <si>
    <t>Zakres zadania:</t>
  </si>
  <si>
    <t>1 szt.</t>
  </si>
  <si>
    <t>Przyłączenie instalacji do sieci energetycznej</t>
  </si>
  <si>
    <t xml:space="preserve">Lokalizacja: </t>
  </si>
  <si>
    <t>Inwentaryzacja budynku</t>
  </si>
  <si>
    <t>Montaż instalacji fotowoltaicznej (konstrukcji, przewodów AC oraz DC, uziomu instalacji, paneli fotowoltaicznych, inwertera)</t>
  </si>
  <si>
    <t xml:space="preserve">Wykonanie analizy ekonomicznej projektowanej instalacji oraz audytu energetycznego budynku </t>
  </si>
  <si>
    <t>Sporządzenie wniosku do operatora sieci energetycznej</t>
  </si>
  <si>
    <t>Całkowity koszt zadania wyniósł:</t>
  </si>
  <si>
    <t>zł brutto.</t>
  </si>
  <si>
    <t>kWp"</t>
  </si>
  <si>
    <t>PROTOKÓŁ CZĘŚCIOWEGO ODBIORU PRZEDSIĘWZIĘCIA</t>
  </si>
  <si>
    <t>komp.</t>
  </si>
  <si>
    <t>Napięcie na stringu 1</t>
  </si>
  <si>
    <t>Napięcie na stringu 2</t>
  </si>
  <si>
    <t>konstukcja naziemna</t>
  </si>
  <si>
    <t>pręt gwintowany 10cm</t>
  </si>
  <si>
    <t>nakrętki M10</t>
  </si>
  <si>
    <t>dach płaski obciążeniowo</t>
  </si>
  <si>
    <t>bloczek betonowy</t>
  </si>
  <si>
    <t>j.m.</t>
  </si>
  <si>
    <t xml:space="preserve">wykonała zadanie pn.: </t>
  </si>
  <si>
    <t>do</t>
  </si>
  <si>
    <t>- Montaż Pampy Ciepła C.W.U.: …..............................., o numerze seryjnym: …..........................</t>
  </si>
  <si>
    <t>- Montaż Ciepłomierza o numerze seryjnym: …................................</t>
  </si>
  <si>
    <t>Materiał</t>
  </si>
  <si>
    <t>Indeks</t>
  </si>
  <si>
    <t>Panel_Nazwa</t>
  </si>
  <si>
    <t>19/</t>
  </si>
  <si>
    <t>Przewody</t>
  </si>
  <si>
    <t>Przewód DC 6mm2</t>
  </si>
  <si>
    <t>Przewód DC 10mm2</t>
  </si>
  <si>
    <t>Przewód AC 5x4mm2</t>
  </si>
  <si>
    <t>Przewód AC 5x6mm2</t>
  </si>
  <si>
    <t>Przewód AC 5x10mm2</t>
  </si>
  <si>
    <t>Przewód AC 5x16mm2</t>
  </si>
  <si>
    <t>Przewód AC 5x25mm2</t>
  </si>
  <si>
    <t>Przewód AC 3x2,5mm2</t>
  </si>
  <si>
    <t>Przewód AC 3x4mm2</t>
  </si>
  <si>
    <t>Skrzynka</t>
  </si>
  <si>
    <t>Skrzynka przepięciowa 2 łańcuchy DC 1000V</t>
  </si>
  <si>
    <t>Skrzynka z ogranicznikiem przepięć AC 1-F typu 2</t>
  </si>
  <si>
    <t>inne</t>
  </si>
  <si>
    <t>inne2</t>
  </si>
  <si>
    <t>robocizna</t>
  </si>
  <si>
    <t>koszt pracownika</t>
  </si>
  <si>
    <t>Tabliczka znamionowa Mikroinstalacji PV</t>
  </si>
  <si>
    <t>Numer Identyfikacyjny</t>
  </si>
  <si>
    <t>Moc znamionowa elektryczna</t>
  </si>
  <si>
    <t>Ogniwa fotowoltaiczna typ:</t>
  </si>
  <si>
    <t>Maksymalne napięcie w systemie</t>
  </si>
  <si>
    <t>Napięcie jałowe obwodu DC-Voc</t>
  </si>
  <si>
    <t>Prąd zwarcia obwodu DC Isc</t>
  </si>
  <si>
    <t>Przekształtnik DC/AC typ:</t>
  </si>
  <si>
    <t>Maksymalne moc wejsciowa DC</t>
  </si>
  <si>
    <t>Zakres napięcia wejsciowego</t>
  </si>
  <si>
    <t>Napięcie startowe DC</t>
  </si>
  <si>
    <t>Moc znamionowa wyjscia AC</t>
  </si>
  <si>
    <t>Napięcie znamionowe wyjsciowe</t>
  </si>
  <si>
    <t>Maksymalne natężenie prądu wyjsciowego AC</t>
  </si>
  <si>
    <t>Częstotliwość znamionowa</t>
  </si>
  <si>
    <t>Próg częstotliwości LFSM-O</t>
  </si>
  <si>
    <t>Statyzm</t>
  </si>
  <si>
    <t>Zakres regulacji wsp. Przesunięcia fazowego "PF"</t>
  </si>
  <si>
    <t>Ochrona Przepięciowa mikroinstalacji</t>
  </si>
  <si>
    <t>Ochrona obwodów DC</t>
  </si>
  <si>
    <t>Ochrona obwodów AC</t>
  </si>
  <si>
    <t>Napięcie przy mocy maksymalnej - Vmp</t>
  </si>
  <si>
    <t>Maksymalne natężenie prądu wejsciowego DC</t>
  </si>
  <si>
    <t>Hz</t>
  </si>
  <si>
    <t>Ochrona Elementów zewnętrznych</t>
  </si>
  <si>
    <t>zwody poziome i pionowe, uziom</t>
  </si>
  <si>
    <t xml:space="preserve">Ogranicznik przepięć AC Typ B+C, </t>
  </si>
  <si>
    <t>Ogranicznik przepięć DC TYP T2, 1000V, 125kA</t>
  </si>
  <si>
    <t>0-100</t>
  </si>
  <si>
    <t>0.8 wiodący … 0.8 (indukcyjny)</t>
  </si>
  <si>
    <t>+ / - 5</t>
  </si>
  <si>
    <t>Materiał Elektryczny</t>
  </si>
  <si>
    <t>Ogranicznik Przepięć DC</t>
  </si>
  <si>
    <t>Citel T2</t>
  </si>
  <si>
    <t>Ogranicznik Przepięć AC</t>
  </si>
  <si>
    <t>Bemko</t>
  </si>
  <si>
    <t>B+C</t>
  </si>
  <si>
    <t>Peschel UV fi22</t>
  </si>
  <si>
    <t>Peschel szary fi22</t>
  </si>
  <si>
    <t>Uchwyt paskowy czarny</t>
  </si>
  <si>
    <t>Rozdzielnica Noark 1000V</t>
  </si>
  <si>
    <t>P</t>
  </si>
  <si>
    <t>Zabezpieczenie "S"</t>
  </si>
  <si>
    <t>Przewód AC linka 5x2,5mm2</t>
  </si>
  <si>
    <t>złączka MC4</t>
  </si>
  <si>
    <t>końcówka kablowa</t>
  </si>
  <si>
    <t>Rurka elektroizolacyjna biała fi 20</t>
  </si>
  <si>
    <t>złączka elektroizolacyjna biała fi 20</t>
  </si>
  <si>
    <t>uchwyty rurki elektroizolacyjnej białe fi 20</t>
  </si>
  <si>
    <t>kołek Smart fi 8mm</t>
  </si>
  <si>
    <t>Pręt Uziemiający</t>
  </si>
  <si>
    <t>Złącze krzyżowe</t>
  </si>
  <si>
    <t>Reapeter</t>
  </si>
  <si>
    <t>Przewód PE 10mm2</t>
  </si>
  <si>
    <t>WYKAZ - WYMAGANIA TECHNICZNE</t>
  </si>
  <si>
    <t>Wykonawca</t>
  </si>
  <si>
    <t>Grantobiorca</t>
  </si>
  <si>
    <t>Przyznana moc instalacji PV(wg umowy)</t>
  </si>
  <si>
    <t xml:space="preserve">Deklarowana produkcja energii elektrycznej OZE </t>
  </si>
  <si>
    <t>Podpisana umowa U.G.</t>
  </si>
  <si>
    <t>KWh/rok</t>
  </si>
  <si>
    <t>1-Oferta wykonania instalacji (wg Umowy) oraz uproszczony kosztorys wg wzoru;</t>
  </si>
  <si>
    <t>Uproszczony kosztorys instalacji PV</t>
  </si>
  <si>
    <t>dla</t>
  </si>
  <si>
    <t>Moc instalacji</t>
  </si>
  <si>
    <t>Moc przyłączeniową</t>
  </si>
  <si>
    <t>Opis pozycji kosztowej</t>
  </si>
  <si>
    <t>wartość netta</t>
  </si>
  <si>
    <t>Moduły fotowoltaiczne</t>
  </si>
  <si>
    <t>typ, moc modułu</t>
  </si>
  <si>
    <t>Optymalizator</t>
  </si>
  <si>
    <t>s&gt;zt.</t>
  </si>
  <si>
    <t>typ, moc</t>
  </si>
  <si>
    <t>Konstrukcje wsporcza;</t>
  </si>
  <si>
    <t>producent; typ .—.......................................................</t>
  </si>
  <si>
    <t>określić lokalizację (dach skasny, dach płaski, naztenwia)</t>
  </si>
  <si>
    <t>kpi.</t>
  </si>
  <si>
    <t>Osprzęt elektryczny, kable, dodatki</t>
  </si>
  <si>
    <t>fi.</t>
  </si>
  <si>
    <t>Inny osprzęt do uwzględnienia</t>
  </si>
  <si>
    <t>kpi-</t>
  </si>
  <si>
    <t>Montaż - płace pracowników</t>
  </si>
  <si>
    <t>kpŁ</t>
  </si>
  <si>
    <t>a.</t>
  </si>
  <si>
    <t>Projekt, wniosek do OSO, pożarnik itp.</t>
  </si>
  <si>
    <t>Lp.</t>
  </si>
  <si>
    <t>wartość netto</t>
  </si>
  <si>
    <t>Konstrukcja wsporcza</t>
  </si>
  <si>
    <t>kpl.</t>
  </si>
  <si>
    <t>netto PLN</t>
  </si>
  <si>
    <t>SUMA</t>
  </si>
  <si>
    <t>brutto 8%VAT</t>
  </si>
  <si>
    <t>PLN</t>
  </si>
  <si>
    <t>cena za 1 kWp</t>
  </si>
  <si>
    <t>2-Potwierdzenie spełnienia minimalnych wymagań w zakresie mikroinstalacji:</t>
  </si>
  <si>
    <t>Typ</t>
  </si>
  <si>
    <t>Rodzaj</t>
  </si>
  <si>
    <t>Moc modułu</t>
  </si>
  <si>
    <t>Oświadczam, iż parametry ww. modułów spełniają wymagania minimalne zgodnie z Umową</t>
  </si>
  <si>
    <t>Moc inwertera</t>
  </si>
  <si>
    <t>Wyświetlacz lokalny</t>
  </si>
  <si>
    <t>Moduł komunikacji</t>
  </si>
  <si>
    <t>Deklaracja NCRfG</t>
  </si>
  <si>
    <t>KENO</t>
  </si>
  <si>
    <t>tak</t>
  </si>
  <si>
    <t>Krótki opis instalacji</t>
  </si>
  <si>
    <t>Konfigurujac system fotowoltaiczny, istotne jest obliczenie napiecia w skrajnych temperaturach oraz
natezenia pradu stalego, jaki moze sie pojawic w obwodzie fotowoltaicznym, w skrajnym natezeniu
promieniowania slonecznego. Moze byc ono wyzsze, niz deklarowane w warunkach STC. Zaklada sie, ze
modul moze osiagac temperature nawet 70°C podczas upalnego dnia i rozpoczynac swoja prace przy -25°C w
mrozne poranki. Baza do obliczen beda warunki STC, tj. natezenie promieniowania slonecznego rowne 1000
W/m2 i temperatura ogniw 25°C</t>
  </si>
  <si>
    <t>Monokrystaliczne</t>
  </si>
  <si>
    <t>W projektowanej instalacji przewidziano zastosowanie ograniczników przepiec typu 2 [i zabezpieczen
nadmiarowo-pradowych obwodów modulow fotowoltaicznych – jesli liczba lancuchów na MPPT &gt; 2]. Po stronie
AC z kolei planowane jest zastosowanie [ograniczników przepiec AC typu 2 oraz ] wylacznika
nadmiarowo-pradowego</t>
  </si>
  <si>
    <t xml:space="preserve">Dla projektowanej instalacji dobrano ogranicznik przepiec </t>
  </si>
  <si>
    <t>Podstawa ochrony przeciwporazeniowej jest izolowanie czesci znajdujacych sie pod napieciem oraz
ochrona w przypadku uszkodzenia izolacji. W instalacjach elektrycznych nalezy stosowac uklady z odrebnym
przewodem ochronnym PE i neutralnym N (uklad TN-S, TT, rzadziej TN-C-S z uziemionym rozdzialem
przewodu ochronno-neutralnego PEN). Przepisy wymagaja takze stosowania uziemionych polaczen
wyrównawczych pomiedzy elementami przewodzacymi instalacji elektrycznej.</t>
  </si>
  <si>
    <t>PROTOKÓŁ Z URUCHOMIENIA INSTALACJI</t>
  </si>
  <si>
    <t>- przeprowadzenie szkolenia z instalacji</t>
  </si>
  <si>
    <t>- uruchomienie próbne instalacji</t>
  </si>
  <si>
    <t>- kontrola zabezpieczenia przed pracą wyspową</t>
  </si>
  <si>
    <t>Projektowane moduly fotowoltaiczne zamontowane zostana na dedykowanej konstrukcji montazowej.
Polaczone ze soba moduly przylaczone zostana do falownika za pomoca przewodu w podwójnej izolacji,
odpornego na promieniowanie UV oraz zmienne warunki atmosferyczne, dedykowanego do zastosowan
fotowoltaicznych. Falownik wpiety zostanie rownolegle do istniejacej instalacji elektrycznej obiektu za pomoca kabla przeznaczonego do pracy z pradem przemiennym. Zarowno strona pradowa DC jak i AC zabezpieczone zostana odpowiednia aparatura. Energia elektryczna wyprodukowana w systemie wykorzystywana bedzie na potrzeby wlasne</t>
  </si>
  <si>
    <t>Wewnetrzna instalacja odgromowa – ograniczniki przepiec – przeznaczone sa do ochrony instalacji
fotowoltaicznych przed przejsciowymi przepieciami wywolanymi na zewnatrz instalacji fotowoltaicznej np.
indukowanym napieciem poprzez uderzenie pioruna w linie elektroenergetyczna, badz w jej obrebie lub
przepieciami wewnetrznymi, powstajacymi podczas zalaczania czy wylaczania nieobciazonej linii
elektroenergetycznej. Zjawisko przejsciowego przepiecia moze spowodowac uszkodzenie elementów instalacji elektrycznej w budynku lub instalacji fotowoltaicznej.</t>
  </si>
  <si>
    <t>rozł.</t>
  </si>
  <si>
    <t>Rozłącznik DC</t>
  </si>
  <si>
    <t>PKT przyłączenia instalacji</t>
  </si>
  <si>
    <t>instalacji</t>
  </si>
  <si>
    <t>TG</t>
  </si>
  <si>
    <t>Czy zastosować 2 skrzynki na DC</t>
  </si>
  <si>
    <t>Dane inwestora:</t>
  </si>
  <si>
    <t>ilość modułów w rzędzie</t>
  </si>
  <si>
    <t>HT-SAAE 390</t>
  </si>
  <si>
    <t>OBLICZENIA:</t>
  </si>
  <si>
    <t xml:space="preserve">Moc: </t>
  </si>
  <si>
    <t>Ilość sztuk:</t>
  </si>
  <si>
    <t>Gwaracja produkcji:</t>
  </si>
  <si>
    <t>Gwarancja produktowa:</t>
  </si>
  <si>
    <t>Sprawność:</t>
  </si>
  <si>
    <t>Spadek produkcji:</t>
  </si>
  <si>
    <t>Jedn:</t>
  </si>
  <si>
    <t xml:space="preserve">Napięcia: </t>
  </si>
  <si>
    <t>MPP 1:</t>
  </si>
  <si>
    <t>Umpp (70°C)</t>
  </si>
  <si>
    <t>Umpp (25°C)</t>
  </si>
  <si>
    <t>Uoc(-20°C)</t>
  </si>
  <si>
    <t>równolegle</t>
  </si>
  <si>
    <t>szeregowo</t>
  </si>
  <si>
    <t>Ilość paneli:</t>
  </si>
  <si>
    <t>MPP 2:</t>
  </si>
  <si>
    <t>MPP 3:</t>
  </si>
  <si>
    <t>Opti:</t>
  </si>
  <si>
    <t>Model:</t>
  </si>
  <si>
    <t>…....................................................................</t>
  </si>
  <si>
    <t>podpis inwestora:</t>
  </si>
  <si>
    <t>Program:</t>
  </si>
  <si>
    <t>ŁZE</t>
  </si>
  <si>
    <t>GzDE</t>
  </si>
  <si>
    <t>…......</t>
  </si>
  <si>
    <t>Numer kontaktowy:</t>
  </si>
  <si>
    <t>Adres inwestycji:</t>
  </si>
  <si>
    <t>Instalacja:</t>
  </si>
  <si>
    <t>1P</t>
  </si>
  <si>
    <t>3P</t>
  </si>
  <si>
    <t>Program finansowania:</t>
  </si>
  <si>
    <t>WI-FI:</t>
  </si>
  <si>
    <t>nie</t>
  </si>
  <si>
    <t>WI_FI</t>
  </si>
  <si>
    <t>L. Faz</t>
  </si>
  <si>
    <t>Cz-L</t>
  </si>
  <si>
    <t>Inwestor:</t>
  </si>
  <si>
    <t>Ogranicznik Przepięć:</t>
  </si>
  <si>
    <t>WI-FI :</t>
  </si>
  <si>
    <t>INWESTOR:</t>
  </si>
  <si>
    <t>Projekt oraz wykonanie instalacji pompy ciepła + C.W.U</t>
  </si>
  <si>
    <t>- Montaż pompy ciepła</t>
  </si>
  <si>
    <t>- Montaż zbiornika buforowego</t>
  </si>
  <si>
    <t>mój prąd</t>
  </si>
  <si>
    <t>- Okablowanie prądu zmiennego AC</t>
  </si>
  <si>
    <t>- Okablowanie prądu stałego DC</t>
  </si>
  <si>
    <t xml:space="preserve">Potwierdzam, że roboty wykonane zostały terminowo, z należytą starannością, zgodnie z normami technicznymi, z zachowaniem zasad BHP, zasadami sztuki budowlanej oraz przepisami Prawa Budowlanego. </t>
  </si>
  <si>
    <t>PRZEKOPIOWAĆ NIP!!!!</t>
  </si>
  <si>
    <t>- okablowanie prądu stałego DC oraz prądu zmiennego AC</t>
  </si>
  <si>
    <t>Podpis wykonawcy:</t>
  </si>
  <si>
    <t>Moc instalacji:</t>
  </si>
  <si>
    <t>Model paneli:</t>
  </si>
  <si>
    <t>- Montaż konstrukcji wsporczej</t>
  </si>
  <si>
    <t>trójkąt 25st pionowo</t>
  </si>
  <si>
    <t>trójkąt 25st poziomo</t>
  </si>
  <si>
    <t>`- Montaż zbiornika do C.W.U</t>
  </si>
  <si>
    <t>2. Instalacja pompy ciepła została uruchomiona i funkcjonuje bez zakłóceń; elementy wskazane w harmonogramie rzeczowo-finansowym są utrzymywane w stanie spełniającym zakładane w projekcie budowlano-wykonawczym funkcje tj. produkcja energii cieplnej.</t>
  </si>
  <si>
    <t>Gzde</t>
  </si>
  <si>
    <t>Kocioł Pelet</t>
  </si>
  <si>
    <t>Kwota dofinansowania:</t>
  </si>
  <si>
    <t>Kocioł Gazowy</t>
  </si>
  <si>
    <t>Projekt oraz wykonanie instalacji pompy ciepła do C.W.U</t>
  </si>
  <si>
    <t>- Montaż zbiornika do C.W.U</t>
  </si>
  <si>
    <t>03/05/2020/MM</t>
  </si>
  <si>
    <t>28.05.2020r.</t>
  </si>
  <si>
    <t>PROGRAM</t>
  </si>
  <si>
    <t>Rydułtowy</t>
  </si>
  <si>
    <t>L2</t>
  </si>
  <si>
    <t>L3</t>
  </si>
  <si>
    <t>- Okablowanie instalacji oraz montaż zabezpieczeń</t>
  </si>
  <si>
    <t>Gotówka</t>
  </si>
  <si>
    <t/>
  </si>
  <si>
    <t>Adres:</t>
  </si>
  <si>
    <r>
      <rPr>
        <b/>
        <sz val="14"/>
        <rFont val="Times New Roman"/>
        <family val="1"/>
        <charset val="238"/>
      </rPr>
      <t>Protokół z pomiarów i sprawdzeń instalacji fotowoltaicznej</t>
    </r>
  </si>
  <si>
    <t>zielone wartości wybieramy</t>
  </si>
  <si>
    <r>
      <rPr>
        <b/>
        <sz val="11"/>
        <rFont val="Times New Roman"/>
        <family val="1"/>
        <charset val="238"/>
      </rPr>
      <t>I.      Dane ogólne</t>
    </r>
  </si>
  <si>
    <r>
      <rPr>
        <b/>
        <sz val="9"/>
        <rFont val="Times New Roman"/>
        <family val="1"/>
        <charset val="238"/>
      </rPr>
      <t>Data</t>
    </r>
  </si>
  <si>
    <r>
      <rPr>
        <b/>
        <sz val="9"/>
        <rFont val="Times New Roman"/>
        <family val="1"/>
        <charset val="238"/>
      </rPr>
      <t>Nazwa</t>
    </r>
  </si>
  <si>
    <t>UL-450M</t>
  </si>
  <si>
    <r>
      <rPr>
        <b/>
        <sz val="9"/>
        <rFont val="Times New Roman"/>
        <family val="1"/>
        <charset val="238"/>
      </rPr>
      <t>Adres</t>
    </r>
  </si>
  <si>
    <r>
      <rPr>
        <b/>
        <sz val="11"/>
        <rFont val="Times New Roman"/>
        <family val="1"/>
        <charset val="238"/>
      </rPr>
      <t>II.     Oględziny</t>
    </r>
  </si>
  <si>
    <r>
      <rPr>
        <sz val="9"/>
        <rFont val="Times New Roman"/>
        <family val="1"/>
        <charset val="238"/>
      </rPr>
      <t>Typ oględzin</t>
    </r>
  </si>
  <si>
    <r>
      <rPr>
        <sz val="9"/>
        <rFont val="Times New Roman"/>
        <family val="1"/>
        <charset val="238"/>
      </rPr>
      <t>Ocena</t>
    </r>
  </si>
  <si>
    <r>
      <rPr>
        <sz val="9"/>
        <rFont val="Times New Roman"/>
        <family val="1"/>
        <charset val="238"/>
      </rPr>
      <t>Kontrola połączeń DC</t>
    </r>
  </si>
  <si>
    <r>
      <rPr>
        <sz val="9"/>
        <rFont val="Times New Roman"/>
        <family val="1"/>
        <charset val="238"/>
      </rPr>
      <t xml:space="preserve">Pozytywna / </t>
    </r>
    <r>
      <rPr>
        <strike/>
        <sz val="9"/>
        <rFont val="Times New Roman"/>
        <family val="1"/>
        <charset val="238"/>
      </rPr>
      <t>Negatywny</t>
    </r>
  </si>
  <si>
    <r>
      <rPr>
        <sz val="9"/>
        <rFont val="Times New Roman"/>
        <family val="1"/>
        <charset val="238"/>
      </rPr>
      <t>Kontrola ogranicznika przepięć DC</t>
    </r>
  </si>
  <si>
    <r>
      <rPr>
        <sz val="9"/>
        <rFont val="Times New Roman"/>
        <family val="1"/>
        <charset val="238"/>
      </rPr>
      <t>Kontrola ogranicznika przepięć AC</t>
    </r>
  </si>
  <si>
    <r>
      <rPr>
        <sz val="9"/>
        <rFont val="Times New Roman"/>
        <family val="1"/>
        <charset val="238"/>
      </rPr>
      <t>Kontrola połączeń AC</t>
    </r>
  </si>
  <si>
    <r>
      <rPr>
        <sz val="9"/>
        <rFont val="Times New Roman"/>
        <family val="1"/>
        <charset val="238"/>
      </rPr>
      <t>Kontrola oznakowania i identyfikacji DC i AC</t>
    </r>
  </si>
  <si>
    <r>
      <rPr>
        <sz val="9"/>
        <rFont val="Times New Roman"/>
        <family val="1"/>
        <charset val="238"/>
      </rPr>
      <t>Test ciągłości uziemienia i połączeń wyrównawczych</t>
    </r>
  </si>
  <si>
    <r>
      <rPr>
        <sz val="9"/>
        <rFont val="Times New Roman"/>
        <family val="1"/>
        <charset val="238"/>
      </rPr>
      <t>Test polaryzacji</t>
    </r>
  </si>
  <si>
    <r>
      <rPr>
        <b/>
        <sz val="11"/>
        <rFont val="Times New Roman"/>
        <family val="1"/>
        <charset val="238"/>
      </rPr>
      <t>III.   Pomiar strony DC</t>
    </r>
  </si>
  <si>
    <r>
      <rPr>
        <sz val="9"/>
        <rFont val="Times New Roman"/>
        <family val="1"/>
        <charset val="238"/>
      </rPr>
      <t>Miernik</t>
    </r>
  </si>
  <si>
    <t>Sonel MPI 520</t>
  </si>
  <si>
    <r>
      <rPr>
        <sz val="9"/>
        <rFont val="Times New Roman"/>
        <family val="1"/>
        <charset val="238"/>
      </rPr>
      <t>Nr seryjny</t>
    </r>
  </si>
  <si>
    <r>
      <rPr>
        <sz val="9"/>
        <rFont val="Times New Roman"/>
        <family val="1"/>
        <charset val="238"/>
      </rPr>
      <t>Napięcie pomiarowe [V]</t>
    </r>
  </si>
  <si>
    <r>
      <rPr>
        <sz val="9"/>
        <rFont val="Times New Roman"/>
        <family val="1"/>
        <charset val="238"/>
      </rPr>
      <t>Nasłonecznienie [W/m</t>
    </r>
    <r>
      <rPr>
        <vertAlign val="superscript"/>
        <sz val="9"/>
        <rFont val="Times New Roman"/>
        <family val="1"/>
        <charset val="238"/>
      </rPr>
      <t>2</t>
    </r>
    <r>
      <rPr>
        <sz val="9"/>
        <rFont val="Times New Roman"/>
        <family val="1"/>
        <charset val="238"/>
      </rPr>
      <t>]</t>
    </r>
  </si>
  <si>
    <r>
      <rPr>
        <sz val="9"/>
        <rFont val="Times New Roman"/>
        <family val="1"/>
        <charset val="238"/>
      </rPr>
      <t>Temperatura otoczenia [</t>
    </r>
    <r>
      <rPr>
        <vertAlign val="superscript"/>
        <sz val="9"/>
        <rFont val="Times New Roman"/>
        <family val="1"/>
        <charset val="238"/>
      </rPr>
      <t>o</t>
    </r>
    <r>
      <rPr>
        <sz val="9"/>
        <rFont val="Times New Roman"/>
        <family val="1"/>
        <charset val="238"/>
      </rPr>
      <t>C]</t>
    </r>
  </si>
  <si>
    <r>
      <rPr>
        <sz val="9"/>
        <rFont val="Times New Roman"/>
        <family val="1"/>
        <charset val="238"/>
      </rPr>
      <t>Temperatura modułu PV |</t>
    </r>
    <r>
      <rPr>
        <vertAlign val="superscript"/>
        <sz val="9"/>
        <rFont val="Times New Roman"/>
        <family val="1"/>
        <charset val="238"/>
      </rPr>
      <t>o</t>
    </r>
    <r>
      <rPr>
        <sz val="9"/>
        <rFont val="Times New Roman"/>
        <family val="1"/>
        <charset val="238"/>
      </rPr>
      <t>C|</t>
    </r>
  </si>
  <si>
    <r>
      <rPr>
        <sz val="9"/>
        <rFont val="Times New Roman"/>
        <family val="1"/>
        <charset val="238"/>
      </rPr>
      <t>I</t>
    </r>
    <r>
      <rPr>
        <sz val="6"/>
        <rFont val="Times New Roman"/>
        <family val="1"/>
        <charset val="238"/>
      </rPr>
      <t xml:space="preserve">sc </t>
    </r>
    <r>
      <rPr>
        <sz val="9"/>
        <rFont val="Times New Roman"/>
        <family val="1"/>
        <charset val="238"/>
      </rPr>
      <t>[A]</t>
    </r>
  </si>
  <si>
    <r>
      <rPr>
        <sz val="9"/>
        <rFont val="Times New Roman"/>
        <family val="1"/>
        <charset val="238"/>
      </rPr>
      <t>V</t>
    </r>
    <r>
      <rPr>
        <sz val="6"/>
        <rFont val="Times New Roman"/>
        <family val="1"/>
        <charset val="238"/>
      </rPr>
      <t xml:space="preserve">oc </t>
    </r>
    <r>
      <rPr>
        <sz val="9"/>
        <rFont val="Times New Roman"/>
        <family val="1"/>
        <charset val="238"/>
      </rPr>
      <t>[V]</t>
    </r>
  </si>
  <si>
    <r>
      <rPr>
        <vertAlign val="superscript"/>
        <sz val="9"/>
        <rFont val="Times New Roman"/>
        <family val="1"/>
        <charset val="238"/>
      </rPr>
      <t>R</t>
    </r>
    <r>
      <rPr>
        <sz val="6"/>
        <rFont val="Times New Roman"/>
        <family val="1"/>
        <charset val="238"/>
      </rPr>
      <t>iso</t>
    </r>
  </si>
  <si>
    <t>U/-)[MΩ]</t>
  </si>
  <si>
    <r>
      <rPr>
        <sz val="9"/>
        <rFont val="Times New Roman"/>
        <family val="1"/>
        <charset val="238"/>
      </rPr>
      <t>I</t>
    </r>
    <r>
      <rPr>
        <sz val="6"/>
        <rFont val="Times New Roman"/>
        <family val="1"/>
        <charset val="238"/>
      </rPr>
      <t xml:space="preserve">sc </t>
    </r>
    <r>
      <rPr>
        <sz val="9"/>
        <rFont val="Times New Roman"/>
        <family val="1"/>
        <charset val="238"/>
      </rPr>
      <t>(STC) [A]</t>
    </r>
  </si>
  <si>
    <r>
      <rPr>
        <sz val="9"/>
        <rFont val="Times New Roman"/>
        <family val="1"/>
        <charset val="238"/>
      </rPr>
      <t>P</t>
    </r>
    <r>
      <rPr>
        <sz val="6"/>
        <rFont val="Times New Roman"/>
        <family val="1"/>
        <charset val="238"/>
      </rPr>
      <t>max</t>
    </r>
    <r>
      <rPr>
        <sz val="9"/>
        <rFont val="Times New Roman"/>
        <family val="1"/>
        <charset val="238"/>
      </rPr>
      <t>(STC) [W]</t>
    </r>
  </si>
  <si>
    <t>Ilosc paneli w stringu</t>
  </si>
  <si>
    <r>
      <rPr>
        <b/>
        <sz val="11"/>
        <rFont val="Times New Roman"/>
        <family val="1"/>
        <charset val="238"/>
      </rPr>
      <t>IV.   Pomiar strony AC</t>
    </r>
  </si>
  <si>
    <r>
      <rPr>
        <b/>
        <sz val="9"/>
        <rFont val="Times New Roman"/>
        <family val="1"/>
        <charset val="238"/>
      </rPr>
      <t>Rezystancja izolacji</t>
    </r>
  </si>
  <si>
    <r>
      <rPr>
        <sz val="9"/>
        <rFont val="Times New Roman"/>
        <family val="1"/>
        <charset val="238"/>
      </rPr>
      <t>Temperatura [</t>
    </r>
    <r>
      <rPr>
        <vertAlign val="superscript"/>
        <sz val="9"/>
        <rFont val="Times New Roman"/>
        <family val="1"/>
        <charset val="238"/>
      </rPr>
      <t>o</t>
    </r>
    <r>
      <rPr>
        <sz val="9"/>
        <rFont val="Times New Roman"/>
        <family val="1"/>
        <charset val="238"/>
      </rPr>
      <t>C]</t>
    </r>
  </si>
  <si>
    <r>
      <rPr>
        <sz val="9"/>
        <rFont val="Times New Roman"/>
        <family val="1"/>
        <charset val="238"/>
      </rPr>
      <t>Przewód</t>
    </r>
  </si>
  <si>
    <r>
      <rPr>
        <sz val="9"/>
        <rFont val="Times New Roman"/>
        <family val="1"/>
        <charset val="238"/>
      </rPr>
      <t>Odcinek</t>
    </r>
  </si>
  <si>
    <r>
      <rPr>
        <sz val="9"/>
        <rFont val="Times New Roman"/>
        <family val="1"/>
        <charset val="238"/>
      </rPr>
      <t>Obwód</t>
    </r>
  </si>
  <si>
    <r>
      <rPr>
        <sz val="9"/>
        <rFont val="Times New Roman"/>
        <family val="1"/>
        <charset val="238"/>
      </rPr>
      <t>R</t>
    </r>
    <r>
      <rPr>
        <sz val="6"/>
        <rFont val="Times New Roman"/>
        <family val="1"/>
        <charset val="238"/>
      </rPr>
      <t xml:space="preserve">z </t>
    </r>
    <r>
      <rPr>
        <sz val="9"/>
        <rFont val="Times New Roman"/>
        <family val="1"/>
        <charset val="238"/>
      </rPr>
      <t>[MΩ]</t>
    </r>
  </si>
  <si>
    <r>
      <rPr>
        <sz val="9"/>
        <rFont val="Times New Roman"/>
        <family val="1"/>
        <charset val="238"/>
      </rPr>
      <t>Falownik - Zabezpieczenie AC nr 1</t>
    </r>
  </si>
  <si>
    <r>
      <rPr>
        <b/>
        <sz val="11"/>
        <rFont val="Times New Roman"/>
        <family val="1"/>
        <charset val="238"/>
      </rPr>
      <t xml:space="preserve">V.     </t>
    </r>
    <r>
      <rPr>
        <b/>
        <sz val="9"/>
        <rFont val="Times New Roman"/>
        <family val="1"/>
        <charset val="238"/>
      </rPr>
      <t>Badanie ochrony przeciwporażeniowej</t>
    </r>
  </si>
  <si>
    <r>
      <rPr>
        <sz val="9"/>
        <rFont val="Times New Roman"/>
        <family val="1"/>
        <charset val="238"/>
      </rPr>
      <t>Napięcie UI [V]</t>
    </r>
  </si>
  <si>
    <r>
      <rPr>
        <sz val="9"/>
        <rFont val="Times New Roman"/>
        <family val="1"/>
        <charset val="238"/>
      </rPr>
      <t>Napięcie U</t>
    </r>
    <r>
      <rPr>
        <vertAlign val="subscript"/>
        <sz val="9"/>
        <rFont val="Times New Roman"/>
        <family val="1"/>
        <charset val="238"/>
      </rPr>
      <t>0</t>
    </r>
    <r>
      <rPr>
        <sz val="9"/>
        <rFont val="Times New Roman"/>
        <family val="1"/>
        <charset val="238"/>
      </rPr>
      <t>[V]</t>
    </r>
  </si>
  <si>
    <r>
      <rPr>
        <sz val="9"/>
        <rFont val="Times New Roman"/>
        <family val="1"/>
        <charset val="238"/>
      </rPr>
      <t>Czas zadziałania ta [s]</t>
    </r>
  </si>
  <si>
    <r>
      <rPr>
        <sz val="9"/>
        <rFont val="Times New Roman"/>
        <family val="1"/>
        <charset val="238"/>
      </rPr>
      <t>Układ sieci</t>
    </r>
  </si>
  <si>
    <r>
      <rPr>
        <sz val="9"/>
        <rFont val="Times New Roman"/>
        <family val="1"/>
        <charset val="238"/>
      </rPr>
      <t>Prąd Ia zabezpieczenia [A]</t>
    </r>
  </si>
  <si>
    <r>
      <rPr>
        <sz val="9"/>
        <rFont val="Times New Roman"/>
        <family val="1"/>
        <charset val="238"/>
      </rPr>
      <t>Miejsce wpięcia</t>
    </r>
  </si>
  <si>
    <r>
      <rPr>
        <sz val="9"/>
        <rFont val="Times New Roman"/>
        <family val="1"/>
        <charset val="238"/>
      </rPr>
      <t xml:space="preserve">Pozytywna / </t>
    </r>
    <r>
      <rPr>
        <strike/>
        <sz val="9"/>
        <rFont val="Times New Roman"/>
        <family val="1"/>
        <charset val="238"/>
      </rPr>
      <t>Negatywna</t>
    </r>
  </si>
  <si>
    <r>
      <rPr>
        <b/>
        <sz val="11"/>
        <rFont val="Times New Roman"/>
        <family val="1"/>
        <charset val="238"/>
      </rPr>
      <t xml:space="preserve">VI.    </t>
    </r>
    <r>
      <rPr>
        <b/>
        <sz val="9"/>
        <rFont val="Times New Roman"/>
        <family val="1"/>
        <charset val="238"/>
      </rPr>
      <t>Pomiar uziemienia</t>
    </r>
  </si>
  <si>
    <r>
      <rPr>
        <sz val="9"/>
        <rFont val="Times New Roman"/>
        <family val="1"/>
        <charset val="238"/>
      </rPr>
      <t>Napięcie [V]</t>
    </r>
  </si>
  <si>
    <r>
      <rPr>
        <sz val="9"/>
        <rFont val="Times New Roman"/>
        <family val="1"/>
        <charset val="238"/>
      </rPr>
      <t>Typ uziomu</t>
    </r>
  </si>
  <si>
    <t>pionowy</t>
  </si>
  <si>
    <r>
      <rPr>
        <sz val="9"/>
        <rFont val="Times New Roman"/>
        <family val="1"/>
        <charset val="238"/>
      </rPr>
      <t>warunki</t>
    </r>
  </si>
  <si>
    <t>sucho</t>
  </si>
  <si>
    <r>
      <rPr>
        <sz val="9"/>
        <rFont val="Times New Roman"/>
        <family val="1"/>
        <charset val="238"/>
      </rPr>
      <t>Kg</t>
    </r>
  </si>
  <si>
    <r>
      <rPr>
        <sz val="9"/>
        <rFont val="Times New Roman"/>
        <family val="1"/>
        <charset val="238"/>
      </rPr>
      <t>Uziom</t>
    </r>
  </si>
  <si>
    <r>
      <rPr>
        <sz val="9"/>
        <rFont val="Times New Roman"/>
        <family val="1"/>
        <charset val="238"/>
      </rPr>
      <t>R</t>
    </r>
    <r>
      <rPr>
        <sz val="6"/>
        <rFont val="Times New Roman"/>
        <family val="1"/>
        <charset val="238"/>
      </rPr>
      <t xml:space="preserve">z </t>
    </r>
    <r>
      <rPr>
        <sz val="9"/>
        <rFont val="Times New Roman"/>
        <family val="1"/>
        <charset val="238"/>
      </rPr>
      <t>[Ω]</t>
    </r>
  </si>
  <si>
    <r>
      <rPr>
        <b/>
        <sz val="9"/>
        <rFont val="Times New Roman"/>
        <family val="1"/>
        <charset val="238"/>
      </rPr>
      <t>Ocena</t>
    </r>
  </si>
  <si>
    <r>
      <rPr>
        <sz val="9"/>
        <rFont val="Times New Roman"/>
        <family val="1"/>
        <charset val="238"/>
      </rPr>
      <t>ZK nr 1</t>
    </r>
  </si>
  <si>
    <r>
      <rPr>
        <sz val="9"/>
        <rFont val="Times New Roman"/>
        <family val="1"/>
        <charset val="238"/>
      </rPr>
      <t>ZK nr 2</t>
    </r>
  </si>
  <si>
    <r>
      <rPr>
        <b/>
        <sz val="11"/>
        <rFont val="Times New Roman"/>
        <family val="1"/>
        <charset val="238"/>
      </rPr>
      <t xml:space="preserve">VII. </t>
    </r>
    <r>
      <rPr>
        <b/>
        <sz val="9"/>
        <rFont val="Times New Roman"/>
        <family val="1"/>
        <charset val="238"/>
      </rPr>
      <t>Orzeczenie</t>
    </r>
  </si>
  <si>
    <r>
      <rPr>
        <b/>
        <sz val="9"/>
        <rFont val="Times New Roman"/>
        <family val="1"/>
        <charset val="238"/>
      </rPr>
      <t>Pomiary wykonał</t>
    </r>
  </si>
  <si>
    <r>
      <rPr>
        <b/>
        <sz val="9"/>
        <rFont val="Times New Roman"/>
        <family val="1"/>
        <charset val="238"/>
      </rPr>
      <t>Podpis</t>
    </r>
  </si>
  <si>
    <r>
      <rPr>
        <b/>
        <sz val="9"/>
        <rFont val="Times New Roman"/>
        <family val="1"/>
        <charset val="238"/>
      </rPr>
      <t>Nr uprawnień</t>
    </r>
  </si>
  <si>
    <t>Paweł Jarząbek</t>
  </si>
  <si>
    <t>D1/710/7914/20</t>
  </si>
  <si>
    <r>
      <rPr>
        <b/>
        <sz val="14"/>
        <rFont val="Times New Roman"/>
        <family val="1"/>
        <charset val="238"/>
      </rPr>
      <t>Legenda</t>
    </r>
  </si>
  <si>
    <r>
      <rPr>
        <b/>
        <sz val="9"/>
        <rFont val="Times New Roman"/>
        <family val="1"/>
        <charset val="238"/>
      </rPr>
      <t>II. Oględziny</t>
    </r>
  </si>
  <si>
    <r>
      <rPr>
        <b/>
        <sz val="9"/>
        <rFont val="Times New Roman"/>
        <family val="1"/>
        <charset val="238"/>
      </rPr>
      <t xml:space="preserve">Kontrola połączeń DC - </t>
    </r>
    <r>
      <rPr>
        <sz val="9"/>
        <rFont val="Times New Roman"/>
        <family val="1"/>
        <charset val="238"/>
      </rPr>
      <t>sprawdzenie połączeń DC (panele, zabezpieczenie, inwerter)</t>
    </r>
  </si>
  <si>
    <r>
      <rPr>
        <b/>
        <sz val="9"/>
        <rFont val="Times New Roman"/>
        <family val="1"/>
        <charset val="238"/>
      </rPr>
      <t xml:space="preserve">Kontrola ogranicznika przepięć DC - </t>
    </r>
    <r>
      <rPr>
        <sz val="9"/>
        <rFont val="Times New Roman"/>
        <family val="1"/>
        <charset val="238"/>
      </rPr>
      <t>sprawdzenie okienka rewizyjnego ogranicznika przepięć w</t>
    </r>
  </si>
  <si>
    <r>
      <rPr>
        <sz val="9"/>
        <rFont val="Times New Roman"/>
        <family val="1"/>
        <charset val="238"/>
      </rPr>
      <t>zabezpieczeniu DC (zielone - pozytywne, czerwone - negatywne)</t>
    </r>
  </si>
  <si>
    <r>
      <rPr>
        <b/>
        <sz val="9"/>
        <rFont val="Times New Roman"/>
        <family val="1"/>
        <charset val="238"/>
      </rPr>
      <t xml:space="preserve">Kontrola ogranicznika przepięć AC - </t>
    </r>
    <r>
      <rPr>
        <sz val="9"/>
        <rFont val="Times New Roman"/>
        <family val="1"/>
        <charset val="238"/>
      </rPr>
      <t>sprawdzenie okienka rewizyjnego ogranicznika przepięć w</t>
    </r>
  </si>
  <si>
    <r>
      <rPr>
        <sz val="9"/>
        <rFont val="Times New Roman"/>
        <family val="1"/>
        <charset val="238"/>
      </rPr>
      <t>zabezpieczeniu AC (zielone - pozytywne, czerwone - negatywne)</t>
    </r>
  </si>
  <si>
    <r>
      <rPr>
        <b/>
        <sz val="9"/>
        <rFont val="Times New Roman"/>
        <family val="1"/>
        <charset val="238"/>
      </rPr>
      <t xml:space="preserve">Kontrola połączeń AC - </t>
    </r>
    <r>
      <rPr>
        <sz val="9"/>
        <rFont val="Times New Roman"/>
        <family val="1"/>
        <charset val="238"/>
      </rPr>
      <t>sprawdzenie poprawności połączeń AC (zabezpieczenie, miejsce wpięcia,</t>
    </r>
  </si>
  <si>
    <r>
      <rPr>
        <sz val="9"/>
        <rFont val="Times New Roman"/>
        <family val="1"/>
        <charset val="238"/>
      </rPr>
      <t>inwerter), sprawdzenie trwałości połączeń (czy przewody są odpowiednio mocno przyłączone)</t>
    </r>
  </si>
  <si>
    <r>
      <rPr>
        <b/>
        <sz val="9"/>
        <rFont val="Times New Roman"/>
        <family val="1"/>
        <charset val="238"/>
      </rPr>
      <t xml:space="preserve">Kontrola oznakowania i identyfikacji DC i AC - </t>
    </r>
    <r>
      <rPr>
        <sz val="9"/>
        <rFont val="Times New Roman"/>
        <family val="1"/>
        <charset val="238"/>
      </rPr>
      <t>sprawdzenie poprawności oznakowania instalacji (opisy</t>
    </r>
  </si>
  <si>
    <r>
      <rPr>
        <sz val="9"/>
        <rFont val="Times New Roman"/>
        <family val="1"/>
        <charset val="238"/>
      </rPr>
      <t>na przewodach, schemat, naklejki na zabezpieczeniach i inwerterze, naklejki w rozdzielni głównej, złączu</t>
    </r>
  </si>
  <si>
    <r>
      <rPr>
        <sz val="9"/>
        <rFont val="Times New Roman"/>
        <family val="1"/>
        <charset val="238"/>
      </rPr>
      <t>licznikowym, złączu kablowym)</t>
    </r>
  </si>
  <si>
    <r>
      <rPr>
        <b/>
        <sz val="9"/>
        <rFont val="Times New Roman"/>
        <family val="1"/>
        <charset val="238"/>
      </rPr>
      <t xml:space="preserve">Test ciągłości uziemiania i połączeń wyrównawczych - </t>
    </r>
    <r>
      <rPr>
        <sz val="9"/>
        <rFont val="Times New Roman"/>
        <family val="1"/>
        <charset val="238"/>
      </rPr>
      <t>sprawdzenie miernikiem poprawności połączeń</t>
    </r>
  </si>
  <si>
    <r>
      <rPr>
        <sz val="9"/>
        <rFont val="Times New Roman"/>
        <family val="1"/>
        <charset val="238"/>
      </rPr>
      <t>instalacji uziemiających i wyrównawczych</t>
    </r>
  </si>
  <si>
    <r>
      <rPr>
        <b/>
        <sz val="9"/>
        <rFont val="Times New Roman"/>
        <family val="1"/>
        <charset val="238"/>
      </rPr>
      <t xml:space="preserve">Test polaryzacji - </t>
    </r>
    <r>
      <rPr>
        <sz val="9"/>
        <rFont val="Times New Roman"/>
        <family val="1"/>
        <charset val="238"/>
      </rPr>
      <t>sprawdzenie polaryzacji DC przy inwerterze</t>
    </r>
  </si>
  <si>
    <r>
      <rPr>
        <b/>
        <sz val="9"/>
        <rFont val="Times New Roman"/>
        <family val="1"/>
        <charset val="238"/>
      </rPr>
      <t>III. Pomiary strony DC</t>
    </r>
  </si>
  <si>
    <r>
      <rPr>
        <b/>
        <sz val="9"/>
        <rFont val="Times New Roman"/>
        <family val="1"/>
        <charset val="238"/>
      </rPr>
      <t xml:space="preserve">Napięcie pomiarowe - </t>
    </r>
    <r>
      <rPr>
        <sz val="9"/>
        <rFont val="Times New Roman"/>
        <family val="1"/>
        <charset val="238"/>
      </rPr>
      <t>napięcie pomiarowe DC użyte przy pomiarze rezystancji izolacji Riso</t>
    </r>
  </si>
  <si>
    <r>
      <rPr>
        <b/>
        <sz val="9"/>
        <rFont val="Times New Roman"/>
        <family val="1"/>
        <charset val="238"/>
      </rPr>
      <t xml:space="preserve">Nasłonecznie - </t>
    </r>
    <r>
      <rPr>
        <sz val="9"/>
        <rFont val="Times New Roman"/>
        <family val="1"/>
        <charset val="238"/>
      </rPr>
      <t>nasłonecznie w czasie wykonywania pomiarów</t>
    </r>
  </si>
  <si>
    <r>
      <rPr>
        <b/>
        <sz val="9"/>
        <rFont val="Times New Roman"/>
        <family val="1"/>
        <charset val="238"/>
      </rPr>
      <t xml:space="preserve">Temperatura otoczenia - </t>
    </r>
    <r>
      <rPr>
        <sz val="9"/>
        <rFont val="Times New Roman"/>
        <family val="1"/>
        <charset val="238"/>
      </rPr>
      <t>temperatura otoczenia mierzona w czasie pomiarów</t>
    </r>
  </si>
  <si>
    <r>
      <rPr>
        <b/>
        <sz val="9"/>
        <rFont val="Times New Roman"/>
        <family val="1"/>
        <charset val="238"/>
      </rPr>
      <t xml:space="preserve">Temperatura otoczenia - </t>
    </r>
    <r>
      <rPr>
        <sz val="9"/>
        <rFont val="Times New Roman"/>
        <family val="1"/>
        <charset val="238"/>
      </rPr>
      <t>temperatura modułów mierzona w czasie pomiarów</t>
    </r>
  </si>
  <si>
    <r>
      <rPr>
        <b/>
        <sz val="9"/>
        <rFont val="Times New Roman"/>
        <family val="1"/>
        <charset val="238"/>
      </rPr>
      <t>I</t>
    </r>
    <r>
      <rPr>
        <b/>
        <sz val="6"/>
        <rFont val="Times New Roman"/>
        <family val="1"/>
        <charset val="238"/>
      </rPr>
      <t>sc</t>
    </r>
    <r>
      <rPr>
        <b/>
        <sz val="9"/>
        <rFont val="Times New Roman"/>
        <family val="1"/>
        <charset val="238"/>
      </rPr>
      <t xml:space="preserve">[A] - </t>
    </r>
    <r>
      <rPr>
        <sz val="9"/>
        <rFont val="Times New Roman"/>
        <family val="1"/>
        <charset val="238"/>
      </rPr>
      <t>prąd zwarciowy instalacji mierzony przy danym naświetleniu</t>
    </r>
  </si>
  <si>
    <r>
      <rPr>
        <b/>
        <sz val="9"/>
        <rFont val="Times New Roman"/>
        <family val="1"/>
        <charset val="238"/>
      </rPr>
      <t>V</t>
    </r>
    <r>
      <rPr>
        <b/>
        <sz val="6"/>
        <rFont val="Times New Roman"/>
        <family val="1"/>
        <charset val="238"/>
      </rPr>
      <t>oc</t>
    </r>
    <r>
      <rPr>
        <b/>
        <sz val="9"/>
        <rFont val="Times New Roman"/>
        <family val="1"/>
        <charset val="238"/>
      </rPr>
      <t xml:space="preserve">[V] - </t>
    </r>
    <r>
      <rPr>
        <sz val="9"/>
        <rFont val="Times New Roman"/>
        <family val="1"/>
        <charset val="238"/>
      </rPr>
      <t>napięcie jałowe instalacji mierzony przy danym naświetleniu</t>
    </r>
  </si>
  <si>
    <r>
      <rPr>
        <b/>
        <sz val="9"/>
        <rFont val="Times New Roman"/>
        <family val="1"/>
        <charset val="238"/>
      </rPr>
      <t>R</t>
    </r>
    <r>
      <rPr>
        <b/>
        <sz val="6"/>
        <rFont val="Times New Roman"/>
        <family val="1"/>
        <charset val="238"/>
      </rPr>
      <t xml:space="preserve">iso </t>
    </r>
    <r>
      <rPr>
        <b/>
        <sz val="9"/>
        <rFont val="Times New Roman"/>
        <family val="1"/>
        <charset val="238"/>
      </rPr>
      <t xml:space="preserve">- </t>
    </r>
    <r>
      <rPr>
        <sz val="9"/>
        <rFont val="Times New Roman"/>
        <family val="1"/>
        <charset val="238"/>
      </rPr>
      <t>Rezystancja izolacji przewodów DC, mierzona przy napięciu</t>
    </r>
  </si>
  <si>
    <r>
      <rPr>
        <b/>
        <sz val="9"/>
        <rFont val="Times New Roman"/>
        <family val="1"/>
        <charset val="238"/>
      </rPr>
      <t xml:space="preserve">Isc(STC)[A] - </t>
    </r>
    <r>
      <rPr>
        <sz val="9"/>
        <rFont val="Times New Roman"/>
        <family val="1"/>
        <charset val="238"/>
      </rPr>
      <t>prąd zwarciowy instalacji dla warunków STC</t>
    </r>
  </si>
  <si>
    <r>
      <rPr>
        <b/>
        <sz val="9"/>
        <rFont val="Times New Roman"/>
        <family val="1"/>
        <charset val="238"/>
      </rPr>
      <t xml:space="preserve">Pmax(STC) [W] - </t>
    </r>
    <r>
      <rPr>
        <sz val="9"/>
        <rFont val="Times New Roman"/>
        <family val="1"/>
        <charset val="238"/>
      </rPr>
      <t>moc maksymalna instalacji dla warunków STC</t>
    </r>
  </si>
  <si>
    <r>
      <rPr>
        <b/>
        <sz val="9"/>
        <rFont val="Times New Roman"/>
        <family val="1"/>
        <charset val="238"/>
      </rPr>
      <t>IV. Pomiary strony AC - Rezystancja izolacji</t>
    </r>
  </si>
  <si>
    <r>
      <rPr>
        <b/>
        <sz val="9"/>
        <rFont val="Times New Roman"/>
        <family val="1"/>
        <charset val="238"/>
      </rPr>
      <t xml:space="preserve">Napięcie pomiarowe - </t>
    </r>
    <r>
      <rPr>
        <sz val="9"/>
        <rFont val="Times New Roman"/>
        <family val="1"/>
        <charset val="238"/>
      </rPr>
      <t>napięcie pomiarowe DC użyte przy pomiarze rezystancji izolacji</t>
    </r>
  </si>
  <si>
    <r>
      <rPr>
        <b/>
        <sz val="9"/>
        <rFont val="Times New Roman"/>
        <family val="1"/>
        <charset val="238"/>
      </rPr>
      <t xml:space="preserve">Temperatura - </t>
    </r>
    <r>
      <rPr>
        <sz val="9"/>
        <rFont val="Times New Roman"/>
        <family val="1"/>
        <charset val="238"/>
      </rPr>
      <t>temperatura otoczenia mierzona w czasie pomiarów</t>
    </r>
  </si>
  <si>
    <r>
      <rPr>
        <b/>
        <sz val="9"/>
        <rFont val="Times New Roman"/>
        <family val="1"/>
        <charset val="238"/>
      </rPr>
      <t xml:space="preserve">Przewód - </t>
    </r>
    <r>
      <rPr>
        <sz val="9"/>
        <rFont val="Times New Roman"/>
        <family val="1"/>
        <charset val="238"/>
      </rPr>
      <t>typ i przekrój mierzonego przewodu</t>
    </r>
  </si>
  <si>
    <r>
      <rPr>
        <b/>
        <sz val="9"/>
        <rFont val="Times New Roman"/>
        <family val="1"/>
        <charset val="238"/>
      </rPr>
      <t xml:space="preserve">Odcinek - </t>
    </r>
    <r>
      <rPr>
        <sz val="9"/>
        <rFont val="Times New Roman"/>
        <family val="1"/>
        <charset val="238"/>
      </rPr>
      <t>mierzony odcinek przewodu</t>
    </r>
  </si>
  <si>
    <r>
      <rPr>
        <b/>
        <sz val="9"/>
        <rFont val="Times New Roman"/>
        <family val="1"/>
        <charset val="238"/>
      </rPr>
      <t xml:space="preserve">Obwód - </t>
    </r>
    <r>
      <rPr>
        <sz val="9"/>
        <rFont val="Times New Roman"/>
        <family val="1"/>
        <charset val="238"/>
      </rPr>
      <t>mierzony obwód przewodu</t>
    </r>
  </si>
  <si>
    <r>
      <rPr>
        <b/>
        <sz val="9"/>
        <rFont val="Times New Roman"/>
        <family val="1"/>
        <charset val="238"/>
      </rPr>
      <t>R</t>
    </r>
    <r>
      <rPr>
        <b/>
        <vertAlign val="subscript"/>
        <sz val="9"/>
        <rFont val="Times New Roman"/>
        <family val="1"/>
        <charset val="238"/>
      </rPr>
      <t>dop</t>
    </r>
    <r>
      <rPr>
        <b/>
        <sz val="9"/>
        <rFont val="Times New Roman"/>
        <family val="1"/>
        <charset val="238"/>
      </rPr>
      <t xml:space="preserve">[MO| - </t>
    </r>
    <r>
      <rPr>
        <sz val="9"/>
        <rFont val="Times New Roman"/>
        <family val="1"/>
        <charset val="238"/>
      </rPr>
      <t>rezystancja dopuszczalna wyrażona w mega omach</t>
    </r>
  </si>
  <si>
    <r>
      <rPr>
        <b/>
        <sz val="9"/>
        <rFont val="Times New Roman"/>
        <family val="1"/>
        <charset val="238"/>
      </rPr>
      <t>R</t>
    </r>
    <r>
      <rPr>
        <b/>
        <sz val="6"/>
        <rFont val="Times New Roman"/>
        <family val="1"/>
        <charset val="238"/>
      </rPr>
      <t>,</t>
    </r>
    <r>
      <rPr>
        <b/>
        <sz val="9"/>
        <rFont val="Times New Roman"/>
        <family val="1"/>
        <charset val="238"/>
      </rPr>
      <t xml:space="preserve">|MQ.| - </t>
    </r>
    <r>
      <rPr>
        <sz val="9"/>
        <rFont val="Times New Roman"/>
        <family val="1"/>
        <charset val="238"/>
      </rPr>
      <t>rezystancja zmierzona wyrażona w mega omach</t>
    </r>
  </si>
  <si>
    <r>
      <rPr>
        <b/>
        <sz val="9"/>
        <rFont val="Times New Roman"/>
        <family val="1"/>
        <charset val="238"/>
      </rPr>
      <t>V. Badanie ochrony przeciwporażeniowej</t>
    </r>
  </si>
  <si>
    <r>
      <rPr>
        <b/>
        <sz val="9"/>
        <rFont val="Times New Roman"/>
        <family val="1"/>
        <charset val="238"/>
      </rPr>
      <t xml:space="preserve">Napięcie UI - </t>
    </r>
    <r>
      <rPr>
        <sz val="9"/>
        <rFont val="Times New Roman"/>
        <family val="1"/>
        <charset val="238"/>
      </rPr>
      <t>napięcie dotykowe</t>
    </r>
  </si>
  <si>
    <r>
      <rPr>
        <b/>
        <sz val="9"/>
        <rFont val="Times New Roman"/>
        <family val="1"/>
        <charset val="238"/>
      </rPr>
      <t>Napięcie U</t>
    </r>
    <r>
      <rPr>
        <b/>
        <sz val="6"/>
        <rFont val="Times New Roman"/>
        <family val="1"/>
        <charset val="238"/>
      </rPr>
      <t xml:space="preserve">0 </t>
    </r>
    <r>
      <rPr>
        <b/>
        <sz val="9"/>
        <rFont val="Times New Roman"/>
        <family val="1"/>
        <charset val="238"/>
      </rPr>
      <t xml:space="preserve">- </t>
    </r>
    <r>
      <rPr>
        <sz val="9"/>
        <rFont val="Times New Roman"/>
        <family val="1"/>
        <charset val="238"/>
      </rPr>
      <t>napięcie sieciowe</t>
    </r>
  </si>
  <si>
    <r>
      <rPr>
        <b/>
        <sz val="9"/>
        <rFont val="Times New Roman"/>
        <family val="1"/>
        <charset val="238"/>
      </rPr>
      <t xml:space="preserve">Układ sieci - </t>
    </r>
    <r>
      <rPr>
        <sz val="9"/>
        <rFont val="Times New Roman"/>
        <family val="1"/>
        <charset val="238"/>
      </rPr>
      <t>układ pracy sieci w badanym obwodzie (TN-C-S, TN-C, TT)</t>
    </r>
  </si>
  <si>
    <r>
      <rPr>
        <b/>
        <sz val="9"/>
        <rFont val="Times New Roman"/>
        <family val="1"/>
        <charset val="238"/>
      </rPr>
      <t xml:space="preserve">Zabezpieczenie - </t>
    </r>
    <r>
      <rPr>
        <sz val="9"/>
        <rFont val="Times New Roman"/>
        <family val="1"/>
        <charset val="238"/>
      </rPr>
      <t>typ mierzonego zabezpieczenia</t>
    </r>
  </si>
  <si>
    <r>
      <rPr>
        <b/>
        <sz val="9"/>
        <rFont val="Times New Roman"/>
        <family val="1"/>
        <charset val="238"/>
      </rPr>
      <t>Prąd I</t>
    </r>
    <r>
      <rPr>
        <b/>
        <sz val="6"/>
        <rFont val="Times New Roman"/>
        <family val="1"/>
        <charset val="238"/>
      </rPr>
      <t xml:space="preserve">a </t>
    </r>
    <r>
      <rPr>
        <b/>
        <sz val="9"/>
        <rFont val="Times New Roman"/>
        <family val="1"/>
        <charset val="238"/>
      </rPr>
      <t xml:space="preserve">zabezpieczenia- </t>
    </r>
    <r>
      <rPr>
        <sz val="9"/>
        <rFont val="Times New Roman"/>
        <family val="1"/>
        <charset val="238"/>
      </rPr>
      <t>prąd wyzwolenia zabezpieczenia</t>
    </r>
  </si>
  <si>
    <r>
      <rPr>
        <b/>
        <sz val="9"/>
        <rFont val="Times New Roman"/>
        <family val="1"/>
        <charset val="238"/>
      </rPr>
      <t xml:space="preserve">Obwód </t>
    </r>
    <r>
      <rPr>
        <sz val="9"/>
        <rFont val="Times New Roman"/>
        <family val="1"/>
        <charset val="238"/>
      </rPr>
      <t>- nazwa mierzonego obwodu (miejsce wpięcia)</t>
    </r>
  </si>
  <si>
    <r>
      <rPr>
        <b/>
        <vertAlign val="superscript"/>
        <sz val="6"/>
        <rFont val="Times New Roman"/>
        <family val="1"/>
        <charset val="238"/>
      </rPr>
      <t>Zs</t>
    </r>
    <r>
      <rPr>
        <b/>
        <sz val="6"/>
        <rFont val="Times New Roman"/>
        <family val="1"/>
        <charset val="238"/>
      </rPr>
      <t xml:space="preserve">dop </t>
    </r>
    <r>
      <rPr>
        <b/>
        <vertAlign val="superscript"/>
        <sz val="6"/>
        <rFont val="Times New Roman"/>
        <family val="1"/>
        <charset val="238"/>
      </rPr>
      <t>[O]</t>
    </r>
    <r>
      <rPr>
        <b/>
        <sz val="6"/>
        <rFont val="Times New Roman"/>
        <family val="1"/>
        <charset val="238"/>
      </rPr>
      <t xml:space="preserve"> </t>
    </r>
    <r>
      <rPr>
        <sz val="9"/>
        <rFont val="Times New Roman"/>
        <family val="1"/>
        <charset val="238"/>
      </rPr>
      <t>- wartość dopuszczalna impedancji pętli zwarcia</t>
    </r>
  </si>
  <si>
    <r>
      <rPr>
        <b/>
        <sz val="9"/>
        <rFont val="Times New Roman"/>
        <family val="1"/>
        <charset val="238"/>
      </rPr>
      <t>Zs</t>
    </r>
    <r>
      <rPr>
        <b/>
        <vertAlign val="subscript"/>
        <sz val="9"/>
        <rFont val="Times New Roman"/>
        <family val="1"/>
        <charset val="238"/>
      </rPr>
      <t>z</t>
    </r>
    <r>
      <rPr>
        <b/>
        <sz val="9"/>
        <rFont val="Times New Roman"/>
        <family val="1"/>
        <charset val="238"/>
      </rPr>
      <t xml:space="preserve"> [O] </t>
    </r>
    <r>
      <rPr>
        <sz val="9"/>
        <rFont val="Times New Roman"/>
        <family val="1"/>
        <charset val="238"/>
      </rPr>
      <t>- wartość zmierzona impedancji pętli zwarcia</t>
    </r>
  </si>
  <si>
    <r>
      <rPr>
        <b/>
        <sz val="9"/>
        <rFont val="Times New Roman"/>
        <family val="1"/>
        <charset val="238"/>
      </rPr>
      <t>VI. Pomiar uziemienia</t>
    </r>
  </si>
  <si>
    <r>
      <rPr>
        <b/>
        <sz val="9"/>
        <rFont val="Times New Roman"/>
        <family val="1"/>
        <charset val="238"/>
      </rPr>
      <t xml:space="preserve">Napięcie - </t>
    </r>
    <r>
      <rPr>
        <sz val="9"/>
        <rFont val="Times New Roman"/>
        <family val="1"/>
        <charset val="238"/>
      </rPr>
      <t>napięcie pomiarowe użyte przy pomiarze</t>
    </r>
  </si>
  <si>
    <r>
      <rPr>
        <b/>
        <sz val="9"/>
        <rFont val="Times New Roman"/>
        <family val="1"/>
        <charset val="238"/>
      </rPr>
      <t xml:space="preserve">Typ uziemienia - </t>
    </r>
    <r>
      <rPr>
        <sz val="9"/>
        <rFont val="Times New Roman"/>
        <family val="1"/>
        <charset val="238"/>
      </rPr>
      <t>typ mierzonego uziemienia (pionowy albo poziomy)</t>
    </r>
  </si>
  <si>
    <r>
      <rPr>
        <b/>
        <sz val="9"/>
        <rFont val="Times New Roman"/>
        <family val="1"/>
        <charset val="238"/>
      </rPr>
      <t xml:space="preserve">Warunki - </t>
    </r>
    <r>
      <rPr>
        <sz val="9"/>
        <rFont val="Times New Roman"/>
        <family val="1"/>
        <charset val="238"/>
      </rPr>
      <t>warunki pogodowe (sucho albo mokro)</t>
    </r>
  </si>
  <si>
    <r>
      <rPr>
        <b/>
        <sz val="9"/>
        <rFont val="Times New Roman"/>
        <family val="1"/>
        <charset val="238"/>
      </rPr>
      <t xml:space="preserve">Kg - </t>
    </r>
    <r>
      <rPr>
        <sz val="9"/>
        <rFont val="Times New Roman"/>
        <family val="1"/>
        <charset val="238"/>
      </rPr>
      <t>współczynnik korekcyjny (1,2 - dla sucho lub 1,6 mokro)</t>
    </r>
  </si>
  <si>
    <r>
      <rPr>
        <b/>
        <sz val="9"/>
        <rFont val="Times New Roman"/>
        <family val="1"/>
        <charset val="238"/>
      </rPr>
      <t xml:space="preserve">Uziom - </t>
    </r>
    <r>
      <rPr>
        <sz val="9"/>
        <rFont val="Times New Roman"/>
        <family val="1"/>
        <charset val="238"/>
      </rPr>
      <t>nazwa mierzonego uziemienia</t>
    </r>
  </si>
  <si>
    <r>
      <rPr>
        <b/>
        <sz val="9"/>
        <rFont val="Times New Roman"/>
        <family val="1"/>
        <charset val="238"/>
      </rPr>
      <t>R</t>
    </r>
    <r>
      <rPr>
        <b/>
        <sz val="6"/>
        <rFont val="Times New Roman"/>
        <family val="1"/>
        <charset val="238"/>
      </rPr>
      <t>dop</t>
    </r>
    <r>
      <rPr>
        <b/>
        <sz val="9"/>
        <rFont val="Times New Roman"/>
        <family val="1"/>
        <charset val="238"/>
      </rPr>
      <t xml:space="preserve">[O| - </t>
    </r>
    <r>
      <rPr>
        <sz val="9"/>
        <rFont val="Times New Roman"/>
        <family val="1"/>
        <charset val="238"/>
      </rPr>
      <t>dopuszczalna wartość rezystancji uziemienia po przeliczeniu</t>
    </r>
  </si>
  <si>
    <r>
      <rPr>
        <b/>
        <sz val="9"/>
        <rFont val="Times New Roman"/>
        <family val="1"/>
        <charset val="238"/>
      </rPr>
      <t>R</t>
    </r>
    <r>
      <rPr>
        <b/>
        <sz val="6"/>
        <rFont val="Times New Roman"/>
        <family val="1"/>
        <charset val="238"/>
      </rPr>
      <t xml:space="preserve">Z </t>
    </r>
    <r>
      <rPr>
        <b/>
        <sz val="9"/>
        <rFont val="Times New Roman"/>
        <family val="1"/>
        <charset val="238"/>
      </rPr>
      <t xml:space="preserve">[O| </t>
    </r>
    <r>
      <rPr>
        <sz val="9"/>
        <rFont val="Times New Roman"/>
        <family val="1"/>
        <charset val="238"/>
      </rPr>
      <t>- zmierzona wartość rezystancji uziemienia po przeliczeniu przez Kg</t>
    </r>
  </si>
  <si>
    <t>zabezpieczenie</t>
  </si>
  <si>
    <t>I</t>
  </si>
  <si>
    <t>Zs dop</t>
  </si>
  <si>
    <t>Zsz</t>
  </si>
  <si>
    <t>ohm</t>
  </si>
  <si>
    <t>Isc</t>
  </si>
  <si>
    <t>TVoc</t>
  </si>
  <si>
    <t>Voc</t>
  </si>
  <si>
    <t>Pmax</t>
  </si>
  <si>
    <t>Eco-Delta 330</t>
  </si>
  <si>
    <t>Suntech 370</t>
  </si>
  <si>
    <t>Suntech 375</t>
  </si>
  <si>
    <t>Suntech 380</t>
  </si>
  <si>
    <t>SunTech 400</t>
  </si>
  <si>
    <t>Amerisolar 280</t>
  </si>
  <si>
    <t>UL-440M</t>
  </si>
  <si>
    <t>CSUN 310</t>
  </si>
  <si>
    <t>UL-410M</t>
  </si>
  <si>
    <r>
      <t xml:space="preserve">Pozytywna/ </t>
    </r>
    <r>
      <rPr>
        <strike/>
        <sz val="8"/>
        <rFont val="Times New Roman"/>
        <family val="1"/>
        <charset val="238"/>
      </rPr>
      <t>Negatywna</t>
    </r>
  </si>
  <si>
    <r>
      <rPr>
        <sz val="9"/>
        <rFont val="Times New Roman"/>
        <family val="1"/>
        <charset val="238"/>
      </rPr>
      <t>R</t>
    </r>
    <r>
      <rPr>
        <sz val="6"/>
        <rFont val="Times New Roman"/>
        <family val="1"/>
        <charset val="238"/>
      </rPr>
      <t xml:space="preserve">dop </t>
    </r>
    <r>
      <rPr>
        <vertAlign val="superscript"/>
        <sz val="9"/>
        <rFont val="Times New Roman"/>
        <family val="1"/>
        <charset val="238"/>
      </rPr>
      <t>[MΩ]</t>
    </r>
  </si>
  <si>
    <r>
      <rPr>
        <sz val="9"/>
        <rFont val="Times New Roman"/>
        <family val="1"/>
        <charset val="238"/>
      </rPr>
      <t>Zs</t>
    </r>
    <r>
      <rPr>
        <sz val="6"/>
        <rFont val="Times New Roman"/>
        <family val="1"/>
        <charset val="238"/>
      </rPr>
      <t xml:space="preserve">dop </t>
    </r>
    <r>
      <rPr>
        <sz val="9"/>
        <rFont val="Times New Roman"/>
        <family val="1"/>
        <charset val="238"/>
      </rPr>
      <t>[Ω]</t>
    </r>
  </si>
  <si>
    <r>
      <rPr>
        <sz val="9"/>
        <rFont val="Times New Roman"/>
        <family val="1"/>
        <charset val="238"/>
      </rPr>
      <t xml:space="preserve">Zs </t>
    </r>
    <r>
      <rPr>
        <vertAlign val="subscript"/>
        <sz val="9"/>
        <rFont val="Times New Roman"/>
        <family val="1"/>
        <charset val="238"/>
      </rPr>
      <t>Z</t>
    </r>
    <r>
      <rPr>
        <sz val="9"/>
        <rFont val="Times New Roman"/>
        <family val="1"/>
        <charset val="238"/>
      </rPr>
      <t>[Ω]</t>
    </r>
  </si>
  <si>
    <r>
      <rPr>
        <vertAlign val="superscript"/>
        <sz val="9"/>
        <rFont val="Times New Roman"/>
        <family val="1"/>
        <charset val="238"/>
      </rPr>
      <t>R</t>
    </r>
    <r>
      <rPr>
        <sz val="6"/>
        <rFont val="Times New Roman"/>
        <family val="1"/>
        <charset val="238"/>
      </rPr>
      <t xml:space="preserve">dop </t>
    </r>
    <r>
      <rPr>
        <sz val="8"/>
        <rFont val="Times New Roman"/>
        <family val="1"/>
        <charset val="238"/>
      </rPr>
      <t>[Ω]</t>
    </r>
  </si>
  <si>
    <t>YDY 5X2,5mm</t>
  </si>
  <si>
    <t>NIP</t>
  </si>
  <si>
    <t>Numer umowy:</t>
  </si>
  <si>
    <t>Data podpisania</t>
  </si>
  <si>
    <t>Zaślepka</t>
  </si>
  <si>
    <r>
      <t xml:space="preserve">Liczba </t>
    </r>
    <r>
      <rPr>
        <b/>
        <u/>
        <sz val="11"/>
        <color theme="1"/>
        <rFont val="Calibri"/>
        <family val="2"/>
        <charset val="238"/>
        <scheme val="minor"/>
      </rPr>
      <t>kompletów</t>
    </r>
    <r>
      <rPr>
        <sz val="11"/>
        <color theme="1"/>
        <rFont val="Calibri"/>
        <family val="2"/>
        <charset val="238"/>
        <scheme val="minor"/>
      </rPr>
      <t xml:space="preserve"> nóg</t>
    </r>
  </si>
  <si>
    <t>LONGi-450</t>
  </si>
  <si>
    <t>Risen -415</t>
  </si>
  <si>
    <t>Uziemienie</t>
  </si>
  <si>
    <t>IMIĘ I NAZWISKO INSTALATORA:</t>
  </si>
  <si>
    <t>DATA MONTAŻU:</t>
  </si>
  <si>
    <t>INWERTER / POMPA CIEPŁA</t>
  </si>
  <si>
    <t>NUMER SERYJNY</t>
  </si>
  <si>
    <t>KABEL SOLARNY CZARNY</t>
  </si>
  <si>
    <t>4MM</t>
  </si>
  <si>
    <t>6MM</t>
  </si>
  <si>
    <t>KABEL SOLARNY CZERWONY</t>
  </si>
  <si>
    <t>KABEL LGY PE</t>
  </si>
  <si>
    <t>KABEL YDY</t>
  </si>
  <si>
    <t>KABEL LINKA</t>
  </si>
  <si>
    <t>KABEL SIECIOWY</t>
  </si>
  <si>
    <t>KABEL ZIEMNY</t>
  </si>
  <si>
    <t>DŁAWIK KABLOWY</t>
  </si>
  <si>
    <t>PG-7</t>
  </si>
  <si>
    <t>PG-9</t>
  </si>
  <si>
    <t>PG-11</t>
  </si>
  <si>
    <t>PG-16</t>
  </si>
  <si>
    <t>RURA KARBOWANA UV (PESZEL)</t>
  </si>
  <si>
    <t>RURA RODK (AROTA NIEBIESKA)</t>
  </si>
  <si>
    <t>RURA SZTYWNA BIAŁA</t>
  </si>
  <si>
    <t>ZŁĄCZKA KOMPENSACYJNA (KOLANKO)</t>
  </si>
  <si>
    <t>UCHWYT PESZLA</t>
  </si>
  <si>
    <t>UP-30</t>
  </si>
  <si>
    <t>UP-50</t>
  </si>
  <si>
    <t>UCHWYT ZAMYKANY</t>
  </si>
  <si>
    <t>LISTWA ZACISKOWA LTF</t>
  </si>
  <si>
    <t>12x4</t>
  </si>
  <si>
    <t>12x10</t>
  </si>
  <si>
    <t>12x16</t>
  </si>
  <si>
    <t>12x25</t>
  </si>
  <si>
    <t>KORYTKO KABLOWE</t>
  </si>
  <si>
    <t>10x10</t>
  </si>
  <si>
    <t>30x30</t>
  </si>
  <si>
    <t>40x40</t>
  </si>
  <si>
    <t>60x40</t>
  </si>
  <si>
    <t>80x60</t>
  </si>
  <si>
    <t>120x60</t>
  </si>
  <si>
    <t>UCHWYT KABLOWY</t>
  </si>
  <si>
    <t>USMP-3 BIS</t>
  </si>
  <si>
    <t>USMP-4</t>
  </si>
  <si>
    <t>USMO-8</t>
  </si>
  <si>
    <t>USMO-10</t>
  </si>
  <si>
    <t>HDGS UDF-8</t>
  </si>
  <si>
    <t>GNIAZDKO</t>
  </si>
  <si>
    <t>2P</t>
  </si>
  <si>
    <t>UZIOM</t>
  </si>
  <si>
    <t>ZŁĄCZE KRZYŻOWE UZIOMU</t>
  </si>
  <si>
    <t>600V</t>
  </si>
  <si>
    <t>1000V</t>
  </si>
  <si>
    <t>6A</t>
  </si>
  <si>
    <t>10A</t>
  </si>
  <si>
    <t>13A</t>
  </si>
  <si>
    <t>16A</t>
  </si>
  <si>
    <t>20A</t>
  </si>
  <si>
    <t>25A</t>
  </si>
  <si>
    <t>32A</t>
  </si>
  <si>
    <t>WYŁ. NADPRĄDOWY 3F B</t>
  </si>
  <si>
    <t>64A</t>
  </si>
  <si>
    <t>WYŁ. NADPRĄDOWY 3F C</t>
  </si>
  <si>
    <t>OBUDOWA / SKRZYNKA</t>
  </si>
  <si>
    <t>4P</t>
  </si>
  <si>
    <t>8P</t>
  </si>
  <si>
    <t>12P</t>
  </si>
  <si>
    <t>24P</t>
  </si>
  <si>
    <t>Nazwisko i imię:</t>
  </si>
  <si>
    <t>PhonoSolar 450</t>
  </si>
  <si>
    <t>Adres instalacji:</t>
  </si>
  <si>
    <t>Nr telefonu:</t>
  </si>
  <si>
    <t>Odbierający:</t>
  </si>
  <si>
    <t>Towar wydany</t>
  </si>
  <si>
    <t>zabudowany</t>
  </si>
  <si>
    <t>Uwagi</t>
  </si>
  <si>
    <t>Materiał dodatkowy</t>
  </si>
  <si>
    <t>Kabel LGY 4/10/16</t>
  </si>
  <si>
    <t>MC4</t>
  </si>
  <si>
    <t>Kabel solarny czarny/czerwony</t>
  </si>
  <si>
    <t>Śruby PE</t>
  </si>
  <si>
    <t>Beton</t>
  </si>
  <si>
    <t>J.m</t>
  </si>
  <si>
    <t>Pozostaje na aucie</t>
  </si>
  <si>
    <t>Podpis wydającego</t>
  </si>
  <si>
    <t>Podbis odbierającego</t>
  </si>
  <si>
    <t>….....................................................</t>
  </si>
  <si>
    <t>Data budowy od….................do….................</t>
  </si>
  <si>
    <t>Zwrot na magazyn</t>
  </si>
  <si>
    <t>rodzaj pokrycia:</t>
  </si>
  <si>
    <t>PK2</t>
  </si>
  <si>
    <t>PK4</t>
  </si>
  <si>
    <t>String 1:</t>
  </si>
  <si>
    <t>String 2:</t>
  </si>
  <si>
    <t>Trytytki</t>
  </si>
  <si>
    <t>PhonoSolar 410</t>
  </si>
  <si>
    <t>Miejsce wpięcia do sieci</t>
  </si>
  <si>
    <t>Pozytywna/Negatywna</t>
  </si>
  <si>
    <t>Pozytywna / Negatywna</t>
  </si>
  <si>
    <t>PV</t>
  </si>
  <si>
    <t>PC</t>
  </si>
  <si>
    <t>KP</t>
  </si>
  <si>
    <t>KG</t>
  </si>
  <si>
    <t xml:space="preserve">- Hydrauliczny Projekt instalacji </t>
  </si>
  <si>
    <r>
      <t xml:space="preserve">na nasze zlecenie w terminie </t>
    </r>
    <r>
      <rPr>
        <u/>
        <sz val="12"/>
        <color theme="1"/>
        <rFont val="Tahoma"/>
        <family val="2"/>
        <charset val="238"/>
      </rPr>
      <t/>
    </r>
  </si>
  <si>
    <r>
      <t>na nasze zlecenie w terminie</t>
    </r>
    <r>
      <rPr>
        <u/>
        <sz val="12"/>
        <color theme="1"/>
        <rFont val="Tahoma"/>
        <family val="2"/>
        <charset val="238"/>
      </rPr>
      <t/>
    </r>
  </si>
  <si>
    <t>Czyste powietrze</t>
  </si>
  <si>
    <t>Kensol 390</t>
  </si>
  <si>
    <t>LONGIi 455</t>
  </si>
  <si>
    <t>Śruba maszynowa</t>
  </si>
  <si>
    <t>klema końcowa 32mm</t>
  </si>
  <si>
    <t>Jinko 395</t>
  </si>
  <si>
    <t>N-PE</t>
  </si>
  <si>
    <t>Canadian 455</t>
  </si>
  <si>
    <t>L1-N</t>
  </si>
  <si>
    <t>L1-PE</t>
  </si>
  <si>
    <t>L2-N</t>
  </si>
  <si>
    <t>L2-PE</t>
  </si>
  <si>
    <t>L3-N</t>
  </si>
  <si>
    <t>L3-PE</t>
  </si>
  <si>
    <t>Kensol 470</t>
  </si>
  <si>
    <t xml:space="preserve">uchwyt monażowy typu S </t>
  </si>
  <si>
    <t>ZUŻYTY MATERIAŁ</t>
  </si>
  <si>
    <t>PRZEWODY SOLARNE</t>
  </si>
  <si>
    <t>ROZMIAR</t>
  </si>
  <si>
    <t>UŻYTY</t>
  </si>
  <si>
    <t>KABLE PE</t>
  </si>
  <si>
    <t>KABLE / PRZEWODY</t>
  </si>
  <si>
    <t>ROZMIAR/ILOŚĆ METRÓW</t>
  </si>
  <si>
    <t>KABEL HDGS</t>
  </si>
  <si>
    <t>MATERIAŁ</t>
  </si>
  <si>
    <t>PG-13.5</t>
  </si>
  <si>
    <t xml:space="preserve">WYŁ. NADPRĄDOWY 1F </t>
  </si>
  <si>
    <t>OGRANICZNIK PRZEP. AC</t>
  </si>
  <si>
    <t>OGRANICZNIK PRZEP. DC</t>
  </si>
  <si>
    <t>PODSTAWA:</t>
  </si>
  <si>
    <t>PRZEDŁUŻKA:</t>
  </si>
  <si>
    <t>SZYNA WYRÓWNAWCZA</t>
  </si>
  <si>
    <t>PUSZKA</t>
  </si>
  <si>
    <t>ZŁĄCZA MC4 (KOMPLET - ILOŚĆ)</t>
  </si>
  <si>
    <t>"BABKA" ODGROMOWA</t>
  </si>
  <si>
    <t>CZUJNIK CWU (PANASONIC / LG)</t>
  </si>
  <si>
    <t>MODUŁ WIFI (PANASONIC / LG)</t>
  </si>
  <si>
    <t>WYKOP (METRY)</t>
  </si>
  <si>
    <t>INNE UŻYTE MATERIAŁY</t>
  </si>
  <si>
    <t>WT 380</t>
  </si>
  <si>
    <t>Andrzej</t>
  </si>
  <si>
    <t>Trina 455 TSM-D17M(II)</t>
  </si>
  <si>
    <t>S303</t>
  </si>
  <si>
    <t>B6</t>
  </si>
  <si>
    <t>B10</t>
  </si>
  <si>
    <t>B13</t>
  </si>
  <si>
    <t>B16</t>
  </si>
  <si>
    <t>B20</t>
  </si>
  <si>
    <t>B25</t>
  </si>
  <si>
    <t>B32</t>
  </si>
  <si>
    <t>B40</t>
  </si>
  <si>
    <t>B50</t>
  </si>
  <si>
    <t>B63</t>
  </si>
  <si>
    <t>B100</t>
  </si>
  <si>
    <t>Zwłoka (S)</t>
  </si>
  <si>
    <t>Prąd (A)</t>
  </si>
  <si>
    <t>C100</t>
  </si>
  <si>
    <t>C63</t>
  </si>
  <si>
    <t>C50</t>
  </si>
  <si>
    <t>C40</t>
  </si>
  <si>
    <t>C32</t>
  </si>
  <si>
    <t>C25</t>
  </si>
  <si>
    <t>C20</t>
  </si>
  <si>
    <t>C16</t>
  </si>
  <si>
    <t>C13</t>
  </si>
  <si>
    <t>C10</t>
  </si>
  <si>
    <t>C6</t>
  </si>
  <si>
    <t>Równoległy</t>
  </si>
  <si>
    <t>S301</t>
  </si>
  <si>
    <t xml:space="preserve">Projekt wykonał/a: </t>
  </si>
  <si>
    <t>Projektant</t>
  </si>
  <si>
    <t>profil aluminiowy 3300mm</t>
  </si>
  <si>
    <t>Zabezpieczenie AC</t>
  </si>
  <si>
    <t>Zabezpieczenie p.poż</t>
  </si>
  <si>
    <t>ZK nr 3</t>
  </si>
  <si>
    <r>
      <t xml:space="preserve">Na podstawie przeprowadzonych oględzin, sprawdzeń oraz pomiarów instalacji fotowoltaicznej stwierdzam, że instalacja </t>
    </r>
    <r>
      <rPr>
        <b/>
        <sz val="11"/>
        <rFont val="Times New Roman"/>
        <family val="1"/>
        <charset val="238"/>
      </rPr>
      <t xml:space="preserve">nadaje się / </t>
    </r>
    <r>
      <rPr>
        <b/>
        <strike/>
        <sz val="11"/>
        <rFont val="Times New Roman"/>
        <family val="1"/>
        <charset val="238"/>
      </rPr>
      <t>nie nadaje się</t>
    </r>
    <r>
      <rPr>
        <b/>
        <sz val="11"/>
        <rFont val="Times New Roman"/>
        <family val="1"/>
        <charset val="238"/>
      </rPr>
      <t xml:space="preserve"> </t>
    </r>
    <r>
      <rPr>
        <sz val="11"/>
        <rFont val="Times New Roman"/>
        <family val="1"/>
        <charset val="238"/>
      </rPr>
      <t>do eksploatacji i załączenia pod napięcie.</t>
    </r>
  </si>
  <si>
    <t>Jeżeli nie ma systemu ppoż, usunąć te 3 wiersze, a komórki przesunąć w górę</t>
  </si>
  <si>
    <t>Wi-fi nazwa:</t>
  </si>
  <si>
    <t>Wi-fi hasło:</t>
  </si>
  <si>
    <t>Aplikacja nazwa:</t>
  </si>
  <si>
    <t>Aplikacja hasło:</t>
  </si>
  <si>
    <t>Leapton 650W LP210*210-M-66-MH</t>
  </si>
  <si>
    <t>Brygady</t>
  </si>
  <si>
    <t>Kensol 400</t>
  </si>
  <si>
    <t>Numer</t>
  </si>
  <si>
    <t>WYSZUKAJ.PIONOWO(P68;Tabela131819[#Wszystko];2;0)</t>
  </si>
  <si>
    <t>WYSZUKAJ.PIONOWO(panel;'BD Z PHONO.xlsx'!Panele[#Wszystko];PODAJ.POZYCJĘ("W";'BD Z PHONO.xlsx'!Panele[#Nagłówki];FAŁSZ);FAŁSZ)</t>
  </si>
  <si>
    <t>Moc panela</t>
  </si>
  <si>
    <t>OPEN_V</t>
  </si>
  <si>
    <t xml:space="preserve">Wykonanie instalacji fotowoltaicznej </t>
  </si>
  <si>
    <t xml:space="preserve">b. zgodnie z obowiązującymi przepisami: </t>
  </si>
  <si>
    <t>Napięcie na stringu 3</t>
  </si>
  <si>
    <t>Napięcie na stringu 4</t>
  </si>
  <si>
    <t>2. Montaż konstrukji wsporczej oraz ułożenie Paneli fotowoltaicznych na dachu odbieram bez zastrzeżeń</t>
  </si>
  <si>
    <t>2. Instalacja fotowoltaiczna została uruchomiona i funkcjonuje bez zakłóceń; elementy wskazane w harmonogramie rzeczowo-finansowym są utrzymywane w stanie spełniającym zakładane funkcje tj. produkcja energii elektrycznej.</t>
  </si>
  <si>
    <t>PROTOKÓŁ CZĘSCIOWEGO ODBIORU
DO EKSPLOATACJI</t>
  </si>
  <si>
    <t>2. Montaż falownika, rozdzielnicy RPV-DC, Rozdzielnicy RPV-AC oraz doprowadzenie zasilanai do falownika</t>
  </si>
  <si>
    <t>- Szkolenie dt. Obsługi i zasad działania instalacji fotowoltaicznej</t>
  </si>
  <si>
    <t>Końcowy dla panelarzy</t>
  </si>
  <si>
    <t>Częściowy dla elektryków</t>
  </si>
  <si>
    <t xml:space="preserve">„Dostawa i montaż instalacji fotowoltaicznej o mocy  </t>
  </si>
  <si>
    <t>1 kpl.</t>
  </si>
  <si>
    <t>Rodo</t>
  </si>
  <si>
    <t>Rafał Krakowczyk</t>
  </si>
  <si>
    <t>L'AVENIR Patrycja Krakowczyk</t>
  </si>
  <si>
    <t>NIP: 6472586708</t>
  </si>
  <si>
    <t>Mój Prąd 4.0</t>
  </si>
  <si>
    <t>Energia</t>
  </si>
  <si>
    <t>Dystrybucja</t>
  </si>
  <si>
    <t>Cena prądu do 2000 kWh</t>
  </si>
  <si>
    <t>PLN/kWh</t>
  </si>
  <si>
    <t>Cena prądu po przekroczeniu 2000 kWh</t>
  </si>
  <si>
    <t>Ilość energii zużywanej średnio dziennie</t>
  </si>
  <si>
    <t>Wpisz tu swoje roczne zużycie prądu</t>
  </si>
  <si>
    <t>Rachunek roczny za prąd bez fotowoltaiki</t>
  </si>
  <si>
    <t>PLN/rok</t>
  </si>
  <si>
    <t xml:space="preserve">Roczna łączna opłata energii elektrycznej </t>
  </si>
  <si>
    <t xml:space="preserve">Roczna łączna opłata za przesył energii elektrycznej </t>
  </si>
  <si>
    <t>Rachunek miesięczny z fotowoltaiką</t>
  </si>
  <si>
    <t xml:space="preserve">Łączna opłata energii elektrycznej </t>
  </si>
  <si>
    <t xml:space="preserve">Łączna opłata za przesył energii elektrycznej </t>
  </si>
  <si>
    <t>Łączna oszczędność</t>
  </si>
  <si>
    <t>Moc systemu optymalna</t>
  </si>
  <si>
    <t xml:space="preserve">Szacowana produkcja w pierwszym roku </t>
  </si>
  <si>
    <t xml:space="preserve">Założono produkcję 980 kWh z kWp na rok </t>
  </si>
  <si>
    <t xml:space="preserve">Stopień autokonsumpcji </t>
  </si>
  <si>
    <t>Tu można edytować poziom autokonsumpcji 
Wpisz przedział od 20-35%</t>
  </si>
  <si>
    <t>Autokonsumpcja</t>
  </si>
  <si>
    <t>Oszczędność z tytułu nie kupienia prądu od OSD</t>
  </si>
  <si>
    <t xml:space="preserve">Ilośc energii odsprzedanej do Operatora Sieci Dystrybucyjnej (OSD) </t>
  </si>
  <si>
    <t>Średnia cena sprzedaży energii do OSD</t>
  </si>
  <si>
    <t xml:space="preserve">PLN/kWh </t>
  </si>
  <si>
    <t xml:space="preserve">Tu możesz zmieniać cenę sprzedaży energi elektrycznej wg. własnego uznania </t>
  </si>
  <si>
    <t>Zgromadzone środki na koncie rozliczeniowym u OSD</t>
  </si>
  <si>
    <t xml:space="preserve">PLN </t>
  </si>
  <si>
    <t xml:space="preserve">Uwaga! Jeżeli ilość zgromadzonych środków jest większa niż łączna opła ta za energię elektryczną nadwyżka przepada </t>
  </si>
  <si>
    <t xml:space="preserve">Przewidywany wzrost ceny energii 
w ciągu roku </t>
  </si>
  <si>
    <t>Możesz wpisać wartość w przedziale od 1-10%</t>
  </si>
  <si>
    <t>Średnia szacowana cena prądu za 1 kWh
 w 2023 roku</t>
  </si>
  <si>
    <t xml:space="preserve">Wyliczona wartość kosztu energii elektycznej 
( energia+przesył/ilość kWh z rachunku) </t>
  </si>
  <si>
    <t xml:space="preserve">Ilość lat w symulacji </t>
  </si>
  <si>
    <t>Wpisz liczbę lat po jakiej chcesz sprawdzić cenę prądu</t>
  </si>
  <si>
    <t xml:space="preserve">Przewidywana cena 1 kWh energii za 20 lat </t>
  </si>
  <si>
    <t>Ilość zużycia na bieżąco %</t>
  </si>
  <si>
    <t xml:space="preserve">Dofinansowanie Mój Prąd </t>
  </si>
  <si>
    <t>Próg podatkowy</t>
  </si>
  <si>
    <t>Do obliczenia ulgi termomodernizacyjnej jeżeli nie odliczasz wybierz 0%</t>
  </si>
  <si>
    <t xml:space="preserve">Cena instalacji </t>
  </si>
  <si>
    <t xml:space="preserve">Cena obliczna przykładowo na podstawie średniej za kWp z wniosków Mój prąd. Możesz wpisać dowolną cenę. </t>
  </si>
  <si>
    <t xml:space="preserve">Koszt instalacji po dofinansowaniu i odliczeniu podatku </t>
  </si>
  <si>
    <t>Jeśli chcesz wiedzieć ile będzie kosztować Twoja instalacja skontaktuj się z nami</t>
  </si>
  <si>
    <t xml:space="preserve">Podatek </t>
  </si>
  <si>
    <t xml:space="preserve">Tabela </t>
  </si>
  <si>
    <t>Rok</t>
  </si>
  <si>
    <t>Bilans tyś PLN</t>
  </si>
  <si>
    <t xml:space="preserve">Cena prądu </t>
  </si>
  <si>
    <t>Cena z kWh</t>
  </si>
  <si>
    <t xml:space="preserve">Z dopłatą </t>
  </si>
  <si>
    <t>Oszczędność</t>
  </si>
  <si>
    <t>Cena za kWh z przesyłem</t>
  </si>
  <si>
    <t>Cena za kWh energia</t>
  </si>
  <si>
    <t xml:space="preserve">Dołata za nadprodukcję </t>
  </si>
  <si>
    <t xml:space="preserve">Produkcja prądu </t>
  </si>
  <si>
    <t xml:space="preserve">Moc dostępna dla Klienta </t>
  </si>
  <si>
    <t>Oszczędność Auto konsumpcja energia + przesył</t>
  </si>
  <si>
    <t xml:space="preserve">Odsprzedana energia </t>
  </si>
  <si>
    <t>średnia cena rynkowa energii</t>
  </si>
  <si>
    <t>koszt energii pobranej z sieci</t>
  </si>
  <si>
    <t>Zysk z energi sprzedanej</t>
  </si>
  <si>
    <t>Energia pobrana z sieci</t>
  </si>
  <si>
    <t>Koszt energii pobranej</t>
  </si>
  <si>
    <t>ILOŚĆ ENERGII ZUŻYWANEJ ROCZNIE</t>
  </si>
  <si>
    <t>Patrycja Krakowczyk</t>
  </si>
  <si>
    <t>Koszt instastalacji po dofinansowaniu</t>
  </si>
  <si>
    <t>Ulga termomodernizacyjna</t>
  </si>
  <si>
    <t>Rodzaj dofinansowania</t>
  </si>
  <si>
    <t>kwota</t>
  </si>
  <si>
    <t>Program dofinansowania</t>
  </si>
  <si>
    <t>Rozłącznik ppoż FoxESS 2-stringi</t>
  </si>
  <si>
    <t>Rozłącznik ppoż PROJOY 2-stringi</t>
  </si>
  <si>
    <t>Rozłącznik ppoż PROJOY 3-stringi</t>
  </si>
  <si>
    <t>Rozłącznik ppoż PROJOY 5-stringów</t>
  </si>
  <si>
    <t>Ogranicznik przepięć DC 100V typu T1+T2</t>
  </si>
  <si>
    <t>Ogranicznik przepięć AC 3F typu T1+T2</t>
  </si>
  <si>
    <t>Moduł wifi FoxESS</t>
  </si>
  <si>
    <t>Moduł LAN FoxESS</t>
  </si>
  <si>
    <t>Antena wi-fi Solaredge</t>
  </si>
  <si>
    <t>Optymalizator Solaredge S440</t>
  </si>
  <si>
    <t>Optymalizator Solaredge S500</t>
  </si>
  <si>
    <t>Optymalizator Solaredge S500B</t>
  </si>
  <si>
    <t>Optymalizator Solaredge P401</t>
  </si>
  <si>
    <t>Optymalizator Solaredge P404</t>
  </si>
  <si>
    <t>Optymalizator Solaredge P485</t>
  </si>
  <si>
    <t>Optymalizator Solaredge P505</t>
  </si>
  <si>
    <t>Optymalizator Solaredge P600</t>
  </si>
  <si>
    <t>Optymalizator Solaredge P601</t>
  </si>
  <si>
    <t>Optymalizator Solaredge P850</t>
  </si>
  <si>
    <t>Optymalizator Solaredge P950</t>
  </si>
  <si>
    <t>Optymalizator Solaredge P1100</t>
  </si>
  <si>
    <t>Optymializator TIGO TS4-A-O</t>
  </si>
  <si>
    <t>Uzgodnienia ppoż instalacja powyżej 6.5kWp</t>
  </si>
  <si>
    <t>Licznik energii 1F</t>
  </si>
  <si>
    <t>Licznik energii 3F</t>
  </si>
  <si>
    <t>Monitor energii elektrycznej wifi</t>
  </si>
  <si>
    <t>Skrzynka z ogranicznikiem przepięć AC 3-F typu T1+T2</t>
  </si>
  <si>
    <t xml:space="preserve">   </t>
  </si>
  <si>
    <t>Blacha na rąbek</t>
  </si>
  <si>
    <t>Blacha trapezowa</t>
  </si>
  <si>
    <t>Blachodachówka</t>
  </si>
  <si>
    <t>Dach płaski betonowy</t>
  </si>
  <si>
    <t>Dach płaski drewniany</t>
  </si>
  <si>
    <t>Dach skośny papa/gont</t>
  </si>
  <si>
    <t>Konstrukcja balastowa</t>
  </si>
  <si>
    <t>Konstrukcja naziemna 2 rzędy pionowo</t>
  </si>
  <si>
    <t>własna</t>
  </si>
  <si>
    <t>N/D</t>
  </si>
  <si>
    <t>Dane klienta:</t>
  </si>
  <si>
    <t>Adres e-mail:</t>
  </si>
  <si>
    <t>Podstawowe parametry instalacji:</t>
  </si>
  <si>
    <t>Proponowana moc instalacji</t>
  </si>
  <si>
    <t>Rodzaj konstrukcji</t>
  </si>
  <si>
    <t>Azymut</t>
  </si>
  <si>
    <t>Rodzaj sieci elektrycznej</t>
  </si>
  <si>
    <t>Komponenty instalacji:</t>
  </si>
  <si>
    <t>Model paneli</t>
  </si>
  <si>
    <t>Gwarancja produktowa</t>
  </si>
  <si>
    <t>Sprawność modułów</t>
  </si>
  <si>
    <t>Inwerter fotowoltaiczny</t>
  </si>
  <si>
    <t>ilość</t>
  </si>
  <si>
    <t>Moduły</t>
  </si>
  <si>
    <t>Złączki szeregowe MC4</t>
  </si>
  <si>
    <t>Oferta ważna do</t>
  </si>
  <si>
    <t>Mój Prąd 5.0</t>
  </si>
  <si>
    <t>Czyste Powietrze I</t>
  </si>
  <si>
    <t>Czyste Powietrze II</t>
  </si>
  <si>
    <t>Czyste Powietrze III</t>
  </si>
  <si>
    <t>patrycja.krakowczyk@ampere-solar.pl</t>
  </si>
  <si>
    <t>rafal.krakowczyk@ampere-solar.pl</t>
  </si>
  <si>
    <t>cena energii sprzedanej</t>
  </si>
  <si>
    <t>cena energii zakupionej</t>
  </si>
  <si>
    <t>Oszczędność z autokonsumpcji</t>
  </si>
  <si>
    <t>NIP: 6472602198</t>
  </si>
  <si>
    <t>Mój Prąd 5.0 z magazynem energii</t>
  </si>
  <si>
    <t>Średnia cena sprzedaży energii</t>
  </si>
  <si>
    <t>Średnia cena zakupu energii</t>
  </si>
  <si>
    <t>PROJEKT INSTALACJI FOTOWOLTAICZNEJ</t>
  </si>
  <si>
    <t>Dane projektanta:</t>
  </si>
  <si>
    <t>AMPERE Sp. z o.o.</t>
  </si>
  <si>
    <t>44-313 Wodzisław Śląski</t>
  </si>
  <si>
    <t>Letnia 212</t>
  </si>
  <si>
    <t>Adres</t>
  </si>
  <si>
    <t>Projektanci:</t>
  </si>
  <si>
    <t>Dane firmy</t>
  </si>
  <si>
    <t>Imię i nazwisko</t>
  </si>
  <si>
    <t>numer telefonu</t>
  </si>
  <si>
    <t>adres email</t>
  </si>
  <si>
    <t>Adres cd.</t>
  </si>
  <si>
    <t>index oferty</t>
  </si>
  <si>
    <t>/2023</t>
  </si>
  <si>
    <t>data sporządzenia oferty</t>
  </si>
  <si>
    <t>Osoba fizyczna</t>
  </si>
  <si>
    <t>Stawka VAT</t>
  </si>
  <si>
    <t>Roczne zużycie energii</t>
  </si>
  <si>
    <t xml:space="preserve">Cena zakupu energii </t>
  </si>
  <si>
    <t>Cena sprzedaży energii</t>
  </si>
  <si>
    <t>Szacowany roczny wzrost cen energii</t>
  </si>
  <si>
    <t>Współczynnik autokonsumpcji</t>
  </si>
  <si>
    <t>Rozdaj sieci przyłączeniowej</t>
  </si>
  <si>
    <t>Rodzaj sieci</t>
  </si>
  <si>
    <t>fazowa</t>
  </si>
  <si>
    <t>zł/kWh</t>
  </si>
  <si>
    <t xml:space="preserve">Konstrukcja </t>
  </si>
  <si>
    <t>Kąt nachylenia modułów</t>
  </si>
  <si>
    <t>⁰</t>
  </si>
  <si>
    <t>Rodzaj instalacji fotowoltaicznej</t>
  </si>
  <si>
    <t>ON GRID</t>
  </si>
  <si>
    <t>HYBRYDOWA</t>
  </si>
  <si>
    <t>FIRMA</t>
  </si>
  <si>
    <t>autokonsumpcja</t>
  </si>
  <si>
    <t>Cena zakupu energii</t>
  </si>
  <si>
    <t>Falownik</t>
  </si>
  <si>
    <t>Magazyn energii</t>
  </si>
  <si>
    <t>Optymalizatory</t>
  </si>
  <si>
    <t>System ppoż</t>
  </si>
  <si>
    <t>Przewód AC</t>
  </si>
  <si>
    <t>Przewód DC</t>
  </si>
  <si>
    <t>Zabezpieczenie DC</t>
  </si>
  <si>
    <t xml:space="preserve">Uzgodnienia PPOŻ </t>
  </si>
  <si>
    <t>MODUŁY PV</t>
  </si>
  <si>
    <t>Model</t>
  </si>
  <si>
    <t>Gwarancja na uzysk</t>
  </si>
  <si>
    <t>Spadek produkcji</t>
  </si>
  <si>
    <t>INWERTER PV</t>
  </si>
  <si>
    <t>Dokładna moc instalacji</t>
  </si>
  <si>
    <t>Gwarancja</t>
  </si>
  <si>
    <t>Maksymalna moc modułów</t>
  </si>
  <si>
    <t>Minimalne napięcie startowe</t>
  </si>
  <si>
    <t xml:space="preserve">Zabezpieczenie </t>
  </si>
  <si>
    <t>Złącza szeregowe</t>
  </si>
  <si>
    <t>MC4+/MC4-</t>
  </si>
  <si>
    <t>WYCENA</t>
  </si>
  <si>
    <t>Zabezpieczenia AC</t>
  </si>
  <si>
    <t>Zabezpieczenia DC</t>
  </si>
  <si>
    <t>Przewód zasilający AC</t>
  </si>
  <si>
    <t xml:space="preserve">Robocizna </t>
  </si>
  <si>
    <t>System PPOŻ</t>
  </si>
  <si>
    <t>Projekt PPOŻ</t>
  </si>
  <si>
    <t>Rabat</t>
  </si>
  <si>
    <t>DANE INSTALACJI</t>
  </si>
  <si>
    <t>LP.</t>
  </si>
  <si>
    <t>ILOŚĆ</t>
  </si>
  <si>
    <t xml:space="preserve">CENA JEDNOSTKOWA </t>
  </si>
  <si>
    <t>WARTOŚĆ NETTO</t>
  </si>
  <si>
    <t>---------</t>
  </si>
  <si>
    <t>-------</t>
  </si>
  <si>
    <t>RAZEM NETTO</t>
  </si>
  <si>
    <t>RAZEM BRUTTO</t>
  </si>
  <si>
    <t>współczynnik kierunkowy PV</t>
  </si>
  <si>
    <t>Współczynnik sprawności instalacji</t>
  </si>
  <si>
    <t>Cena zakupu energii z przesyłem</t>
  </si>
  <si>
    <t>Cena sprzedaży energii z przesyłem</t>
  </si>
  <si>
    <t>Sofar BTS E5-DS5</t>
  </si>
  <si>
    <t>Sofar BTS E10-DS5</t>
  </si>
  <si>
    <t>Sofar BTS E15-DS5</t>
  </si>
  <si>
    <t>Sofar BTS E20-DS5</t>
  </si>
  <si>
    <t>Dofinansowania</t>
  </si>
  <si>
    <t>stawka</t>
  </si>
  <si>
    <t>Mój Prąd 5.0 PV</t>
  </si>
  <si>
    <t>Mój Prąd 5.0 PV+HEMS</t>
  </si>
  <si>
    <t>Mój Prąd 5.0 PV+Magazyn</t>
  </si>
  <si>
    <t>RAZEM PO DOFINANSOWANIACH</t>
  </si>
  <si>
    <t>----------</t>
  </si>
  <si>
    <t>Cena za 1kWp</t>
  </si>
  <si>
    <t>Moduł Wi-Fi Hoymiles</t>
  </si>
  <si>
    <t>Wtyczka 1F Hoymiles</t>
  </si>
  <si>
    <t>Trójnik 1F Hoymiles</t>
  </si>
  <si>
    <t>Trójnik 3F Hoymiles</t>
  </si>
  <si>
    <t>Gwarancja przedłużona Sofar 20 lat</t>
  </si>
  <si>
    <t>Numer oferty</t>
  </si>
  <si>
    <t>Sprawność inwertera</t>
  </si>
  <si>
    <t>Data przygotowania projektu</t>
  </si>
  <si>
    <t>TW Solar TW555-MAP M10-144-H</t>
  </si>
  <si>
    <t>Sofar 12KTLX-G3</t>
  </si>
  <si>
    <t>biuro@ampere-solar.pl</t>
  </si>
  <si>
    <t>44-313 Wodzisław Śląski, Letnia 212</t>
  </si>
  <si>
    <t>1. Administratorem danych jest firma Ampere Spółka z o.o., ul. Letnia 212, 44-313 Wodzisław Śląski , adres e-mail: biuro@ampere-solar.pl
2. Korespondencyjne dane kontaktowe inspektora ochrony danych: Inspektor Ochrony Danych w Ampere  Spółka z o.o. adres e-mailowy: biuro@ampere-solar.pl                                                                                                                                                                                                                                
3. Celem zbierania danych jest realizacja praw i obowiązków związanych  z zawarciem i realizacją umowy zlecenia.  
4. Przysługuje Pani/Panu prawo dostępu do treści danych oraz ich sprostowania, usunięcia lub ograniczenia przetwarzania, a także prawo sprzeciwu, zażądania zaprzestania przetwarzania i przenoszenia danych oraz prawo do wniesienia skargi do organu nadzorczego, tj. Prezesa Urzędu Ochrony Danych Osobowych.
5. Podanie przez Panią/Pana danych osobowych jest wymogiem ustawowym; ich nieprzekazanie spowoduje niemożność realizacji zawartej umowy zlecenia i związanych z nią obowiązków podatkowo-składkowych.
6. Odbiorcami Pani/Pana danych osobowych mogą być organy lub instytucje  upoważnione  z mocy prawa, a także inne podmioty  wyłącznie  w celu realizacji naszych ustawowych zadań. 
7. Dane udostępnione przez Panią/Pana nie będą podlegały profilowaniu.
8. Administrator danych nie ma zamiaru przekazywać danych osobowych do państwa trzeciego lub organizacji międzynarodowej.
9. Dane osobowe są przetwarzane przez okres  niezbędny dla realizacji celu, dla którego zostały zebrane, jednak nie dłużej niż okres wymagany  przepisami prawa, a dane osobowe przetwarzane na podstawie zgody są przetwarzane przez okres wskazany w oświadczeniu lub  do czasu cofnięcia zgody.</t>
  </si>
  <si>
    <t>44-313 Wodzisław Śląski, ul. Letnia 212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</si>
</sst>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zł&quot;_-;\-* #,##0.00\ &quot;zł&quot;_-;_-* &quot;-&quot;??\ &quot;zł&quot;_-;_-@_-"/>
    <numFmt numFmtId="164" formatCode="&quot;zł&quot;#,##0.00_);[Red]\(&quot;zł&quot;#,##0.00\)"/>
    <numFmt numFmtId="165" formatCode="_-* #,##0.00\ _z_ł_-;\-* #,##0.00\ _z_ł_-;_-* &quot;-&quot;??\ _z_ł_-;_-@_-"/>
    <numFmt numFmtId="166" formatCode="0.0000"/>
    <numFmt numFmtId="167" formatCode="#,##0.00\ &quot;zł&quot;"/>
    <numFmt numFmtId="168" formatCode="0.0%"/>
    <numFmt numFmtId="169" formatCode="0.0"/>
    <numFmt numFmtId="171" formatCode="0.00000"/>
    <numFmt numFmtId="172" formatCode="#,##0.00\ _z_ł"/>
    <numFmt numFmtId="173" formatCode="[$-F800]dddd\,\ mmmm\ dd\,\ yyyy"/>
    <numFmt numFmtId="174" formatCode="_-* #,##0.00\ &quot;zł&quot;_-;\-* #,##0.00\ &quot;zł&quot;_-;_-* &quot;-&quot;??\ &quot;zł&quot;_-;_-@"/>
    <numFmt numFmtId="175" formatCode="_-* #,##0.00\ [$zł-415]_-;\-* #,##0.00\ [$zł-415]_-;_-* &quot;-&quot;??\ [$zł-415]_-;_-@"/>
    <numFmt numFmtId="176" formatCode="000,000,000"/>
  </numFmts>
  <fonts count="149">
    <font>
      <sz val="11"/>
      <color theme="1"/>
      <name val="Calibri"/>
      <family val="2"/>
      <charset val="238"/>
      <scheme val="minor"/>
    </font>
    <font>
      <sz val="11"/>
      <color theme="1"/>
      <name val="Calibri"/>
      <family val="2"/>
      <charset val="238"/>
      <scheme val="minor"/>
    </font>
    <font>
      <sz val="10"/>
      <color theme="1"/>
      <name val="Calibri"/>
      <family val="2"/>
      <charset val="238"/>
      <scheme val="minor"/>
    </font>
    <font>
      <sz val="9"/>
      <color theme="1"/>
      <name val="Calibri"/>
      <family val="2"/>
      <charset val="238"/>
      <scheme val="minor"/>
    </font>
    <font>
      <sz val="8"/>
      <color theme="1"/>
      <name val="Calibri"/>
      <family val="2"/>
      <charset val="238"/>
      <scheme val="minor"/>
    </font>
    <font>
      <sz val="11"/>
      <color rgb="FFFF0000"/>
      <name val="Calibri"/>
      <family val="2"/>
      <charset val="238"/>
      <scheme val="minor"/>
    </font>
    <font>
      <sz val="14"/>
      <color theme="1"/>
      <name val="Calibri"/>
      <family val="2"/>
      <charset val="238"/>
      <scheme val="minor"/>
    </font>
    <font>
      <sz val="12"/>
      <color theme="1"/>
      <name val="Calibri"/>
      <family val="2"/>
      <charset val="238"/>
      <scheme val="minor"/>
    </font>
    <font>
      <sz val="16"/>
      <color theme="1"/>
      <name val="Calibri"/>
      <family val="2"/>
      <charset val="238"/>
      <scheme val="minor"/>
    </font>
    <font>
      <sz val="18"/>
      <color theme="1"/>
      <name val="Calibri"/>
      <family val="2"/>
      <charset val="238"/>
      <scheme val="minor"/>
    </font>
    <font>
      <u/>
      <sz val="11"/>
      <color theme="10"/>
      <name val="Calibri"/>
      <family val="2"/>
      <charset val="238"/>
      <scheme val="minor"/>
    </font>
    <font>
      <u/>
      <sz val="9"/>
      <color theme="10"/>
      <name val="Calibri"/>
      <family val="2"/>
      <charset val="238"/>
      <scheme val="minor"/>
    </font>
    <font>
      <sz val="8"/>
      <color theme="1"/>
      <name val="Calibri"/>
      <family val="2"/>
      <charset val="238"/>
    </font>
    <font>
      <sz val="9"/>
      <color theme="1"/>
      <name val="Calibri"/>
      <family val="2"/>
      <charset val="238"/>
    </font>
    <font>
      <sz val="16"/>
      <name val="Calibri"/>
      <family val="2"/>
      <charset val="238"/>
      <scheme val="minor"/>
    </font>
    <font>
      <sz val="8"/>
      <color rgb="FF313131"/>
      <name val="Arial"/>
      <family val="2"/>
      <charset val="238"/>
    </font>
    <font>
      <sz val="8"/>
      <color theme="1"/>
      <name val="Wingdings"/>
      <charset val="2"/>
    </font>
    <font>
      <sz val="11"/>
      <color theme="0"/>
      <name val="Calibri"/>
      <family val="2"/>
      <charset val="238"/>
      <scheme val="minor"/>
    </font>
    <font>
      <sz val="11"/>
      <name val="Calibri"/>
      <family val="2"/>
      <charset val="238"/>
      <scheme val="minor"/>
    </font>
    <font>
      <sz val="10"/>
      <color rgb="FF000000"/>
      <name val="Arial"/>
      <family val="2"/>
      <charset val="238"/>
    </font>
    <font>
      <sz val="11"/>
      <name val="Calibri"/>
      <family val="2"/>
      <scheme val="minor"/>
    </font>
    <font>
      <sz val="12"/>
      <color theme="1"/>
      <name val="Tahoma"/>
      <family val="2"/>
      <charset val="238"/>
    </font>
    <font>
      <sz val="11"/>
      <color theme="1"/>
      <name val="Tahoma"/>
      <family val="2"/>
      <charset val="238"/>
    </font>
    <font>
      <b/>
      <sz val="11"/>
      <color theme="1"/>
      <name val="Tahoma"/>
      <family val="2"/>
      <charset val="238"/>
    </font>
    <font>
      <sz val="9"/>
      <color theme="1"/>
      <name val="Wingdings"/>
      <charset val="2"/>
    </font>
    <font>
      <sz val="10"/>
      <color theme="1"/>
      <name val="Tahoma"/>
      <family val="2"/>
      <charset val="238"/>
    </font>
    <font>
      <u/>
      <sz val="12"/>
      <color theme="1"/>
      <name val="Tahoma"/>
      <family val="2"/>
      <charset val="238"/>
    </font>
    <font>
      <b/>
      <sz val="12"/>
      <color theme="1"/>
      <name val="Tahoma"/>
      <family val="2"/>
      <charset val="238"/>
    </font>
    <font>
      <sz val="8"/>
      <name val="Calibri"/>
      <family val="2"/>
      <charset val="238"/>
      <scheme val="minor"/>
    </font>
    <font>
      <b/>
      <sz val="18"/>
      <color theme="1"/>
      <name val="Tahoma"/>
      <family val="2"/>
      <charset val="238"/>
    </font>
    <font>
      <sz val="10"/>
      <name val="Arial"/>
      <family val="2"/>
      <charset val="238"/>
    </font>
    <font>
      <b/>
      <sz val="9"/>
      <color indexed="81"/>
      <name val="Tahoma"/>
      <family val="2"/>
      <charset val="238"/>
    </font>
    <font>
      <sz val="9"/>
      <color indexed="81"/>
      <name val="Tahoma"/>
      <family val="2"/>
      <charset val="238"/>
    </font>
    <font>
      <sz val="12"/>
      <color rgb="FF000000"/>
      <name val="Calibri"/>
      <family val="2"/>
      <charset val="238"/>
      <scheme val="minor"/>
    </font>
    <font>
      <sz val="11"/>
      <color rgb="FF000000"/>
      <name val="Calibri"/>
      <family val="2"/>
      <charset val="238"/>
    </font>
    <font>
      <sz val="12"/>
      <color rgb="FF000000"/>
      <name val="Calibri"/>
      <family val="2"/>
      <charset val="238"/>
    </font>
    <font>
      <b/>
      <sz val="12"/>
      <color rgb="FF000000"/>
      <name val="Arial"/>
      <family val="2"/>
      <charset val="238"/>
    </font>
    <font>
      <b/>
      <sz val="12"/>
      <color rgb="FF000000"/>
      <name val="Microsoft Sans Serif"/>
      <family val="2"/>
      <charset val="238"/>
    </font>
    <font>
      <sz val="12"/>
      <color rgb="FF000000"/>
      <name val="Microsoft Sans Serif"/>
      <family val="2"/>
      <charset val="238"/>
    </font>
    <font>
      <b/>
      <i/>
      <sz val="12"/>
      <color rgb="FF000000"/>
      <name val="Arial"/>
      <family val="2"/>
      <charset val="238"/>
    </font>
    <font>
      <b/>
      <sz val="12"/>
      <color rgb="FF000000"/>
      <name val="Times New Roman"/>
      <family val="1"/>
      <charset val="238"/>
    </font>
    <font>
      <sz val="12"/>
      <color rgb="FF000000"/>
      <name val="Arial"/>
      <family val="2"/>
      <charset val="238"/>
    </font>
    <font>
      <sz val="12"/>
      <color rgb="FF000000"/>
      <name val="Times New Roman"/>
      <family val="1"/>
      <charset val="238"/>
    </font>
    <font>
      <sz val="9"/>
      <color rgb="FF000000"/>
      <name val="Calibri"/>
      <family val="2"/>
      <charset val="238"/>
    </font>
    <font>
      <sz val="10"/>
      <color rgb="FF000000"/>
      <name val="Calibri"/>
      <family val="2"/>
      <charset val="238"/>
    </font>
    <font>
      <b/>
      <sz val="11"/>
      <color theme="1"/>
      <name val="Calibri"/>
      <family val="2"/>
      <charset val="238"/>
      <scheme val="minor"/>
    </font>
    <font>
      <b/>
      <sz val="8"/>
      <color theme="1"/>
      <name val="Calibri"/>
      <family val="2"/>
      <charset val="238"/>
      <scheme val="minor"/>
    </font>
    <font>
      <sz val="6"/>
      <color theme="1"/>
      <name val="Calibri"/>
      <family val="2"/>
      <charset val="238"/>
      <scheme val="minor"/>
    </font>
    <font>
      <u/>
      <sz val="6"/>
      <color theme="10"/>
      <name val="Calibri"/>
      <family val="2"/>
      <charset val="238"/>
      <scheme val="minor"/>
    </font>
    <font>
      <b/>
      <sz val="10"/>
      <color theme="1"/>
      <name val="Tahoma"/>
      <family val="2"/>
      <charset val="238"/>
    </font>
    <font>
      <b/>
      <sz val="14"/>
      <color theme="1"/>
      <name val="Calibri"/>
      <family val="2"/>
      <charset val="238"/>
      <scheme val="minor"/>
    </font>
    <font>
      <b/>
      <sz val="12"/>
      <color theme="1"/>
      <name val="Calibri"/>
      <family val="2"/>
      <charset val="238"/>
      <scheme val="minor"/>
    </font>
    <font>
      <sz val="14"/>
      <color rgb="FFFF0000"/>
      <name val="Calibri"/>
      <family val="2"/>
      <charset val="238"/>
      <scheme val="minor"/>
    </font>
    <font>
      <b/>
      <sz val="14"/>
      <name val="Times New Roman"/>
      <family val="1"/>
      <charset val="238"/>
    </font>
    <font>
      <b/>
      <sz val="11"/>
      <name val="Times New Roman"/>
      <family val="1"/>
      <charset val="238"/>
    </font>
    <font>
      <b/>
      <sz val="9"/>
      <name val="Times New Roman"/>
      <family val="1"/>
      <charset val="238"/>
    </font>
    <font>
      <sz val="9"/>
      <name val="Times New Roman"/>
      <family val="1"/>
      <charset val="238"/>
    </font>
    <font>
      <strike/>
      <sz val="9"/>
      <name val="Times New Roman"/>
      <family val="1"/>
      <charset val="238"/>
    </font>
    <font>
      <vertAlign val="superscript"/>
      <sz val="9"/>
      <name val="Times New Roman"/>
      <family val="1"/>
      <charset val="238"/>
    </font>
    <font>
      <sz val="6"/>
      <name val="Times New Roman"/>
      <family val="1"/>
      <charset val="238"/>
    </font>
    <font>
      <sz val="10"/>
      <name val="Times New Roman"/>
      <family val="1"/>
      <charset val="238"/>
    </font>
    <font>
      <vertAlign val="subscript"/>
      <sz val="9"/>
      <name val="Times New Roman"/>
      <family val="1"/>
      <charset val="238"/>
    </font>
    <font>
      <sz val="11"/>
      <name val="Times New Roman"/>
      <family val="1"/>
      <charset val="238"/>
    </font>
    <font>
      <b/>
      <strike/>
      <sz val="11"/>
      <name val="Times New Roman"/>
      <family val="1"/>
      <charset val="238"/>
    </font>
    <font>
      <b/>
      <sz val="6"/>
      <name val="Times New Roman"/>
      <family val="1"/>
      <charset val="238"/>
    </font>
    <font>
      <b/>
      <vertAlign val="subscript"/>
      <sz val="9"/>
      <name val="Times New Roman"/>
      <family val="1"/>
      <charset val="238"/>
    </font>
    <font>
      <b/>
      <vertAlign val="superscript"/>
      <sz val="6"/>
      <name val="Times New Roman"/>
      <family val="1"/>
      <charset val="238"/>
    </font>
    <font>
      <sz val="8"/>
      <name val="Times New Roman"/>
      <family val="1"/>
      <charset val="238"/>
    </font>
    <font>
      <strike/>
      <sz val="8"/>
      <name val="Times New Roman"/>
      <family val="1"/>
      <charset val="238"/>
    </font>
    <font>
      <b/>
      <u/>
      <sz val="11"/>
      <color theme="1"/>
      <name val="Calibri"/>
      <family val="2"/>
      <charset val="238"/>
      <scheme val="minor"/>
    </font>
    <font>
      <sz val="12"/>
      <color rgb="FFFF0000"/>
      <name val="Calibri"/>
      <family val="2"/>
      <charset val="238"/>
      <scheme val="minor"/>
    </font>
    <font>
      <strike/>
      <sz val="11"/>
      <color theme="1"/>
      <name val="Calibri"/>
      <family val="2"/>
      <scheme val="minor"/>
    </font>
    <font>
      <b/>
      <sz val="9"/>
      <color theme="1"/>
      <name val="Calibri"/>
      <family val="2"/>
      <charset val="238"/>
      <scheme val="minor"/>
    </font>
    <font>
      <sz val="7"/>
      <color theme="1"/>
      <name val="Calibri"/>
      <family val="2"/>
      <charset val="238"/>
      <scheme val="minor"/>
    </font>
    <font>
      <sz val="7.5"/>
      <color theme="1"/>
      <name val="Calibri"/>
      <family val="2"/>
      <charset val="238"/>
      <scheme val="minor"/>
    </font>
    <font>
      <b/>
      <sz val="10"/>
      <name val="Arial"/>
      <family val="2"/>
      <charset val="238"/>
    </font>
    <font>
      <b/>
      <sz val="11"/>
      <name val="Calibri"/>
      <family val="2"/>
      <charset val="238"/>
      <scheme val="minor"/>
    </font>
    <font>
      <sz val="10"/>
      <color rgb="FFFF0000"/>
      <name val="Calibri"/>
      <family val="2"/>
      <charset val="238"/>
      <scheme val="minor"/>
    </font>
    <font>
      <b/>
      <u/>
      <sz val="28"/>
      <color theme="1"/>
      <name val="Calibri"/>
      <family val="2"/>
      <charset val="238"/>
      <scheme val="minor"/>
    </font>
    <font>
      <sz val="10"/>
      <color theme="1"/>
      <name val="Calibri"/>
      <family val="2"/>
      <charset val="238"/>
    </font>
    <font>
      <sz val="10"/>
      <color rgb="FF3F3F3F"/>
      <name val="Arial"/>
      <family val="2"/>
      <charset val="238"/>
    </font>
    <font>
      <b/>
      <sz val="14"/>
      <color rgb="FF3F3F3F"/>
      <name val="Arial"/>
      <family val="2"/>
      <charset val="238"/>
    </font>
    <font>
      <sz val="10"/>
      <color rgb="FF3F3F3F"/>
      <name val="Bahnschrift"/>
      <family val="2"/>
      <charset val="238"/>
    </font>
    <font>
      <sz val="11"/>
      <name val="Calibri"/>
      <family val="2"/>
      <charset val="238"/>
    </font>
    <font>
      <b/>
      <sz val="10"/>
      <color rgb="FF3F3F3F"/>
      <name val="Bahnschrift"/>
      <family val="2"/>
      <charset val="238"/>
    </font>
    <font>
      <sz val="11"/>
      <color rgb="FF3F3F3F"/>
      <name val="Bahnschrift"/>
      <family val="2"/>
      <charset val="238"/>
    </font>
    <font>
      <b/>
      <sz val="14"/>
      <color rgb="FF3F3F3F"/>
      <name val="Bahnschrift"/>
      <family val="2"/>
      <charset val="238"/>
    </font>
    <font>
      <sz val="14"/>
      <color rgb="FF3F3F3F"/>
      <name val="Bahnschrift"/>
      <family val="2"/>
      <charset val="238"/>
    </font>
    <font>
      <b/>
      <sz val="18"/>
      <color rgb="FF3F3F3F"/>
      <name val="Bahnschrift"/>
      <family val="2"/>
      <charset val="238"/>
    </font>
    <font>
      <sz val="12"/>
      <color rgb="FF3F3F3F"/>
      <name val="Bahnschrift"/>
      <family val="2"/>
      <charset val="238"/>
    </font>
    <font>
      <b/>
      <sz val="20"/>
      <color rgb="FF3F3F3F"/>
      <name val="Bahnschrift"/>
      <family val="2"/>
      <charset val="238"/>
    </font>
    <font>
      <sz val="20"/>
      <color rgb="FF00B050"/>
      <name val="Bahnschrift"/>
      <family val="2"/>
      <charset val="238"/>
    </font>
    <font>
      <b/>
      <sz val="16"/>
      <color rgb="FF3F3F3F"/>
      <name val="Bahnschrift"/>
      <family val="2"/>
      <charset val="238"/>
    </font>
    <font>
      <sz val="11"/>
      <name val="Avenir Next LT Pro Light"/>
      <family val="2"/>
      <charset val="238"/>
    </font>
    <font>
      <sz val="16"/>
      <name val="Avenir Next LT Pro Light"/>
      <family val="2"/>
      <charset val="238"/>
    </font>
    <font>
      <b/>
      <sz val="11"/>
      <name val="Avenir Next LT Pro Light"/>
      <family val="2"/>
      <charset val="238"/>
    </font>
    <font>
      <b/>
      <sz val="8"/>
      <name val="Avenir Next LT Pro Light"/>
      <family val="2"/>
      <charset val="238"/>
    </font>
    <font>
      <sz val="24"/>
      <name val="Avenir Next LT Pro Light"/>
      <family val="2"/>
      <charset val="238"/>
    </font>
    <font>
      <sz val="10"/>
      <name val="Avenir Next LT Pro Light"/>
      <family val="2"/>
      <charset val="238"/>
    </font>
    <font>
      <sz val="14"/>
      <name val="Avenir Next LT Pro Light"/>
      <family val="2"/>
      <charset val="238"/>
    </font>
    <font>
      <sz val="8"/>
      <name val="Avenir Next LT Pro Light"/>
      <family val="2"/>
      <charset val="238"/>
    </font>
    <font>
      <sz val="15"/>
      <name val="Avenir Next LT Pro Light"/>
      <family val="2"/>
      <charset val="238"/>
    </font>
    <font>
      <sz val="20"/>
      <name val="Avenir Next LT Pro Light"/>
      <family val="2"/>
      <charset val="238"/>
    </font>
    <font>
      <b/>
      <sz val="20"/>
      <name val="Avenir Next LT Pro Light"/>
      <family val="2"/>
      <charset val="238"/>
    </font>
    <font>
      <sz val="18"/>
      <name val="Avenir Next LT Pro Light"/>
      <family val="2"/>
      <charset val="238"/>
    </font>
    <font>
      <b/>
      <sz val="18"/>
      <name val="Avenir Next LT Pro Light"/>
      <family val="2"/>
      <charset val="238"/>
    </font>
    <font>
      <b/>
      <sz val="16"/>
      <name val="Avenir Next LT Pro Light"/>
      <family val="2"/>
      <charset val="238"/>
    </font>
    <font>
      <sz val="13"/>
      <name val="Avenir Next LT Pro Light"/>
      <family val="2"/>
      <charset val="238"/>
    </font>
    <font>
      <b/>
      <sz val="18"/>
      <color theme="2" tint="-0.749992370372631"/>
      <name val="Avenir Next LT Pro Demi"/>
      <family val="2"/>
      <charset val="238"/>
    </font>
    <font>
      <b/>
      <sz val="12"/>
      <name val="Avenir Next LT Pro Light"/>
      <family val="2"/>
      <charset val="238"/>
    </font>
    <font>
      <sz val="40"/>
      <color theme="2" tint="-0.749992370372631"/>
      <name val="Avenir Next LT Pro Light"/>
      <family val="2"/>
      <charset val="238"/>
    </font>
    <font>
      <b/>
      <sz val="16"/>
      <color theme="2" tint="-0.749992370372631"/>
      <name val="Avenir Next LT Pro Light"/>
      <family val="2"/>
      <charset val="238"/>
    </font>
    <font>
      <b/>
      <sz val="18"/>
      <color theme="2" tint="-0.749992370372631"/>
      <name val="Avenir Next LT Pro Light"/>
      <family val="2"/>
      <charset val="238"/>
    </font>
    <font>
      <sz val="16"/>
      <color rgb="FF000000"/>
      <name val="Avenir Next LT Pro Light"/>
      <family val="2"/>
      <charset val="238"/>
    </font>
    <font>
      <b/>
      <sz val="36"/>
      <color theme="0"/>
      <name val="Avenir Next LT Pro Light"/>
      <family val="2"/>
      <charset val="238"/>
    </font>
    <font>
      <sz val="14"/>
      <name val="Avenir Next LT Pro Demi"/>
      <family val="2"/>
      <charset val="238"/>
    </font>
    <font>
      <b/>
      <sz val="12"/>
      <name val="Avenir Next LT Pro Demi"/>
      <family val="2"/>
      <charset val="238"/>
    </font>
    <font>
      <sz val="12"/>
      <name val="Avenir Next LT Pro Demi"/>
      <family val="2"/>
      <charset val="238"/>
    </font>
    <font>
      <b/>
      <sz val="12"/>
      <name val="Avenir Next LT Pro"/>
      <family val="2"/>
      <charset val="238"/>
    </font>
    <font>
      <b/>
      <sz val="14"/>
      <color theme="0" tint="-4.9989318521683403E-2"/>
      <name val="Avenir Next LT Pro"/>
      <family val="2"/>
      <charset val="238"/>
    </font>
    <font>
      <sz val="11"/>
      <color theme="1"/>
      <name val="Avenir Next LT Pro Demi"/>
      <family val="2"/>
      <charset val="238"/>
    </font>
    <font>
      <sz val="11"/>
      <color theme="1"/>
      <name val="Avenir Next LT Pro"/>
      <family val="2"/>
      <charset val="238"/>
    </font>
    <font>
      <b/>
      <sz val="11"/>
      <color theme="1"/>
      <name val="Avenir Next LT Pro"/>
      <family val="2"/>
      <charset val="238"/>
    </font>
    <font>
      <u/>
      <sz val="11"/>
      <color theme="10"/>
      <name val="Avenir Next LT Pro"/>
      <family val="2"/>
      <charset val="238"/>
    </font>
    <font>
      <sz val="18"/>
      <color theme="1"/>
      <name val="Avenir Next LT Pro"/>
      <family val="2"/>
      <charset val="238"/>
    </font>
    <font>
      <sz val="18"/>
      <color theme="1"/>
      <name val="Avenir Next LT Pro Demi"/>
      <family val="2"/>
      <charset val="238"/>
    </font>
    <font>
      <b/>
      <sz val="18"/>
      <color theme="2" tint="-0.749992370372631"/>
      <name val="Codec Pro ExtraBold"/>
      <charset val="238"/>
    </font>
    <font>
      <sz val="11"/>
      <color theme="1"/>
      <name val="Codec Pro"/>
      <charset val="238"/>
    </font>
    <font>
      <b/>
      <sz val="18"/>
      <color theme="2" tint="-0.749992370372631"/>
      <name val="Codec Pro"/>
      <charset val="238"/>
    </font>
    <font>
      <sz val="11"/>
      <color theme="2" tint="-0.749992370372631"/>
      <name val="Codec Pro"/>
      <charset val="238"/>
    </font>
    <font>
      <sz val="18"/>
      <color rgb="FFFFC000"/>
      <name val="Codec Pro"/>
      <charset val="238"/>
    </font>
    <font>
      <sz val="14"/>
      <color theme="2" tint="-0.749992370372631"/>
      <name val="Codec Pro"/>
      <charset val="238"/>
    </font>
    <font>
      <sz val="18"/>
      <color theme="2" tint="-0.749992370372631"/>
      <name val="Codec Pro"/>
      <charset val="238"/>
    </font>
    <font>
      <sz val="16"/>
      <color theme="3"/>
      <name val="Codec Pro"/>
      <charset val="238"/>
    </font>
    <font>
      <sz val="16"/>
      <color theme="2" tint="-0.749992370372631"/>
      <name val="Codec Pro"/>
      <charset val="238"/>
    </font>
    <font>
      <sz val="16"/>
      <name val="Codec Pro"/>
      <charset val="238"/>
    </font>
    <font>
      <sz val="11"/>
      <color theme="0" tint="-0.14999847407452621"/>
      <name val="Codec Pro"/>
      <charset val="238"/>
    </font>
    <font>
      <b/>
      <sz val="11"/>
      <color theme="0" tint="-4.9989318521683403E-2"/>
      <name val="Codec Pro"/>
      <charset val="238"/>
    </font>
    <font>
      <b/>
      <sz val="11"/>
      <color theme="1"/>
      <name val="Codec Pro"/>
      <charset val="238"/>
    </font>
    <font>
      <b/>
      <sz val="14"/>
      <color theme="0" tint="-4.9989318521683403E-2"/>
      <name val="Codec Pro"/>
      <charset val="238"/>
    </font>
    <font>
      <b/>
      <sz val="12"/>
      <name val="Codec Pro"/>
      <charset val="238"/>
    </font>
    <font>
      <b/>
      <sz val="12"/>
      <name val="Codec Pro ExtraBold"/>
      <charset val="238"/>
    </font>
    <font>
      <sz val="12"/>
      <name val="Codec Pro Light"/>
      <charset val="238"/>
    </font>
    <font>
      <sz val="14"/>
      <color theme="1"/>
      <name val="Codec Pro"/>
      <charset val="238"/>
    </font>
    <font>
      <sz val="16"/>
      <color theme="0"/>
      <name val="Codec Pro"/>
      <charset val="238"/>
    </font>
    <font>
      <sz val="14"/>
      <name val="Codec Pro"/>
      <charset val="238"/>
    </font>
    <font>
      <sz val="11"/>
      <color theme="0" tint="-4.9989318521683403E-2"/>
      <name val="Codec Pro"/>
      <charset val="238"/>
    </font>
    <font>
      <sz val="11"/>
      <color theme="1"/>
      <name val="Codec Pro News"/>
      <charset val="238"/>
    </font>
    <font>
      <u/>
      <sz val="8"/>
      <color theme="10"/>
      <name val="Calibri"/>
      <family val="2"/>
      <charset val="238"/>
      <scheme val="minor"/>
    </font>
  </fonts>
  <fills count="33">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rgb="FFFF6565"/>
        <bgColor indexed="64"/>
      </patternFill>
    </fill>
    <fill>
      <patternFill patternType="solid">
        <fgColor rgb="FF00B050"/>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FFFF"/>
        <bgColor indexed="64"/>
      </patternFill>
    </fill>
    <fill>
      <patternFill patternType="solid">
        <fgColor theme="2"/>
        <bgColor indexed="64"/>
      </patternFill>
    </fill>
    <fill>
      <patternFill patternType="solid">
        <fgColor theme="4" tint="-0.249977111117893"/>
        <bgColor indexed="64"/>
      </patternFill>
    </fill>
    <fill>
      <patternFill patternType="solid">
        <fgColor rgb="FF0070C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9"/>
        <bgColor indexed="64"/>
      </patternFill>
    </fill>
    <fill>
      <patternFill patternType="solid">
        <fgColor rgb="FF93C248"/>
        <bgColor rgb="FF93C248"/>
      </patternFill>
    </fill>
    <fill>
      <patternFill patternType="solid">
        <fgColor rgb="FFFFFF00"/>
        <bgColor rgb="FFFFFF00"/>
      </patternFill>
    </fill>
    <fill>
      <patternFill patternType="solid">
        <fgColor rgb="FFF4B083"/>
        <bgColor rgb="FFF4B083"/>
      </patternFill>
    </fill>
    <fill>
      <patternFill patternType="solid">
        <fgColor rgb="FF66FF99"/>
        <bgColor rgb="FF66FF99"/>
      </patternFill>
    </fill>
    <fill>
      <patternFill patternType="solid">
        <fgColor rgb="FFFFCCFF"/>
        <bgColor rgb="FFFFCCFF"/>
      </patternFill>
    </fill>
    <fill>
      <patternFill patternType="solid">
        <fgColor theme="0"/>
        <bgColor theme="0"/>
      </patternFill>
    </fill>
    <fill>
      <patternFill patternType="solid">
        <fgColor rgb="FFC5E0B3"/>
        <bgColor rgb="FFC5E0B3"/>
      </patternFill>
    </fill>
    <fill>
      <patternFill patternType="solid">
        <fgColor rgb="FFFFDB69"/>
        <bgColor indexed="64"/>
      </patternFill>
    </fill>
    <fill>
      <patternFill patternType="solid">
        <fgColor rgb="FF23234F"/>
        <bgColor indexed="64"/>
      </patternFill>
    </fill>
    <fill>
      <patternFill patternType="solid">
        <fgColor rgb="FF4EDA00"/>
        <bgColor indexed="64"/>
      </patternFill>
    </fill>
    <fill>
      <patternFill patternType="solid">
        <fgColor theme="9" tint="0.79998168889431442"/>
        <bgColor theme="9" tint="0.79998168889431442"/>
      </patternFill>
    </fill>
    <fill>
      <patternFill patternType="solid">
        <fgColor theme="8" tint="0.59999389629810485"/>
        <bgColor indexed="64"/>
      </patternFill>
    </fill>
  </fills>
  <borders count="1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top style="dotted">
        <color indexed="64"/>
      </top>
      <bottom/>
      <diagonal/>
    </border>
    <border>
      <left style="dotted">
        <color indexed="64"/>
      </left>
      <right/>
      <top/>
      <bottom/>
      <diagonal/>
    </border>
    <border>
      <left/>
      <right/>
      <top/>
      <bottom style="dotted">
        <color indexed="64"/>
      </bottom>
      <diagonal/>
    </border>
    <border>
      <left style="dotted">
        <color indexed="64"/>
      </left>
      <right/>
      <top style="dotted">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ashed">
        <color indexed="64"/>
      </left>
      <right/>
      <top/>
      <bottom/>
      <diagonal/>
    </border>
    <border>
      <left style="dashed">
        <color indexed="64"/>
      </left>
      <right/>
      <top style="dashed">
        <color indexed="64"/>
      </top>
      <bottom/>
      <diagonal/>
    </border>
    <border>
      <left/>
      <right style="thin">
        <color indexed="64"/>
      </right>
      <top/>
      <bottom style="dashed">
        <color indexed="64"/>
      </bottom>
      <diagonal/>
    </border>
    <border>
      <left/>
      <right/>
      <top style="dashed">
        <color indexed="64"/>
      </top>
      <bottom/>
      <diagonal/>
    </border>
    <border>
      <left/>
      <right style="thin">
        <color indexed="64"/>
      </right>
      <top/>
      <bottom style="dotted">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left/>
      <right/>
      <top style="thin">
        <color indexed="64"/>
      </top>
      <bottom style="dotted">
        <color indexed="64"/>
      </bottom>
      <diagonal/>
    </border>
    <border>
      <left/>
      <right/>
      <top style="dotted">
        <color indexed="64"/>
      </top>
      <bottom style="dott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dotted">
        <color auto="1"/>
      </right>
      <top/>
      <bottom style="dotted">
        <color auto="1"/>
      </bottom>
      <diagonal/>
    </border>
    <border>
      <left/>
      <right style="dotted">
        <color auto="1"/>
      </right>
      <top style="dotted">
        <color auto="1"/>
      </top>
      <bottom/>
      <diagonal/>
    </border>
    <border>
      <left/>
      <right style="dotted">
        <color auto="1"/>
      </right>
      <top/>
      <bottom/>
      <diagonal/>
    </border>
    <border>
      <left style="dotted">
        <color auto="1"/>
      </left>
      <right style="thin">
        <color indexed="64"/>
      </right>
      <top/>
      <bottom style="thin">
        <color indexed="64"/>
      </bottom>
      <diagonal/>
    </border>
    <border>
      <left/>
      <right style="dotted">
        <color auto="1"/>
      </right>
      <top style="thin">
        <color indexed="64"/>
      </top>
      <bottom/>
      <diagonal/>
    </border>
    <border>
      <left style="dotted">
        <color auto="1"/>
      </left>
      <right/>
      <top/>
      <bottom style="dotted">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dashed">
        <color indexed="64"/>
      </bottom>
      <diagonal/>
    </border>
    <border>
      <left/>
      <right style="medium">
        <color indexed="64"/>
      </right>
      <top/>
      <bottom style="dashed">
        <color indexed="64"/>
      </bottom>
      <diagonal/>
    </border>
    <border>
      <left style="medium">
        <color indexed="64"/>
      </left>
      <right/>
      <top/>
      <bottom style="dashed">
        <color indexed="64"/>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top/>
      <bottom style="dashed">
        <color indexed="64"/>
      </bottom>
      <diagonal/>
    </border>
    <border>
      <left/>
      <right style="medium">
        <color indexed="64"/>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dashed">
        <color indexed="64"/>
      </top>
      <bottom style="thin">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style="dotted">
        <color indexed="64"/>
      </bottom>
      <diagonal/>
    </border>
    <border>
      <left style="medium">
        <color indexed="64"/>
      </left>
      <right/>
      <top/>
      <bottom style="dotted">
        <color indexed="64"/>
      </bottom>
      <diagonal/>
    </border>
    <border>
      <left/>
      <right/>
      <top style="medium">
        <color indexed="64"/>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auto="1"/>
      </left>
      <right style="thin">
        <color auto="1"/>
      </right>
      <top style="medium">
        <color indexed="64"/>
      </top>
      <bottom style="thin">
        <color auto="1"/>
      </bottom>
      <diagonal/>
    </border>
    <border>
      <left style="thin">
        <color indexed="64"/>
      </left>
      <right/>
      <top style="thin">
        <color indexed="64"/>
      </top>
      <bottom style="medium">
        <color indexed="64"/>
      </bottom>
      <diagonal/>
    </border>
    <border>
      <left style="medium">
        <color indexed="64"/>
      </left>
      <right style="medium">
        <color indexed="64"/>
      </right>
      <top/>
      <bottom style="thin">
        <color auto="1"/>
      </bottom>
      <diagonal/>
    </border>
    <border>
      <left style="medium">
        <color indexed="64"/>
      </left>
      <right style="thin">
        <color auto="1"/>
      </right>
      <top/>
      <bottom style="thin">
        <color auto="1"/>
      </bottom>
      <diagonal/>
    </border>
    <border>
      <left style="medium">
        <color indexed="64"/>
      </left>
      <right/>
      <top style="medium">
        <color indexed="64"/>
      </top>
      <bottom style="thin">
        <color auto="1"/>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style="medium">
        <color indexed="64"/>
      </bottom>
      <diagonal/>
    </border>
    <border>
      <left/>
      <right/>
      <top/>
      <bottom style="hair">
        <color auto="1"/>
      </bottom>
      <diagonal/>
    </border>
    <border>
      <left/>
      <right style="medium">
        <color indexed="64"/>
      </right>
      <top/>
      <bottom style="hair">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4" tint="0.39997558519241921"/>
      </left>
      <right/>
      <top/>
      <bottom style="thin">
        <color theme="4" tint="0.39997558519241921"/>
      </bottom>
      <diagonal/>
    </border>
  </borders>
  <cellStyleXfs count="5">
    <xf numFmtId="0" fontId="0" fillId="0" borderId="0"/>
    <xf numFmtId="9" fontId="1" fillId="0" borderId="0" applyFont="0" applyFill="0" applyBorder="0" applyAlignment="0" applyProtection="0"/>
    <xf numFmtId="0" fontId="10" fillId="0" borderId="0" applyNumberFormat="0" applyFill="0" applyBorder="0" applyAlignment="0" applyProtection="0"/>
    <xf numFmtId="0" fontId="19" fillId="0" borderId="0"/>
    <xf numFmtId="44" fontId="1" fillId="0" borderId="0" applyFont="0" applyFill="0" applyBorder="0" applyAlignment="0" applyProtection="0"/>
  </cellStyleXfs>
  <cellXfs count="1390">
    <xf numFmtId="0" fontId="0" fillId="0" borderId="0" xfId="0"/>
    <xf numFmtId="2" fontId="0" fillId="0" borderId="0" xfId="0" applyNumberFormat="1"/>
    <xf numFmtId="0" fontId="0" fillId="0" borderId="13" xfId="0" applyBorder="1"/>
    <xf numFmtId="0" fontId="0" fillId="0" borderId="10" xfId="0" applyBorder="1"/>
    <xf numFmtId="0" fontId="0" fillId="0" borderId="14" xfId="0" applyBorder="1"/>
    <xf numFmtId="0" fontId="0" fillId="0" borderId="15" xfId="0" applyBorder="1"/>
    <xf numFmtId="0" fontId="0" fillId="0" borderId="7" xfId="0" applyBorder="1"/>
    <xf numFmtId="0" fontId="0" fillId="0" borderId="16" xfId="0" applyBorder="1"/>
    <xf numFmtId="0" fontId="0" fillId="0" borderId="8" xfId="0" applyBorder="1"/>
    <xf numFmtId="0" fontId="0" fillId="0" borderId="9" xfId="0" applyBorder="1"/>
    <xf numFmtId="0" fontId="0" fillId="0" borderId="6" xfId="0" applyBorder="1"/>
    <xf numFmtId="0" fontId="2" fillId="0" borderId="0" xfId="0" applyFont="1"/>
    <xf numFmtId="0" fontId="2" fillId="0" borderId="16" xfId="0" applyFont="1" applyBorder="1"/>
    <xf numFmtId="0" fontId="4" fillId="0" borderId="0" xfId="0" applyFont="1"/>
    <xf numFmtId="0" fontId="4" fillId="0" borderId="5" xfId="0" applyFont="1" applyBorder="1"/>
    <xf numFmtId="0" fontId="4" fillId="0" borderId="9" xfId="0" applyFont="1" applyBorder="1"/>
    <xf numFmtId="0" fontId="4" fillId="0" borderId="15" xfId="0" applyFont="1" applyBorder="1"/>
    <xf numFmtId="0" fontId="4" fillId="0" borderId="16" xfId="0" applyFont="1" applyBorder="1"/>
    <xf numFmtId="0" fontId="4" fillId="0" borderId="6" xfId="0" applyFont="1" applyBorder="1"/>
    <xf numFmtId="0" fontId="4" fillId="0" borderId="14" xfId="0" applyFont="1" applyBorder="1"/>
    <xf numFmtId="0" fontId="4" fillId="0" borderId="8" xfId="0" applyFont="1" applyBorder="1"/>
    <xf numFmtId="0" fontId="4" fillId="0" borderId="7" xfId="0" applyFont="1" applyBorder="1"/>
    <xf numFmtId="0" fontId="4" fillId="0" borderId="5" xfId="0" quotePrefix="1" applyFont="1" applyBorder="1"/>
    <xf numFmtId="0" fontId="4" fillId="0" borderId="17" xfId="0" applyFont="1" applyBorder="1"/>
    <xf numFmtId="0" fontId="4" fillId="0" borderId="18" xfId="0" applyFont="1" applyBorder="1"/>
    <xf numFmtId="0" fontId="4" fillId="0" borderId="20" xfId="0" applyFont="1" applyBorder="1"/>
    <xf numFmtId="0" fontId="4" fillId="0" borderId="0" xfId="0" applyFont="1" applyAlignment="1">
      <alignment vertical="center"/>
    </xf>
    <xf numFmtId="0" fontId="13" fillId="0" borderId="14" xfId="0" applyFont="1" applyBorder="1" applyAlignment="1">
      <alignment horizontal="center" vertical="center"/>
    </xf>
    <xf numFmtId="0" fontId="4" fillId="0" borderId="2" xfId="0" applyFont="1" applyBorder="1"/>
    <xf numFmtId="0" fontId="4" fillId="0" borderId="3" xfId="0" applyFont="1" applyBorder="1"/>
    <xf numFmtId="0" fontId="4" fillId="0" borderId="4" xfId="0" applyFont="1" applyBorder="1"/>
    <xf numFmtId="0" fontId="8" fillId="0" borderId="0" xfId="0" applyFont="1"/>
    <xf numFmtId="0" fontId="8" fillId="0" borderId="10" xfId="0" applyFont="1" applyBorder="1"/>
    <xf numFmtId="0" fontId="8" fillId="0" borderId="14" xfId="0" applyFont="1" applyBorder="1"/>
    <xf numFmtId="0" fontId="8" fillId="0" borderId="15" xfId="0" applyFont="1" applyBorder="1"/>
    <xf numFmtId="0" fontId="8" fillId="0" borderId="2" xfId="0" applyFont="1" applyBorder="1"/>
    <xf numFmtId="0" fontId="8" fillId="0" borderId="11" xfId="0" applyFont="1" applyBorder="1"/>
    <xf numFmtId="9" fontId="8" fillId="0" borderId="13" xfId="0" applyNumberFormat="1" applyFont="1" applyBorder="1"/>
    <xf numFmtId="0" fontId="8" fillId="3" borderId="0" xfId="0" applyFont="1" applyFill="1"/>
    <xf numFmtId="0" fontId="8" fillId="0" borderId="4" xfId="0" applyFont="1" applyBorder="1"/>
    <xf numFmtId="0" fontId="8" fillId="0" borderId="4" xfId="0" applyFont="1" applyBorder="1" applyAlignment="1">
      <alignment horizontal="center"/>
    </xf>
    <xf numFmtId="2" fontId="8" fillId="0" borderId="0" xfId="0" applyNumberFormat="1" applyFont="1"/>
    <xf numFmtId="0" fontId="8" fillId="0" borderId="3" xfId="0" applyFont="1" applyBorder="1"/>
    <xf numFmtId="0" fontId="8" fillId="0" borderId="7" xfId="0" applyFont="1" applyBorder="1"/>
    <xf numFmtId="0" fontId="8" fillId="0" borderId="16" xfId="0" applyFont="1" applyBorder="1"/>
    <xf numFmtId="0" fontId="8" fillId="0" borderId="5" xfId="0" applyFont="1" applyBorder="1"/>
    <xf numFmtId="0" fontId="8" fillId="0" borderId="9" xfId="0" applyFont="1" applyBorder="1"/>
    <xf numFmtId="0" fontId="8" fillId="0" borderId="6" xfId="0" applyFont="1" applyBorder="1"/>
    <xf numFmtId="0" fontId="8" fillId="0" borderId="8" xfId="0" applyFont="1" applyBorder="1"/>
    <xf numFmtId="167" fontId="8" fillId="0" borderId="0" xfId="0" applyNumberFormat="1" applyFont="1"/>
    <xf numFmtId="2" fontId="8" fillId="0" borderId="10" xfId="0" applyNumberFormat="1" applyFont="1" applyBorder="1"/>
    <xf numFmtId="0" fontId="8" fillId="0" borderId="13" xfId="0" applyFont="1" applyBorder="1"/>
    <xf numFmtId="9" fontId="8" fillId="0" borderId="0" xfId="0" applyNumberFormat="1" applyFont="1"/>
    <xf numFmtId="0" fontId="8" fillId="6" borderId="0" xfId="0" applyFont="1" applyFill="1"/>
    <xf numFmtId="0" fontId="8" fillId="0" borderId="12" xfId="0" applyFont="1" applyBorder="1"/>
    <xf numFmtId="167" fontId="8" fillId="0" borderId="12" xfId="0" applyNumberFormat="1" applyFont="1" applyBorder="1"/>
    <xf numFmtId="167" fontId="8" fillId="0" borderId="9" xfId="0" applyNumberFormat="1" applyFont="1" applyBorder="1"/>
    <xf numFmtId="167" fontId="8" fillId="0" borderId="6" xfId="0" applyNumberFormat="1" applyFont="1" applyBorder="1"/>
    <xf numFmtId="169" fontId="8" fillId="0" borderId="14" xfId="0" applyNumberFormat="1" applyFont="1" applyBorder="1"/>
    <xf numFmtId="168" fontId="8" fillId="0" borderId="0" xfId="0" applyNumberFormat="1" applyFont="1"/>
    <xf numFmtId="164" fontId="8" fillId="0" borderId="0" xfId="0" applyNumberFormat="1" applyFont="1"/>
    <xf numFmtId="164" fontId="8" fillId="0" borderId="16" xfId="0" applyNumberFormat="1" applyFont="1" applyBorder="1"/>
    <xf numFmtId="168" fontId="8" fillId="0" borderId="10" xfId="1" applyNumberFormat="1" applyFont="1" applyBorder="1"/>
    <xf numFmtId="0" fontId="8" fillId="0" borderId="0" xfId="0" quotePrefix="1" applyFont="1"/>
    <xf numFmtId="1" fontId="8" fillId="0" borderId="0" xfId="0" applyNumberFormat="1" applyFont="1"/>
    <xf numFmtId="49" fontId="8" fillId="0" borderId="0" xfId="0" applyNumberFormat="1" applyFont="1"/>
    <xf numFmtId="1" fontId="4" fillId="0" borderId="0" xfId="0" applyNumberFormat="1" applyFont="1"/>
    <xf numFmtId="0" fontId="15" fillId="0" borderId="0" xfId="0" applyFont="1"/>
    <xf numFmtId="0" fontId="0" fillId="0" borderId="12" xfId="0" applyBorder="1"/>
    <xf numFmtId="2" fontId="8" fillId="0" borderId="6" xfId="0" applyNumberFormat="1" applyFont="1" applyBorder="1" applyAlignment="1">
      <alignment vertical="center"/>
    </xf>
    <xf numFmtId="169" fontId="4" fillId="0" borderId="0" xfId="0" applyNumberFormat="1" applyFont="1"/>
    <xf numFmtId="2" fontId="4" fillId="0" borderId="0" xfId="0" applyNumberFormat="1" applyFont="1"/>
    <xf numFmtId="0" fontId="5" fillId="0" borderId="0" xfId="0" applyFont="1"/>
    <xf numFmtId="4" fontId="8" fillId="0" borderId="0" xfId="0" applyNumberFormat="1" applyFont="1"/>
    <xf numFmtId="10" fontId="8" fillId="0" borderId="0" xfId="0" applyNumberFormat="1" applyFont="1"/>
    <xf numFmtId="0" fontId="3" fillId="0" borderId="0" xfId="0" applyFont="1"/>
    <xf numFmtId="0" fontId="4" fillId="0" borderId="3" xfId="0" applyFont="1" applyBorder="1" applyAlignment="1">
      <alignment horizontal="center" vertical="center"/>
    </xf>
    <xf numFmtId="0" fontId="4" fillId="10" borderId="0" xfId="0" applyFont="1" applyFill="1"/>
    <xf numFmtId="169" fontId="4" fillId="10" borderId="0" xfId="0" applyNumberFormat="1" applyFont="1" applyFill="1"/>
    <xf numFmtId="0" fontId="0" fillId="0" borderId="0" xfId="0" applyAlignment="1">
      <alignment horizontal="center"/>
    </xf>
    <xf numFmtId="0" fontId="0" fillId="0" borderId="9" xfId="0" applyBorder="1" applyAlignment="1">
      <alignment horizontal="center"/>
    </xf>
    <xf numFmtId="0" fontId="0" fillId="0" borderId="0" xfId="0" applyAlignment="1">
      <alignment horizontal="left"/>
    </xf>
    <xf numFmtId="0" fontId="4" fillId="0" borderId="15" xfId="0" applyFont="1" applyBorder="1" applyAlignment="1">
      <alignment horizontal="center" vertical="center"/>
    </xf>
    <xf numFmtId="0" fontId="4" fillId="0" borderId="14" xfId="0" applyFont="1" applyBorder="1" applyAlignment="1">
      <alignment horizontal="center" vertical="center"/>
    </xf>
    <xf numFmtId="0" fontId="4" fillId="0" borderId="27" xfId="0" applyFont="1" applyBorder="1"/>
    <xf numFmtId="0" fontId="4" fillId="0" borderId="28" xfId="0" applyFont="1" applyBorder="1"/>
    <xf numFmtId="0" fontId="4" fillId="0" borderId="30" xfId="0" applyFont="1" applyBorder="1"/>
    <xf numFmtId="0" fontId="7" fillId="0" borderId="19" xfId="0" applyFont="1" applyBorder="1"/>
    <xf numFmtId="0" fontId="7" fillId="0" borderId="15" xfId="0" applyFont="1" applyBorder="1"/>
    <xf numFmtId="0" fontId="7" fillId="0" borderId="0" xfId="0" applyFont="1"/>
    <xf numFmtId="0" fontId="7" fillId="0" borderId="14" xfId="0" applyFont="1" applyBorder="1"/>
    <xf numFmtId="0" fontId="7" fillId="0" borderId="0" xfId="0" quotePrefix="1" applyFont="1"/>
    <xf numFmtId="0" fontId="7" fillId="0" borderId="31" xfId="0" applyFont="1" applyBorder="1"/>
    <xf numFmtId="0" fontId="7" fillId="0" borderId="7" xfId="0" applyFont="1" applyBorder="1"/>
    <xf numFmtId="0" fontId="7" fillId="0" borderId="16" xfId="0" applyFont="1" applyBorder="1"/>
    <xf numFmtId="0" fontId="7" fillId="0" borderId="8" xfId="0" applyFont="1" applyBorder="1"/>
    <xf numFmtId="0" fontId="7" fillId="0" borderId="0" xfId="0" quotePrefix="1" applyFont="1" applyAlignment="1">
      <alignment horizontal="left" vertical="top"/>
    </xf>
    <xf numFmtId="0" fontId="0" fillId="10" borderId="0" xfId="0" applyFill="1"/>
    <xf numFmtId="0" fontId="20" fillId="0" borderId="10" xfId="0" applyFont="1" applyBorder="1"/>
    <xf numFmtId="1" fontId="0" fillId="0" borderId="0" xfId="0" applyNumberFormat="1"/>
    <xf numFmtId="0" fontId="0" fillId="0" borderId="0" xfId="0" applyAlignment="1">
      <alignment horizontal="left" vertical="top"/>
    </xf>
    <xf numFmtId="0" fontId="6" fillId="0" borderId="0" xfId="0" applyFont="1" applyAlignment="1">
      <alignment vertical="top" wrapText="1"/>
    </xf>
    <xf numFmtId="0" fontId="21" fillId="0" borderId="0" xfId="0" applyFont="1" applyAlignment="1">
      <alignment vertical="center"/>
    </xf>
    <xf numFmtId="0" fontId="25" fillId="0" borderId="0" xfId="0" applyFont="1" applyAlignment="1">
      <alignment horizontal="left" vertical="top"/>
    </xf>
    <xf numFmtId="0" fontId="2" fillId="0" borderId="0" xfId="0" applyFont="1" applyAlignment="1">
      <alignment vertical="center"/>
    </xf>
    <xf numFmtId="0" fontId="11" fillId="0" borderId="0" xfId="2" applyFont="1" applyBorder="1" applyAlignment="1"/>
    <xf numFmtId="3" fontId="3" fillId="0" borderId="0" xfId="0" applyNumberFormat="1" applyFont="1"/>
    <xf numFmtId="14" fontId="2" fillId="0" borderId="0" xfId="0" applyNumberFormat="1" applyFont="1" applyAlignment="1">
      <alignment vertical="center"/>
    </xf>
    <xf numFmtId="0" fontId="24" fillId="0" borderId="0" xfId="0" applyFont="1" applyAlignment="1">
      <alignment vertical="center"/>
    </xf>
    <xf numFmtId="0" fontId="24" fillId="0" borderId="0" xfId="0" applyFont="1" applyAlignment="1">
      <alignment vertical="center" wrapText="1"/>
    </xf>
    <xf numFmtId="0" fontId="25" fillId="0" borderId="0" xfId="0" applyFont="1" applyAlignment="1">
      <alignment vertical="center"/>
    </xf>
    <xf numFmtId="0" fontId="7" fillId="0" borderId="0" xfId="0" quotePrefix="1" applyFont="1" applyAlignment="1">
      <alignment horizontal="left" vertical="top" wrapText="1"/>
    </xf>
    <xf numFmtId="0" fontId="7" fillId="0" borderId="0" xfId="0" quotePrefix="1" applyFont="1" applyAlignment="1">
      <alignment vertical="top" wrapText="1"/>
    </xf>
    <xf numFmtId="0" fontId="6" fillId="0" borderId="0" xfId="0" applyFont="1" applyAlignment="1">
      <alignment horizontal="center" vertical="center"/>
    </xf>
    <xf numFmtId="0" fontId="30" fillId="12" borderId="32" xfId="3" applyFont="1" applyFill="1" applyBorder="1"/>
    <xf numFmtId="0" fontId="30" fillId="12" borderId="33" xfId="3" applyFont="1" applyFill="1" applyBorder="1"/>
    <xf numFmtId="0" fontId="30" fillId="0" borderId="34" xfId="3" applyFont="1" applyBorder="1"/>
    <xf numFmtId="0" fontId="30" fillId="12" borderId="34" xfId="3" applyFont="1" applyFill="1" applyBorder="1"/>
    <xf numFmtId="0" fontId="4" fillId="0" borderId="0" xfId="0" applyFont="1" applyAlignment="1">
      <alignment horizontal="left" vertical="center"/>
    </xf>
    <xf numFmtId="0" fontId="4" fillId="0" borderId="0" xfId="0" applyFont="1" applyAlignment="1">
      <alignment horizontal="left"/>
    </xf>
    <xf numFmtId="0" fontId="4" fillId="0" borderId="35" xfId="0" applyFont="1" applyBorder="1" applyAlignment="1">
      <alignment vertical="center"/>
    </xf>
    <xf numFmtId="0" fontId="4" fillId="0" borderId="36" xfId="0" applyFont="1" applyBorder="1"/>
    <xf numFmtId="0" fontId="4" fillId="0" borderId="35" xfId="0" applyFont="1" applyBorder="1" applyAlignment="1">
      <alignment horizontal="left" vertical="center"/>
    </xf>
    <xf numFmtId="0" fontId="7" fillId="0" borderId="5" xfId="0" applyFont="1" applyBorder="1"/>
    <xf numFmtId="0" fontId="7" fillId="0" borderId="9" xfId="0" applyFont="1" applyBorder="1"/>
    <xf numFmtId="0" fontId="7" fillId="0" borderId="6" xfId="0" applyFont="1" applyBorder="1"/>
    <xf numFmtId="0" fontId="7" fillId="0" borderId="41" xfId="0" applyFont="1" applyBorder="1"/>
    <xf numFmtId="0" fontId="0" fillId="0" borderId="41" xfId="0" applyBorder="1"/>
    <xf numFmtId="0" fontId="7" fillId="0" borderId="42" xfId="0" applyFont="1" applyBorder="1"/>
    <xf numFmtId="0" fontId="0" fillId="0" borderId="42" xfId="0" applyBorder="1"/>
    <xf numFmtId="0" fontId="33" fillId="0" borderId="5" xfId="0" applyFont="1" applyBorder="1"/>
    <xf numFmtId="0" fontId="33" fillId="0" borderId="9" xfId="0" applyFont="1" applyBorder="1"/>
    <xf numFmtId="0" fontId="33" fillId="0" borderId="15" xfId="0" applyFont="1" applyBorder="1"/>
    <xf numFmtId="0" fontId="33" fillId="0" borderId="0" xfId="0" applyFont="1"/>
    <xf numFmtId="0" fontId="33" fillId="0" borderId="7" xfId="0" applyFont="1" applyBorder="1"/>
    <xf numFmtId="0" fontId="38" fillId="13" borderId="21" xfId="0" applyFont="1" applyFill="1" applyBorder="1" applyAlignment="1">
      <alignment vertical="center" wrapText="1"/>
    </xf>
    <xf numFmtId="0" fontId="39" fillId="13" borderId="21" xfId="0" applyFont="1" applyFill="1" applyBorder="1" applyAlignment="1">
      <alignment horizontal="left" vertical="center" wrapText="1" indent="10"/>
    </xf>
    <xf numFmtId="0" fontId="39" fillId="13" borderId="21" xfId="0" applyFont="1" applyFill="1" applyBorder="1" applyAlignment="1">
      <alignment vertical="center" wrapText="1"/>
    </xf>
    <xf numFmtId="0" fontId="39" fillId="13" borderId="21" xfId="0" applyFont="1" applyFill="1" applyBorder="1" applyAlignment="1">
      <alignment horizontal="center" vertical="center" wrapText="1"/>
    </xf>
    <xf numFmtId="0" fontId="40" fillId="13" borderId="21" xfId="0" applyFont="1" applyFill="1" applyBorder="1" applyAlignment="1">
      <alignment vertical="center" wrapText="1"/>
    </xf>
    <xf numFmtId="0" fontId="41" fillId="13" borderId="21" xfId="0" applyFont="1" applyFill="1" applyBorder="1" applyAlignment="1">
      <alignment vertical="center" wrapText="1"/>
    </xf>
    <xf numFmtId="0" fontId="41" fillId="13" borderId="21" xfId="0" applyFont="1" applyFill="1" applyBorder="1" applyAlignment="1">
      <alignment horizontal="justify" vertical="center" wrapText="1"/>
    </xf>
    <xf numFmtId="0" fontId="41" fillId="13" borderId="35" xfId="0" applyFont="1" applyFill="1" applyBorder="1" applyAlignment="1">
      <alignment vertical="center" wrapText="1"/>
    </xf>
    <xf numFmtId="0" fontId="42" fillId="13" borderId="35" xfId="0" applyFont="1" applyFill="1" applyBorder="1" applyAlignment="1">
      <alignment vertical="center" wrapText="1"/>
    </xf>
    <xf numFmtId="0" fontId="41" fillId="13" borderId="21" xfId="0" applyFont="1" applyFill="1" applyBorder="1" applyAlignment="1">
      <alignment horizontal="right" vertical="center" wrapText="1"/>
    </xf>
    <xf numFmtId="0" fontId="7" fillId="0" borderId="10" xfId="0" applyFont="1" applyBorder="1"/>
    <xf numFmtId="9" fontId="0" fillId="0" borderId="0" xfId="0" applyNumberFormat="1"/>
    <xf numFmtId="0" fontId="34" fillId="13" borderId="21" xfId="0" applyFont="1" applyFill="1" applyBorder="1" applyAlignment="1">
      <alignment vertical="center" wrapText="1"/>
    </xf>
    <xf numFmtId="0" fontId="43" fillId="13" borderId="46" xfId="0" applyFont="1" applyFill="1" applyBorder="1" applyAlignment="1">
      <alignment vertical="center" wrapText="1"/>
    </xf>
    <xf numFmtId="0" fontId="35" fillId="0" borderId="15" xfId="0" applyFont="1" applyBorder="1" applyAlignment="1">
      <alignment horizontal="left" vertical="center"/>
    </xf>
    <xf numFmtId="0" fontId="37" fillId="0" borderId="0" xfId="0" applyFont="1"/>
    <xf numFmtId="1" fontId="7" fillId="0" borderId="0" xfId="0" applyNumberFormat="1" applyFont="1"/>
    <xf numFmtId="0" fontId="33" fillId="0" borderId="11" xfId="0" applyFont="1" applyBorder="1"/>
    <xf numFmtId="1" fontId="7" fillId="0" borderId="10" xfId="0" applyNumberFormat="1" applyFont="1" applyBorder="1"/>
    <xf numFmtId="0" fontId="4" fillId="0" borderId="18" xfId="0" applyFont="1" applyBorder="1" applyAlignment="1">
      <alignment textRotation="90"/>
    </xf>
    <xf numFmtId="0" fontId="4" fillId="0" borderId="48" xfId="0" applyFont="1" applyBorder="1"/>
    <xf numFmtId="0" fontId="4" fillId="0" borderId="49" xfId="0" applyFont="1" applyBorder="1"/>
    <xf numFmtId="0" fontId="4" fillId="0" borderId="50" xfId="0" applyFont="1" applyBorder="1"/>
    <xf numFmtId="0" fontId="4" fillId="0" borderId="51" xfId="0" applyFont="1" applyBorder="1"/>
    <xf numFmtId="0" fontId="4" fillId="0" borderId="52" xfId="0" applyFont="1" applyBorder="1"/>
    <xf numFmtId="0" fontId="4" fillId="0" borderId="19" xfId="0" applyFont="1" applyBorder="1"/>
    <xf numFmtId="0" fontId="4" fillId="0" borderId="47" xfId="0" applyFont="1" applyBorder="1"/>
    <xf numFmtId="0" fontId="0" fillId="0" borderId="25" xfId="0" applyBorder="1"/>
    <xf numFmtId="0" fontId="0" fillId="0" borderId="36" xfId="0" applyBorder="1"/>
    <xf numFmtId="0" fontId="0" fillId="0" borderId="35" xfId="0" applyBorder="1"/>
    <xf numFmtId="0" fontId="0" fillId="0" borderId="24" xfId="0" applyBorder="1"/>
    <xf numFmtId="0" fontId="0" fillId="0" borderId="26" xfId="0" applyBorder="1"/>
    <xf numFmtId="0" fontId="0" fillId="0" borderId="26" xfId="0" applyBorder="1" applyAlignment="1">
      <alignment horizontal="center"/>
    </xf>
    <xf numFmtId="0" fontId="0" fillId="0" borderId="46" xfId="0" applyBorder="1"/>
    <xf numFmtId="0" fontId="0" fillId="0" borderId="54" xfId="0" applyBorder="1"/>
    <xf numFmtId="0" fontId="0" fillId="0" borderId="55" xfId="0" applyBorder="1"/>
    <xf numFmtId="0" fontId="0" fillId="0" borderId="22" xfId="0" applyBorder="1"/>
    <xf numFmtId="0" fontId="0" fillId="0" borderId="29" xfId="0" applyBorder="1" applyAlignment="1">
      <alignment wrapText="1"/>
    </xf>
    <xf numFmtId="0" fontId="0" fillId="0" borderId="64" xfId="0" applyBorder="1" applyAlignment="1">
      <alignment wrapText="1"/>
    </xf>
    <xf numFmtId="0" fontId="0" fillId="0" borderId="36" xfId="0" applyBorder="1" applyAlignment="1">
      <alignment horizontal="center"/>
    </xf>
    <xf numFmtId="0" fontId="4" fillId="0" borderId="0" xfId="0" applyFont="1" applyAlignment="1">
      <alignment horizontal="center" vertical="center"/>
    </xf>
    <xf numFmtId="0" fontId="0" fillId="0" borderId="21" xfId="0" applyBorder="1"/>
    <xf numFmtId="0" fontId="0" fillId="0" borderId="23" xfId="0" applyBorder="1"/>
    <xf numFmtId="0" fontId="0" fillId="0" borderId="67" xfId="0" applyBorder="1"/>
    <xf numFmtId="0" fontId="46" fillId="0" borderId="0" xfId="0" applyFont="1" applyAlignment="1">
      <alignment horizontal="center"/>
    </xf>
    <xf numFmtId="0" fontId="46" fillId="0" borderId="0" xfId="0" applyFont="1"/>
    <xf numFmtId="0" fontId="4" fillId="15" borderId="0" xfId="0" applyFont="1" applyFill="1"/>
    <xf numFmtId="0" fontId="4" fillId="0" borderId="25" xfId="0" applyFont="1" applyBorder="1"/>
    <xf numFmtId="0" fontId="4" fillId="0" borderId="22" xfId="0" applyFont="1" applyBorder="1"/>
    <xf numFmtId="0" fontId="4" fillId="0" borderId="35" xfId="0" applyFont="1" applyBorder="1"/>
    <xf numFmtId="0" fontId="4" fillId="0" borderId="24" xfId="0" applyFont="1" applyBorder="1"/>
    <xf numFmtId="0" fontId="4" fillId="0" borderId="26" xfId="0" applyFont="1" applyBorder="1"/>
    <xf numFmtId="0" fontId="4" fillId="0" borderId="23" xfId="0" applyFont="1" applyBorder="1"/>
    <xf numFmtId="0" fontId="4" fillId="0" borderId="21" xfId="0" applyFont="1" applyBorder="1"/>
    <xf numFmtId="0" fontId="4" fillId="0" borderId="0" xfId="0" applyFont="1" applyAlignment="1">
      <alignment horizontal="right"/>
    </xf>
    <xf numFmtId="0" fontId="4" fillId="0" borderId="0" xfId="0" quotePrefix="1" applyFont="1" applyAlignment="1">
      <alignment horizontal="left"/>
    </xf>
    <xf numFmtId="0" fontId="4" fillId="0" borderId="0" xfId="0" quotePrefix="1" applyFont="1"/>
    <xf numFmtId="0" fontId="16" fillId="0" borderId="0" xfId="0" applyFont="1"/>
    <xf numFmtId="0" fontId="4" fillId="16" borderId="0" xfId="0" applyFont="1" applyFill="1"/>
    <xf numFmtId="0" fontId="7" fillId="0" borderId="14" xfId="0" quotePrefix="1" applyFont="1" applyBorder="1" applyAlignment="1">
      <alignment vertical="top" wrapText="1"/>
    </xf>
    <xf numFmtId="0" fontId="7" fillId="0" borderId="35" xfId="0" applyFont="1" applyBorder="1"/>
    <xf numFmtId="0" fontId="7" fillId="0" borderId="36" xfId="0" applyFont="1" applyBorder="1"/>
    <xf numFmtId="0" fontId="7" fillId="0" borderId="36" xfId="0" quotePrefix="1" applyFont="1" applyBorder="1" applyAlignment="1">
      <alignment vertical="top" wrapText="1"/>
    </xf>
    <xf numFmtId="0" fontId="7" fillId="0" borderId="35" xfId="0" quotePrefix="1" applyFont="1" applyBorder="1" applyAlignment="1">
      <alignment vertical="top" wrapText="1"/>
    </xf>
    <xf numFmtId="0" fontId="7" fillId="0" borderId="36" xfId="0" quotePrefix="1" applyFont="1" applyBorder="1" applyAlignment="1">
      <alignment horizontal="left" vertical="top" wrapText="1"/>
    </xf>
    <xf numFmtId="0" fontId="7" fillId="0" borderId="69" xfId="0" applyFont="1" applyBorder="1"/>
    <xf numFmtId="0" fontId="7" fillId="0" borderId="70" xfId="0" applyFont="1" applyBorder="1"/>
    <xf numFmtId="0" fontId="7" fillId="0" borderId="24" xfId="0" applyFont="1" applyBorder="1"/>
    <xf numFmtId="0" fontId="7" fillId="0" borderId="25" xfId="0" applyFont="1" applyBorder="1"/>
    <xf numFmtId="0" fontId="2" fillId="0" borderId="25" xfId="0" applyFont="1" applyBorder="1"/>
    <xf numFmtId="0" fontId="7" fillId="0" borderId="26" xfId="0" applyFont="1" applyBorder="1"/>
    <xf numFmtId="0" fontId="0" fillId="0" borderId="0" xfId="0" quotePrefix="1"/>
    <xf numFmtId="0" fontId="0" fillId="0" borderId="36" xfId="0" quotePrefix="1" applyBorder="1" applyAlignment="1">
      <alignment vertical="top" wrapText="1"/>
    </xf>
    <xf numFmtId="0" fontId="0" fillId="0" borderId="0" xfId="0" quotePrefix="1" applyAlignment="1">
      <alignment horizontal="left" vertical="top"/>
    </xf>
    <xf numFmtId="0" fontId="0" fillId="0" borderId="0" xfId="0" quotePrefix="1" applyAlignment="1">
      <alignment horizontal="center"/>
    </xf>
    <xf numFmtId="0" fontId="8" fillId="0" borderId="2" xfId="0" applyFont="1" applyBorder="1" applyAlignment="1">
      <alignment horizontal="center"/>
    </xf>
    <xf numFmtId="1" fontId="5" fillId="0" borderId="0" xfId="0" applyNumberFormat="1" applyFont="1"/>
    <xf numFmtId="1" fontId="5" fillId="0" borderId="0" xfId="0" applyNumberFormat="1" applyFont="1" applyAlignment="1">
      <alignment horizontal="left"/>
    </xf>
    <xf numFmtId="0" fontId="8" fillId="2" borderId="10" xfId="0" applyFont="1" applyFill="1" applyBorder="1"/>
    <xf numFmtId="0" fontId="21" fillId="0" borderId="0" xfId="0" applyFont="1" applyAlignment="1">
      <alignment vertical="center" wrapText="1"/>
    </xf>
    <xf numFmtId="0" fontId="7" fillId="0" borderId="14" xfId="0" quotePrefix="1" applyFont="1" applyBorder="1" applyAlignment="1">
      <alignment horizontal="left" vertical="top" wrapText="1"/>
    </xf>
    <xf numFmtId="0" fontId="30" fillId="0" borderId="0" xfId="0" applyFont="1"/>
    <xf numFmtId="0" fontId="0" fillId="0" borderId="53" xfId="0" applyBorder="1" applyAlignment="1">
      <alignment horizontal="left" vertical="top"/>
    </xf>
    <xf numFmtId="0" fontId="0" fillId="0" borderId="53" xfId="0" applyBorder="1" applyAlignment="1">
      <alignment horizontal="left"/>
    </xf>
    <xf numFmtId="0" fontId="56" fillId="0" borderId="55" xfId="0" applyFont="1" applyBorder="1" applyAlignment="1">
      <alignment horizontal="left"/>
    </xf>
    <xf numFmtId="0" fontId="0" fillId="4" borderId="53" xfId="0" applyFill="1" applyBorder="1" applyAlignment="1">
      <alignment horizontal="center" vertical="top"/>
    </xf>
    <xf numFmtId="0" fontId="0" fillId="0" borderId="53" xfId="0" applyBorder="1" applyAlignment="1">
      <alignment horizontal="center" vertical="top"/>
    </xf>
    <xf numFmtId="0" fontId="60" fillId="0" borderId="53" xfId="0" applyFont="1" applyBorder="1" applyAlignment="1">
      <alignment horizontal="left"/>
    </xf>
    <xf numFmtId="0" fontId="0" fillId="0" borderId="53" xfId="0" applyBorder="1" applyAlignment="1">
      <alignment horizontal="justify"/>
    </xf>
    <xf numFmtId="0" fontId="0" fillId="0" borderId="0" xfId="0" applyAlignment="1">
      <alignment vertical="top"/>
    </xf>
    <xf numFmtId="0" fontId="30" fillId="0" borderId="0" xfId="0" quotePrefix="1" applyFont="1"/>
    <xf numFmtId="0" fontId="0" fillId="0" borderId="46" xfId="0" applyBorder="1" applyAlignment="1">
      <alignment horizontal="left"/>
    </xf>
    <xf numFmtId="0" fontId="67" fillId="0" borderId="53" xfId="0" applyFont="1" applyBorder="1" applyAlignment="1">
      <alignment horizontal="left" wrapText="1"/>
    </xf>
    <xf numFmtId="3" fontId="20" fillId="0" borderId="10" xfId="0" applyNumberFormat="1" applyFont="1" applyBorder="1"/>
    <xf numFmtId="3" fontId="0" fillId="0" borderId="10" xfId="0" applyNumberFormat="1" applyBorder="1"/>
    <xf numFmtId="0" fontId="7" fillId="11" borderId="10" xfId="0" applyFont="1" applyFill="1" applyBorder="1"/>
    <xf numFmtId="0" fontId="71" fillId="0" borderId="10" xfId="0" applyFont="1" applyBorder="1"/>
    <xf numFmtId="169" fontId="72" fillId="0" borderId="0" xfId="0" applyNumberFormat="1" applyFont="1" applyAlignment="1">
      <alignment horizontal="right"/>
    </xf>
    <xf numFmtId="0" fontId="72" fillId="0" borderId="0" xfId="0" applyFont="1" applyAlignment="1">
      <alignment horizontal="left"/>
    </xf>
    <xf numFmtId="1" fontId="72" fillId="0" borderId="0" xfId="0" applyNumberFormat="1" applyFont="1" applyAlignment="1">
      <alignment horizontal="left"/>
    </xf>
    <xf numFmtId="0" fontId="72" fillId="0" borderId="0" xfId="0" applyFont="1"/>
    <xf numFmtId="0" fontId="46" fillId="0" borderId="0" xfId="0" applyFont="1" applyAlignment="1">
      <alignment horizontal="right"/>
    </xf>
    <xf numFmtId="0" fontId="46" fillId="0" borderId="0" xfId="0" applyFont="1" applyAlignment="1">
      <alignment horizontal="left"/>
    </xf>
    <xf numFmtId="0" fontId="4" fillId="0" borderId="18" xfId="0" applyFont="1" applyBorder="1" applyAlignment="1">
      <alignment vertical="center" textRotation="90" wrapText="1"/>
    </xf>
    <xf numFmtId="0" fontId="4" fillId="0" borderId="14" xfId="0" applyFont="1" applyBorder="1" applyAlignment="1">
      <alignment vertical="center" textRotation="90" wrapText="1"/>
    </xf>
    <xf numFmtId="0" fontId="7" fillId="0" borderId="76" xfId="0" applyFont="1" applyBorder="1" applyAlignment="1">
      <alignment horizontal="center"/>
    </xf>
    <xf numFmtId="0" fontId="7" fillId="0" borderId="12" xfId="0" applyFont="1" applyBorder="1"/>
    <xf numFmtId="0" fontId="7" fillId="0" borderId="79" xfId="0" applyFont="1" applyBorder="1"/>
    <xf numFmtId="0" fontId="0" fillId="0" borderId="80" xfId="0" applyBorder="1"/>
    <xf numFmtId="0" fontId="7" fillId="0" borderId="66" xfId="0" applyFont="1" applyBorder="1"/>
    <xf numFmtId="0" fontId="0" fillId="0" borderId="76" xfId="0" applyBorder="1"/>
    <xf numFmtId="0" fontId="7" fillId="0" borderId="80" xfId="0" applyFont="1" applyBorder="1"/>
    <xf numFmtId="0" fontId="7" fillId="0" borderId="76" xfId="0" applyFont="1" applyBorder="1"/>
    <xf numFmtId="0" fontId="7" fillId="0" borderId="85" xfId="0" applyFont="1" applyBorder="1"/>
    <xf numFmtId="0" fontId="7" fillId="0" borderId="82" xfId="0" applyFont="1" applyBorder="1"/>
    <xf numFmtId="0" fontId="7" fillId="0" borderId="90" xfId="0" applyFont="1" applyBorder="1"/>
    <xf numFmtId="0" fontId="0" fillId="0" borderId="82" xfId="0" applyBorder="1"/>
    <xf numFmtId="0" fontId="7" fillId="4" borderId="82" xfId="0" applyFont="1" applyFill="1" applyBorder="1"/>
    <xf numFmtId="0" fontId="7" fillId="4" borderId="80" xfId="0" applyFont="1" applyFill="1" applyBorder="1"/>
    <xf numFmtId="0" fontId="7" fillId="4" borderId="76" xfId="0" applyFont="1" applyFill="1" applyBorder="1"/>
    <xf numFmtId="0" fontId="7" fillId="0" borderId="94" xfId="0" applyFont="1" applyBorder="1"/>
    <xf numFmtId="0" fontId="0" fillId="0" borderId="95" xfId="0" applyBorder="1"/>
    <xf numFmtId="0" fontId="3" fillId="4" borderId="66" xfId="0" applyFont="1" applyFill="1" applyBorder="1" applyAlignment="1">
      <alignment horizontal="center" wrapText="1"/>
    </xf>
    <xf numFmtId="0" fontId="3" fillId="4" borderId="76" xfId="0" applyFont="1" applyFill="1" applyBorder="1" applyAlignment="1">
      <alignment horizontal="center" wrapText="1"/>
    </xf>
    <xf numFmtId="0" fontId="3" fillId="4" borderId="68" xfId="0" applyFont="1" applyFill="1" applyBorder="1" applyAlignment="1">
      <alignment horizontal="center" vertical="center"/>
    </xf>
    <xf numFmtId="0" fontId="3" fillId="4" borderId="93" xfId="0" applyFont="1" applyFill="1" applyBorder="1" applyAlignment="1">
      <alignment horizontal="center" vertical="center"/>
    </xf>
    <xf numFmtId="0" fontId="3" fillId="4" borderId="66" xfId="0" applyFont="1" applyFill="1" applyBorder="1" applyAlignment="1">
      <alignment horizontal="center" vertical="center"/>
    </xf>
    <xf numFmtId="0" fontId="3" fillId="4" borderId="76" xfId="0" applyFont="1" applyFill="1" applyBorder="1" applyAlignment="1">
      <alignment horizontal="center" vertical="center"/>
    </xf>
    <xf numFmtId="0" fontId="0" fillId="0" borderId="89" xfId="0" applyBorder="1"/>
    <xf numFmtId="0" fontId="0" fillId="0" borderId="97" xfId="0" applyBorder="1"/>
    <xf numFmtId="0" fontId="0" fillId="0" borderId="65" xfId="0" applyBorder="1"/>
    <xf numFmtId="0" fontId="7" fillId="0" borderId="80" xfId="0" applyFont="1" applyBorder="1" applyAlignment="1">
      <alignment horizontal="center"/>
    </xf>
    <xf numFmtId="0" fontId="7" fillId="0" borderId="79" xfId="0" applyFont="1" applyBorder="1" applyAlignment="1">
      <alignment horizontal="center"/>
    </xf>
    <xf numFmtId="0" fontId="7" fillId="0" borderId="66" xfId="0" applyFont="1" applyBorder="1" applyAlignment="1">
      <alignment horizontal="center"/>
    </xf>
    <xf numFmtId="1" fontId="7" fillId="0" borderId="79" xfId="0" applyNumberFormat="1" applyFont="1" applyBorder="1" applyAlignment="1">
      <alignment horizontal="center"/>
    </xf>
    <xf numFmtId="1" fontId="7" fillId="0" borderId="80" xfId="0" applyNumberFormat="1" applyFont="1" applyBorder="1" applyAlignment="1">
      <alignment horizontal="center"/>
    </xf>
    <xf numFmtId="0" fontId="7" fillId="4" borderId="80" xfId="0" applyFont="1" applyFill="1" applyBorder="1" applyAlignment="1">
      <alignment horizontal="center"/>
    </xf>
    <xf numFmtId="0" fontId="7" fillId="4" borderId="76" xfId="0" applyFont="1" applyFill="1" applyBorder="1" applyAlignment="1">
      <alignment horizontal="center"/>
    </xf>
    <xf numFmtId="0" fontId="0" fillId="4" borderId="53" xfId="0" applyFill="1" applyBorder="1" applyAlignment="1">
      <alignment horizontal="left"/>
    </xf>
    <xf numFmtId="0" fontId="0" fillId="4" borderId="53" xfId="0" applyFill="1" applyBorder="1" applyAlignment="1">
      <alignment horizontal="justify"/>
    </xf>
    <xf numFmtId="0" fontId="18" fillId="4" borderId="53" xfId="0" applyFont="1" applyFill="1" applyBorder="1" applyAlignment="1">
      <alignment horizontal="justify"/>
    </xf>
    <xf numFmtId="0" fontId="7" fillId="0" borderId="0" xfId="0" quotePrefix="1" applyFont="1" applyAlignment="1">
      <alignment vertical="center"/>
    </xf>
    <xf numFmtId="49" fontId="0" fillId="0" borderId="0" xfId="0" applyNumberFormat="1"/>
    <xf numFmtId="0" fontId="49" fillId="0" borderId="0" xfId="0" applyFont="1" applyAlignment="1">
      <alignment vertical="center"/>
    </xf>
    <xf numFmtId="0" fontId="7" fillId="4" borderId="101" xfId="0" applyFont="1" applyFill="1" applyBorder="1" applyAlignment="1">
      <alignment horizontal="center"/>
    </xf>
    <xf numFmtId="0" fontId="7" fillId="0" borderId="100" xfId="0" applyFont="1" applyBorder="1" applyAlignment="1">
      <alignment horizontal="center"/>
    </xf>
    <xf numFmtId="0" fontId="0" fillId="0" borderId="101" xfId="0" applyBorder="1"/>
    <xf numFmtId="1" fontId="7" fillId="0" borderId="100" xfId="0" applyNumberFormat="1" applyFont="1" applyBorder="1" applyAlignment="1">
      <alignment horizontal="center"/>
    </xf>
    <xf numFmtId="1" fontId="7" fillId="0" borderId="101" xfId="0" applyNumberFormat="1" applyFont="1" applyBorder="1" applyAlignment="1">
      <alignment horizontal="center"/>
    </xf>
    <xf numFmtId="0" fontId="7" fillId="0" borderId="101" xfId="0" applyFont="1" applyBorder="1" applyAlignment="1">
      <alignment horizontal="center"/>
    </xf>
    <xf numFmtId="0" fontId="0" fillId="0" borderId="98" xfId="0" applyBorder="1"/>
    <xf numFmtId="0" fontId="0" fillId="0" borderId="99" xfId="0" applyBorder="1" applyAlignment="1">
      <alignment horizontal="center"/>
    </xf>
    <xf numFmtId="0" fontId="0" fillId="0" borderId="62" xfId="0" applyBorder="1" applyAlignment="1">
      <alignment horizontal="center"/>
    </xf>
    <xf numFmtId="0" fontId="45" fillId="4" borderId="53" xfId="0" applyFont="1" applyFill="1" applyBorder="1" applyAlignment="1">
      <alignment horizontal="left" vertical="top"/>
    </xf>
    <xf numFmtId="0" fontId="45" fillId="4" borderId="53" xfId="0" applyFont="1" applyFill="1" applyBorder="1" applyAlignment="1">
      <alignment horizontal="center" vertical="top"/>
    </xf>
    <xf numFmtId="0" fontId="45" fillId="4" borderId="46" xfId="0" applyFont="1" applyFill="1" applyBorder="1" applyAlignment="1">
      <alignment horizontal="center" vertical="top"/>
    </xf>
    <xf numFmtId="0" fontId="45" fillId="4" borderId="55" xfId="0" applyFont="1" applyFill="1" applyBorder="1" applyAlignment="1">
      <alignment horizontal="center" vertical="top"/>
    </xf>
    <xf numFmtId="0" fontId="7" fillId="3" borderId="53" xfId="0" applyFont="1" applyFill="1" applyBorder="1"/>
    <xf numFmtId="0" fontId="7" fillId="3" borderId="44" xfId="0" applyFont="1" applyFill="1" applyBorder="1"/>
    <xf numFmtId="0" fontId="51" fillId="3" borderId="53" xfId="0" applyFont="1" applyFill="1" applyBorder="1" applyAlignment="1">
      <alignment horizontal="center"/>
    </xf>
    <xf numFmtId="0" fontId="7" fillId="3" borderId="10" xfId="0" applyFont="1" applyFill="1" applyBorder="1" applyAlignment="1">
      <alignment horizontal="center"/>
    </xf>
    <xf numFmtId="0" fontId="7" fillId="0" borderId="4" xfId="0" applyFont="1" applyBorder="1"/>
    <xf numFmtId="0" fontId="7" fillId="3" borderId="53" xfId="0" applyFont="1" applyFill="1" applyBorder="1" applyAlignment="1">
      <alignment vertical="center"/>
    </xf>
    <xf numFmtId="0" fontId="7" fillId="3" borderId="46" xfId="0" applyFont="1" applyFill="1" applyBorder="1"/>
    <xf numFmtId="0" fontId="7" fillId="3" borderId="43" xfId="0" applyFont="1" applyFill="1" applyBorder="1"/>
    <xf numFmtId="14" fontId="5" fillId="0" borderId="0" xfId="0" applyNumberFormat="1" applyFont="1"/>
    <xf numFmtId="0" fontId="77" fillId="0" borderId="0" xfId="0" applyFont="1"/>
    <xf numFmtId="14" fontId="0" fillId="0" borderId="0" xfId="0" applyNumberFormat="1"/>
    <xf numFmtId="173" fontId="0" fillId="0" borderId="0" xfId="0" applyNumberFormat="1"/>
    <xf numFmtId="0" fontId="0" fillId="0" borderId="55" xfId="0" applyBorder="1" applyAlignment="1">
      <alignment horizontal="left" vertical="top"/>
    </xf>
    <xf numFmtId="0" fontId="0" fillId="0" borderId="46" xfId="0" applyBorder="1" applyAlignment="1">
      <alignment horizontal="right" vertical="top"/>
    </xf>
    <xf numFmtId="0" fontId="30" fillId="19" borderId="0" xfId="0" applyFont="1" applyFill="1"/>
    <xf numFmtId="0" fontId="0" fillId="19" borderId="0" xfId="0" applyFill="1"/>
    <xf numFmtId="0" fontId="45" fillId="10" borderId="0" xfId="0" applyFont="1" applyFill="1"/>
    <xf numFmtId="0" fontId="45" fillId="20" borderId="0" xfId="0" applyFont="1" applyFill="1"/>
    <xf numFmtId="1" fontId="0" fillId="0" borderId="10" xfId="0" applyNumberFormat="1" applyBorder="1"/>
    <xf numFmtId="2" fontId="0" fillId="0" borderId="53" xfId="0" applyNumberFormat="1" applyBorder="1" applyAlignment="1">
      <alignment horizontal="center" vertical="top"/>
    </xf>
    <xf numFmtId="0" fontId="7" fillId="0" borderId="19" xfId="0" applyFont="1" applyBorder="1" applyAlignment="1">
      <alignment horizontal="center"/>
    </xf>
    <xf numFmtId="0" fontId="7" fillId="0" borderId="0" xfId="0" applyFont="1" applyAlignment="1">
      <alignment horizontal="left"/>
    </xf>
    <xf numFmtId="0" fontId="7" fillId="0" borderId="0" xfId="0" applyFont="1" applyAlignment="1">
      <alignment horizontal="center"/>
    </xf>
    <xf numFmtId="0" fontId="7" fillId="0" borderId="103" xfId="0" applyFont="1" applyBorder="1"/>
    <xf numFmtId="0" fontId="7" fillId="0" borderId="35" xfId="0" applyFont="1" applyBorder="1" applyAlignment="1">
      <alignment horizontal="left"/>
    </xf>
    <xf numFmtId="0" fontId="7" fillId="0" borderId="0" xfId="0" quotePrefix="1" applyFont="1" applyAlignment="1">
      <alignment horizontal="left"/>
    </xf>
    <xf numFmtId="0" fontId="7" fillId="0" borderId="0" xfId="0" quotePrefix="1" applyFont="1" applyAlignment="1">
      <alignment horizontal="right"/>
    </xf>
    <xf numFmtId="165" fontId="6" fillId="0" borderId="0" xfId="0" applyNumberFormat="1" applyFont="1" applyAlignment="1">
      <alignment horizontal="center" vertical="center"/>
    </xf>
    <xf numFmtId="0" fontId="7" fillId="0" borderId="0" xfId="0" quotePrefix="1" applyFont="1" applyAlignment="1">
      <alignment horizontal="center" vertical="center"/>
    </xf>
    <xf numFmtId="0" fontId="7" fillId="0" borderId="103" xfId="0" quotePrefix="1" applyFont="1" applyBorder="1" applyAlignment="1">
      <alignment vertical="top"/>
    </xf>
    <xf numFmtId="0" fontId="7" fillId="0" borderId="0" xfId="0" quotePrefix="1" applyFont="1" applyAlignment="1">
      <alignment vertical="top"/>
    </xf>
    <xf numFmtId="0" fontId="7" fillId="0" borderId="0" xfId="0" applyFont="1" applyAlignment="1">
      <alignment wrapText="1"/>
    </xf>
    <xf numFmtId="0" fontId="7" fillId="0" borderId="104" xfId="0" applyFont="1" applyBorder="1"/>
    <xf numFmtId="0" fontId="7" fillId="0" borderId="35" xfId="0" applyFont="1" applyBorder="1" applyAlignment="1">
      <alignment vertical="top" wrapText="1"/>
    </xf>
    <xf numFmtId="0" fontId="7" fillId="0" borderId="0" xfId="0" applyFont="1" applyAlignment="1">
      <alignment vertical="top" wrapText="1"/>
    </xf>
    <xf numFmtId="0" fontId="7" fillId="0" borderId="36" xfId="0" applyFont="1" applyBorder="1" applyAlignment="1">
      <alignment vertical="top" wrapText="1"/>
    </xf>
    <xf numFmtId="0" fontId="7" fillId="0" borderId="0" xfId="0" applyFont="1" applyAlignment="1">
      <alignment horizontal="left" vertical="top"/>
    </xf>
    <xf numFmtId="0" fontId="7" fillId="0" borderId="35" xfId="0" applyFont="1" applyBorder="1" applyAlignment="1">
      <alignment horizontal="left" vertical="top"/>
    </xf>
    <xf numFmtId="0" fontId="7" fillId="0" borderId="0" xfId="0" applyFont="1" applyAlignment="1">
      <alignment horizontal="right"/>
    </xf>
    <xf numFmtId="1" fontId="7" fillId="0" borderId="0" xfId="0" applyNumberFormat="1" applyFont="1" applyAlignment="1">
      <alignment horizontal="left"/>
    </xf>
    <xf numFmtId="0" fontId="7" fillId="0" borderId="36" xfId="0" applyFont="1" applyBorder="1" applyAlignment="1">
      <alignment horizontal="left" vertical="top"/>
    </xf>
    <xf numFmtId="49" fontId="7" fillId="0" borderId="0" xfId="0" applyNumberFormat="1" applyFont="1"/>
    <xf numFmtId="0" fontId="7" fillId="0" borderId="35" xfId="0" applyFont="1" applyBorder="1" applyAlignment="1">
      <alignment wrapText="1"/>
    </xf>
    <xf numFmtId="0" fontId="7" fillId="0" borderId="36" xfId="0" applyFont="1" applyBorder="1" applyAlignment="1">
      <alignment wrapText="1"/>
    </xf>
    <xf numFmtId="0" fontId="6" fillId="0" borderId="0" xfId="0" applyFont="1" applyAlignment="1">
      <alignment vertical="top"/>
    </xf>
    <xf numFmtId="0" fontId="30" fillId="12" borderId="32" xfId="0" applyFont="1" applyFill="1" applyBorder="1"/>
    <xf numFmtId="0" fontId="30" fillId="0" borderId="32" xfId="0" applyFont="1" applyBorder="1"/>
    <xf numFmtId="0" fontId="0" fillId="0" borderId="53" xfId="0" applyBorder="1"/>
    <xf numFmtId="0" fontId="79" fillId="0" borderId="0" xfId="0" applyFont="1"/>
    <xf numFmtId="9" fontId="79" fillId="0" borderId="0" xfId="0" applyNumberFormat="1" applyFont="1"/>
    <xf numFmtId="0" fontId="80" fillId="0" borderId="0" xfId="0" applyFont="1" applyAlignment="1">
      <alignment wrapText="1"/>
    </xf>
    <xf numFmtId="0" fontId="80" fillId="0" borderId="0" xfId="0" applyFont="1"/>
    <xf numFmtId="9" fontId="80" fillId="0" borderId="0" xfId="0" applyNumberFormat="1" applyFont="1"/>
    <xf numFmtId="167" fontId="80" fillId="0" borderId="0" xfId="0" applyNumberFormat="1" applyFont="1"/>
    <xf numFmtId="0" fontId="80" fillId="0" borderId="0" xfId="0" applyFont="1" applyAlignment="1">
      <alignment horizontal="center" vertical="center"/>
    </xf>
    <xf numFmtId="175" fontId="80" fillId="0" borderId="0" xfId="0" applyNumberFormat="1" applyFont="1"/>
    <xf numFmtId="2" fontId="80" fillId="0" borderId="0" xfId="0" applyNumberFormat="1" applyFont="1"/>
    <xf numFmtId="1" fontId="80" fillId="0" borderId="0" xfId="0" applyNumberFormat="1" applyFont="1"/>
    <xf numFmtId="174" fontId="80" fillId="0" borderId="0" xfId="0" applyNumberFormat="1" applyFont="1"/>
    <xf numFmtId="0" fontId="81" fillId="0" borderId="0" xfId="0" applyFont="1" applyAlignment="1">
      <alignment vertical="center" wrapText="1"/>
    </xf>
    <xf numFmtId="0" fontId="82" fillId="0" borderId="105" xfId="0" applyFont="1" applyBorder="1" applyAlignment="1">
      <alignment horizontal="center" vertical="center"/>
    </xf>
    <xf numFmtId="2" fontId="82" fillId="0" borderId="105" xfId="0" applyNumberFormat="1" applyFont="1" applyBorder="1" applyAlignment="1">
      <alignment horizontal="center" vertical="center"/>
    </xf>
    <xf numFmtId="1" fontId="85" fillId="0" borderId="105" xfId="0" applyNumberFormat="1" applyFont="1" applyBorder="1" applyAlignment="1">
      <alignment horizontal="center" vertical="center"/>
    </xf>
    <xf numFmtId="0" fontId="82" fillId="0" borderId="0" xfId="0" applyFont="1"/>
    <xf numFmtId="167" fontId="86" fillId="21" borderId="105" xfId="0" applyNumberFormat="1" applyFont="1" applyFill="1" applyBorder="1" applyAlignment="1">
      <alignment horizontal="center" vertical="center"/>
    </xf>
    <xf numFmtId="0" fontId="80" fillId="0" borderId="0" xfId="0" applyFont="1" applyAlignment="1">
      <alignment horizontal="center" vertical="center" wrapText="1"/>
    </xf>
    <xf numFmtId="0" fontId="80" fillId="0" borderId="0" xfId="0" applyFont="1" applyAlignment="1">
      <alignment vertical="center" wrapText="1"/>
    </xf>
    <xf numFmtId="167" fontId="86" fillId="22" borderId="105" xfId="0" applyNumberFormat="1" applyFont="1" applyFill="1" applyBorder="1" applyAlignment="1">
      <alignment horizontal="center" vertical="center"/>
    </xf>
    <xf numFmtId="167" fontId="86" fillId="23" borderId="105" xfId="0" applyNumberFormat="1" applyFont="1" applyFill="1" applyBorder="1" applyAlignment="1">
      <alignment horizontal="center" vertical="center"/>
    </xf>
    <xf numFmtId="0" fontId="82" fillId="0" borderId="0" xfId="0" applyFont="1" applyAlignment="1">
      <alignment horizontal="center" vertical="center" wrapText="1"/>
    </xf>
    <xf numFmtId="167" fontId="87" fillId="0" borderId="0" xfId="0" applyNumberFormat="1" applyFont="1" applyAlignment="1">
      <alignment horizontal="center" vertical="center"/>
    </xf>
    <xf numFmtId="0" fontId="82" fillId="0" borderId="0" xfId="0" applyFont="1" applyAlignment="1">
      <alignment horizontal="center" vertical="center"/>
    </xf>
    <xf numFmtId="167" fontId="88" fillId="21" borderId="105" xfId="0" applyNumberFormat="1" applyFont="1" applyFill="1" applyBorder="1" applyAlignment="1">
      <alignment horizontal="center" vertical="center"/>
    </xf>
    <xf numFmtId="167" fontId="90" fillId="24" borderId="110" xfId="0" applyNumberFormat="1" applyFont="1" applyFill="1" applyBorder="1" applyAlignment="1">
      <alignment horizontal="center" vertical="center"/>
    </xf>
    <xf numFmtId="2" fontId="82" fillId="0" borderId="106" xfId="0" applyNumberFormat="1" applyFont="1" applyBorder="1" applyAlignment="1">
      <alignment horizontal="center" vertical="center"/>
    </xf>
    <xf numFmtId="1" fontId="82" fillId="0" borderId="106" xfId="0" applyNumberFormat="1" applyFont="1" applyBorder="1" applyAlignment="1">
      <alignment horizontal="center" vertical="center"/>
    </xf>
    <xf numFmtId="0" fontId="82" fillId="0" borderId="0" xfId="0" applyFont="1" applyAlignment="1">
      <alignment vertical="center"/>
    </xf>
    <xf numFmtId="9" fontId="82" fillId="0" borderId="106" xfId="0" applyNumberFormat="1" applyFont="1" applyBorder="1" applyAlignment="1">
      <alignment horizontal="center" vertical="center"/>
    </xf>
    <xf numFmtId="0" fontId="84" fillId="0" borderId="0" xfId="0" applyFont="1" applyAlignment="1">
      <alignment vertical="center" wrapText="1"/>
    </xf>
    <xf numFmtId="1" fontId="82" fillId="0" borderId="105" xfId="0" applyNumberFormat="1" applyFont="1" applyBorder="1" applyAlignment="1">
      <alignment horizontal="center" vertical="center"/>
    </xf>
    <xf numFmtId="0" fontId="82" fillId="0" borderId="112" xfId="0" applyFont="1" applyBorder="1" applyAlignment="1">
      <alignment horizontal="center" vertical="center"/>
    </xf>
    <xf numFmtId="1" fontId="82" fillId="25" borderId="105" xfId="0" applyNumberFormat="1" applyFont="1" applyFill="1" applyBorder="1" applyAlignment="1">
      <alignment horizontal="center" vertical="center"/>
    </xf>
    <xf numFmtId="0" fontId="82" fillId="25" borderId="105" xfId="0" applyFont="1" applyFill="1" applyBorder="1" applyAlignment="1">
      <alignment horizontal="center" vertical="center"/>
    </xf>
    <xf numFmtId="2" fontId="91" fillId="25" borderId="105" xfId="0" applyNumberFormat="1" applyFont="1" applyFill="1" applyBorder="1" applyAlignment="1">
      <alignment horizontal="center" vertical="center"/>
    </xf>
    <xf numFmtId="2" fontId="84" fillId="26" borderId="105" xfId="0" applyNumberFormat="1" applyFont="1" applyFill="1" applyBorder="1" applyAlignment="1">
      <alignment horizontal="center" vertical="center"/>
    </xf>
    <xf numFmtId="0" fontId="82" fillId="26" borderId="105" xfId="0" applyFont="1" applyFill="1" applyBorder="1" applyAlignment="1">
      <alignment horizontal="center" vertical="center"/>
    </xf>
    <xf numFmtId="9" fontId="86" fillId="21" borderId="105" xfId="0" applyNumberFormat="1" applyFont="1" applyFill="1" applyBorder="1" applyAlignment="1">
      <alignment horizontal="center" vertical="center"/>
    </xf>
    <xf numFmtId="167" fontId="82" fillId="0" borderId="105" xfId="0" applyNumberFormat="1" applyFont="1" applyBorder="1" applyAlignment="1">
      <alignment horizontal="center" vertical="center"/>
    </xf>
    <xf numFmtId="1" fontId="86" fillId="21" borderId="105" xfId="0" applyNumberFormat="1" applyFont="1" applyFill="1" applyBorder="1" applyAlignment="1">
      <alignment horizontal="center" vertical="center"/>
    </xf>
    <xf numFmtId="167" fontId="85" fillId="22" borderId="105" xfId="0" applyNumberFormat="1" applyFont="1" applyFill="1" applyBorder="1" applyAlignment="1">
      <alignment horizontal="center" vertical="center"/>
    </xf>
    <xf numFmtId="0" fontId="80" fillId="0" borderId="0" xfId="0" applyFont="1" applyAlignment="1">
      <alignment horizontal="left" vertical="center"/>
    </xf>
    <xf numFmtId="9" fontId="89" fillId="0" borderId="105" xfId="0" applyNumberFormat="1" applyFont="1" applyBorder="1" applyAlignment="1">
      <alignment horizontal="center" vertical="center"/>
    </xf>
    <xf numFmtId="0" fontId="89" fillId="0" borderId="105" xfId="0" applyFont="1" applyBorder="1" applyAlignment="1">
      <alignment horizontal="center" vertical="center"/>
    </xf>
    <xf numFmtId="0" fontId="93" fillId="0" borderId="5" xfId="0" applyFont="1" applyBorder="1"/>
    <xf numFmtId="0" fontId="93" fillId="0" borderId="9" xfId="0" applyFont="1" applyBorder="1"/>
    <xf numFmtId="0" fontId="93" fillId="0" borderId="6" xfId="0" applyFont="1" applyBorder="1"/>
    <xf numFmtId="0" fontId="93" fillId="0" borderId="0" xfId="0" applyFont="1"/>
    <xf numFmtId="0" fontId="94" fillId="11" borderId="0" xfId="0" applyFont="1" applyFill="1"/>
    <xf numFmtId="0" fontId="93" fillId="11" borderId="0" xfId="0" applyFont="1" applyFill="1"/>
    <xf numFmtId="0" fontId="93" fillId="17" borderId="0" xfId="0" applyFont="1" applyFill="1"/>
    <xf numFmtId="0" fontId="95" fillId="0" borderId="0" xfId="0" applyFont="1" applyAlignment="1">
      <alignment horizontal="center"/>
    </xf>
    <xf numFmtId="0" fontId="96" fillId="0" borderId="0" xfId="0" applyFont="1" applyAlignment="1">
      <alignment horizontal="center"/>
    </xf>
    <xf numFmtId="0" fontId="93" fillId="0" borderId="0" xfId="0" applyFont="1" applyAlignment="1">
      <alignment horizontal="left"/>
    </xf>
    <xf numFmtId="0" fontId="93" fillId="0" borderId="0" xfId="0" applyFont="1" applyAlignment="1">
      <alignment horizontal="center"/>
    </xf>
    <xf numFmtId="0" fontId="93" fillId="0" borderId="16" xfId="0" applyFont="1" applyBorder="1"/>
    <xf numFmtId="0" fontId="93" fillId="0" borderId="8" xfId="0" applyFont="1" applyBorder="1"/>
    <xf numFmtId="3" fontId="94" fillId="0" borderId="0" xfId="0" applyNumberFormat="1" applyFont="1" applyAlignment="1">
      <alignment vertical="center"/>
    </xf>
    <xf numFmtId="0" fontId="96" fillId="0" borderId="0" xfId="0" applyFont="1"/>
    <xf numFmtId="3" fontId="99" fillId="0" borderId="0" xfId="0" applyNumberFormat="1" applyFont="1" applyAlignment="1">
      <alignment vertical="center"/>
    </xf>
    <xf numFmtId="0" fontId="100" fillId="0" borderId="0" xfId="0" applyFont="1"/>
    <xf numFmtId="0" fontId="100" fillId="0" borderId="0" xfId="0" applyFont="1" applyAlignment="1">
      <alignment vertical="center"/>
    </xf>
    <xf numFmtId="2" fontId="93" fillId="0" borderId="0" xfId="0" applyNumberFormat="1" applyFont="1"/>
    <xf numFmtId="0" fontId="94" fillId="0" borderId="0" xfId="0" applyFont="1"/>
    <xf numFmtId="0" fontId="93" fillId="5" borderId="0" xfId="0" applyFont="1" applyFill="1" applyAlignment="1">
      <alignment horizontal="center"/>
    </xf>
    <xf numFmtId="0" fontId="93" fillId="5" borderId="0" xfId="0" applyFont="1" applyFill="1" applyAlignment="1">
      <alignment vertical="center"/>
    </xf>
    <xf numFmtId="0" fontId="93" fillId="0" borderId="0" xfId="0" applyFont="1" applyAlignment="1">
      <alignment horizontal="center" vertical="center"/>
    </xf>
    <xf numFmtId="44" fontId="93" fillId="0" borderId="0" xfId="4" applyFont="1"/>
    <xf numFmtId="0" fontId="93" fillId="0" borderId="1" xfId="0" applyFont="1" applyBorder="1" applyAlignment="1">
      <alignment horizontal="center"/>
    </xf>
    <xf numFmtId="0" fontId="93" fillId="0" borderId="1" xfId="0" applyFont="1" applyBorder="1"/>
    <xf numFmtId="0" fontId="93" fillId="5" borderId="10" xfId="0" applyFont="1" applyFill="1" applyBorder="1"/>
    <xf numFmtId="44" fontId="95" fillId="0" borderId="0" xfId="4" applyFont="1"/>
    <xf numFmtId="1" fontId="93" fillId="0" borderId="0" xfId="0" applyNumberFormat="1" applyFont="1"/>
    <xf numFmtId="0" fontId="94" fillId="9" borderId="0" xfId="0" applyFont="1" applyFill="1"/>
    <xf numFmtId="10" fontId="93" fillId="9" borderId="0" xfId="0" applyNumberFormat="1" applyFont="1" applyFill="1"/>
    <xf numFmtId="0" fontId="94" fillId="0" borderId="0" xfId="0" applyFont="1" applyAlignment="1">
      <alignment vertical="center"/>
    </xf>
    <xf numFmtId="0" fontId="99" fillId="0" borderId="0" xfId="0" quotePrefix="1" applyFont="1"/>
    <xf numFmtId="0" fontId="99" fillId="0" borderId="0" xfId="0" applyFont="1"/>
    <xf numFmtId="0" fontId="94" fillId="0" borderId="0" xfId="0" applyFont="1" applyAlignment="1">
      <alignment vertical="center" wrapText="1"/>
    </xf>
    <xf numFmtId="164" fontId="93" fillId="0" borderId="0" xfId="0" applyNumberFormat="1" applyFont="1"/>
    <xf numFmtId="0" fontId="106" fillId="0" borderId="0" xfId="0" applyFont="1" applyAlignment="1">
      <alignment horizontal="center" vertical="center"/>
    </xf>
    <xf numFmtId="4" fontId="105" fillId="0" borderId="0" xfId="0" applyNumberFormat="1" applyFont="1" applyAlignment="1">
      <alignment horizontal="center" vertical="center"/>
    </xf>
    <xf numFmtId="0" fontId="99" fillId="0" borderId="0" xfId="0" applyFont="1" applyAlignment="1">
      <alignment vertical="center"/>
    </xf>
    <xf numFmtId="0" fontId="104" fillId="0" borderId="0" xfId="0" applyFont="1" applyAlignment="1">
      <alignment horizontal="center" vertical="center" wrapText="1"/>
    </xf>
    <xf numFmtId="9" fontId="93" fillId="0" borderId="0" xfId="1" applyFont="1"/>
    <xf numFmtId="0" fontId="93" fillId="0" borderId="0" xfId="0" applyFont="1" applyAlignment="1">
      <alignment horizontal="left" vertical="center"/>
    </xf>
    <xf numFmtId="0" fontId="106" fillId="0" borderId="0" xfId="0" applyFont="1" applyAlignment="1">
      <alignment vertical="center"/>
    </xf>
    <xf numFmtId="3" fontId="93" fillId="0" borderId="0" xfId="0" applyNumberFormat="1" applyFont="1"/>
    <xf numFmtId="0" fontId="10" fillId="0" borderId="0" xfId="2"/>
    <xf numFmtId="0" fontId="99" fillId="0" borderId="10" xfId="0" applyFont="1" applyBorder="1" applyAlignment="1">
      <alignment horizontal="center" vertical="center"/>
    </xf>
    <xf numFmtId="0" fontId="99" fillId="0" borderId="11" xfId="0" applyFont="1" applyBorder="1"/>
    <xf numFmtId="0" fontId="99" fillId="0" borderId="13" xfId="0" applyFont="1" applyBorder="1"/>
    <xf numFmtId="0" fontId="99" fillId="0" borderId="12" xfId="0" applyFont="1" applyBorder="1"/>
    <xf numFmtId="0" fontId="104" fillId="0" borderId="9" xfId="0" applyFont="1" applyBorder="1" applyAlignment="1">
      <alignment horizontal="center" vertical="center"/>
    </xf>
    <xf numFmtId="4" fontId="105" fillId="0" borderId="9" xfId="0" applyNumberFormat="1" applyFont="1" applyBorder="1" applyAlignment="1">
      <alignment horizontal="center" vertical="center"/>
    </xf>
    <xf numFmtId="0" fontId="106" fillId="0" borderId="9" xfId="0" applyFont="1" applyBorder="1" applyAlignment="1">
      <alignment horizontal="center" vertical="center"/>
    </xf>
    <xf numFmtId="0" fontId="94" fillId="11" borderId="9" xfId="0" applyFont="1" applyFill="1" applyBorder="1"/>
    <xf numFmtId="0" fontId="93" fillId="11" borderId="9" xfId="0" applyFont="1" applyFill="1" applyBorder="1"/>
    <xf numFmtId="3" fontId="99" fillId="0" borderId="10" xfId="0" applyNumberFormat="1" applyFont="1" applyBorder="1" applyAlignment="1">
      <alignment horizontal="center" vertical="center"/>
    </xf>
    <xf numFmtId="1" fontId="99" fillId="30" borderId="10" xfId="0" applyNumberFormat="1" applyFont="1" applyFill="1" applyBorder="1" applyAlignment="1">
      <alignment horizontal="center" vertical="center"/>
    </xf>
    <xf numFmtId="1" fontId="99" fillId="0" borderId="10" xfId="0" applyNumberFormat="1" applyFont="1" applyBorder="1" applyAlignment="1">
      <alignment horizontal="center" vertical="center"/>
    </xf>
    <xf numFmtId="0" fontId="94" fillId="0" borderId="10" xfId="0" applyFont="1" applyBorder="1" applyAlignment="1">
      <alignment vertical="center"/>
    </xf>
    <xf numFmtId="0" fontId="94" fillId="0" borderId="10" xfId="0" applyFont="1" applyBorder="1" applyAlignment="1">
      <alignment horizontal="center" vertical="center"/>
    </xf>
    <xf numFmtId="0" fontId="94" fillId="0" borderId="10" xfId="0" applyFont="1" applyBorder="1"/>
    <xf numFmtId="0" fontId="93" fillId="0" borderId="10" xfId="0" applyFont="1" applyBorder="1"/>
    <xf numFmtId="0" fontId="94" fillId="0" borderId="12" xfId="0" applyFont="1" applyBorder="1"/>
    <xf numFmtId="0" fontId="93" fillId="0" borderId="12" xfId="0" applyFont="1" applyBorder="1"/>
    <xf numFmtId="0" fontId="18" fillId="0" borderId="0" xfId="0" applyFont="1" applyAlignment="1">
      <alignment horizontal="left" vertical="top"/>
    </xf>
    <xf numFmtId="0" fontId="18" fillId="0" borderId="0" xfId="0" applyFont="1" applyAlignment="1">
      <alignment horizontal="left" vertical="top" wrapText="1"/>
    </xf>
    <xf numFmtId="0" fontId="18" fillId="0" borderId="9" xfId="0" applyFont="1" applyBorder="1" applyAlignment="1">
      <alignment horizontal="left" vertical="top" wrapText="1"/>
    </xf>
    <xf numFmtId="0" fontId="115" fillId="0" borderId="0" xfId="0" applyFont="1" applyAlignment="1">
      <alignment vertical="center" textRotation="90" wrapText="1"/>
    </xf>
    <xf numFmtId="1" fontId="109" fillId="0" borderId="0" xfId="0" applyNumberFormat="1" applyFont="1"/>
    <xf numFmtId="1" fontId="116" fillId="0" borderId="10" xfId="0" applyNumberFormat="1" applyFont="1" applyBorder="1" applyAlignment="1">
      <alignment horizontal="center"/>
    </xf>
    <xf numFmtId="1" fontId="118" fillId="0" borderId="10" xfId="0" applyNumberFormat="1" applyFont="1" applyBorder="1" applyAlignment="1">
      <alignment horizontal="center"/>
    </xf>
    <xf numFmtId="0" fontId="116" fillId="0" borderId="0" xfId="0" applyFont="1" applyAlignment="1">
      <alignment horizontal="center"/>
    </xf>
    <xf numFmtId="1" fontId="117" fillId="0" borderId="0" xfId="0" applyNumberFormat="1" applyFont="1" applyAlignment="1">
      <alignment horizontal="center"/>
    </xf>
    <xf numFmtId="1" fontId="117" fillId="0" borderId="0" xfId="0" applyNumberFormat="1" applyFont="1" applyAlignment="1">
      <alignment horizontal="center" vertical="center"/>
    </xf>
    <xf numFmtId="2" fontId="117" fillId="0" borderId="0" xfId="0" applyNumberFormat="1" applyFont="1" applyAlignment="1">
      <alignment horizontal="center"/>
    </xf>
    <xf numFmtId="1" fontId="116" fillId="0" borderId="0" xfId="0" applyNumberFormat="1" applyFont="1" applyAlignment="1">
      <alignment horizontal="center"/>
    </xf>
    <xf numFmtId="44" fontId="117" fillId="0" borderId="0" xfId="4" applyFont="1" applyBorder="1" applyAlignment="1">
      <alignment vertical="center"/>
    </xf>
    <xf numFmtId="0" fontId="0" fillId="0" borderId="117" xfId="0" applyBorder="1"/>
    <xf numFmtId="0" fontId="0" fillId="31" borderId="117" xfId="0" applyFill="1" applyBorder="1"/>
    <xf numFmtId="0" fontId="121" fillId="0" borderId="13" xfId="0" applyFont="1" applyBorder="1" applyAlignment="1">
      <alignment horizontal="left" vertical="center"/>
    </xf>
    <xf numFmtId="0" fontId="121" fillId="0" borderId="0" xfId="0" applyFont="1" applyAlignment="1">
      <alignment horizontal="center" vertical="center"/>
    </xf>
    <xf numFmtId="0" fontId="121" fillId="0" borderId="0" xfId="0" applyFont="1" applyAlignment="1">
      <alignment vertical="center"/>
    </xf>
    <xf numFmtId="0" fontId="121" fillId="0" borderId="0" xfId="0" applyFont="1" applyAlignment="1">
      <alignment horizontal="left" vertical="center"/>
    </xf>
    <xf numFmtId="0" fontId="122" fillId="0" borderId="0" xfId="0" applyFont="1" applyAlignment="1">
      <alignment horizontal="left" vertical="center"/>
    </xf>
    <xf numFmtId="0" fontId="121" fillId="0" borderId="8" xfId="0" applyFont="1" applyBorder="1" applyAlignment="1">
      <alignment horizontal="left" vertical="center"/>
    </xf>
    <xf numFmtId="0" fontId="121" fillId="0" borderId="7" xfId="0" applyFont="1" applyBorder="1" applyAlignment="1">
      <alignment horizontal="left" vertical="center"/>
    </xf>
    <xf numFmtId="0" fontId="121" fillId="0" borderId="16" xfId="0" applyFont="1" applyBorder="1" applyAlignment="1">
      <alignment horizontal="left" vertical="center"/>
    </xf>
    <xf numFmtId="0" fontId="121" fillId="0" borderId="11" xfId="0" applyFont="1" applyBorder="1" applyAlignment="1">
      <alignment horizontal="left" vertical="center"/>
    </xf>
    <xf numFmtId="0" fontId="121" fillId="0" borderId="5" xfId="0" applyFont="1" applyBorder="1" applyAlignment="1">
      <alignment horizontal="left" vertical="center"/>
    </xf>
    <xf numFmtId="3" fontId="121" fillId="0" borderId="0" xfId="0" applyNumberFormat="1" applyFont="1" applyAlignment="1">
      <alignment horizontal="left" vertical="center"/>
    </xf>
    <xf numFmtId="0" fontId="123" fillId="0" borderId="0" xfId="2" applyFont="1" applyAlignment="1">
      <alignment horizontal="left" vertical="center"/>
    </xf>
    <xf numFmtId="0" fontId="121" fillId="0" borderId="0" xfId="0" quotePrefix="1" applyFont="1" applyAlignment="1">
      <alignment vertical="center"/>
    </xf>
    <xf numFmtId="9" fontId="121" fillId="0" borderId="0" xfId="0" applyNumberFormat="1" applyFont="1" applyAlignment="1">
      <alignment horizontal="left" vertical="center"/>
    </xf>
    <xf numFmtId="0" fontId="121" fillId="0" borderId="0" xfId="0" applyFont="1" applyAlignment="1">
      <alignment horizontal="right" vertical="center"/>
    </xf>
    <xf numFmtId="9" fontId="121" fillId="0" borderId="0" xfId="1" applyFont="1" applyAlignment="1">
      <alignment horizontal="left" vertical="center"/>
    </xf>
    <xf numFmtId="2" fontId="121" fillId="0" borderId="0" xfId="0" applyNumberFormat="1" applyFont="1" applyAlignment="1">
      <alignment horizontal="left" vertical="center"/>
    </xf>
    <xf numFmtId="0" fontId="122" fillId="0" borderId="10" xfId="0" applyFont="1" applyBorder="1" applyAlignment="1">
      <alignment vertical="center"/>
    </xf>
    <xf numFmtId="0" fontId="121" fillId="0" borderId="10" xfId="0" applyFont="1" applyBorder="1" applyAlignment="1">
      <alignment horizontal="center" vertical="center"/>
    </xf>
    <xf numFmtId="1" fontId="121" fillId="0" borderId="10" xfId="0" applyNumberFormat="1" applyFont="1" applyBorder="1" applyAlignment="1">
      <alignment horizontal="center" vertical="center"/>
    </xf>
    <xf numFmtId="0" fontId="121" fillId="0" borderId="10" xfId="0" applyFont="1" applyBorder="1" applyAlignment="1">
      <alignment vertical="center"/>
    </xf>
    <xf numFmtId="0" fontId="121" fillId="0" borderId="12" xfId="0" applyFont="1" applyBorder="1" applyAlignment="1">
      <alignment vertical="center"/>
    </xf>
    <xf numFmtId="0" fontId="121" fillId="0" borderId="12" xfId="0" applyFont="1" applyBorder="1" applyAlignment="1">
      <alignment horizontal="right" vertical="center"/>
    </xf>
    <xf numFmtId="0" fontId="121" fillId="0" borderId="10" xfId="0" applyFont="1" applyBorder="1" applyAlignment="1">
      <alignment horizontal="left" vertical="center"/>
    </xf>
    <xf numFmtId="0" fontId="125" fillId="0" borderId="0" xfId="0" applyFont="1" applyAlignment="1">
      <alignment horizontal="center" vertical="center"/>
    </xf>
    <xf numFmtId="0" fontId="125" fillId="0" borderId="0" xfId="0" applyFont="1" applyAlignment="1">
      <alignment vertical="center"/>
    </xf>
    <xf numFmtId="0" fontId="93" fillId="0" borderId="0" xfId="0" quotePrefix="1" applyFont="1"/>
    <xf numFmtId="2" fontId="121" fillId="0" borderId="10" xfId="0" applyNumberFormat="1" applyFont="1" applyBorder="1" applyAlignment="1">
      <alignment horizontal="center" vertical="center"/>
    </xf>
    <xf numFmtId="0" fontId="124" fillId="0" borderId="0" xfId="0" applyFont="1" applyAlignment="1">
      <alignment horizontal="center" vertical="center"/>
    </xf>
    <xf numFmtId="0" fontId="121" fillId="0" borderId="10" xfId="0" applyFont="1" applyBorder="1" applyAlignment="1">
      <alignment horizontal="left" vertical="center" wrapText="1"/>
    </xf>
    <xf numFmtId="169" fontId="121" fillId="0" borderId="10" xfId="0" applyNumberFormat="1" applyFont="1" applyBorder="1" applyAlignment="1">
      <alignment horizontal="left" vertical="center"/>
    </xf>
    <xf numFmtId="0" fontId="121" fillId="0" borderId="118" xfId="0" applyFont="1" applyBorder="1" applyAlignment="1">
      <alignment horizontal="left" vertical="center"/>
    </xf>
    <xf numFmtId="0" fontId="121" fillId="0" borderId="0" xfId="0" quotePrefix="1" applyFont="1" applyAlignment="1">
      <alignment horizontal="left" vertical="center"/>
    </xf>
    <xf numFmtId="0" fontId="127" fillId="0" borderId="0" xfId="0" applyFont="1"/>
    <xf numFmtId="0" fontId="129" fillId="0" borderId="0" xfId="0" applyFont="1"/>
    <xf numFmtId="0" fontId="130" fillId="0" borderId="0" xfId="0" applyFont="1"/>
    <xf numFmtId="0" fontId="131" fillId="0" borderId="0" xfId="0" applyFont="1"/>
    <xf numFmtId="2" fontId="131" fillId="0" borderId="0" xfId="0" applyNumberFormat="1" applyFont="1" applyAlignment="1">
      <alignment horizontal="right"/>
    </xf>
    <xf numFmtId="0" fontId="131" fillId="0" borderId="0" xfId="0" applyFont="1" applyAlignment="1">
      <alignment horizontal="left"/>
    </xf>
    <xf numFmtId="0" fontId="132" fillId="0" borderId="0" xfId="0" applyFont="1"/>
    <xf numFmtId="0" fontId="131" fillId="0" borderId="0" xfId="0" applyFont="1" applyAlignment="1">
      <alignment horizontal="right"/>
    </xf>
    <xf numFmtId="0" fontId="133" fillId="0" borderId="0" xfId="0" applyFont="1"/>
    <xf numFmtId="0" fontId="134" fillId="0" borderId="0" xfId="0" applyFont="1" applyAlignment="1">
      <alignment horizontal="left" vertical="center"/>
    </xf>
    <xf numFmtId="0" fontId="135" fillId="0" borderId="0" xfId="0" applyFont="1" applyAlignment="1">
      <alignment vertical="center"/>
    </xf>
    <xf numFmtId="3" fontId="133" fillId="0" borderId="0" xfId="0" applyNumberFormat="1" applyFont="1" applyAlignment="1">
      <alignment horizontal="left"/>
    </xf>
    <xf numFmtId="3" fontId="133" fillId="0" borderId="0" xfId="0" applyNumberFormat="1" applyFont="1"/>
    <xf numFmtId="0" fontId="129" fillId="0" borderId="0" xfId="0" applyFont="1" applyAlignment="1">
      <alignment horizontal="right"/>
    </xf>
    <xf numFmtId="0" fontId="136" fillId="0" borderId="0" xfId="0" applyFont="1" applyAlignment="1">
      <alignment horizontal="left"/>
    </xf>
    <xf numFmtId="14" fontId="129" fillId="0" borderId="0" xfId="0" applyNumberFormat="1" applyFont="1"/>
    <xf numFmtId="0" fontId="137" fillId="29" borderId="13" xfId="0" applyFont="1" applyFill="1" applyBorder="1"/>
    <xf numFmtId="0" fontId="127" fillId="0" borderId="11" xfId="0" applyFont="1" applyBorder="1"/>
    <xf numFmtId="0" fontId="127" fillId="0" borderId="13" xfId="0" applyFont="1" applyBorder="1"/>
    <xf numFmtId="1" fontId="127" fillId="0" borderId="13" xfId="0" applyNumberFormat="1" applyFont="1" applyBorder="1" applyAlignment="1">
      <alignment horizontal="center"/>
    </xf>
    <xf numFmtId="0" fontId="127" fillId="0" borderId="13" xfId="0" applyFont="1" applyBorder="1" applyAlignment="1">
      <alignment horizontal="center"/>
    </xf>
    <xf numFmtId="0" fontId="127" fillId="0" borderId="10" xfId="0" applyFont="1" applyBorder="1" applyAlignment="1">
      <alignment horizontal="center"/>
    </xf>
    <xf numFmtId="1" fontId="127" fillId="0" borderId="10" xfId="0" applyNumberFormat="1" applyFont="1" applyBorder="1" applyAlignment="1">
      <alignment horizontal="center"/>
    </xf>
    <xf numFmtId="2" fontId="127" fillId="0" borderId="10" xfId="0" applyNumberFormat="1" applyFont="1" applyBorder="1" applyAlignment="1">
      <alignment horizontal="center"/>
    </xf>
    <xf numFmtId="0" fontId="127" fillId="0" borderId="0" xfId="0" applyFont="1" applyAlignment="1">
      <alignment horizontal="left"/>
    </xf>
    <xf numFmtId="44" fontId="138" fillId="0" borderId="0" xfId="4" applyFont="1"/>
    <xf numFmtId="44" fontId="127" fillId="0" borderId="0" xfId="4" applyFont="1"/>
    <xf numFmtId="9" fontId="127" fillId="0" borderId="0" xfId="0" applyNumberFormat="1" applyFont="1" applyAlignment="1">
      <alignment horizontal="left"/>
    </xf>
    <xf numFmtId="14" fontId="138" fillId="0" borderId="0" xfId="0" applyNumberFormat="1" applyFont="1"/>
    <xf numFmtId="0" fontId="139" fillId="29" borderId="10" xfId="0" applyFont="1" applyFill="1" applyBorder="1" applyAlignment="1">
      <alignment horizontal="center" vertical="center" textRotation="90" wrapText="1"/>
    </xf>
    <xf numFmtId="0" fontId="139" fillId="29" borderId="11" xfId="0" applyFont="1" applyFill="1" applyBorder="1" applyAlignment="1">
      <alignment horizontal="center" vertical="center" textRotation="90" wrapText="1"/>
    </xf>
    <xf numFmtId="1" fontId="140" fillId="0" borderId="10" xfId="0" applyNumberFormat="1" applyFont="1" applyBorder="1" applyAlignment="1">
      <alignment horizontal="center" vertical="center"/>
    </xf>
    <xf numFmtId="0" fontId="141" fillId="0" borderId="10" xfId="0" applyFont="1" applyBorder="1" applyAlignment="1">
      <alignment horizontal="center" vertical="center"/>
    </xf>
    <xf numFmtId="0" fontId="141" fillId="0" borderId="11" xfId="0" applyFont="1" applyBorder="1" applyAlignment="1">
      <alignment horizontal="center" vertical="center"/>
    </xf>
    <xf numFmtId="1" fontId="142" fillId="0" borderId="10" xfId="0" applyNumberFormat="1" applyFont="1" applyBorder="1" applyAlignment="1">
      <alignment horizontal="center" vertical="center"/>
    </xf>
    <xf numFmtId="1" fontId="142" fillId="0" borderId="11" xfId="0" applyNumberFormat="1" applyFont="1" applyBorder="1" applyAlignment="1">
      <alignment horizontal="center" vertical="center"/>
    </xf>
    <xf numFmtId="2" fontId="142" fillId="0" borderId="10" xfId="0" applyNumberFormat="1" applyFont="1" applyBorder="1" applyAlignment="1">
      <alignment horizontal="center" vertical="center"/>
    </xf>
    <xf numFmtId="0" fontId="144" fillId="0" borderId="0" xfId="0" applyFont="1"/>
    <xf numFmtId="0" fontId="143" fillId="0" borderId="0" xfId="0" applyFont="1" applyAlignment="1">
      <alignment horizontal="right"/>
    </xf>
    <xf numFmtId="14" fontId="143" fillId="0" borderId="0" xfId="0" applyNumberFormat="1" applyFont="1" applyAlignment="1">
      <alignment horizontal="left"/>
    </xf>
    <xf numFmtId="0" fontId="145" fillId="0" borderId="0" xfId="0" applyFont="1"/>
    <xf numFmtId="0" fontId="145" fillId="0" borderId="0" xfId="0" applyFont="1" applyAlignment="1">
      <alignment horizontal="left"/>
    </xf>
    <xf numFmtId="0" fontId="146" fillId="0" borderId="0" xfId="0" applyFont="1"/>
    <xf numFmtId="0" fontId="146" fillId="0" borderId="0" xfId="0" applyFont="1" applyAlignment="1">
      <alignment vertical="center"/>
    </xf>
    <xf numFmtId="0" fontId="146" fillId="0" borderId="0" xfId="0" applyFont="1" applyAlignment="1">
      <alignment horizontal="right" vertical="center"/>
    </xf>
    <xf numFmtId="0" fontId="146" fillId="0" borderId="0" xfId="0" applyFont="1" applyAlignment="1">
      <alignment horizontal="left" vertical="center"/>
    </xf>
    <xf numFmtId="0" fontId="147" fillId="0" borderId="0" xfId="0" applyFont="1"/>
    <xf numFmtId="0" fontId="147" fillId="0" borderId="0" xfId="0" applyFont="1" applyAlignment="1">
      <alignment horizontal="right"/>
    </xf>
    <xf numFmtId="1" fontId="147" fillId="0" borderId="0" xfId="0" applyNumberFormat="1" applyFont="1" applyAlignment="1">
      <alignment horizontal="right"/>
    </xf>
    <xf numFmtId="0" fontId="147" fillId="0" borderId="0" xfId="0" applyFont="1" applyAlignment="1">
      <alignment horizontal="left"/>
    </xf>
    <xf numFmtId="0" fontId="127" fillId="0" borderId="0" xfId="0" applyFont="1" applyAlignment="1">
      <alignment horizontal="left" vertical="center"/>
    </xf>
    <xf numFmtId="4" fontId="127" fillId="0" borderId="0" xfId="0" applyNumberFormat="1" applyFont="1" applyAlignment="1">
      <alignment horizontal="left" vertical="center" wrapText="1"/>
    </xf>
    <xf numFmtId="44" fontId="127" fillId="0" borderId="0" xfId="4" applyFont="1" applyAlignment="1">
      <alignment vertical="center"/>
    </xf>
    <xf numFmtId="0" fontId="121" fillId="0" borderId="11" xfId="0" applyFont="1" applyBorder="1" applyAlignment="1">
      <alignment horizontal="center" vertical="center"/>
    </xf>
    <xf numFmtId="0" fontId="121" fillId="0" borderId="12" xfId="0" applyFont="1" applyBorder="1" applyAlignment="1">
      <alignment horizontal="center" vertical="center"/>
    </xf>
    <xf numFmtId="0" fontId="121" fillId="0" borderId="13" xfId="0" applyFont="1" applyBorder="1" applyAlignment="1">
      <alignment horizontal="center" vertical="center"/>
    </xf>
    <xf numFmtId="0" fontId="121" fillId="0" borderId="10" xfId="0" applyFont="1" applyBorder="1" applyAlignment="1">
      <alignment horizontal="left" vertical="center"/>
    </xf>
    <xf numFmtId="44" fontId="121" fillId="0" borderId="10" xfId="4" applyFont="1" applyBorder="1" applyAlignment="1">
      <alignment horizontal="center" vertical="center"/>
    </xf>
    <xf numFmtId="9" fontId="121" fillId="0" borderId="10" xfId="0" applyNumberFormat="1" applyFont="1" applyBorder="1" applyAlignment="1">
      <alignment horizontal="center" vertical="center"/>
    </xf>
    <xf numFmtId="0" fontId="121" fillId="0" borderId="10" xfId="0" applyFont="1" applyBorder="1" applyAlignment="1">
      <alignment horizontal="center" vertical="center"/>
    </xf>
    <xf numFmtId="0" fontId="122" fillId="0" borderId="13" xfId="0" applyFont="1" applyBorder="1" applyAlignment="1">
      <alignment vertical="center"/>
    </xf>
    <xf numFmtId="0" fontId="122" fillId="0" borderId="10" xfId="0" applyFont="1" applyBorder="1" applyAlignment="1">
      <alignment vertical="center"/>
    </xf>
    <xf numFmtId="0" fontId="124" fillId="0" borderId="10" xfId="0" applyFont="1" applyBorder="1" applyAlignment="1">
      <alignment horizontal="center" vertical="center"/>
    </xf>
    <xf numFmtId="44" fontId="121" fillId="0" borderId="11" xfId="4" applyFont="1" applyBorder="1" applyAlignment="1">
      <alignment horizontal="center" vertical="center"/>
    </xf>
    <xf numFmtId="44" fontId="121" fillId="0" borderId="13" xfId="4" applyFont="1" applyBorder="1" applyAlignment="1">
      <alignment horizontal="center" vertical="center"/>
    </xf>
    <xf numFmtId="0" fontId="121" fillId="0" borderId="10" xfId="0" applyFont="1" applyBorder="1" applyAlignment="1">
      <alignment vertical="center"/>
    </xf>
    <xf numFmtId="0" fontId="125" fillId="0" borderId="10" xfId="0" applyFont="1" applyBorder="1" applyAlignment="1">
      <alignment horizontal="center" vertical="center"/>
    </xf>
    <xf numFmtId="0" fontId="120" fillId="0" borderId="10" xfId="0" applyFont="1" applyBorder="1" applyAlignment="1">
      <alignment horizontal="left" vertical="center"/>
    </xf>
    <xf numFmtId="3" fontId="121" fillId="0" borderId="10" xfId="0" applyNumberFormat="1" applyFont="1" applyBorder="1" applyAlignment="1">
      <alignment horizontal="left" vertical="center"/>
    </xf>
    <xf numFmtId="0" fontId="10" fillId="0" borderId="10" xfId="2" applyBorder="1" applyAlignment="1">
      <alignment vertical="center"/>
    </xf>
    <xf numFmtId="0" fontId="121" fillId="0" borderId="11" xfId="0" applyFont="1" applyBorder="1" applyAlignment="1">
      <alignment horizontal="left" vertical="center"/>
    </xf>
    <xf numFmtId="0" fontId="121" fillId="0" borderId="12" xfId="0" applyFont="1" applyBorder="1" applyAlignment="1">
      <alignment horizontal="left" vertical="center"/>
    </xf>
    <xf numFmtId="0" fontId="121" fillId="0" borderId="13" xfId="0" applyFont="1" applyBorder="1" applyAlignment="1">
      <alignment horizontal="left" vertical="center"/>
    </xf>
    <xf numFmtId="0" fontId="121" fillId="32" borderId="10" xfId="0" applyFont="1" applyFill="1" applyBorder="1" applyAlignment="1">
      <alignment horizontal="center" vertical="center"/>
    </xf>
    <xf numFmtId="176" fontId="121" fillId="0" borderId="10" xfId="0" applyNumberFormat="1" applyFont="1" applyBorder="1" applyAlignment="1">
      <alignment horizontal="left" vertical="center"/>
    </xf>
    <xf numFmtId="176" fontId="122" fillId="0" borderId="11" xfId="0" applyNumberFormat="1" applyFont="1" applyBorder="1" applyAlignment="1">
      <alignment horizontal="left" vertical="center"/>
    </xf>
    <xf numFmtId="176" fontId="122" fillId="0" borderId="12" xfId="0" applyNumberFormat="1" applyFont="1" applyBorder="1" applyAlignment="1">
      <alignment horizontal="left" vertical="center"/>
    </xf>
    <xf numFmtId="176" fontId="122" fillId="0" borderId="13" xfId="0" applyNumberFormat="1" applyFont="1" applyBorder="1" applyAlignment="1">
      <alignment horizontal="left" vertical="center"/>
    </xf>
    <xf numFmtId="0" fontId="121" fillId="0" borderId="0" xfId="0" applyFont="1" applyAlignment="1">
      <alignment horizontal="left" vertical="center"/>
    </xf>
    <xf numFmtId="0" fontId="121" fillId="0" borderId="5" xfId="0" applyFont="1" applyBorder="1" applyAlignment="1">
      <alignment horizontal="center" vertical="center"/>
    </xf>
    <xf numFmtId="0" fontId="121" fillId="0" borderId="9" xfId="0" applyFont="1" applyBorder="1" applyAlignment="1">
      <alignment horizontal="center" vertical="center"/>
    </xf>
    <xf numFmtId="0" fontId="121" fillId="0" borderId="6" xfId="0" applyFont="1" applyBorder="1" applyAlignment="1">
      <alignment horizontal="center" vertical="center"/>
    </xf>
    <xf numFmtId="0" fontId="121" fillId="0" borderId="15" xfId="0" applyFont="1" applyBorder="1" applyAlignment="1">
      <alignment horizontal="center" vertical="center"/>
    </xf>
    <xf numFmtId="0" fontId="121" fillId="0" borderId="0" xfId="0" applyFont="1" applyAlignment="1">
      <alignment horizontal="center" vertical="center"/>
    </xf>
    <xf numFmtId="0" fontId="121" fillId="0" borderId="14" xfId="0" applyFont="1" applyBorder="1" applyAlignment="1">
      <alignment horizontal="center" vertical="center"/>
    </xf>
    <xf numFmtId="0" fontId="121" fillId="0" borderId="7" xfId="0" applyFont="1" applyBorder="1" applyAlignment="1">
      <alignment horizontal="center" vertical="center"/>
    </xf>
    <xf numFmtId="0" fontId="121" fillId="0" borderId="16" xfId="0" applyFont="1" applyBorder="1" applyAlignment="1">
      <alignment horizontal="center" vertical="center"/>
    </xf>
    <xf numFmtId="0" fontId="121" fillId="0" borderId="8" xfId="0" applyFont="1" applyBorder="1" applyAlignment="1">
      <alignment horizontal="center" vertical="center"/>
    </xf>
    <xf numFmtId="0" fontId="121" fillId="0" borderId="11" xfId="0" applyFont="1" applyBorder="1" applyAlignment="1">
      <alignment vertical="center"/>
    </xf>
    <xf numFmtId="0" fontId="122" fillId="0" borderId="10" xfId="0" applyFont="1" applyBorder="1" applyAlignment="1">
      <alignment horizontal="left" vertical="center"/>
    </xf>
    <xf numFmtId="0" fontId="121" fillId="0" borderId="0" xfId="0" applyFont="1" applyAlignment="1">
      <alignment horizontal="right" vertical="center"/>
    </xf>
    <xf numFmtId="0" fontId="121" fillId="0" borderId="13" xfId="0" applyFont="1" applyBorder="1" applyAlignment="1">
      <alignment vertical="center"/>
    </xf>
    <xf numFmtId="0" fontId="121" fillId="32" borderId="13" xfId="0" applyFont="1" applyFill="1" applyBorder="1" applyAlignment="1">
      <alignment horizontal="left" vertical="center"/>
    </xf>
    <xf numFmtId="0" fontId="121" fillId="32" borderId="10" xfId="0" applyFont="1" applyFill="1" applyBorder="1" applyAlignment="1">
      <alignment horizontal="left" vertical="center"/>
    </xf>
    <xf numFmtId="9" fontId="121" fillId="32" borderId="13" xfId="1" applyFont="1" applyFill="1" applyBorder="1" applyAlignment="1">
      <alignment horizontal="left" vertical="center"/>
    </xf>
    <xf numFmtId="9" fontId="121" fillId="32" borderId="10" xfId="1" applyFont="1" applyFill="1" applyBorder="1" applyAlignment="1">
      <alignment horizontal="left" vertical="center"/>
    </xf>
    <xf numFmtId="0" fontId="121" fillId="32" borderId="10" xfId="1" applyNumberFormat="1" applyFont="1" applyFill="1" applyBorder="1" applyAlignment="1">
      <alignment vertical="center"/>
    </xf>
    <xf numFmtId="0" fontId="121" fillId="32" borderId="11" xfId="1" applyNumberFormat="1" applyFont="1" applyFill="1" applyBorder="1" applyAlignment="1">
      <alignment vertical="center"/>
    </xf>
    <xf numFmtId="0" fontId="121" fillId="32" borderId="10" xfId="0" applyFont="1" applyFill="1" applyBorder="1" applyAlignment="1">
      <alignment vertical="center"/>
    </xf>
    <xf numFmtId="0" fontId="121" fillId="32" borderId="11" xfId="0" applyFont="1" applyFill="1" applyBorder="1" applyAlignment="1">
      <alignment vertical="center"/>
    </xf>
    <xf numFmtId="2" fontId="121" fillId="32" borderId="10" xfId="0" applyNumberFormat="1" applyFont="1" applyFill="1" applyBorder="1" applyAlignment="1">
      <alignment vertical="center"/>
    </xf>
    <xf numFmtId="2" fontId="121" fillId="32" borderId="11" xfId="0" applyNumberFormat="1" applyFont="1" applyFill="1" applyBorder="1" applyAlignment="1">
      <alignment vertical="center"/>
    </xf>
    <xf numFmtId="0" fontId="121" fillId="0" borderId="10" xfId="0" applyFont="1" applyBorder="1" applyAlignment="1">
      <alignment horizontal="center" vertical="center" wrapText="1"/>
    </xf>
    <xf numFmtId="0" fontId="122" fillId="0" borderId="11" xfId="0" applyFont="1" applyBorder="1" applyAlignment="1">
      <alignment vertical="center"/>
    </xf>
    <xf numFmtId="0" fontId="121" fillId="0" borderId="0" xfId="0" applyFont="1" applyAlignment="1">
      <alignment horizontal="center" vertical="center" wrapText="1"/>
    </xf>
    <xf numFmtId="2" fontId="121" fillId="0" borderId="11" xfId="0" applyNumberFormat="1" applyFont="1" applyBorder="1" applyAlignment="1">
      <alignment vertical="center"/>
    </xf>
    <xf numFmtId="2" fontId="121" fillId="0" borderId="12" xfId="0" applyNumberFormat="1" applyFont="1" applyBorder="1" applyAlignment="1">
      <alignment vertical="center"/>
    </xf>
    <xf numFmtId="14" fontId="121" fillId="0" borderId="0" xfId="0" applyNumberFormat="1" applyFont="1" applyAlignment="1">
      <alignment horizontal="center" vertical="center"/>
    </xf>
    <xf numFmtId="44" fontId="121" fillId="0" borderId="9" xfId="0" applyNumberFormat="1" applyFont="1" applyBorder="1" applyAlignment="1">
      <alignment horizontal="center" vertical="center"/>
    </xf>
    <xf numFmtId="9" fontId="121" fillId="0" borderId="10" xfId="1" applyFont="1" applyBorder="1" applyAlignment="1">
      <alignment horizontal="center" vertical="center"/>
    </xf>
    <xf numFmtId="3" fontId="94" fillId="0" borderId="0" xfId="0" applyNumberFormat="1" applyFont="1" applyAlignment="1">
      <alignment horizontal="center" vertical="center"/>
    </xf>
    <xf numFmtId="0" fontId="94" fillId="0" borderId="10" xfId="0" applyFont="1" applyBorder="1" applyAlignment="1">
      <alignment horizontal="center" vertical="center"/>
    </xf>
    <xf numFmtId="0" fontId="110" fillId="0" borderId="0" xfId="0" applyFont="1" applyAlignment="1">
      <alignment horizontal="center" vertical="center"/>
    </xf>
    <xf numFmtId="0" fontId="104" fillId="0" borderId="0" xfId="0" applyFont="1" applyAlignment="1">
      <alignment horizontal="center" vertical="center"/>
    </xf>
    <xf numFmtId="0" fontId="104" fillId="0" borderId="0" xfId="0" applyFont="1" applyAlignment="1">
      <alignment horizontal="center" vertical="center" wrapText="1"/>
    </xf>
    <xf numFmtId="4" fontId="109" fillId="30" borderId="0" xfId="0" applyNumberFormat="1" applyFont="1" applyFill="1" applyAlignment="1">
      <alignment horizontal="center" vertical="center" wrapText="1"/>
    </xf>
    <xf numFmtId="9" fontId="105" fillId="30" borderId="0" xfId="1" applyFont="1" applyFill="1" applyBorder="1" applyAlignment="1">
      <alignment horizontal="center" vertical="center"/>
    </xf>
    <xf numFmtId="0" fontId="106" fillId="0" borderId="0" xfId="0" applyFont="1" applyAlignment="1">
      <alignment horizontal="center" vertical="center"/>
    </xf>
    <xf numFmtId="4" fontId="105" fillId="30" borderId="0" xfId="0" applyNumberFormat="1" applyFont="1" applyFill="1" applyAlignment="1">
      <alignment horizontal="center" vertical="center"/>
    </xf>
    <xf numFmtId="1" fontId="99" fillId="0" borderId="10" xfId="0" applyNumberFormat="1" applyFont="1" applyBorder="1" applyAlignment="1">
      <alignment horizontal="center"/>
    </xf>
    <xf numFmtId="0" fontId="99" fillId="0" borderId="10" xfId="0" applyFont="1" applyBorder="1" applyAlignment="1">
      <alignment horizontal="center"/>
    </xf>
    <xf numFmtId="1" fontId="99" fillId="30" borderId="10" xfId="0" applyNumberFormat="1" applyFont="1" applyFill="1" applyBorder="1" applyAlignment="1">
      <alignment horizontal="center"/>
    </xf>
    <xf numFmtId="0" fontId="99" fillId="0" borderId="10" xfId="0" applyFont="1" applyBorder="1" applyAlignment="1">
      <alignment horizontal="center" vertical="center"/>
    </xf>
    <xf numFmtId="2" fontId="99" fillId="0" borderId="11" xfId="0" applyNumberFormat="1" applyFont="1" applyBorder="1" applyAlignment="1">
      <alignment horizontal="right"/>
    </xf>
    <xf numFmtId="2" fontId="99" fillId="0" borderId="12" xfId="0" applyNumberFormat="1" applyFont="1" applyBorder="1" applyAlignment="1">
      <alignment horizontal="right"/>
    </xf>
    <xf numFmtId="2" fontId="99" fillId="0" borderId="13" xfId="0" applyNumberFormat="1" applyFont="1" applyBorder="1" applyAlignment="1">
      <alignment horizontal="right"/>
    </xf>
    <xf numFmtId="0" fontId="99" fillId="0" borderId="5" xfId="0" applyFont="1" applyBorder="1" applyAlignment="1">
      <alignment horizontal="center" vertical="center" wrapText="1"/>
    </xf>
    <xf numFmtId="0" fontId="99" fillId="0" borderId="9" xfId="0" applyFont="1" applyBorder="1" applyAlignment="1">
      <alignment horizontal="center" vertical="center" wrapText="1"/>
    </xf>
    <xf numFmtId="0" fontId="99" fillId="0" borderId="6" xfId="0" applyFont="1" applyBorder="1" applyAlignment="1">
      <alignment horizontal="center" vertical="center" wrapText="1"/>
    </xf>
    <xf numFmtId="0" fontId="99" fillId="0" borderId="7" xfId="0" applyFont="1" applyBorder="1" applyAlignment="1">
      <alignment horizontal="center" vertical="center" wrapText="1"/>
    </xf>
    <xf numFmtId="0" fontId="99" fillId="0" borderId="16" xfId="0" applyFont="1" applyBorder="1" applyAlignment="1">
      <alignment horizontal="center" vertical="center" wrapText="1"/>
    </xf>
    <xf numFmtId="0" fontId="99" fillId="0" borderId="8" xfId="0" applyFont="1" applyBorder="1" applyAlignment="1">
      <alignment horizontal="center" vertical="center" wrapText="1"/>
    </xf>
    <xf numFmtId="0" fontId="99" fillId="30" borderId="10" xfId="0" applyFont="1" applyFill="1" applyBorder="1" applyAlignment="1">
      <alignment horizontal="center" vertical="center" wrapText="1"/>
    </xf>
    <xf numFmtId="2" fontId="94" fillId="0" borderId="0" xfId="0" applyNumberFormat="1" applyFont="1" applyAlignment="1">
      <alignment horizontal="center"/>
    </xf>
    <xf numFmtId="0" fontId="116" fillId="0" borderId="10" xfId="0" applyFont="1" applyBorder="1" applyAlignment="1">
      <alignment horizontal="center"/>
    </xf>
    <xf numFmtId="2" fontId="117" fillId="0" borderId="10" xfId="4" applyNumberFormat="1" applyFont="1" applyBorder="1" applyAlignment="1">
      <alignment horizontal="center" vertical="center"/>
    </xf>
    <xf numFmtId="1" fontId="117" fillId="0" borderId="10" xfId="0" applyNumberFormat="1" applyFont="1" applyBorder="1" applyAlignment="1">
      <alignment horizontal="center"/>
    </xf>
    <xf numFmtId="1" fontId="99" fillId="0" borderId="11" xfId="0" applyNumberFormat="1" applyFont="1" applyBorder="1" applyAlignment="1">
      <alignment horizontal="center"/>
    </xf>
    <xf numFmtId="1" fontId="99" fillId="0" borderId="12" xfId="0" applyNumberFormat="1" applyFont="1" applyBorder="1" applyAlignment="1">
      <alignment horizontal="center"/>
    </xf>
    <xf numFmtId="1" fontId="99" fillId="0" borderId="13" xfId="0" applyNumberFormat="1" applyFont="1" applyBorder="1" applyAlignment="1">
      <alignment horizontal="center"/>
    </xf>
    <xf numFmtId="0" fontId="94" fillId="0" borderId="0" xfId="0" applyFont="1" applyAlignment="1">
      <alignment horizontal="center"/>
    </xf>
    <xf numFmtId="0" fontId="119" fillId="29" borderId="10" xfId="0" applyFont="1" applyFill="1" applyBorder="1" applyAlignment="1">
      <alignment horizontal="center" vertical="center" textRotation="90" wrapText="1"/>
    </xf>
    <xf numFmtId="0" fontId="93" fillId="0" borderId="0" xfId="0" applyFont="1" applyAlignment="1">
      <alignment horizontal="left"/>
    </xf>
    <xf numFmtId="165" fontId="99" fillId="0" borderId="11" xfId="0" applyNumberFormat="1" applyFont="1" applyBorder="1" applyAlignment="1">
      <alignment horizontal="center"/>
    </xf>
    <xf numFmtId="165" fontId="99" fillId="0" borderId="12" xfId="0" applyNumberFormat="1" applyFont="1" applyBorder="1" applyAlignment="1">
      <alignment horizontal="center"/>
    </xf>
    <xf numFmtId="165" fontId="99" fillId="0" borderId="13" xfId="0" applyNumberFormat="1" applyFont="1" applyBorder="1" applyAlignment="1">
      <alignment horizontal="center"/>
    </xf>
    <xf numFmtId="0" fontId="93" fillId="0" borderId="10" xfId="0" applyFont="1" applyBorder="1" applyAlignment="1">
      <alignment horizontal="center"/>
    </xf>
    <xf numFmtId="0" fontId="94" fillId="30" borderId="10" xfId="0" applyFont="1" applyFill="1" applyBorder="1" applyAlignment="1">
      <alignment horizontal="left"/>
    </xf>
    <xf numFmtId="2" fontId="94" fillId="0" borderId="10" xfId="0" applyNumberFormat="1" applyFont="1" applyBorder="1" applyAlignment="1">
      <alignment horizontal="center"/>
    </xf>
    <xf numFmtId="0" fontId="94" fillId="30" borderId="10" xfId="0" applyFont="1" applyFill="1" applyBorder="1" applyAlignment="1">
      <alignment horizontal="center"/>
    </xf>
    <xf numFmtId="0" fontId="94" fillId="0" borderId="10" xfId="0" applyFont="1" applyBorder="1" applyAlignment="1">
      <alignment horizontal="center"/>
    </xf>
    <xf numFmtId="169" fontId="94" fillId="0" borderId="10" xfId="0" applyNumberFormat="1" applyFont="1" applyBorder="1" applyAlignment="1">
      <alignment horizontal="center" vertical="center"/>
    </xf>
    <xf numFmtId="0" fontId="93" fillId="0" borderId="16" xfId="0" applyFont="1" applyBorder="1" applyAlignment="1">
      <alignment horizontal="center"/>
    </xf>
    <xf numFmtId="0" fontId="93" fillId="0" borderId="0" xfId="0" applyFont="1" applyAlignment="1">
      <alignment horizontal="center"/>
    </xf>
    <xf numFmtId="2" fontId="93" fillId="0" borderId="0" xfId="0" applyNumberFormat="1" applyFont="1" applyAlignment="1">
      <alignment horizontal="center"/>
    </xf>
    <xf numFmtId="9" fontId="99" fillId="0" borderId="10" xfId="1" applyFont="1" applyBorder="1" applyAlignment="1">
      <alignment horizontal="center"/>
    </xf>
    <xf numFmtId="2" fontId="99" fillId="0" borderId="10" xfId="0" applyNumberFormat="1" applyFont="1" applyBorder="1" applyAlignment="1">
      <alignment horizontal="right"/>
    </xf>
    <xf numFmtId="2" fontId="117" fillId="0" borderId="10" xfId="0" applyNumberFormat="1" applyFont="1" applyBorder="1" applyAlignment="1">
      <alignment horizontal="center"/>
    </xf>
    <xf numFmtId="2" fontId="93" fillId="0" borderId="7" xfId="0" applyNumberFormat="1" applyFont="1" applyBorder="1" applyAlignment="1">
      <alignment horizontal="center"/>
    </xf>
    <xf numFmtId="2" fontId="93" fillId="0" borderId="16" xfId="0" applyNumberFormat="1" applyFont="1" applyBorder="1" applyAlignment="1">
      <alignment horizontal="center"/>
    </xf>
    <xf numFmtId="0" fontId="117" fillId="0" borderId="10" xfId="4" applyNumberFormat="1" applyFont="1" applyBorder="1" applyAlignment="1">
      <alignment horizontal="center"/>
    </xf>
    <xf numFmtId="0" fontId="99" fillId="0" borderId="10" xfId="0" applyFont="1" applyBorder="1" applyAlignment="1">
      <alignment horizontal="center" vertical="center" wrapText="1"/>
    </xf>
    <xf numFmtId="1" fontId="94" fillId="0" borderId="0" xfId="0" applyNumberFormat="1" applyFont="1" applyAlignment="1">
      <alignment horizontal="center"/>
    </xf>
    <xf numFmtId="0" fontId="111" fillId="11" borderId="11" xfId="0" applyFont="1" applyFill="1" applyBorder="1" applyAlignment="1">
      <alignment horizontal="center"/>
    </xf>
    <xf numFmtId="0" fontId="111" fillId="11" borderId="12" xfId="0" applyFont="1" applyFill="1" applyBorder="1" applyAlignment="1">
      <alignment horizontal="center"/>
    </xf>
    <xf numFmtId="0" fontId="111" fillId="11" borderId="13" xfId="0" applyFont="1" applyFill="1" applyBorder="1" applyAlignment="1">
      <alignment horizontal="center"/>
    </xf>
    <xf numFmtId="0" fontId="94" fillId="0" borderId="10" xfId="0" applyFont="1" applyBorder="1" applyAlignment="1">
      <alignment horizontal="left" vertical="center"/>
    </xf>
    <xf numFmtId="0" fontId="94" fillId="30" borderId="10" xfId="0" applyFont="1" applyFill="1" applyBorder="1" applyAlignment="1">
      <alignment horizontal="right" vertical="center"/>
    </xf>
    <xf numFmtId="167" fontId="93" fillId="0" borderId="0" xfId="0" applyNumberFormat="1" applyFont="1" applyAlignment="1">
      <alignment horizontal="center"/>
    </xf>
    <xf numFmtId="2" fontId="103" fillId="30" borderId="0" xfId="0" applyNumberFormat="1" applyFont="1" applyFill="1" applyAlignment="1">
      <alignment horizontal="center" vertical="center"/>
    </xf>
    <xf numFmtId="0" fontId="94" fillId="30" borderId="0" xfId="0" applyFont="1" applyFill="1" applyAlignment="1">
      <alignment horizontal="center"/>
    </xf>
    <xf numFmtId="164" fontId="94" fillId="0" borderId="2" xfId="0" applyNumberFormat="1" applyFont="1" applyBorder="1" applyAlignment="1">
      <alignment horizontal="center"/>
    </xf>
    <xf numFmtId="0" fontId="99" fillId="0" borderId="0" xfId="0" applyFont="1" applyAlignment="1">
      <alignment horizontal="center" wrapText="1"/>
    </xf>
    <xf numFmtId="0" fontId="94" fillId="30" borderId="10" xfId="0" applyFont="1" applyFill="1" applyBorder="1" applyAlignment="1">
      <alignment horizontal="center" vertical="center"/>
    </xf>
    <xf numFmtId="0" fontId="101" fillId="0" borderId="0" xfId="0" applyFont="1" applyAlignment="1">
      <alignment horizontal="center"/>
    </xf>
    <xf numFmtId="0" fontId="99" fillId="0" borderId="11" xfId="0" applyFont="1" applyBorder="1" applyAlignment="1">
      <alignment horizontal="center"/>
    </xf>
    <xf numFmtId="0" fontId="99" fillId="0" borderId="12" xfId="0" applyFont="1" applyBorder="1" applyAlignment="1">
      <alignment horizontal="center"/>
    </xf>
    <xf numFmtId="0" fontId="99" fillId="0" borderId="13" xfId="0" applyFont="1" applyBorder="1" applyAlignment="1">
      <alignment horizontal="center"/>
    </xf>
    <xf numFmtId="0" fontId="99" fillId="0" borderId="10" xfId="0" applyFont="1" applyBorder="1" applyAlignment="1">
      <alignment horizontal="center" textRotation="90"/>
    </xf>
    <xf numFmtId="0" fontId="118" fillId="0" borderId="10" xfId="0" applyFont="1" applyBorder="1" applyAlignment="1">
      <alignment horizontal="center" vertical="center"/>
    </xf>
    <xf numFmtId="0" fontId="108" fillId="0" borderId="16" xfId="0" applyFont="1" applyBorder="1" applyAlignment="1">
      <alignment horizontal="center"/>
    </xf>
    <xf numFmtId="1" fontId="117" fillId="0" borderId="11" xfId="0" applyNumberFormat="1" applyFont="1" applyBorder="1" applyAlignment="1">
      <alignment horizontal="center"/>
    </xf>
    <xf numFmtId="1" fontId="117" fillId="0" borderId="12" xfId="0" applyNumberFormat="1" applyFont="1" applyBorder="1" applyAlignment="1">
      <alignment horizontal="center"/>
    </xf>
    <xf numFmtId="1" fontId="117" fillId="0" borderId="13" xfId="0" applyNumberFormat="1" applyFont="1" applyBorder="1" applyAlignment="1">
      <alignment horizontal="center"/>
    </xf>
    <xf numFmtId="0" fontId="119" fillId="29" borderId="5" xfId="0" applyFont="1" applyFill="1" applyBorder="1" applyAlignment="1">
      <alignment horizontal="center" vertical="center" textRotation="90" wrapText="1"/>
    </xf>
    <xf numFmtId="0" fontId="119" fillId="29" borderId="9" xfId="0" applyFont="1" applyFill="1" applyBorder="1" applyAlignment="1">
      <alignment horizontal="center" vertical="center" textRotation="90" wrapText="1"/>
    </xf>
    <xf numFmtId="0" fontId="119" fillId="29" borderId="6" xfId="0" applyFont="1" applyFill="1" applyBorder="1" applyAlignment="1">
      <alignment horizontal="center" vertical="center" textRotation="90" wrapText="1"/>
    </xf>
    <xf numFmtId="0" fontId="119" fillId="29" borderId="15" xfId="0" applyFont="1" applyFill="1" applyBorder="1" applyAlignment="1">
      <alignment horizontal="center" vertical="center" textRotation="90" wrapText="1"/>
    </xf>
    <xf numFmtId="0" fontId="119" fillId="29" borderId="0" xfId="0" applyFont="1" applyFill="1" applyAlignment="1">
      <alignment horizontal="center" vertical="center" textRotation="90" wrapText="1"/>
    </xf>
    <xf numFmtId="0" fontId="119" fillId="29" borderId="14" xfId="0" applyFont="1" applyFill="1" applyBorder="1" applyAlignment="1">
      <alignment horizontal="center" vertical="center" textRotation="90" wrapText="1"/>
    </xf>
    <xf numFmtId="0" fontId="119" fillId="29" borderId="7" xfId="0" applyFont="1" applyFill="1" applyBorder="1" applyAlignment="1">
      <alignment horizontal="center" vertical="center" textRotation="90" wrapText="1"/>
    </xf>
    <xf numFmtId="0" fontId="119" fillId="29" borderId="16" xfId="0" applyFont="1" applyFill="1" applyBorder="1" applyAlignment="1">
      <alignment horizontal="center" vertical="center" textRotation="90" wrapText="1"/>
    </xf>
    <xf numFmtId="0" fontId="119" fillId="29" borderId="8" xfId="0" applyFont="1" applyFill="1" applyBorder="1" applyAlignment="1">
      <alignment horizontal="center" vertical="center" textRotation="90" wrapText="1"/>
    </xf>
    <xf numFmtId="164" fontId="94" fillId="0" borderId="0" xfId="0" applyNumberFormat="1" applyFont="1" applyAlignment="1">
      <alignment horizontal="center" vertical="center"/>
    </xf>
    <xf numFmtId="0" fontId="94" fillId="0" borderId="0" xfId="0" applyFont="1" applyAlignment="1">
      <alignment horizontal="center" vertical="center"/>
    </xf>
    <xf numFmtId="2" fontId="99" fillId="0" borderId="10" xfId="0" applyNumberFormat="1" applyFont="1" applyBorder="1" applyAlignment="1">
      <alignment horizontal="center"/>
    </xf>
    <xf numFmtId="0" fontId="99" fillId="30" borderId="10" xfId="0" applyFont="1" applyFill="1" applyBorder="1" applyAlignment="1">
      <alignment horizontal="center" vertical="center"/>
    </xf>
    <xf numFmtId="0" fontId="94" fillId="0" borderId="0" xfId="0" applyFont="1" applyAlignment="1">
      <alignment horizontal="center" vertical="center" wrapText="1"/>
    </xf>
    <xf numFmtId="0" fontId="99" fillId="0" borderId="5" xfId="0" applyFont="1" applyBorder="1" applyAlignment="1">
      <alignment horizontal="center" vertical="center"/>
    </xf>
    <xf numFmtId="0" fontId="99" fillId="0" borderId="9" xfId="0" applyFont="1" applyBorder="1" applyAlignment="1">
      <alignment horizontal="center" vertical="center"/>
    </xf>
    <xf numFmtId="0" fontId="99" fillId="0" borderId="6" xfId="0" applyFont="1" applyBorder="1" applyAlignment="1">
      <alignment horizontal="center" vertical="center"/>
    </xf>
    <xf numFmtId="0" fontId="99" fillId="0" borderId="7" xfId="0" applyFont="1" applyBorder="1" applyAlignment="1">
      <alignment horizontal="center" vertical="center"/>
    </xf>
    <xf numFmtId="0" fontId="99" fillId="0" borderId="16" xfId="0" applyFont="1" applyBorder="1" applyAlignment="1">
      <alignment horizontal="center" vertical="center"/>
    </xf>
    <xf numFmtId="0" fontId="99" fillId="0" borderId="8" xfId="0" applyFont="1" applyBorder="1" applyAlignment="1">
      <alignment horizontal="center" vertical="center"/>
    </xf>
    <xf numFmtId="0" fontId="99" fillId="0" borderId="10" xfId="0" applyFont="1" applyBorder="1" applyAlignment="1">
      <alignment horizontal="center" wrapText="1"/>
    </xf>
    <xf numFmtId="0" fontId="112" fillId="11" borderId="0" xfId="0" applyFont="1" applyFill="1" applyAlignment="1">
      <alignment horizontal="center" vertical="center"/>
    </xf>
    <xf numFmtId="0" fontId="112" fillId="11" borderId="16" xfId="0" applyFont="1" applyFill="1" applyBorder="1" applyAlignment="1">
      <alignment horizontal="center" vertical="center"/>
    </xf>
    <xf numFmtId="14" fontId="99" fillId="0" borderId="0" xfId="0" applyNumberFormat="1" applyFont="1" applyAlignment="1">
      <alignment horizontal="center"/>
    </xf>
    <xf numFmtId="167" fontId="99" fillId="0" borderId="11" xfId="0" applyNumberFormat="1" applyFont="1" applyBorder="1" applyAlignment="1">
      <alignment horizontal="center"/>
    </xf>
    <xf numFmtId="167" fontId="99" fillId="0" borderId="12" xfId="0" applyNumberFormat="1" applyFont="1" applyBorder="1" applyAlignment="1">
      <alignment horizontal="center"/>
    </xf>
    <xf numFmtId="167" fontId="99" fillId="0" borderId="13" xfId="0" applyNumberFormat="1" applyFont="1" applyBorder="1" applyAlignment="1">
      <alignment horizontal="center"/>
    </xf>
    <xf numFmtId="167" fontId="99" fillId="0" borderId="11" xfId="0" applyNumberFormat="1" applyFont="1" applyBorder="1" applyAlignment="1">
      <alignment horizontal="right"/>
    </xf>
    <xf numFmtId="167" fontId="99" fillId="0" borderId="12" xfId="0" applyNumberFormat="1" applyFont="1" applyBorder="1" applyAlignment="1">
      <alignment horizontal="right"/>
    </xf>
    <xf numFmtId="167" fontId="99" fillId="0" borderId="13" xfId="0" applyNumberFormat="1" applyFont="1" applyBorder="1" applyAlignment="1">
      <alignment horizontal="right"/>
    </xf>
    <xf numFmtId="0" fontId="99" fillId="0" borderId="0" xfId="0" applyFont="1" applyAlignment="1">
      <alignment horizontal="center"/>
    </xf>
    <xf numFmtId="165" fontId="99" fillId="30" borderId="11" xfId="0" applyNumberFormat="1" applyFont="1" applyFill="1" applyBorder="1" applyAlignment="1">
      <alignment horizontal="center"/>
    </xf>
    <xf numFmtId="165" fontId="99" fillId="30" borderId="12" xfId="0" applyNumberFormat="1" applyFont="1" applyFill="1" applyBorder="1" applyAlignment="1">
      <alignment horizontal="center"/>
    </xf>
    <xf numFmtId="165" fontId="99" fillId="30" borderId="13" xfId="0" applyNumberFormat="1" applyFont="1" applyFill="1" applyBorder="1" applyAlignment="1">
      <alignment horizontal="center"/>
    </xf>
    <xf numFmtId="1" fontId="99" fillId="7" borderId="11" xfId="0" applyNumberFormat="1" applyFont="1" applyFill="1" applyBorder="1" applyAlignment="1">
      <alignment horizontal="center"/>
    </xf>
    <xf numFmtId="1" fontId="99" fillId="7" borderId="12" xfId="0" applyNumberFormat="1" applyFont="1" applyFill="1" applyBorder="1" applyAlignment="1">
      <alignment horizontal="center"/>
    </xf>
    <xf numFmtId="1" fontId="99" fillId="7" borderId="13" xfId="0" applyNumberFormat="1" applyFont="1" applyFill="1" applyBorder="1" applyAlignment="1">
      <alignment horizontal="center"/>
    </xf>
    <xf numFmtId="1" fontId="99" fillId="2" borderId="10" xfId="0" applyNumberFormat="1" applyFont="1" applyFill="1" applyBorder="1" applyAlignment="1">
      <alignment horizontal="center"/>
    </xf>
    <xf numFmtId="0" fontId="99" fillId="0" borderId="15" xfId="0" applyFont="1" applyBorder="1" applyAlignment="1">
      <alignment horizontal="center" vertical="center" wrapText="1"/>
    </xf>
    <xf numFmtId="0" fontId="99" fillId="0" borderId="0" xfId="0" applyFont="1" applyAlignment="1">
      <alignment horizontal="center" vertical="center" wrapText="1"/>
    </xf>
    <xf numFmtId="0" fontId="99" fillId="0" borderId="14" xfId="0" applyFont="1" applyBorder="1" applyAlignment="1">
      <alignment horizontal="center" vertical="center" wrapText="1"/>
    </xf>
    <xf numFmtId="0" fontId="98" fillId="0" borderId="10" xfId="0" applyFont="1" applyBorder="1" applyAlignment="1">
      <alignment horizontal="center" vertical="center"/>
    </xf>
    <xf numFmtId="0" fontId="99" fillId="0" borderId="0" xfId="0" applyFont="1" applyAlignment="1">
      <alignment horizontal="center" vertical="center"/>
    </xf>
    <xf numFmtId="166" fontId="93" fillId="0" borderId="0" xfId="0" applyNumberFormat="1" applyFont="1" applyAlignment="1">
      <alignment horizontal="center"/>
    </xf>
    <xf numFmtId="168" fontId="94" fillId="0" borderId="10" xfId="1" applyNumberFormat="1" applyFont="1" applyFill="1" applyBorder="1" applyAlignment="1">
      <alignment horizontal="center"/>
    </xf>
    <xf numFmtId="2" fontId="94" fillId="0" borderId="0" xfId="1" applyNumberFormat="1" applyFont="1" applyBorder="1" applyAlignment="1">
      <alignment horizontal="center"/>
    </xf>
    <xf numFmtId="0" fontId="94" fillId="0" borderId="12" xfId="0" applyFont="1" applyBorder="1" applyAlignment="1">
      <alignment horizontal="center"/>
    </xf>
    <xf numFmtId="0" fontId="94" fillId="0" borderId="12" xfId="0" applyFont="1" applyBorder="1" applyAlignment="1">
      <alignment horizontal="right"/>
    </xf>
    <xf numFmtId="2" fontId="101" fillId="0" borderId="10" xfId="0" applyNumberFormat="1" applyFont="1" applyBorder="1" applyAlignment="1">
      <alignment horizontal="center" vertical="center"/>
    </xf>
    <xf numFmtId="0" fontId="102" fillId="0" borderId="0" xfId="0" applyFont="1" applyAlignment="1">
      <alignment horizontal="center" vertical="center"/>
    </xf>
    <xf numFmtId="0" fontId="94" fillId="30" borderId="10" xfId="0" applyFont="1" applyFill="1" applyBorder="1" applyAlignment="1">
      <alignment horizontal="right" vertical="center" shrinkToFit="1"/>
    </xf>
    <xf numFmtId="0" fontId="111" fillId="0" borderId="9" xfId="0" applyFont="1" applyBorder="1" applyAlignment="1">
      <alignment horizontal="center"/>
    </xf>
    <xf numFmtId="0" fontId="111" fillId="0" borderId="0" xfId="0" applyFont="1" applyAlignment="1">
      <alignment horizontal="center"/>
    </xf>
    <xf numFmtId="1" fontId="94" fillId="30" borderId="0" xfId="0" applyNumberFormat="1" applyFont="1" applyFill="1" applyAlignment="1">
      <alignment horizontal="right"/>
    </xf>
    <xf numFmtId="0" fontId="97" fillId="0" borderId="0" xfId="0" applyFont="1" applyAlignment="1">
      <alignment horizontal="center" vertical="center"/>
    </xf>
    <xf numFmtId="14" fontId="94" fillId="0" borderId="10" xfId="0" applyNumberFormat="1" applyFont="1" applyBorder="1" applyAlignment="1">
      <alignment horizontal="center" vertical="center"/>
    </xf>
    <xf numFmtId="1" fontId="99" fillId="0" borderId="10" xfId="0" applyNumberFormat="1" applyFont="1" applyBorder="1" applyAlignment="1">
      <alignment horizontal="center" vertical="center"/>
    </xf>
    <xf numFmtId="0" fontId="106" fillId="0" borderId="10" xfId="0" applyFont="1" applyBorder="1" applyAlignment="1">
      <alignment horizontal="left"/>
    </xf>
    <xf numFmtId="3" fontId="94" fillId="30" borderId="10" xfId="0" applyNumberFormat="1" applyFont="1" applyFill="1" applyBorder="1" applyAlignment="1">
      <alignment horizontal="left" vertical="center" wrapText="1"/>
    </xf>
    <xf numFmtId="0" fontId="94" fillId="30" borderId="10" xfId="0" applyFont="1" applyFill="1" applyBorder="1" applyAlignment="1">
      <alignment horizontal="left" vertical="center"/>
    </xf>
    <xf numFmtId="3" fontId="94" fillId="30" borderId="10" xfId="0" applyNumberFormat="1" applyFont="1" applyFill="1" applyBorder="1" applyAlignment="1">
      <alignment horizontal="left"/>
    </xf>
    <xf numFmtId="14" fontId="94" fillId="30" borderId="10" xfId="0" applyNumberFormat="1" applyFont="1" applyFill="1" applyBorder="1" applyAlignment="1">
      <alignment horizontal="left"/>
    </xf>
    <xf numFmtId="0" fontId="99" fillId="0" borderId="0" xfId="0" quotePrefix="1" applyFont="1" applyAlignment="1">
      <alignment horizontal="center" vertical="center"/>
    </xf>
    <xf numFmtId="0" fontId="114" fillId="0" borderId="0" xfId="0" applyFont="1" applyAlignment="1">
      <alignment horizontal="center" vertical="center"/>
    </xf>
    <xf numFmtId="0" fontId="94" fillId="0" borderId="9" xfId="0" applyFont="1" applyBorder="1" applyAlignment="1">
      <alignment horizontal="center" vertical="center"/>
    </xf>
    <xf numFmtId="0" fontId="94" fillId="0" borderId="0" xfId="0" applyFont="1" applyAlignment="1">
      <alignment horizontal="right"/>
    </xf>
    <xf numFmtId="0" fontId="94" fillId="0" borderId="2" xfId="0" applyFont="1" applyBorder="1" applyAlignment="1">
      <alignment horizontal="center"/>
    </xf>
    <xf numFmtId="0" fontId="93" fillId="28" borderId="10" xfId="0" applyFont="1" applyFill="1" applyBorder="1" applyAlignment="1">
      <alignment horizontal="center"/>
    </xf>
    <xf numFmtId="0" fontId="93" fillId="0" borderId="10" xfId="0" applyFont="1" applyBorder="1" applyAlignment="1">
      <alignment horizontal="center" vertical="center" wrapText="1"/>
    </xf>
    <xf numFmtId="0" fontId="99" fillId="30" borderId="10" xfId="0" applyFont="1" applyFill="1" applyBorder="1" applyAlignment="1">
      <alignment horizontal="center"/>
    </xf>
    <xf numFmtId="0" fontId="94" fillId="0" borderId="0" xfId="0" applyFont="1" applyAlignment="1">
      <alignment horizontal="center" wrapText="1"/>
    </xf>
    <xf numFmtId="0" fontId="107" fillId="0" borderId="0" xfId="0" applyFont="1" applyAlignment="1">
      <alignment horizontal="center" vertical="center" wrapText="1"/>
    </xf>
    <xf numFmtId="171" fontId="99" fillId="30" borderId="0" xfId="0" applyNumberFormat="1" applyFont="1" applyFill="1" applyAlignment="1">
      <alignment horizontal="center" vertical="center"/>
    </xf>
    <xf numFmtId="4" fontId="105" fillId="0" borderId="0" xfId="0" applyNumberFormat="1" applyFont="1" applyAlignment="1">
      <alignment horizontal="center" vertical="center" wrapText="1"/>
    </xf>
    <xf numFmtId="2" fontId="105" fillId="0" borderId="0" xfId="1" applyNumberFormat="1" applyFont="1" applyBorder="1" applyAlignment="1">
      <alignment horizontal="center" vertical="center"/>
    </xf>
    <xf numFmtId="167" fontId="94" fillId="0" borderId="0" xfId="0" applyNumberFormat="1" applyFont="1" applyAlignment="1">
      <alignment horizontal="center"/>
    </xf>
    <xf numFmtId="0" fontId="94" fillId="0" borderId="8" xfId="0" applyFont="1" applyBorder="1" applyAlignment="1">
      <alignment horizontal="center" vertical="center"/>
    </xf>
    <xf numFmtId="0" fontId="94" fillId="0" borderId="4" xfId="0" applyFont="1" applyBorder="1" applyAlignment="1">
      <alignment horizontal="center" vertical="center"/>
    </xf>
    <xf numFmtId="0" fontId="94" fillId="0" borderId="7" xfId="0" applyFont="1" applyBorder="1" applyAlignment="1">
      <alignment horizontal="center" vertical="center"/>
    </xf>
    <xf numFmtId="0" fontId="94" fillId="0" borderId="6" xfId="0" applyFont="1" applyBorder="1" applyAlignment="1">
      <alignment horizontal="center" vertical="center"/>
    </xf>
    <xf numFmtId="0" fontId="94" fillId="0" borderId="2" xfId="0" applyFont="1" applyBorder="1" applyAlignment="1">
      <alignment horizontal="center" vertical="center"/>
    </xf>
    <xf numFmtId="0" fontId="94" fillId="0" borderId="5" xfId="0" applyFont="1" applyBorder="1" applyAlignment="1">
      <alignment horizontal="center" vertical="center"/>
    </xf>
    <xf numFmtId="4" fontId="105" fillId="0" borderId="0" xfId="0" applyNumberFormat="1" applyFont="1" applyAlignment="1">
      <alignment horizontal="center" vertical="center"/>
    </xf>
    <xf numFmtId="4" fontId="104" fillId="0" borderId="0" xfId="0" applyNumberFormat="1" applyFont="1" applyAlignment="1">
      <alignment horizontal="center" vertical="center"/>
    </xf>
    <xf numFmtId="168" fontId="94" fillId="0" borderId="0" xfId="1" applyNumberFormat="1" applyFont="1" applyBorder="1" applyAlignment="1">
      <alignment horizontal="center"/>
    </xf>
    <xf numFmtId="167" fontId="106" fillId="0" borderId="0" xfId="0" applyNumberFormat="1" applyFont="1" applyAlignment="1">
      <alignment horizontal="center" vertical="center"/>
    </xf>
    <xf numFmtId="0" fontId="118" fillId="0" borderId="10" xfId="0" applyFont="1" applyBorder="1" applyAlignment="1">
      <alignment horizontal="center"/>
    </xf>
    <xf numFmtId="1" fontId="99" fillId="8" borderId="10" xfId="0" applyNumberFormat="1" applyFont="1" applyFill="1" applyBorder="1" applyAlignment="1">
      <alignment horizontal="center"/>
    </xf>
    <xf numFmtId="1" fontId="117" fillId="0" borderId="10" xfId="0" applyNumberFormat="1" applyFont="1" applyBorder="1" applyAlignment="1">
      <alignment horizontal="center" vertical="center"/>
    </xf>
    <xf numFmtId="0" fontId="113" fillId="30" borderId="10" xfId="3" applyFont="1" applyFill="1" applyBorder="1"/>
    <xf numFmtId="0" fontId="93" fillId="0" borderId="0" xfId="0" applyFont="1"/>
    <xf numFmtId="0" fontId="118" fillId="0" borderId="11" xfId="0" applyFont="1" applyBorder="1" applyAlignment="1">
      <alignment horizontal="center" vertical="center"/>
    </xf>
    <xf numFmtId="0" fontId="118" fillId="0" borderId="12" xfId="0" applyFont="1" applyBorder="1" applyAlignment="1">
      <alignment horizontal="center" vertical="center"/>
    </xf>
    <xf numFmtId="0" fontId="118" fillId="0" borderId="13" xfId="0" applyFont="1" applyBorder="1" applyAlignment="1">
      <alignment horizontal="center" vertical="center"/>
    </xf>
    <xf numFmtId="0" fontId="127" fillId="0" borderId="10" xfId="0" applyFont="1" applyBorder="1"/>
    <xf numFmtId="0" fontId="127" fillId="0" borderId="11" xfId="0" applyFont="1" applyBorder="1" applyAlignment="1">
      <alignment horizontal="left"/>
    </xf>
    <xf numFmtId="0" fontId="127" fillId="0" borderId="13" xfId="0" applyFont="1" applyBorder="1" applyAlignment="1">
      <alignment horizontal="left"/>
    </xf>
    <xf numFmtId="0" fontId="127" fillId="0" borderId="0" xfId="0" applyFont="1" applyAlignment="1">
      <alignment horizontal="left"/>
    </xf>
    <xf numFmtId="0" fontId="131" fillId="0" borderId="0" xfId="0" applyFont="1" applyAlignment="1">
      <alignment horizontal="right"/>
    </xf>
    <xf numFmtId="0" fontId="128" fillId="0" borderId="0" xfId="0" applyFont="1" applyAlignment="1">
      <alignment vertical="center"/>
    </xf>
    <xf numFmtId="0" fontId="126" fillId="0" borderId="0" xfId="0" applyFont="1" applyAlignment="1">
      <alignment horizontal="left" vertical="center"/>
    </xf>
    <xf numFmtId="0" fontId="137" fillId="29" borderId="10"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left"/>
    </xf>
    <xf numFmtId="1" fontId="4" fillId="0" borderId="0" xfId="0" applyNumberFormat="1" applyFont="1" applyAlignment="1">
      <alignment horizontal="center"/>
    </xf>
    <xf numFmtId="0" fontId="4" fillId="10" borderId="0" xfId="0" applyFont="1" applyFill="1" applyAlignment="1">
      <alignment horizontal="center"/>
    </xf>
    <xf numFmtId="0" fontId="4" fillId="0" borderId="22" xfId="0" applyFont="1" applyBorder="1" applyAlignment="1">
      <alignment horizontal="center"/>
    </xf>
    <xf numFmtId="0" fontId="4" fillId="0" borderId="18" xfId="0" applyFont="1" applyBorder="1" applyAlignment="1">
      <alignment horizontal="center" vertical="center" textRotation="90" wrapText="1"/>
    </xf>
    <xf numFmtId="0" fontId="4" fillId="0" borderId="14" xfId="0" applyFont="1" applyBorder="1" applyAlignment="1">
      <alignment horizontal="center" vertical="center" textRotation="90" wrapText="1"/>
    </xf>
    <xf numFmtId="0" fontId="46" fillId="0" borderId="0" xfId="0" applyFont="1" applyAlignment="1">
      <alignment horizontal="center" vertical="center"/>
    </xf>
    <xf numFmtId="0" fontId="46" fillId="0" borderId="0" xfId="0" applyFont="1" applyAlignment="1">
      <alignment horizontal="center"/>
    </xf>
    <xf numFmtId="2" fontId="4" fillId="0" borderId="0" xfId="0" applyNumberFormat="1" applyFont="1" applyAlignment="1">
      <alignment horizontal="center"/>
    </xf>
    <xf numFmtId="0" fontId="4" fillId="0" borderId="39" xfId="0" applyFont="1" applyBorder="1" applyAlignment="1">
      <alignment horizontal="left" vertical="center"/>
    </xf>
    <xf numFmtId="0" fontId="4" fillId="0" borderId="12" xfId="0" applyFont="1" applyBorder="1" applyAlignment="1">
      <alignment horizontal="left" vertical="center"/>
    </xf>
    <xf numFmtId="1" fontId="4" fillId="0" borderId="12" xfId="0" applyNumberFormat="1" applyFont="1" applyBorder="1" applyAlignment="1">
      <alignment horizontal="right"/>
    </xf>
    <xf numFmtId="0" fontId="4" fillId="0" borderId="12" xfId="0" applyFont="1" applyBorder="1" applyAlignment="1">
      <alignment horizontal="left"/>
    </xf>
    <xf numFmtId="0" fontId="4" fillId="0" borderId="40" xfId="0" applyFont="1" applyBorder="1" applyAlignment="1">
      <alignment horizontal="left"/>
    </xf>
    <xf numFmtId="0" fontId="4" fillId="0" borderId="39" xfId="0" applyFont="1" applyBorder="1" applyAlignment="1">
      <alignment horizontal="center" vertical="center"/>
    </xf>
    <xf numFmtId="0" fontId="4" fillId="0" borderId="12" xfId="0" applyFont="1" applyBorder="1" applyAlignment="1">
      <alignment horizontal="center" vertical="center"/>
    </xf>
    <xf numFmtId="0" fontId="4" fillId="0" borderId="40" xfId="0" applyFont="1" applyBorder="1" applyAlignment="1">
      <alignment horizontal="center" vertical="center"/>
    </xf>
    <xf numFmtId="0" fontId="47" fillId="0" borderId="46" xfId="0" applyFont="1" applyBorder="1" applyAlignment="1">
      <alignment horizontal="center"/>
    </xf>
    <xf numFmtId="0" fontId="47" fillId="0" borderId="54" xfId="0" applyFont="1" applyBorder="1" applyAlignment="1">
      <alignment horizontal="center"/>
    </xf>
    <xf numFmtId="0" fontId="47" fillId="0" borderId="55" xfId="0" applyFont="1" applyBorder="1" applyAlignment="1">
      <alignment horizontal="center"/>
    </xf>
    <xf numFmtId="0" fontId="47" fillId="0" borderId="24" xfId="0" applyFont="1" applyBorder="1" applyAlignment="1">
      <alignment horizontal="center"/>
    </xf>
    <xf numFmtId="0" fontId="47" fillId="0" borderId="25" xfId="0" applyFont="1" applyBorder="1" applyAlignment="1">
      <alignment horizontal="center"/>
    </xf>
    <xf numFmtId="0" fontId="47" fillId="0" borderId="26" xfId="0" applyFont="1" applyBorder="1" applyAlignment="1">
      <alignment horizontal="center"/>
    </xf>
    <xf numFmtId="0" fontId="4" fillId="0" borderId="5" xfId="0" applyFont="1" applyBorder="1" applyAlignment="1">
      <alignment horizontal="center"/>
    </xf>
    <xf numFmtId="0" fontId="4" fillId="0" borderId="9" xfId="0" applyFont="1" applyBorder="1" applyAlignment="1">
      <alignment horizontal="center"/>
    </xf>
    <xf numFmtId="0" fontId="4" fillId="0" borderId="6" xfId="0" applyFont="1" applyBorder="1" applyAlignment="1">
      <alignment horizontal="center"/>
    </xf>
    <xf numFmtId="0" fontId="4" fillId="0" borderId="15" xfId="0" applyFont="1" applyBorder="1" applyAlignment="1">
      <alignment horizontal="center"/>
    </xf>
    <xf numFmtId="0" fontId="4" fillId="0" borderId="14" xfId="0" applyFont="1" applyBorder="1" applyAlignment="1">
      <alignment horizontal="center"/>
    </xf>
    <xf numFmtId="0" fontId="4" fillId="0" borderId="7" xfId="0" applyFont="1" applyBorder="1" applyAlignment="1">
      <alignment horizontal="center"/>
    </xf>
    <xf numFmtId="0" fontId="4" fillId="0" borderId="16" xfId="0" applyFont="1" applyBorder="1" applyAlignment="1">
      <alignment horizontal="center"/>
    </xf>
    <xf numFmtId="0" fontId="4" fillId="0" borderId="8" xfId="0" applyFont="1" applyBorder="1" applyAlignment="1">
      <alignment horizontal="center"/>
    </xf>
    <xf numFmtId="2" fontId="4" fillId="0" borderId="12" xfId="0" applyNumberFormat="1" applyFont="1" applyBorder="1" applyAlignment="1">
      <alignment horizontal="right"/>
    </xf>
    <xf numFmtId="1" fontId="4" fillId="0" borderId="12" xfId="0" applyNumberFormat="1" applyFont="1" applyBorder="1" applyAlignment="1">
      <alignment horizontal="center"/>
    </xf>
    <xf numFmtId="1" fontId="4" fillId="0" borderId="40" xfId="0" applyNumberFormat="1" applyFont="1" applyBorder="1" applyAlignment="1">
      <alignment horizontal="center"/>
    </xf>
    <xf numFmtId="0" fontId="4" fillId="0" borderId="12" xfId="0" applyFont="1" applyBorder="1" applyAlignment="1">
      <alignment horizontal="center"/>
    </xf>
    <xf numFmtId="0" fontId="4" fillId="0" borderId="40" xfId="0" applyFont="1" applyBorder="1" applyAlignment="1">
      <alignment horizontal="center"/>
    </xf>
    <xf numFmtId="0" fontId="4" fillId="0" borderId="35" xfId="0" applyFont="1" applyBorder="1" applyAlignment="1">
      <alignment horizontal="left" vertical="center"/>
    </xf>
    <xf numFmtId="0" fontId="4" fillId="0" borderId="0" xfId="0" applyFont="1" applyAlignment="1">
      <alignment horizontal="left" vertical="center"/>
    </xf>
    <xf numFmtId="0" fontId="4" fillId="0" borderId="24" xfId="0" applyFont="1" applyBorder="1" applyAlignment="1">
      <alignment horizontal="left" vertical="center"/>
    </xf>
    <xf numFmtId="0" fontId="4" fillId="0" borderId="25" xfId="0" applyFont="1" applyBorder="1" applyAlignment="1">
      <alignment horizontal="left" vertical="center"/>
    </xf>
    <xf numFmtId="0" fontId="7" fillId="0" borderId="21"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7" fillId="0" borderId="35" xfId="0" applyFont="1" applyBorder="1" applyAlignment="1">
      <alignment horizontal="center" vertical="center"/>
    </xf>
    <xf numFmtId="0" fontId="7" fillId="0" borderId="0" xfId="0" applyFont="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16" xfId="0" applyFont="1" applyBorder="1" applyAlignment="1">
      <alignment horizontal="center" vertical="center"/>
    </xf>
    <xf numFmtId="0" fontId="7" fillId="0" borderId="38" xfId="0" applyFont="1" applyBorder="1" applyAlignment="1">
      <alignment horizontal="center" vertical="center"/>
    </xf>
    <xf numFmtId="0" fontId="4" fillId="0" borderId="35" xfId="0" applyFont="1" applyBorder="1" applyAlignment="1">
      <alignment horizontal="center"/>
    </xf>
    <xf numFmtId="0" fontId="4" fillId="0" borderId="25" xfId="0" applyFont="1" applyBorder="1" applyAlignment="1">
      <alignment horizontal="center"/>
    </xf>
    <xf numFmtId="0" fontId="4" fillId="0" borderId="26" xfId="0" applyFont="1" applyBorder="1" applyAlignment="1">
      <alignment horizontal="center"/>
    </xf>
    <xf numFmtId="2" fontId="4" fillId="0" borderId="0" xfId="0" applyNumberFormat="1" applyFont="1" applyAlignment="1">
      <alignment horizontal="right"/>
    </xf>
    <xf numFmtId="0" fontId="46" fillId="0" borderId="21" xfId="0" applyFont="1" applyBorder="1" applyAlignment="1">
      <alignment horizontal="center" vertical="center"/>
    </xf>
    <xf numFmtId="0" fontId="46" fillId="0" borderId="22" xfId="0" applyFont="1" applyBorder="1" applyAlignment="1">
      <alignment horizontal="center" vertical="center"/>
    </xf>
    <xf numFmtId="0" fontId="46" fillId="0" borderId="23" xfId="0" applyFont="1" applyBorder="1" applyAlignment="1">
      <alignment horizontal="center" vertical="center"/>
    </xf>
    <xf numFmtId="0" fontId="46" fillId="0" borderId="24" xfId="0" applyFont="1" applyBorder="1" applyAlignment="1">
      <alignment horizontal="center" vertical="center"/>
    </xf>
    <xf numFmtId="0" fontId="46" fillId="0" borderId="25" xfId="0" applyFont="1" applyBorder="1" applyAlignment="1">
      <alignment horizontal="center" vertical="center"/>
    </xf>
    <xf numFmtId="0" fontId="46" fillId="0" borderId="26" xfId="0" applyFont="1" applyBorder="1" applyAlignment="1">
      <alignment horizontal="center" vertical="center"/>
    </xf>
    <xf numFmtId="0" fontId="4" fillId="0" borderId="12" xfId="0" applyFont="1" applyBorder="1" applyAlignment="1">
      <alignment horizontal="right"/>
    </xf>
    <xf numFmtId="1" fontId="4" fillId="0" borderId="0" xfId="0" applyNumberFormat="1" applyFont="1" applyAlignment="1">
      <alignment horizontal="right"/>
    </xf>
    <xf numFmtId="0" fontId="4" fillId="0" borderId="36" xfId="0" applyFont="1" applyBorder="1" applyAlignment="1">
      <alignment horizontal="left"/>
    </xf>
    <xf numFmtId="0" fontId="4" fillId="0" borderId="36" xfId="0" applyFont="1" applyBorder="1" applyAlignment="1">
      <alignment horizontal="center"/>
    </xf>
    <xf numFmtId="2" fontId="4" fillId="8" borderId="0" xfId="1" applyNumberFormat="1" applyFont="1" applyFill="1" applyAlignment="1">
      <alignment horizontal="center"/>
    </xf>
    <xf numFmtId="1" fontId="4" fillId="0" borderId="0" xfId="0" quotePrefix="1" applyNumberFormat="1" applyFont="1" applyAlignment="1">
      <alignment horizontal="right"/>
    </xf>
    <xf numFmtId="0" fontId="4" fillId="0" borderId="46" xfId="0" applyFont="1" applyBorder="1" applyAlignment="1">
      <alignment horizontal="center" vertical="center"/>
    </xf>
    <xf numFmtId="0" fontId="4" fillId="0" borderId="54" xfId="0" applyFont="1" applyBorder="1" applyAlignment="1">
      <alignment horizontal="center" vertical="center"/>
    </xf>
    <xf numFmtId="0" fontId="4" fillId="0" borderId="55" xfId="0" applyFont="1" applyBorder="1" applyAlignment="1">
      <alignment horizontal="center" vertical="center"/>
    </xf>
    <xf numFmtId="0" fontId="2" fillId="0" borderId="35" xfId="0" applyFont="1" applyBorder="1" applyAlignment="1">
      <alignment horizontal="center" vertical="center"/>
    </xf>
    <xf numFmtId="0" fontId="2" fillId="0" borderId="0" xfId="0" applyFont="1" applyAlignment="1">
      <alignment horizontal="center" vertical="center"/>
    </xf>
    <xf numFmtId="0" fontId="2" fillId="0" borderId="36" xfId="0" applyFont="1" applyBorder="1" applyAlignment="1">
      <alignment horizontal="center" vertical="center"/>
    </xf>
    <xf numFmtId="0" fontId="2" fillId="0" borderId="24"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52" fillId="0" borderId="0" xfId="0" applyFont="1" applyAlignment="1">
      <alignment horizontal="center" vertical="center"/>
    </xf>
    <xf numFmtId="0" fontId="4" fillId="0" borderId="35" xfId="0" applyFont="1" applyBorder="1" applyAlignment="1">
      <alignment horizontal="center" vertical="center" wrapText="1"/>
    </xf>
    <xf numFmtId="0" fontId="4" fillId="0" borderId="0" xfId="0" applyFont="1" applyAlignment="1">
      <alignment horizontal="center" vertical="center" wrapText="1"/>
    </xf>
    <xf numFmtId="0" fontId="4" fillId="0" borderId="24" xfId="0" applyFont="1" applyBorder="1" applyAlignment="1">
      <alignment horizontal="center" vertical="center" wrapText="1"/>
    </xf>
    <xf numFmtId="0" fontId="4" fillId="0" borderId="25" xfId="0" applyFont="1" applyBorder="1" applyAlignment="1">
      <alignment horizontal="center" vertical="center" wrapText="1"/>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25" xfId="0" applyFont="1" applyBorder="1" applyAlignment="1">
      <alignment horizontal="center" vertical="center"/>
    </xf>
    <xf numFmtId="0" fontId="4" fillId="0" borderId="26" xfId="0" applyFont="1" applyBorder="1" applyAlignment="1">
      <alignment horizontal="center" vertical="center"/>
    </xf>
    <xf numFmtId="0" fontId="4" fillId="0" borderId="21" xfId="0" applyFont="1" applyBorder="1" applyAlignment="1">
      <alignment horizontal="center" vertical="center"/>
    </xf>
    <xf numFmtId="0" fontId="4" fillId="0" borderId="24" xfId="0" applyFont="1" applyBorder="1" applyAlignment="1">
      <alignment horizontal="center" vertical="center"/>
    </xf>
    <xf numFmtId="14" fontId="2" fillId="0" borderId="0" xfId="0" applyNumberFormat="1" applyFont="1" applyAlignment="1">
      <alignment horizontal="center" vertical="center"/>
    </xf>
    <xf numFmtId="0" fontId="4" fillId="0" borderId="5" xfId="0" applyFont="1" applyBorder="1" applyAlignment="1">
      <alignment horizontal="center" vertical="center" wrapText="1"/>
    </xf>
    <xf numFmtId="0" fontId="4" fillId="0" borderId="9"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1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6" xfId="0" applyFont="1" applyBorder="1" applyAlignment="1">
      <alignment horizontal="right"/>
    </xf>
    <xf numFmtId="0" fontId="4" fillId="0" borderId="16" xfId="0" applyFont="1" applyBorder="1" applyAlignment="1">
      <alignment horizontal="left"/>
    </xf>
    <xf numFmtId="0" fontId="4" fillId="0" borderId="35" xfId="0" applyFont="1" applyBorder="1" applyAlignment="1">
      <alignment horizontal="left"/>
    </xf>
    <xf numFmtId="0" fontId="48" fillId="0" borderId="46" xfId="2" applyFont="1" applyBorder="1" applyAlignment="1">
      <alignment horizontal="center"/>
    </xf>
    <xf numFmtId="0" fontId="48" fillId="0" borderId="54" xfId="2" applyFont="1" applyBorder="1" applyAlignment="1">
      <alignment horizontal="center"/>
    </xf>
    <xf numFmtId="0" fontId="48" fillId="0" borderId="55" xfId="2" applyFont="1" applyBorder="1" applyAlignment="1">
      <alignment horizontal="center"/>
    </xf>
    <xf numFmtId="3" fontId="3" fillId="0" borderId="46" xfId="0" applyNumberFormat="1" applyFont="1" applyBorder="1" applyAlignment="1">
      <alignment horizontal="center" vertical="center"/>
    </xf>
    <xf numFmtId="3" fontId="3" fillId="0" borderId="54" xfId="0" applyNumberFormat="1" applyFont="1" applyBorder="1" applyAlignment="1">
      <alignment horizontal="center" vertical="center"/>
    </xf>
    <xf numFmtId="3" fontId="3" fillId="0" borderId="55" xfId="0" applyNumberFormat="1" applyFont="1" applyBorder="1" applyAlignment="1">
      <alignment horizontal="center" vertical="center"/>
    </xf>
    <xf numFmtId="0" fontId="3" fillId="0" borderId="21"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0" xfId="0" applyFont="1" applyAlignment="1">
      <alignment horizontal="center" vertical="center" wrapText="1"/>
    </xf>
    <xf numFmtId="0" fontId="3" fillId="0" borderId="36"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26" xfId="0" applyFont="1" applyBorder="1" applyAlignment="1">
      <alignment horizontal="center" vertical="center" wrapText="1"/>
    </xf>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2" fontId="4" fillId="0" borderId="0" xfId="0" applyNumberFormat="1" applyFont="1"/>
    <xf numFmtId="0" fontId="9" fillId="10" borderId="0" xfId="0" applyFont="1" applyFill="1" applyAlignment="1">
      <alignment horizontal="center" vertical="center"/>
    </xf>
    <xf numFmtId="0" fontId="9" fillId="10" borderId="14" xfId="0" applyFont="1" applyFill="1" applyBorder="1" applyAlignment="1">
      <alignment horizontal="center" vertical="center"/>
    </xf>
    <xf numFmtId="0" fontId="9" fillId="6" borderId="0" xfId="0" applyFont="1" applyFill="1" applyAlignment="1">
      <alignment horizontal="center" vertical="center"/>
    </xf>
    <xf numFmtId="0" fontId="9" fillId="6" borderId="25" xfId="0" applyFont="1" applyFill="1" applyBorder="1" applyAlignment="1">
      <alignment horizontal="center" vertical="center"/>
    </xf>
    <xf numFmtId="0" fontId="7" fillId="0" borderId="35" xfId="0" applyFont="1" applyBorder="1" applyAlignment="1">
      <alignment horizontal="left" vertical="top"/>
    </xf>
    <xf numFmtId="0" fontId="7" fillId="0" borderId="0" xfId="0" applyFont="1" applyAlignment="1">
      <alignment horizontal="left" vertical="top"/>
    </xf>
    <xf numFmtId="0" fontId="7" fillId="0" borderId="36" xfId="0" applyFont="1" applyBorder="1" applyAlignment="1">
      <alignment horizontal="left" vertical="top"/>
    </xf>
    <xf numFmtId="49" fontId="7" fillId="0" borderId="0" xfId="0" applyNumberFormat="1" applyFont="1" applyAlignment="1">
      <alignment horizontal="left"/>
    </xf>
    <xf numFmtId="0" fontId="7" fillId="0" borderId="0" xfId="0" quotePrefix="1" applyFont="1" applyAlignment="1">
      <alignment horizontal="left"/>
    </xf>
    <xf numFmtId="0" fontId="7" fillId="0" borderId="0" xfId="0" quotePrefix="1" applyFont="1" applyAlignment="1">
      <alignment horizontal="left" vertical="top" wrapText="1"/>
    </xf>
    <xf numFmtId="0" fontId="7" fillId="0" borderId="0" xfId="0" applyFont="1" applyAlignment="1">
      <alignment horizontal="center"/>
    </xf>
    <xf numFmtId="0" fontId="2" fillId="0" borderId="35" xfId="0" applyFont="1" applyBorder="1" applyAlignment="1">
      <alignment horizontal="left" vertical="top"/>
    </xf>
    <xf numFmtId="0" fontId="2" fillId="0" borderId="0" xfId="0" applyFont="1" applyAlignment="1">
      <alignment horizontal="left" vertical="top"/>
    </xf>
    <xf numFmtId="3" fontId="7" fillId="0" borderId="0" xfId="0" applyNumberFormat="1" applyFont="1" applyAlignment="1">
      <alignment horizontal="left" vertical="top"/>
    </xf>
    <xf numFmtId="0" fontId="7" fillId="0" borderId="35" xfId="0" applyFont="1" applyBorder="1" applyAlignment="1">
      <alignment horizontal="center"/>
    </xf>
    <xf numFmtId="0" fontId="7" fillId="0" borderId="19" xfId="0" applyFont="1" applyBorder="1" applyAlignment="1">
      <alignment horizontal="center"/>
    </xf>
    <xf numFmtId="0" fontId="0" fillId="0" borderId="35" xfId="0" applyBorder="1" applyAlignment="1">
      <alignment horizontal="left"/>
    </xf>
    <xf numFmtId="0" fontId="0" fillId="0" borderId="0" xfId="0" applyAlignment="1">
      <alignment horizontal="left"/>
    </xf>
    <xf numFmtId="0" fontId="7" fillId="0" borderId="0" xfId="0" applyFont="1" applyAlignment="1">
      <alignment horizontal="left"/>
    </xf>
    <xf numFmtId="0" fontId="7" fillId="0" borderId="36" xfId="0" applyFont="1" applyBorder="1" applyAlignment="1">
      <alignment horizontal="left"/>
    </xf>
    <xf numFmtId="0" fontId="7" fillId="0" borderId="35" xfId="0" applyFont="1" applyBorder="1" applyAlignment="1">
      <alignment horizontal="left" wrapText="1"/>
    </xf>
    <xf numFmtId="0" fontId="7" fillId="0" borderId="0" xfId="0" applyFont="1" applyAlignment="1">
      <alignment horizontal="left" wrapText="1"/>
    </xf>
    <xf numFmtId="0" fontId="7" fillId="0" borderId="36" xfId="0" applyFont="1" applyBorder="1" applyAlignment="1">
      <alignment horizontal="left" wrapText="1"/>
    </xf>
    <xf numFmtId="0" fontId="7" fillId="0" borderId="35" xfId="0" applyFont="1" applyBorder="1" applyAlignment="1">
      <alignment horizontal="left" vertical="top" wrapText="1"/>
    </xf>
    <xf numFmtId="0" fontId="7" fillId="0" borderId="0" xfId="0" applyFont="1" applyAlignment="1">
      <alignment horizontal="left" vertical="top" wrapText="1"/>
    </xf>
    <xf numFmtId="0" fontId="7" fillId="0" borderId="36" xfId="0" applyFont="1" applyBorder="1" applyAlignment="1">
      <alignment horizontal="left" vertical="top" wrapText="1"/>
    </xf>
    <xf numFmtId="0" fontId="7" fillId="0" borderId="35" xfId="0" applyFont="1" applyBorder="1" applyAlignment="1">
      <alignment horizontal="left"/>
    </xf>
    <xf numFmtId="2" fontId="6" fillId="0" borderId="0" xfId="0" applyNumberFormat="1" applyFont="1" applyAlignment="1">
      <alignment horizontal="center" vertical="center"/>
    </xf>
    <xf numFmtId="0" fontId="7" fillId="0" borderId="0" xfId="0" applyFont="1" applyAlignment="1">
      <alignment horizontal="center" vertical="center" wrapText="1"/>
    </xf>
    <xf numFmtId="0" fontId="7" fillId="0" borderId="36" xfId="0" applyFont="1" applyBorder="1" applyAlignment="1">
      <alignment horizontal="center" vertical="center" wrapText="1"/>
    </xf>
    <xf numFmtId="3" fontId="7" fillId="0" borderId="0" xfId="0" applyNumberFormat="1" applyFont="1" applyAlignment="1">
      <alignment horizontal="center"/>
    </xf>
    <xf numFmtId="14" fontId="7" fillId="0" borderId="0" xfId="0" applyNumberFormat="1" applyFont="1" applyAlignment="1">
      <alignment horizontal="center"/>
    </xf>
    <xf numFmtId="1" fontId="7" fillId="0" borderId="0" xfId="0" applyNumberFormat="1" applyFont="1" applyAlignment="1">
      <alignment horizontal="right"/>
    </xf>
    <xf numFmtId="0" fontId="7" fillId="0" borderId="21"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5" xfId="0" applyFont="1" applyBorder="1" applyAlignment="1">
      <alignment horizontal="center" vertical="top" wrapText="1"/>
    </xf>
    <xf numFmtId="0" fontId="7" fillId="0" borderId="0" xfId="0" applyFont="1" applyAlignment="1">
      <alignment horizontal="center" vertical="top" wrapText="1"/>
    </xf>
    <xf numFmtId="0" fontId="7" fillId="0" borderId="36" xfId="0" applyFont="1" applyBorder="1" applyAlignment="1">
      <alignment horizontal="center" vertical="top" wrapText="1"/>
    </xf>
    <xf numFmtId="165" fontId="6" fillId="0" borderId="19" xfId="0" applyNumberFormat="1" applyFont="1" applyBorder="1" applyAlignment="1">
      <alignment horizontal="center" vertical="center"/>
    </xf>
    <xf numFmtId="0" fontId="6" fillId="0" borderId="19" xfId="0" applyFont="1" applyBorder="1" applyAlignment="1">
      <alignment horizontal="center" vertical="center"/>
    </xf>
    <xf numFmtId="0" fontId="0" fillId="0" borderId="35" xfId="0" applyBorder="1" applyAlignment="1">
      <alignment horizontal="center"/>
    </xf>
    <xf numFmtId="0" fontId="0" fillId="0" borderId="0" xfId="0" applyAlignment="1">
      <alignment horizontal="center"/>
    </xf>
    <xf numFmtId="3" fontId="7" fillId="0" borderId="0" xfId="0" applyNumberFormat="1" applyFont="1" applyAlignment="1">
      <alignment horizontal="left"/>
    </xf>
    <xf numFmtId="0" fontId="7" fillId="0" borderId="14" xfId="0" quotePrefix="1" applyFont="1" applyBorder="1" applyAlignment="1">
      <alignment horizontal="left" vertical="top" wrapText="1"/>
    </xf>
    <xf numFmtId="0" fontId="6" fillId="0" borderId="0" xfId="0" applyFont="1" applyAlignment="1">
      <alignment horizontal="center" vertical="center"/>
    </xf>
    <xf numFmtId="0" fontId="7" fillId="0" borderId="14" xfId="0" applyFont="1" applyBorder="1" applyAlignment="1">
      <alignment horizontal="left" wrapText="1"/>
    </xf>
    <xf numFmtId="0" fontId="0" fillId="0" borderId="15" xfId="0" applyBorder="1" applyAlignment="1">
      <alignment horizontal="left" vertical="top" wrapText="1"/>
    </xf>
    <xf numFmtId="0" fontId="0" fillId="0" borderId="0" xfId="0"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wrapText="1"/>
    </xf>
    <xf numFmtId="0" fontId="0" fillId="0" borderId="0" xfId="0" applyAlignment="1">
      <alignment horizontal="left" wrapText="1"/>
    </xf>
    <xf numFmtId="0" fontId="0" fillId="0" borderId="14" xfId="0" applyBorder="1" applyAlignment="1">
      <alignment horizontal="left" wrapText="1"/>
    </xf>
    <xf numFmtId="2" fontId="7" fillId="0" borderId="19" xfId="0" applyNumberFormat="1" applyFont="1" applyBorder="1" applyAlignment="1">
      <alignment horizontal="center"/>
    </xf>
    <xf numFmtId="0" fontId="7" fillId="0" borderId="0" xfId="0" quotePrefix="1" applyFont="1" applyAlignment="1">
      <alignment horizontal="right"/>
    </xf>
    <xf numFmtId="0" fontId="7" fillId="0" borderId="14" xfId="0" applyFont="1" applyBorder="1" applyAlignment="1">
      <alignment horizontal="center" vertical="center"/>
    </xf>
    <xf numFmtId="0" fontId="7" fillId="0" borderId="1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9"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4" xfId="0" applyFont="1" applyBorder="1" applyAlignment="1">
      <alignment horizontal="left"/>
    </xf>
    <xf numFmtId="0" fontId="2" fillId="0" borderId="0" xfId="0" applyFont="1" applyAlignment="1">
      <alignment horizontal="center"/>
    </xf>
    <xf numFmtId="0" fontId="44" fillId="13" borderId="9" xfId="0" applyFont="1" applyFill="1" applyBorder="1" applyAlignment="1">
      <alignment horizontal="left" vertical="center" wrapText="1"/>
    </xf>
    <xf numFmtId="0" fontId="44" fillId="13" borderId="6" xfId="0" applyFont="1" applyFill="1" applyBorder="1" applyAlignment="1">
      <alignment horizontal="left" vertical="center" wrapText="1"/>
    </xf>
    <xf numFmtId="0" fontId="44" fillId="13" borderId="16" xfId="0" applyFont="1" applyFill="1" applyBorder="1" applyAlignment="1">
      <alignment horizontal="left" vertical="center" wrapText="1"/>
    </xf>
    <xf numFmtId="0" fontId="44" fillId="13" borderId="8" xfId="0" applyFont="1" applyFill="1" applyBorder="1" applyAlignment="1">
      <alignment horizontal="left" vertical="center" wrapText="1"/>
    </xf>
    <xf numFmtId="0" fontId="33" fillId="0" borderId="12" xfId="0" applyFont="1" applyBorder="1" applyAlignment="1">
      <alignment horizontal="left"/>
    </xf>
    <xf numFmtId="0" fontId="33" fillId="0" borderId="13" xfId="0" applyFont="1" applyBorder="1" applyAlignment="1">
      <alignment horizontal="left"/>
    </xf>
    <xf numFmtId="0" fontId="7" fillId="0" borderId="10" xfId="0" applyFont="1" applyBorder="1" applyAlignment="1">
      <alignment horizontal="left"/>
    </xf>
    <xf numFmtId="0" fontId="7" fillId="0" borderId="5" xfId="0" applyFont="1" applyBorder="1" applyAlignment="1">
      <alignment horizontal="center"/>
    </xf>
    <xf numFmtId="0" fontId="7" fillId="0" borderId="9" xfId="0" applyFont="1" applyBorder="1" applyAlignment="1">
      <alignment horizontal="center"/>
    </xf>
    <xf numFmtId="0" fontId="7" fillId="0" borderId="6" xfId="0" applyFont="1" applyBorder="1" applyAlignment="1">
      <alignment horizontal="center"/>
    </xf>
    <xf numFmtId="0" fontId="44" fillId="13" borderId="5" xfId="0" applyFont="1" applyFill="1" applyBorder="1" applyAlignment="1">
      <alignment horizontal="left" vertical="center" wrapText="1"/>
    </xf>
    <xf numFmtId="0" fontId="44" fillId="13" borderId="7" xfId="0" applyFont="1" applyFill="1" applyBorder="1" applyAlignment="1">
      <alignment horizontal="left" vertical="center" wrapText="1"/>
    </xf>
    <xf numFmtId="0" fontId="33" fillId="0" borderId="7" xfId="0" applyFont="1" applyBorder="1" applyAlignment="1">
      <alignment horizontal="left"/>
    </xf>
    <xf numFmtId="0" fontId="33" fillId="0" borderId="16" xfId="0" applyFont="1" applyBorder="1" applyAlignment="1">
      <alignment horizontal="left"/>
    </xf>
    <xf numFmtId="0" fontId="33" fillId="0" borderId="8" xfId="0" applyFont="1" applyBorder="1" applyAlignment="1">
      <alignment horizontal="left"/>
    </xf>
    <xf numFmtId="0" fontId="33" fillId="0" borderId="11" xfId="0" applyFont="1" applyBorder="1" applyAlignment="1">
      <alignment horizontal="left"/>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7" xfId="0" applyFont="1" applyBorder="1" applyAlignment="1">
      <alignment horizontal="center" vertical="center"/>
    </xf>
    <xf numFmtId="0" fontId="7" fillId="0" borderId="8" xfId="0" applyFont="1" applyBorder="1" applyAlignment="1">
      <alignment horizontal="center" vertical="center"/>
    </xf>
    <xf numFmtId="0" fontId="7" fillId="0" borderId="15" xfId="0" applyFont="1" applyBorder="1" applyAlignment="1">
      <alignment horizontal="center" vertical="center"/>
    </xf>
    <xf numFmtId="0" fontId="36" fillId="0" borderId="0" xfId="0" applyFont="1" applyAlignment="1">
      <alignment horizontal="center" vertical="center"/>
    </xf>
    <xf numFmtId="165" fontId="7" fillId="0" borderId="11" xfId="0" applyNumberFormat="1" applyFont="1" applyBorder="1" applyAlignment="1">
      <alignment horizontal="center"/>
    </xf>
    <xf numFmtId="165" fontId="7" fillId="0" borderId="12" xfId="0" applyNumberFormat="1" applyFont="1" applyBorder="1" applyAlignment="1">
      <alignment horizontal="center"/>
    </xf>
    <xf numFmtId="165" fontId="7" fillId="0" borderId="13" xfId="0" applyNumberFormat="1" applyFont="1" applyBorder="1" applyAlignment="1">
      <alignment horizontal="center"/>
    </xf>
    <xf numFmtId="0" fontId="7" fillId="0" borderId="10" xfId="0" applyFont="1" applyBorder="1" applyAlignment="1">
      <alignment horizontal="center"/>
    </xf>
    <xf numFmtId="2" fontId="0" fillId="0" borderId="19" xfId="0" applyNumberFormat="1" applyBorder="1" applyAlignment="1">
      <alignment horizontal="center"/>
    </xf>
    <xf numFmtId="0" fontId="0" fillId="0" borderId="19" xfId="0" applyBorder="1" applyAlignment="1">
      <alignment horizontal="center"/>
    </xf>
    <xf numFmtId="0" fontId="7" fillId="14" borderId="11" xfId="0" applyFont="1" applyFill="1" applyBorder="1" applyAlignment="1">
      <alignment horizontal="center"/>
    </xf>
    <xf numFmtId="0" fontId="7" fillId="14" borderId="13" xfId="0" applyFont="1" applyFill="1" applyBorder="1" applyAlignment="1">
      <alignment horizontal="center"/>
    </xf>
    <xf numFmtId="165" fontId="7" fillId="0" borderId="5" xfId="0" applyNumberFormat="1" applyFont="1" applyBorder="1" applyAlignment="1">
      <alignment horizontal="center"/>
    </xf>
    <xf numFmtId="165" fontId="7" fillId="0" borderId="9" xfId="0" applyNumberFormat="1" applyFont="1" applyBorder="1" applyAlignment="1">
      <alignment horizontal="center"/>
    </xf>
    <xf numFmtId="165" fontId="7" fillId="0" borderId="6" xfId="0" applyNumberFormat="1" applyFont="1" applyBorder="1" applyAlignment="1">
      <alignment horizontal="center"/>
    </xf>
    <xf numFmtId="165" fontId="7" fillId="0" borderId="7" xfId="0" applyNumberFormat="1" applyFont="1" applyBorder="1" applyAlignment="1">
      <alignment horizontal="center"/>
    </xf>
    <xf numFmtId="165" fontId="7" fillId="0" borderId="16" xfId="0" applyNumberFormat="1" applyFont="1" applyBorder="1" applyAlignment="1">
      <alignment horizontal="center"/>
    </xf>
    <xf numFmtId="165" fontId="7" fillId="0" borderId="8" xfId="0" applyNumberFormat="1" applyFont="1" applyBorder="1" applyAlignment="1">
      <alignment horizontal="center"/>
    </xf>
    <xf numFmtId="0" fontId="7" fillId="0" borderId="11" xfId="0" applyFont="1" applyBorder="1" applyAlignment="1">
      <alignment horizontal="left"/>
    </xf>
    <xf numFmtId="0" fontId="7" fillId="0" borderId="12" xfId="0" applyFont="1" applyBorder="1" applyAlignment="1">
      <alignment horizontal="left"/>
    </xf>
    <xf numFmtId="0" fontId="7" fillId="0" borderId="13" xfId="0" applyFont="1" applyBorder="1" applyAlignment="1">
      <alignment horizontal="left"/>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2" xfId="0" applyFont="1" applyBorder="1" applyAlignment="1">
      <alignment horizontal="center"/>
    </xf>
    <xf numFmtId="0" fontId="7" fillId="0" borderId="13" xfId="0" applyFont="1" applyBorder="1" applyAlignment="1">
      <alignment horizontal="center"/>
    </xf>
    <xf numFmtId="0" fontId="40" fillId="13" borderId="43" xfId="0" applyFont="1" applyFill="1" applyBorder="1" applyAlignment="1">
      <alignment vertical="center" wrapText="1"/>
    </xf>
    <xf numFmtId="0" fontId="40" fillId="13" borderId="44" xfId="0" applyFont="1" applyFill="1" applyBorder="1" applyAlignment="1">
      <alignment vertical="center" wrapText="1"/>
    </xf>
    <xf numFmtId="0" fontId="40" fillId="13" borderId="45" xfId="0" applyFont="1" applyFill="1" applyBorder="1" applyAlignment="1">
      <alignment vertical="center" wrapText="1"/>
    </xf>
    <xf numFmtId="0" fontId="41" fillId="13" borderId="43" xfId="0" applyFont="1" applyFill="1" applyBorder="1" applyAlignment="1">
      <alignment horizontal="right" vertical="center" wrapText="1"/>
    </xf>
    <xf numFmtId="0" fontId="41" fillId="13" borderId="44" xfId="0" applyFont="1" applyFill="1" applyBorder="1" applyAlignment="1">
      <alignment horizontal="right" vertical="center" wrapText="1"/>
    </xf>
    <xf numFmtId="0" fontId="41" fillId="13" borderId="45" xfId="0" applyFont="1" applyFill="1" applyBorder="1" applyAlignment="1">
      <alignment horizontal="right" vertical="center" wrapText="1"/>
    </xf>
    <xf numFmtId="0" fontId="38" fillId="13" borderId="21" xfId="0" applyFont="1" applyFill="1" applyBorder="1" applyAlignment="1">
      <alignment vertical="center" wrapText="1"/>
    </xf>
    <xf numFmtId="0" fontId="38" fillId="13" borderId="35" xfId="0" applyFont="1" applyFill="1" applyBorder="1" applyAlignment="1">
      <alignment vertical="center" wrapText="1"/>
    </xf>
    <xf numFmtId="0" fontId="38" fillId="13" borderId="24" xfId="0" applyFont="1" applyFill="1" applyBorder="1" applyAlignment="1">
      <alignment vertical="center" wrapText="1"/>
    </xf>
    <xf numFmtId="165" fontId="7" fillId="0" borderId="10" xfId="0" applyNumberFormat="1" applyFont="1" applyBorder="1" applyAlignment="1">
      <alignment horizontal="center"/>
    </xf>
    <xf numFmtId="165" fontId="7" fillId="14" borderId="10" xfId="0" applyNumberFormat="1" applyFont="1" applyFill="1" applyBorder="1" applyAlignment="1">
      <alignment horizontal="center"/>
    </xf>
    <xf numFmtId="172" fontId="7" fillId="0" borderId="17" xfId="0" applyNumberFormat="1" applyFont="1" applyBorder="1" applyAlignment="1">
      <alignment horizontal="center"/>
    </xf>
    <xf numFmtId="172" fontId="7" fillId="0" borderId="41" xfId="0" applyNumberFormat="1" applyFont="1" applyBorder="1" applyAlignment="1">
      <alignment horizontal="center"/>
    </xf>
    <xf numFmtId="9" fontId="0" fillId="0" borderId="0" xfId="0" applyNumberFormat="1" applyAlignment="1">
      <alignment horizontal="center"/>
    </xf>
    <xf numFmtId="0" fontId="7" fillId="0" borderId="7" xfId="0" applyFont="1" applyBorder="1" applyAlignment="1">
      <alignment horizontal="center"/>
    </xf>
    <xf numFmtId="0" fontId="7" fillId="0" borderId="16" xfId="0" applyFont="1" applyBorder="1" applyAlignment="1">
      <alignment horizontal="center"/>
    </xf>
    <xf numFmtId="0" fontId="7" fillId="0" borderId="8" xfId="0" applyFont="1" applyBorder="1" applyAlignment="1">
      <alignment horizontal="center"/>
    </xf>
    <xf numFmtId="0" fontId="7" fillId="0" borderId="11" xfId="0" applyFont="1" applyBorder="1" applyAlignment="1">
      <alignment horizontal="center"/>
    </xf>
    <xf numFmtId="2" fontId="7" fillId="0" borderId="0" xfId="0" applyNumberFormat="1" applyFont="1" applyAlignment="1">
      <alignment horizontal="center" vertical="center"/>
    </xf>
    <xf numFmtId="0" fontId="2" fillId="0" borderId="35" xfId="0" applyFont="1" applyBorder="1" applyAlignment="1">
      <alignment horizontal="center"/>
    </xf>
    <xf numFmtId="0" fontId="7" fillId="0" borderId="0" xfId="0" quotePrefix="1" applyFont="1" applyAlignment="1">
      <alignment horizontal="left" vertical="top"/>
    </xf>
    <xf numFmtId="0" fontId="7" fillId="0" borderId="0" xfId="0" quotePrefix="1" applyFont="1" applyAlignment="1">
      <alignment horizontal="left" vertic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20" borderId="11" xfId="0" applyFill="1" applyBorder="1" applyAlignment="1">
      <alignment horizontal="center"/>
    </xf>
    <xf numFmtId="0" fontId="0" fillId="20" borderId="12" xfId="0" applyFill="1" applyBorder="1" applyAlignment="1">
      <alignment horizontal="center"/>
    </xf>
    <xf numFmtId="0" fontId="0" fillId="20" borderId="13" xfId="0" applyFill="1" applyBorder="1" applyAlignment="1">
      <alignment horizontal="center"/>
    </xf>
    <xf numFmtId="0" fontId="0" fillId="11" borderId="10" xfId="0" applyFill="1" applyBorder="1" applyAlignment="1">
      <alignment horizontal="center" textRotation="90"/>
    </xf>
    <xf numFmtId="0" fontId="0" fillId="0" borderId="10" xfId="0" applyBorder="1" applyAlignment="1">
      <alignment horizontal="center" wrapText="1"/>
    </xf>
    <xf numFmtId="0" fontId="0" fillId="0" borderId="10" xfId="0" applyBorder="1" applyAlignment="1">
      <alignment horizontal="center"/>
    </xf>
    <xf numFmtId="0" fontId="0" fillId="0" borderId="10" xfId="0" applyBorder="1" applyAlignment="1">
      <alignment horizontal="center" vertical="center" textRotation="90"/>
    </xf>
    <xf numFmtId="0" fontId="0" fillId="0" borderId="10" xfId="0" applyBorder="1" applyAlignment="1">
      <alignment horizontal="center" textRotation="90"/>
    </xf>
    <xf numFmtId="0" fontId="71" fillId="0" borderId="11" xfId="0" applyFont="1" applyBorder="1" applyAlignment="1">
      <alignment horizontal="center"/>
    </xf>
    <xf numFmtId="0" fontId="71" fillId="0" borderId="12" xfId="0" applyFont="1" applyBorder="1" applyAlignment="1">
      <alignment horizontal="center"/>
    </xf>
    <xf numFmtId="0" fontId="71" fillId="0" borderId="13" xfId="0" applyFont="1" applyBorder="1" applyAlignment="1">
      <alignment horizontal="center"/>
    </xf>
    <xf numFmtId="0" fontId="71" fillId="20" borderId="11" xfId="0" applyFont="1" applyFill="1" applyBorder="1" applyAlignment="1">
      <alignment horizontal="center"/>
    </xf>
    <xf numFmtId="0" fontId="71" fillId="20" borderId="12" xfId="0" applyFont="1" applyFill="1" applyBorder="1" applyAlignment="1">
      <alignment horizontal="center"/>
    </xf>
    <xf numFmtId="0" fontId="71" fillId="20" borderId="13" xfId="0" applyFont="1" applyFill="1" applyBorder="1" applyAlignment="1">
      <alignment horizontal="center"/>
    </xf>
    <xf numFmtId="1" fontId="0" fillId="0" borderId="0" xfId="0" applyNumberFormat="1" applyAlignment="1">
      <alignment horizontal="center"/>
    </xf>
    <xf numFmtId="0" fontId="7" fillId="4" borderId="90" xfId="0" applyFont="1" applyFill="1" applyBorder="1" applyAlignment="1">
      <alignment horizontal="center"/>
    </xf>
    <xf numFmtId="0" fontId="7" fillId="4" borderId="4" xfId="0" applyFont="1" applyFill="1" applyBorder="1" applyAlignment="1">
      <alignment horizontal="center"/>
    </xf>
    <xf numFmtId="0" fontId="7" fillId="4" borderId="79" xfId="0" applyFont="1" applyFill="1" applyBorder="1" applyAlignment="1">
      <alignment horizontal="center"/>
    </xf>
    <xf numFmtId="0" fontId="7" fillId="4" borderId="10" xfId="0" applyFont="1" applyFill="1" applyBorder="1" applyAlignment="1">
      <alignment horizontal="center"/>
    </xf>
    <xf numFmtId="0" fontId="3" fillId="4" borderId="21" xfId="0" applyFont="1" applyFill="1" applyBorder="1" applyAlignment="1">
      <alignment horizontal="center" vertical="center" wrapText="1"/>
    </xf>
    <xf numFmtId="0" fontId="3" fillId="4" borderId="22" xfId="0" applyFont="1" applyFill="1" applyBorder="1" applyAlignment="1">
      <alignment horizontal="center" vertical="center" wrapText="1"/>
    </xf>
    <xf numFmtId="0" fontId="3" fillId="4" borderId="24" xfId="0" applyFont="1" applyFill="1" applyBorder="1" applyAlignment="1">
      <alignment horizontal="center" vertical="center" wrapText="1"/>
    </xf>
    <xf numFmtId="0" fontId="3" fillId="4" borderId="25"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37" xfId="0" applyBorder="1" applyAlignment="1">
      <alignment horizontal="center"/>
    </xf>
    <xf numFmtId="0" fontId="0" fillId="0" borderId="38" xfId="0" applyBorder="1" applyAlignment="1">
      <alignment horizontal="center"/>
    </xf>
    <xf numFmtId="0" fontId="74" fillId="4" borderId="92" xfId="0" applyFont="1" applyFill="1" applyBorder="1" applyAlignment="1">
      <alignment horizontal="center" vertical="center"/>
    </xf>
    <xf numFmtId="0" fontId="74" fillId="4" borderId="81" xfId="0" applyFont="1" applyFill="1" applyBorder="1" applyAlignment="1">
      <alignment horizontal="center" vertical="center"/>
    </xf>
    <xf numFmtId="0" fontId="0" fillId="4" borderId="72" xfId="0" applyFill="1" applyBorder="1" applyAlignment="1">
      <alignment horizontal="center" vertical="center"/>
    </xf>
    <xf numFmtId="0" fontId="0" fillId="4" borderId="87" xfId="0" applyFill="1" applyBorder="1" applyAlignment="1">
      <alignment horizontal="center" vertical="center"/>
    </xf>
    <xf numFmtId="0" fontId="0" fillId="4" borderId="78" xfId="0" applyFill="1" applyBorder="1" applyAlignment="1">
      <alignment horizontal="center" vertical="center"/>
    </xf>
    <xf numFmtId="0" fontId="0" fillId="4" borderId="66" xfId="0" applyFill="1" applyBorder="1" applyAlignment="1">
      <alignment horizontal="center" vertical="center"/>
    </xf>
    <xf numFmtId="0" fontId="0" fillId="4" borderId="75" xfId="0" applyFill="1" applyBorder="1" applyAlignment="1">
      <alignment horizontal="center" vertical="center"/>
    </xf>
    <xf numFmtId="0" fontId="0" fillId="4" borderId="76" xfId="0" applyFill="1" applyBorder="1" applyAlignment="1">
      <alignment horizontal="center" vertical="center"/>
    </xf>
    <xf numFmtId="0" fontId="0" fillId="0" borderId="90" xfId="0" applyBorder="1" applyAlignment="1">
      <alignment horizontal="center"/>
    </xf>
    <xf numFmtId="0" fontId="0" fillId="0" borderId="4" xfId="0" applyBorder="1" applyAlignment="1">
      <alignment horizontal="center"/>
    </xf>
    <xf numFmtId="0" fontId="0" fillId="0" borderId="82" xfId="0" applyBorder="1" applyAlignment="1">
      <alignment horizontal="center"/>
    </xf>
    <xf numFmtId="0" fontId="0" fillId="0" borderId="79" xfId="0" applyBorder="1" applyAlignment="1">
      <alignment horizontal="center"/>
    </xf>
    <xf numFmtId="0" fontId="0" fillId="0" borderId="80" xfId="0" applyBorder="1" applyAlignment="1">
      <alignment horizontal="center"/>
    </xf>
    <xf numFmtId="0" fontId="4" fillId="4" borderId="72" xfId="0" applyFont="1" applyFill="1" applyBorder="1" applyAlignment="1">
      <alignment horizontal="center"/>
    </xf>
    <xf numFmtId="0" fontId="4" fillId="4" borderId="78" xfId="0" applyFont="1" applyFill="1" applyBorder="1" applyAlignment="1">
      <alignment horizontal="center"/>
    </xf>
    <xf numFmtId="0" fontId="2" fillId="4" borderId="72"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2" fillId="4" borderId="66" xfId="0" applyFont="1" applyFill="1" applyBorder="1" applyAlignment="1">
      <alignment horizontal="center" vertical="center" wrapText="1"/>
    </xf>
    <xf numFmtId="0" fontId="2" fillId="4" borderId="75" xfId="0" applyFont="1" applyFill="1" applyBorder="1" applyAlignment="1">
      <alignment horizontal="center" vertical="center" wrapText="1"/>
    </xf>
    <xf numFmtId="0" fontId="7" fillId="4" borderId="82" xfId="0" applyFont="1" applyFill="1" applyBorder="1" applyAlignment="1">
      <alignment horizontal="center"/>
    </xf>
    <xf numFmtId="0" fontId="7" fillId="4" borderId="72" xfId="0" applyFont="1" applyFill="1" applyBorder="1" applyAlignment="1">
      <alignment horizontal="center" vertical="center" wrapText="1"/>
    </xf>
    <xf numFmtId="0" fontId="7" fillId="4" borderId="87" xfId="0" applyFont="1" applyFill="1" applyBorder="1" applyAlignment="1">
      <alignment horizontal="center" vertical="center" wrapText="1"/>
    </xf>
    <xf numFmtId="0" fontId="7" fillId="4" borderId="78" xfId="0" applyFont="1" applyFill="1" applyBorder="1" applyAlignment="1">
      <alignment horizontal="center" vertical="center" wrapText="1"/>
    </xf>
    <xf numFmtId="0" fontId="7" fillId="4" borderId="66" xfId="0" applyFont="1" applyFill="1" applyBorder="1" applyAlignment="1">
      <alignment horizontal="center" vertical="center" wrapText="1"/>
    </xf>
    <xf numFmtId="0" fontId="7" fillId="4" borderId="75" xfId="0" applyFont="1" applyFill="1" applyBorder="1" applyAlignment="1">
      <alignment horizontal="center" vertical="center" wrapText="1"/>
    </xf>
    <xf numFmtId="0" fontId="7" fillId="4" borderId="76" xfId="0" applyFont="1" applyFill="1" applyBorder="1" applyAlignment="1">
      <alignment horizontal="center" vertical="center" wrapText="1"/>
    </xf>
    <xf numFmtId="0" fontId="0" fillId="0" borderId="39" xfId="0" applyBorder="1" applyAlignment="1">
      <alignment horizontal="center"/>
    </xf>
    <xf numFmtId="0" fontId="0" fillId="0" borderId="40" xfId="0" applyBorder="1" applyAlignment="1">
      <alignment horizontal="center"/>
    </xf>
    <xf numFmtId="0" fontId="45" fillId="0" borderId="0" xfId="0" applyFont="1" applyAlignment="1">
      <alignment horizontal="center"/>
    </xf>
    <xf numFmtId="0" fontId="0" fillId="0" borderId="0" xfId="0" applyAlignment="1">
      <alignment horizontal="left" vertical="center"/>
    </xf>
    <xf numFmtId="0" fontId="5" fillId="0" borderId="0" xfId="0" applyFont="1" applyAlignment="1">
      <alignment horizontal="left"/>
    </xf>
    <xf numFmtId="0" fontId="5" fillId="0" borderId="0" xfId="0" applyFont="1" applyAlignment="1">
      <alignment horizontal="center"/>
    </xf>
    <xf numFmtId="0" fontId="0" fillId="0" borderId="0" xfId="0" applyAlignment="1">
      <alignment horizontal="center" vertical="center"/>
    </xf>
    <xf numFmtId="14" fontId="77" fillId="0" borderId="0" xfId="0" applyNumberFormat="1" applyFont="1" applyAlignment="1">
      <alignment horizontal="center"/>
    </xf>
    <xf numFmtId="0" fontId="77" fillId="0" borderId="0" xfId="0" applyFont="1" applyAlignment="1">
      <alignment horizontal="center"/>
    </xf>
    <xf numFmtId="0" fontId="7" fillId="4" borderId="80" xfId="0" applyFont="1" applyFill="1" applyBorder="1" applyAlignment="1">
      <alignment horizontal="center"/>
    </xf>
    <xf numFmtId="0" fontId="0" fillId="4" borderId="90" xfId="0" applyFill="1" applyBorder="1" applyAlignment="1">
      <alignment horizontal="center"/>
    </xf>
    <xf numFmtId="0" fontId="0" fillId="4" borderId="4" xfId="0" applyFill="1" applyBorder="1" applyAlignment="1">
      <alignment horizontal="center"/>
    </xf>
    <xf numFmtId="0" fontId="0" fillId="4" borderId="7" xfId="0" applyFill="1" applyBorder="1" applyAlignment="1">
      <alignment horizontal="center"/>
    </xf>
    <xf numFmtId="0" fontId="7" fillId="4" borderId="66" xfId="0" applyFont="1" applyFill="1" applyBorder="1" applyAlignment="1">
      <alignment horizontal="center"/>
    </xf>
    <xf numFmtId="0" fontId="7" fillId="4" borderId="75" xfId="0" applyFont="1" applyFill="1" applyBorder="1" applyAlignment="1">
      <alignment horizontal="center"/>
    </xf>
    <xf numFmtId="0" fontId="7" fillId="4" borderId="76" xfId="0" applyFont="1" applyFill="1" applyBorder="1" applyAlignment="1">
      <alignment horizontal="center"/>
    </xf>
    <xf numFmtId="0" fontId="7" fillId="4" borderId="73" xfId="0" applyFont="1" applyFill="1" applyBorder="1" applyAlignment="1">
      <alignment horizontal="center" vertical="center" wrapText="1"/>
    </xf>
    <xf numFmtId="0" fontId="7" fillId="4" borderId="88" xfId="0" applyFont="1" applyFill="1" applyBorder="1" applyAlignment="1">
      <alignment horizontal="center" vertical="center" wrapText="1"/>
    </xf>
    <xf numFmtId="0" fontId="0" fillId="0" borderId="83" xfId="0" applyBorder="1" applyAlignment="1">
      <alignment horizontal="center"/>
    </xf>
    <xf numFmtId="0" fontId="0" fillId="0" borderId="86" xfId="0" applyBorder="1" applyAlignment="1">
      <alignment horizontal="center"/>
    </xf>
    <xf numFmtId="0" fontId="0" fillId="0" borderId="84" xfId="0" applyBorder="1" applyAlignment="1">
      <alignment horizontal="center"/>
    </xf>
    <xf numFmtId="0" fontId="0" fillId="0" borderId="88" xfId="0" applyBorder="1" applyAlignment="1">
      <alignment horizontal="center"/>
    </xf>
    <xf numFmtId="0" fontId="0" fillId="4" borderId="79"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0" fillId="4" borderId="66" xfId="0" applyFill="1" applyBorder="1" applyAlignment="1">
      <alignment horizontal="center"/>
    </xf>
    <xf numFmtId="0" fontId="0" fillId="4" borderId="75" xfId="0" applyFill="1" applyBorder="1" applyAlignment="1">
      <alignment horizontal="center"/>
    </xf>
    <xf numFmtId="0" fontId="0" fillId="4" borderId="88" xfId="0" applyFill="1" applyBorder="1" applyAlignment="1">
      <alignment horizontal="center"/>
    </xf>
    <xf numFmtId="0" fontId="0" fillId="0" borderId="66" xfId="0" applyBorder="1" applyAlignment="1">
      <alignment horizontal="center"/>
    </xf>
    <xf numFmtId="0" fontId="0" fillId="0" borderId="75" xfId="0" applyBorder="1" applyAlignment="1">
      <alignment horizontal="center"/>
    </xf>
    <xf numFmtId="0" fontId="0" fillId="4" borderId="77" xfId="0" applyFill="1" applyBorder="1" applyAlignment="1">
      <alignment horizontal="center" vertical="center"/>
    </xf>
    <xf numFmtId="0" fontId="0" fillId="4" borderId="73" xfId="0" applyFill="1" applyBorder="1" applyAlignment="1">
      <alignment horizontal="center" vertical="center"/>
    </xf>
    <xf numFmtId="0" fontId="0" fillId="4" borderId="84" xfId="0" applyFill="1" applyBorder="1" applyAlignment="1">
      <alignment horizontal="center" vertical="center"/>
    </xf>
    <xf numFmtId="0" fontId="0" fillId="4" borderId="88" xfId="0" applyFill="1" applyBorder="1" applyAlignment="1">
      <alignment horizontal="center" vertical="center"/>
    </xf>
    <xf numFmtId="0" fontId="0" fillId="0" borderId="8" xfId="0" applyBorder="1" applyAlignment="1">
      <alignment horizontal="center"/>
    </xf>
    <xf numFmtId="0" fontId="0" fillId="0" borderId="7" xfId="0" applyBorder="1" applyAlignment="1">
      <alignment horizontal="center"/>
    </xf>
    <xf numFmtId="0" fontId="2" fillId="4" borderId="91" xfId="0" applyFont="1" applyFill="1" applyBorder="1" applyAlignment="1">
      <alignment horizontal="center" vertical="center" wrapText="1"/>
    </xf>
    <xf numFmtId="0" fontId="2" fillId="4" borderId="71" xfId="0" applyFont="1" applyFill="1" applyBorder="1" applyAlignment="1">
      <alignment horizontal="center" vertical="center" wrapText="1"/>
    </xf>
    <xf numFmtId="0" fontId="2" fillId="4" borderId="74" xfId="0" applyFont="1" applyFill="1" applyBorder="1" applyAlignment="1">
      <alignment horizontal="center" vertical="center" wrapText="1"/>
    </xf>
    <xf numFmtId="0" fontId="2" fillId="4" borderId="88"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3"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4" xfId="0" applyFont="1" applyFill="1" applyBorder="1" applyAlignment="1">
      <alignment horizontal="center" vertical="center" wrapText="1"/>
    </xf>
    <xf numFmtId="0" fontId="0" fillId="0" borderId="76" xfId="0" applyBorder="1" applyAlignment="1">
      <alignment horizontal="center"/>
    </xf>
    <xf numFmtId="0" fontId="2" fillId="4" borderId="21" xfId="0" applyFont="1" applyFill="1" applyBorder="1" applyAlignment="1">
      <alignment horizontal="center" vertical="center" wrapText="1"/>
    </xf>
    <xf numFmtId="0" fontId="2" fillId="4" borderId="23" xfId="0" applyFont="1" applyFill="1" applyBorder="1" applyAlignment="1">
      <alignment horizontal="center" vertical="center" wrapText="1"/>
    </xf>
    <xf numFmtId="0" fontId="2" fillId="4" borderId="24" xfId="0" applyFont="1" applyFill="1" applyBorder="1" applyAlignment="1">
      <alignment horizontal="center" vertical="center" wrapText="1"/>
    </xf>
    <xf numFmtId="0" fontId="2" fillId="4" borderId="26" xfId="0" applyFont="1" applyFill="1" applyBorder="1" applyAlignment="1">
      <alignment horizontal="center" vertical="center" wrapText="1"/>
    </xf>
    <xf numFmtId="1" fontId="0" fillId="0" borderId="2" xfId="0" applyNumberFormat="1" applyBorder="1" applyAlignment="1">
      <alignment horizontal="center" vertical="center" textRotation="90"/>
    </xf>
    <xf numFmtId="1" fontId="0" fillId="0" borderId="3" xfId="0" applyNumberFormat="1" applyBorder="1" applyAlignment="1">
      <alignment horizontal="center" vertical="center" textRotation="90"/>
    </xf>
    <xf numFmtId="1" fontId="0" fillId="0" borderId="4" xfId="0" applyNumberFormat="1" applyBorder="1" applyAlignment="1">
      <alignment horizontal="center" vertical="center" textRotation="90"/>
    </xf>
    <xf numFmtId="0" fontId="7" fillId="4" borderId="11" xfId="0" applyFont="1" applyFill="1" applyBorder="1" applyAlignment="1">
      <alignment horizontal="center"/>
    </xf>
    <xf numFmtId="0" fontId="7" fillId="4" borderId="88" xfId="0" applyFont="1" applyFill="1" applyBorder="1" applyAlignment="1">
      <alignment horizontal="center"/>
    </xf>
    <xf numFmtId="0" fontId="0" fillId="11" borderId="2" xfId="0" applyFill="1" applyBorder="1" applyAlignment="1">
      <alignment horizontal="center" textRotation="90"/>
    </xf>
    <xf numFmtId="0" fontId="0" fillId="11" borderId="3" xfId="0" applyFill="1" applyBorder="1" applyAlignment="1">
      <alignment horizontal="center" textRotation="90"/>
    </xf>
    <xf numFmtId="0" fontId="0" fillId="11" borderId="4" xfId="0" applyFill="1" applyBorder="1" applyAlignment="1">
      <alignment horizontal="center" textRotation="90"/>
    </xf>
    <xf numFmtId="0" fontId="0" fillId="0" borderId="5" xfId="0" applyBorder="1" applyAlignment="1">
      <alignment horizontal="center" wrapText="1"/>
    </xf>
    <xf numFmtId="0" fontId="0" fillId="0" borderId="9" xfId="0" applyBorder="1" applyAlignment="1">
      <alignment horizontal="center" wrapText="1"/>
    </xf>
    <xf numFmtId="0" fontId="0" fillId="0" borderId="6" xfId="0" applyBorder="1" applyAlignment="1">
      <alignment horizontal="center" wrapText="1"/>
    </xf>
    <xf numFmtId="0" fontId="0" fillId="0" borderId="15" xfId="0" applyBorder="1" applyAlignment="1">
      <alignment horizontal="center" wrapText="1"/>
    </xf>
    <xf numFmtId="0" fontId="0" fillId="0" borderId="0" xfId="0" applyAlignment="1">
      <alignment horizontal="center" wrapText="1"/>
    </xf>
    <xf numFmtId="0" fontId="0" fillId="0" borderId="14" xfId="0" applyBorder="1" applyAlignment="1">
      <alignment horizontal="center" wrapText="1"/>
    </xf>
    <xf numFmtId="0" fontId="0" fillId="0" borderId="7" xfId="0" applyBorder="1" applyAlignment="1">
      <alignment horizontal="center" wrapText="1"/>
    </xf>
    <xf numFmtId="0" fontId="0" fillId="0" borderId="16" xfId="0" applyBorder="1" applyAlignment="1">
      <alignment horizontal="center" wrapText="1"/>
    </xf>
    <xf numFmtId="0" fontId="0" fillId="0" borderId="8" xfId="0" applyBorder="1" applyAlignment="1">
      <alignment horizontal="center" wrapText="1"/>
    </xf>
    <xf numFmtId="0" fontId="0" fillId="0" borderId="5" xfId="0" applyBorder="1" applyAlignment="1">
      <alignment horizontal="center"/>
    </xf>
    <xf numFmtId="0" fontId="0" fillId="0" borderId="9" xfId="0" applyBorder="1" applyAlignment="1">
      <alignment horizontal="center"/>
    </xf>
    <xf numFmtId="0" fontId="0" fillId="0" borderId="6"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0" fillId="0" borderId="16" xfId="0" applyBorder="1" applyAlignment="1">
      <alignment horizontal="center"/>
    </xf>
    <xf numFmtId="0" fontId="0" fillId="0" borderId="2" xfId="0" applyBorder="1" applyAlignment="1">
      <alignment horizontal="center" vertical="center" textRotation="90"/>
    </xf>
    <xf numFmtId="0" fontId="0" fillId="0" borderId="3" xfId="0" applyBorder="1" applyAlignment="1">
      <alignment horizontal="center" vertical="center" textRotation="90"/>
    </xf>
    <xf numFmtId="0" fontId="0" fillId="0" borderId="4" xfId="0" applyBorder="1" applyAlignment="1">
      <alignment horizontal="center" vertical="center" textRotation="90"/>
    </xf>
    <xf numFmtId="0" fontId="3" fillId="4" borderId="72" xfId="0" applyFont="1" applyFill="1" applyBorder="1" applyAlignment="1">
      <alignment horizontal="center" vertical="center" wrapText="1"/>
    </xf>
    <xf numFmtId="0" fontId="3" fillId="4" borderId="78" xfId="0" applyFont="1" applyFill="1" applyBorder="1" applyAlignment="1">
      <alignment horizontal="center" vertical="center" wrapText="1"/>
    </xf>
    <xf numFmtId="0" fontId="3" fillId="4" borderId="66" xfId="0" applyFont="1" applyFill="1" applyBorder="1" applyAlignment="1">
      <alignment horizontal="center" vertical="center" wrapText="1"/>
    </xf>
    <xf numFmtId="0" fontId="3" fillId="4" borderId="76" xfId="0" applyFont="1" applyFill="1" applyBorder="1" applyAlignment="1">
      <alignment horizontal="center" vertical="center" wrapText="1"/>
    </xf>
    <xf numFmtId="0" fontId="73" fillId="4" borderId="72" xfId="0" applyFont="1" applyFill="1" applyBorder="1" applyAlignment="1">
      <alignment horizontal="center" vertical="center"/>
    </xf>
    <xf numFmtId="0" fontId="73" fillId="4" borderId="78" xfId="0" applyFont="1" applyFill="1" applyBorder="1" applyAlignment="1">
      <alignment horizontal="center" vertical="center"/>
    </xf>
    <xf numFmtId="0" fontId="2" fillId="4" borderId="96" xfId="0" applyFont="1" applyFill="1" applyBorder="1" applyAlignment="1">
      <alignment horizontal="center" vertical="center" wrapText="1"/>
    </xf>
    <xf numFmtId="0" fontId="2" fillId="4" borderId="65" xfId="0" applyFont="1" applyFill="1" applyBorder="1" applyAlignment="1">
      <alignment horizontal="center" vertical="center" wrapText="1"/>
    </xf>
    <xf numFmtId="0" fontId="7" fillId="4" borderId="7" xfId="0" applyFont="1" applyFill="1" applyBorder="1" applyAlignment="1">
      <alignment horizontal="center"/>
    </xf>
    <xf numFmtId="1" fontId="7" fillId="4" borderId="79" xfId="0" applyNumberFormat="1" applyFont="1" applyFill="1" applyBorder="1" applyAlignment="1">
      <alignment horizontal="center"/>
    </xf>
    <xf numFmtId="1" fontId="7" fillId="4" borderId="10" xfId="0" applyNumberFormat="1" applyFont="1" applyFill="1" applyBorder="1" applyAlignment="1">
      <alignment horizontal="center"/>
    </xf>
    <xf numFmtId="0" fontId="7" fillId="0" borderId="90" xfId="0" applyFont="1" applyBorder="1" applyAlignment="1">
      <alignment horizontal="center"/>
    </xf>
    <xf numFmtId="0" fontId="7" fillId="0" borderId="82" xfId="0" applyFont="1" applyBorder="1" applyAlignment="1">
      <alignment horizontal="center"/>
    </xf>
    <xf numFmtId="0" fontId="7" fillId="0" borderId="79" xfId="0" applyFont="1" applyBorder="1" applyAlignment="1">
      <alignment horizontal="center"/>
    </xf>
    <xf numFmtId="0" fontId="7" fillId="0" borderId="80" xfId="0" applyFont="1" applyBorder="1" applyAlignment="1">
      <alignment horizontal="center"/>
    </xf>
    <xf numFmtId="0" fontId="7" fillId="0" borderId="66" xfId="0" applyFont="1" applyBorder="1" applyAlignment="1">
      <alignment horizontal="center"/>
    </xf>
    <xf numFmtId="0" fontId="7" fillId="0" borderId="76" xfId="0" applyFont="1" applyBorder="1" applyAlignment="1">
      <alignment horizontal="center"/>
    </xf>
    <xf numFmtId="0" fontId="0" fillId="0" borderId="2" xfId="0" applyBorder="1" applyAlignment="1">
      <alignment horizontal="center" textRotation="90"/>
    </xf>
    <xf numFmtId="0" fontId="0" fillId="0" borderId="3" xfId="0" applyBorder="1" applyAlignment="1">
      <alignment horizontal="center" textRotation="90"/>
    </xf>
    <xf numFmtId="0" fontId="0" fillId="0" borderId="4" xfId="0" applyBorder="1" applyAlignment="1">
      <alignment horizontal="center" textRotation="90"/>
    </xf>
    <xf numFmtId="0" fontId="17" fillId="0" borderId="0" xfId="0" applyFont="1" applyAlignment="1">
      <alignment horizontal="center"/>
    </xf>
    <xf numFmtId="0" fontId="17" fillId="0" borderId="16" xfId="0" applyFont="1" applyBorder="1" applyAlignment="1">
      <alignment horizontal="center"/>
    </xf>
    <xf numFmtId="3" fontId="0" fillId="0" borderId="0" xfId="0" applyNumberFormat="1" applyAlignment="1">
      <alignment horizontal="center"/>
    </xf>
    <xf numFmtId="0" fontId="7" fillId="4" borderId="39" xfId="0" applyFont="1" applyFill="1" applyBorder="1" applyAlignment="1">
      <alignment horizontal="center"/>
    </xf>
    <xf numFmtId="0" fontId="7" fillId="4" borderId="12" xfId="0" applyFont="1" applyFill="1" applyBorder="1" applyAlignment="1">
      <alignment horizontal="center"/>
    </xf>
    <xf numFmtId="0" fontId="7" fillId="4" borderId="40" xfId="0" applyFont="1" applyFill="1" applyBorder="1" applyAlignment="1">
      <alignment horizontal="center"/>
    </xf>
    <xf numFmtId="1" fontId="7" fillId="4" borderId="39" xfId="0" applyNumberFormat="1" applyFont="1" applyFill="1" applyBorder="1" applyAlignment="1">
      <alignment horizontal="center"/>
    </xf>
    <xf numFmtId="1" fontId="7" fillId="4" borderId="13" xfId="0" applyNumberFormat="1" applyFont="1" applyFill="1" applyBorder="1" applyAlignment="1">
      <alignment horizontal="center"/>
    </xf>
    <xf numFmtId="0" fontId="0" fillId="0" borderId="85" xfId="0" applyBorder="1" applyAlignment="1">
      <alignment horizontal="center"/>
    </xf>
    <xf numFmtId="0" fontId="7" fillId="0" borderId="2" xfId="0" applyFont="1" applyBorder="1" applyAlignment="1">
      <alignment horizontal="center"/>
    </xf>
    <xf numFmtId="0" fontId="7" fillId="0" borderId="99" xfId="0" applyFont="1" applyBorder="1" applyAlignment="1">
      <alignment horizontal="center"/>
    </xf>
    <xf numFmtId="0" fontId="51" fillId="0" borderId="72" xfId="0" applyFont="1" applyBorder="1" applyAlignment="1">
      <alignment horizontal="center"/>
    </xf>
    <xf numFmtId="0" fontId="51" fillId="0" borderId="87" xfId="0" applyFont="1" applyBorder="1" applyAlignment="1">
      <alignment horizontal="center"/>
    </xf>
    <xf numFmtId="0" fontId="51" fillId="0" borderId="78" xfId="0" applyFont="1" applyBorder="1" applyAlignment="1">
      <alignment horizontal="center"/>
    </xf>
    <xf numFmtId="0" fontId="7" fillId="3" borderId="10" xfId="0" applyFont="1" applyFill="1" applyBorder="1" applyAlignment="1">
      <alignment horizontal="center"/>
    </xf>
    <xf numFmtId="0" fontId="7" fillId="18" borderId="10" xfId="0" applyFont="1" applyFill="1" applyBorder="1" applyAlignment="1">
      <alignment horizontal="center"/>
    </xf>
    <xf numFmtId="0" fontId="7" fillId="3" borderId="21" xfId="0" applyFont="1" applyFill="1" applyBorder="1" applyAlignment="1">
      <alignment horizontal="left" vertical="center"/>
    </xf>
    <xf numFmtId="0" fontId="7" fillId="3" borderId="24" xfId="0" applyFont="1" applyFill="1" applyBorder="1" applyAlignment="1">
      <alignment horizontal="left" vertical="center"/>
    </xf>
    <xf numFmtId="0" fontId="7" fillId="3" borderId="21" xfId="0" applyFont="1" applyFill="1" applyBorder="1" applyAlignment="1">
      <alignment horizontal="left" vertical="center" wrapText="1"/>
    </xf>
    <xf numFmtId="0" fontId="7" fillId="3" borderId="24" xfId="0" applyFont="1" applyFill="1" applyBorder="1" applyAlignment="1">
      <alignment horizontal="left" vertical="center" wrapText="1"/>
    </xf>
    <xf numFmtId="0" fontId="7" fillId="3" borderId="8" xfId="0" applyFont="1" applyFill="1" applyBorder="1" applyAlignment="1">
      <alignment horizontal="center"/>
    </xf>
    <xf numFmtId="0" fontId="7" fillId="3" borderId="4" xfId="0" applyFont="1" applyFill="1" applyBorder="1" applyAlignment="1">
      <alignment horizontal="center"/>
    </xf>
    <xf numFmtId="0" fontId="7" fillId="3" borderId="11" xfId="0" applyFont="1" applyFill="1" applyBorder="1" applyAlignment="1">
      <alignment horizontal="center"/>
    </xf>
    <xf numFmtId="0" fontId="7" fillId="3" borderId="13" xfId="0" applyFont="1" applyFill="1" applyBorder="1" applyAlignment="1">
      <alignment horizontal="center"/>
    </xf>
    <xf numFmtId="0" fontId="7" fillId="3" borderId="96" xfId="0" applyFont="1" applyFill="1" applyBorder="1" applyAlignment="1">
      <alignment horizontal="left" vertical="center"/>
    </xf>
    <xf numFmtId="0" fontId="7" fillId="3" borderId="97" xfId="0" applyFont="1" applyFill="1" applyBorder="1" applyAlignment="1">
      <alignment horizontal="left" vertical="center"/>
    </xf>
    <xf numFmtId="0" fontId="7" fillId="3" borderId="65" xfId="0" applyFont="1" applyFill="1" applyBorder="1" applyAlignment="1">
      <alignment horizontal="left" vertical="center"/>
    </xf>
    <xf numFmtId="0" fontId="7" fillId="3" borderId="12" xfId="0" applyFont="1" applyFill="1" applyBorder="1" applyAlignment="1">
      <alignment horizontal="center"/>
    </xf>
    <xf numFmtId="0" fontId="70" fillId="0" borderId="10" xfId="0" applyFont="1" applyBorder="1" applyAlignment="1">
      <alignment horizontal="center"/>
    </xf>
    <xf numFmtId="0" fontId="7" fillId="3" borderId="43" xfId="0" applyFont="1" applyFill="1" applyBorder="1" applyAlignment="1">
      <alignment horizontal="left" vertical="center"/>
    </xf>
    <xf numFmtId="0" fontId="7" fillId="3" borderId="44" xfId="0" applyFont="1" applyFill="1" applyBorder="1" applyAlignment="1">
      <alignment horizontal="left" vertical="center"/>
    </xf>
    <xf numFmtId="0" fontId="7" fillId="0" borderId="68" xfId="0" applyFont="1" applyBorder="1" applyAlignment="1">
      <alignment horizontal="center"/>
    </xf>
    <xf numFmtId="0" fontId="7" fillId="0" borderId="102" xfId="0" applyFont="1" applyBorder="1" applyAlignment="1">
      <alignment horizontal="center"/>
    </xf>
    <xf numFmtId="0" fontId="7" fillId="0" borderId="93" xfId="0" applyFont="1" applyBorder="1" applyAlignment="1">
      <alignment horizontal="center"/>
    </xf>
    <xf numFmtId="0" fontId="7" fillId="0" borderId="4" xfId="0" applyFont="1" applyBorder="1" applyAlignment="1">
      <alignment horizontal="center"/>
    </xf>
    <xf numFmtId="0" fontId="7" fillId="0" borderId="101" xfId="0" applyFont="1" applyBorder="1" applyAlignment="1">
      <alignment horizontal="center"/>
    </xf>
    <xf numFmtId="0" fontId="51" fillId="0" borderId="46" xfId="0" applyFont="1" applyBorder="1" applyAlignment="1">
      <alignment horizontal="center"/>
    </xf>
    <xf numFmtId="0" fontId="51" fillId="0" borderId="22" xfId="0" applyFont="1" applyBorder="1" applyAlignment="1">
      <alignment horizontal="center"/>
    </xf>
    <xf numFmtId="0" fontId="51" fillId="0" borderId="23" xfId="0" applyFont="1" applyBorder="1" applyAlignment="1">
      <alignment horizontal="center"/>
    </xf>
    <xf numFmtId="0" fontId="7" fillId="0" borderId="68" xfId="0" applyFont="1" applyBorder="1"/>
    <xf numFmtId="0" fontId="7" fillId="0" borderId="102" xfId="0" applyFont="1" applyBorder="1"/>
    <xf numFmtId="0" fontId="7" fillId="0" borderId="93" xfId="0" applyFont="1" applyBorder="1"/>
    <xf numFmtId="0" fontId="7" fillId="0" borderId="15" xfId="0" applyFont="1" applyBorder="1" applyAlignment="1">
      <alignment horizontal="center"/>
    </xf>
    <xf numFmtId="0" fontId="7" fillId="0" borderId="14" xfId="0" applyFont="1" applyBorder="1" applyAlignment="1">
      <alignment horizontal="center"/>
    </xf>
    <xf numFmtId="0" fontId="7" fillId="3" borderId="39" xfId="0" applyFont="1" applyFill="1" applyBorder="1" applyAlignment="1">
      <alignment horizontal="center"/>
    </xf>
    <xf numFmtId="0" fontId="0" fillId="0" borderId="62" xfId="0" applyBorder="1" applyAlignment="1">
      <alignment horizontal="center" vertical="center"/>
    </xf>
    <xf numFmtId="0" fontId="0" fillId="0" borderId="26" xfId="0" applyBorder="1" applyAlignment="1">
      <alignment horizontal="center" vertical="center"/>
    </xf>
    <xf numFmtId="1" fontId="0" fillId="0" borderId="24" xfId="0" applyNumberFormat="1" applyBorder="1" applyAlignment="1">
      <alignment horizontal="center" wrapText="1"/>
    </xf>
    <xf numFmtId="1" fontId="0" fillId="0" borderId="25" xfId="0" applyNumberFormat="1" applyBorder="1" applyAlignment="1">
      <alignment horizontal="center" wrapText="1"/>
    </xf>
    <xf numFmtId="1" fontId="0" fillId="0" borderId="35" xfId="0" applyNumberFormat="1" applyBorder="1" applyAlignment="1">
      <alignment horizontal="center"/>
    </xf>
    <xf numFmtId="1" fontId="0" fillId="0" borderId="62" xfId="0" applyNumberFormat="1" applyBorder="1" applyAlignment="1">
      <alignment horizontal="center" vertical="center"/>
    </xf>
    <xf numFmtId="0" fontId="0" fillId="0" borderId="57" xfId="0" applyBorder="1" applyAlignment="1">
      <alignment horizontal="center" vertical="center"/>
    </xf>
    <xf numFmtId="0" fontId="45" fillId="0" borderId="60"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45" fillId="0" borderId="7" xfId="0" applyFont="1" applyBorder="1" applyAlignment="1">
      <alignment horizontal="center" vertical="center"/>
    </xf>
    <xf numFmtId="0" fontId="45" fillId="0" borderId="16" xfId="0" applyFont="1" applyBorder="1" applyAlignment="1">
      <alignment horizontal="center" vertical="center"/>
    </xf>
    <xf numFmtId="0" fontId="45" fillId="0" borderId="38" xfId="0" applyFont="1" applyBorder="1" applyAlignment="1">
      <alignment horizontal="center" vertical="center"/>
    </xf>
    <xf numFmtId="0" fontId="0" fillId="0" borderId="63" xfId="0" applyBorder="1" applyAlignment="1">
      <alignment horizontal="center"/>
    </xf>
    <xf numFmtId="0" fontId="0" fillId="0" borderId="25"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59" xfId="0" applyBorder="1" applyAlignment="1">
      <alignment horizontal="center"/>
    </xf>
    <xf numFmtId="0" fontId="45" fillId="0" borderId="35" xfId="0" applyFont="1" applyBorder="1" applyAlignment="1">
      <alignment horizontal="center"/>
    </xf>
    <xf numFmtId="0" fontId="45" fillId="0" borderId="36" xfId="0" applyFont="1" applyBorder="1" applyAlignment="1">
      <alignment horizontal="center"/>
    </xf>
    <xf numFmtId="0" fontId="0" fillId="0" borderId="36" xfId="0" applyBorder="1" applyAlignment="1">
      <alignment horizontal="center"/>
    </xf>
    <xf numFmtId="0" fontId="0" fillId="0" borderId="58" xfId="0" applyBorder="1" applyAlignment="1">
      <alignment horizontal="center"/>
    </xf>
    <xf numFmtId="0" fontId="0" fillId="0" borderId="56" xfId="0" applyBorder="1" applyAlignment="1">
      <alignment horizont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61" xfId="0" applyBorder="1" applyAlignment="1">
      <alignment horizontal="center" vertical="center"/>
    </xf>
    <xf numFmtId="0" fontId="0" fillId="0" borderId="56" xfId="0" applyBorder="1" applyAlignment="1">
      <alignment horizontal="center" vertical="center"/>
    </xf>
    <xf numFmtId="1" fontId="0" fillId="0" borderId="58" xfId="0" applyNumberFormat="1" applyBorder="1" applyAlignment="1">
      <alignment horizontal="center" wrapText="1"/>
    </xf>
    <xf numFmtId="1" fontId="0" fillId="0" borderId="56" xfId="0" applyNumberFormat="1" applyBorder="1" applyAlignment="1">
      <alignment horizontal="center" wrapText="1"/>
    </xf>
    <xf numFmtId="0" fontId="45" fillId="0" borderId="65" xfId="0" applyFont="1" applyBorder="1" applyAlignment="1">
      <alignment horizontal="center" vertical="center"/>
    </xf>
    <xf numFmtId="0" fontId="45" fillId="0" borderId="66" xfId="0" applyFont="1" applyBorder="1" applyAlignment="1">
      <alignment horizontal="center" vertical="center"/>
    </xf>
    <xf numFmtId="0" fontId="45" fillId="0" borderId="53" xfId="0" applyFont="1" applyBorder="1" applyAlignment="1">
      <alignment horizontal="center" vertical="center"/>
    </xf>
    <xf numFmtId="0" fontId="45" fillId="0" borderId="68" xfId="0" applyFont="1" applyBorder="1" applyAlignment="1">
      <alignment horizontal="center" vertical="center"/>
    </xf>
    <xf numFmtId="0" fontId="45" fillId="0" borderId="5" xfId="0" applyFont="1" applyBorder="1" applyAlignment="1">
      <alignment horizontal="center" vertical="center"/>
    </xf>
    <xf numFmtId="0" fontId="45" fillId="0" borderId="9" xfId="0" applyFont="1" applyBorder="1" applyAlignment="1">
      <alignment horizontal="center" vertical="center"/>
    </xf>
    <xf numFmtId="0" fontId="45" fillId="0" borderId="62" xfId="0" applyFont="1" applyBorder="1" applyAlignment="1">
      <alignment horizontal="center" vertical="center"/>
    </xf>
    <xf numFmtId="0" fontId="45" fillId="0" borderId="63" xfId="0" applyFont="1" applyBorder="1" applyAlignment="1">
      <alignment horizontal="center" vertical="center"/>
    </xf>
    <xf numFmtId="0" fontId="45" fillId="0" borderId="25" xfId="0" applyFont="1" applyBorder="1" applyAlignment="1">
      <alignment horizontal="center" vertical="center"/>
    </xf>
    <xf numFmtId="0" fontId="45" fillId="0" borderId="26" xfId="0" applyFont="1" applyBorder="1" applyAlignment="1">
      <alignment horizontal="center" vertical="center"/>
    </xf>
    <xf numFmtId="0" fontId="0" fillId="11" borderId="53" xfId="0" applyFill="1" applyBorder="1" applyAlignment="1">
      <alignment horizontal="center"/>
    </xf>
    <xf numFmtId="0" fontId="0" fillId="0" borderId="35" xfId="0" applyBorder="1" applyAlignment="1">
      <alignment horizontal="right"/>
    </xf>
    <xf numFmtId="0" fontId="0" fillId="0" borderId="0" xfId="0" applyAlignment="1">
      <alignment horizontal="right"/>
    </xf>
    <xf numFmtId="0" fontId="0" fillId="0" borderId="24" xfId="0" applyBorder="1" applyAlignment="1">
      <alignment horizontal="right"/>
    </xf>
    <xf numFmtId="0" fontId="0" fillId="0" borderId="25" xfId="0" applyBorder="1" applyAlignment="1">
      <alignment horizontal="right"/>
    </xf>
    <xf numFmtId="0" fontId="0" fillId="0" borderId="23" xfId="0" applyBorder="1" applyAlignment="1">
      <alignment horizontal="center"/>
    </xf>
    <xf numFmtId="0" fontId="0" fillId="0" borderId="46" xfId="0" applyBorder="1" applyAlignment="1">
      <alignment horizontal="center"/>
    </xf>
    <xf numFmtId="0" fontId="0" fillId="0" borderId="54" xfId="0" applyBorder="1" applyAlignment="1">
      <alignment horizontal="center"/>
    </xf>
    <xf numFmtId="0" fontId="0" fillId="0" borderId="55" xfId="0" applyBorder="1" applyAlignment="1">
      <alignment horizontal="center"/>
    </xf>
    <xf numFmtId="0" fontId="0" fillId="0" borderId="24" xfId="0" applyBorder="1" applyAlignment="1">
      <alignment horizontal="center"/>
    </xf>
    <xf numFmtId="2" fontId="0" fillId="0" borderId="35" xfId="0" applyNumberFormat="1" applyBorder="1" applyAlignment="1">
      <alignment horizontal="right"/>
    </xf>
    <xf numFmtId="2" fontId="0" fillId="0" borderId="0" xfId="0" applyNumberFormat="1" applyAlignment="1">
      <alignment horizontal="right"/>
    </xf>
    <xf numFmtId="0" fontId="0" fillId="4" borderId="0" xfId="0" applyFill="1" applyAlignment="1">
      <alignment horizontal="center"/>
    </xf>
    <xf numFmtId="0" fontId="78" fillId="0" borderId="0" xfId="0" applyFont="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top"/>
    </xf>
    <xf numFmtId="0" fontId="3" fillId="0" borderId="0" xfId="0" applyFont="1" applyAlignment="1">
      <alignment horizontal="center"/>
    </xf>
    <xf numFmtId="0" fontId="22" fillId="0" borderId="0" xfId="0" applyFont="1" applyAlignment="1">
      <alignment horizontal="left" vertical="center" wrapText="1"/>
    </xf>
    <xf numFmtId="0" fontId="22" fillId="0" borderId="0" xfId="0" applyFont="1" applyAlignment="1">
      <alignment horizontal="left" vertical="center"/>
    </xf>
    <xf numFmtId="0" fontId="22" fillId="0" borderId="0" xfId="0" applyFont="1" applyAlignment="1">
      <alignment horizontal="center" vertical="center"/>
    </xf>
    <xf numFmtId="0" fontId="50" fillId="0" borderId="0" xfId="0" applyFont="1" applyAlignment="1">
      <alignment horizontal="center" vertical="center"/>
    </xf>
    <xf numFmtId="0" fontId="22" fillId="0" borderId="0" xfId="0" quotePrefix="1" applyFont="1" applyAlignment="1">
      <alignment horizontal="left" vertical="center" wrapText="1"/>
    </xf>
    <xf numFmtId="0" fontId="8" fillId="0" borderId="0" xfId="0" applyFont="1" applyAlignment="1">
      <alignment horizontal="center" vertical="center"/>
    </xf>
    <xf numFmtId="0" fontId="21" fillId="0" borderId="0" xfId="0" applyFont="1" applyAlignment="1">
      <alignment horizontal="left" vertical="center"/>
    </xf>
    <xf numFmtId="165" fontId="6" fillId="0" borderId="0" xfId="0" applyNumberFormat="1" applyFont="1" applyAlignment="1">
      <alignment horizontal="center" vertical="center"/>
    </xf>
    <xf numFmtId="0" fontId="6" fillId="0" borderId="0" xfId="0" applyFont="1" applyAlignment="1">
      <alignment horizontal="left" vertical="center"/>
    </xf>
    <xf numFmtId="0" fontId="0" fillId="0" borderId="0" xfId="0" applyAlignment="1">
      <alignment horizontal="center" vertical="center" wrapText="1"/>
    </xf>
    <xf numFmtId="0" fontId="22" fillId="0" borderId="0" xfId="0" quotePrefix="1" applyFont="1" applyAlignment="1">
      <alignment horizontal="left" vertical="center"/>
    </xf>
    <xf numFmtId="0" fontId="51" fillId="0" borderId="0" xfId="0" applyFont="1" applyAlignment="1">
      <alignment horizontal="center" vertical="center"/>
    </xf>
    <xf numFmtId="0" fontId="21" fillId="0" borderId="19" xfId="0" applyFont="1" applyBorder="1" applyAlignment="1">
      <alignment horizontal="center" vertical="center"/>
    </xf>
    <xf numFmtId="0" fontId="49" fillId="0" borderId="0" xfId="0" applyFont="1" applyAlignment="1">
      <alignment horizontal="center" vertical="center"/>
    </xf>
    <xf numFmtId="14" fontId="7" fillId="0" borderId="0" xfId="0" applyNumberFormat="1" applyFont="1" applyAlignment="1">
      <alignment horizontal="center" vertical="center"/>
    </xf>
    <xf numFmtId="0" fontId="0" fillId="0" borderId="0" xfId="0" applyAlignment="1">
      <alignment horizontal="left" vertical="center" wrapText="1"/>
    </xf>
    <xf numFmtId="0" fontId="29" fillId="0" borderId="0" xfId="0" applyFont="1" applyAlignment="1">
      <alignment horizontal="center" vertical="center"/>
    </xf>
    <xf numFmtId="0" fontId="25" fillId="0" borderId="0" xfId="0" applyFont="1" applyAlignment="1">
      <alignment horizontal="center" vertical="center"/>
    </xf>
    <xf numFmtId="0" fontId="21" fillId="0" borderId="0" xfId="0" applyFont="1" applyAlignment="1">
      <alignment horizontal="center" vertical="center"/>
    </xf>
    <xf numFmtId="2" fontId="27" fillId="0" borderId="0" xfId="0" applyNumberFormat="1"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wrapText="1"/>
    </xf>
    <xf numFmtId="0" fontId="49" fillId="0" borderId="0" xfId="0" applyFont="1" applyAlignment="1">
      <alignment horizontal="right" vertical="center"/>
    </xf>
    <xf numFmtId="0" fontId="23" fillId="0" borderId="0" xfId="0" applyFont="1" applyAlignment="1">
      <alignment horizontal="center" vertical="center"/>
    </xf>
    <xf numFmtId="0" fontId="51" fillId="10" borderId="35" xfId="0" applyFont="1" applyFill="1" applyBorder="1" applyAlignment="1">
      <alignment horizontal="center" vertical="center" wrapText="1"/>
    </xf>
    <xf numFmtId="0" fontId="51" fillId="10" borderId="0" xfId="0" applyFont="1" applyFill="1" applyAlignment="1">
      <alignment horizontal="center" vertical="center" wrapText="1"/>
    </xf>
    <xf numFmtId="0" fontId="0" fillId="0" borderId="46" xfId="0" applyBorder="1" applyAlignment="1">
      <alignment horizontal="left"/>
    </xf>
    <xf numFmtId="0" fontId="0" fillId="0" borderId="54" xfId="0" applyBorder="1" applyAlignment="1">
      <alignment horizontal="left"/>
    </xf>
    <xf numFmtId="0" fontId="0" fillId="0" borderId="55" xfId="0" applyBorder="1" applyAlignment="1">
      <alignment horizontal="left"/>
    </xf>
    <xf numFmtId="0" fontId="30" fillId="0" borderId="46" xfId="0" applyFont="1" applyBorder="1" applyAlignment="1">
      <alignment horizontal="left" vertical="top"/>
    </xf>
    <xf numFmtId="0" fontId="0" fillId="0" borderId="54" xfId="0" applyBorder="1" applyAlignment="1">
      <alignment horizontal="left" vertical="top"/>
    </xf>
    <xf numFmtId="0" fontId="0" fillId="0" borderId="55" xfId="0" applyBorder="1" applyAlignment="1">
      <alignment horizontal="left" vertical="top"/>
    </xf>
    <xf numFmtId="0" fontId="0" fillId="0" borderId="46" xfId="0" applyBorder="1" applyAlignment="1">
      <alignment horizontal="left" vertical="top"/>
    </xf>
    <xf numFmtId="0" fontId="45" fillId="4" borderId="46" xfId="0" applyFont="1" applyFill="1" applyBorder="1" applyAlignment="1">
      <alignment horizontal="center" vertical="top"/>
    </xf>
    <xf numFmtId="0" fontId="45" fillId="4" borderId="54" xfId="0" applyFont="1" applyFill="1" applyBorder="1" applyAlignment="1">
      <alignment horizontal="center" vertical="top"/>
    </xf>
    <xf numFmtId="0" fontId="45" fillId="4" borderId="55" xfId="0" applyFont="1" applyFill="1" applyBorder="1" applyAlignment="1">
      <alignment horizontal="center" vertical="top"/>
    </xf>
    <xf numFmtId="0" fontId="56" fillId="0" borderId="46" xfId="0" applyFont="1" applyBorder="1" applyAlignment="1">
      <alignment horizontal="left"/>
    </xf>
    <xf numFmtId="0" fontId="62" fillId="0" borderId="21" xfId="0" applyFont="1" applyBorder="1" applyAlignment="1">
      <alignment horizontal="left" wrapText="1"/>
    </xf>
    <xf numFmtId="0" fontId="62" fillId="0" borderId="22" xfId="0" applyFont="1" applyBorder="1" applyAlignment="1">
      <alignment horizontal="left" wrapText="1"/>
    </xf>
    <xf numFmtId="0" fontId="62" fillId="0" borderId="23" xfId="0" applyFont="1" applyBorder="1" applyAlignment="1">
      <alignment horizontal="left" wrapText="1"/>
    </xf>
    <xf numFmtId="0" fontId="62" fillId="0" borderId="24" xfId="0" applyFont="1" applyBorder="1" applyAlignment="1">
      <alignment horizontal="left" wrapText="1"/>
    </xf>
    <xf numFmtId="0" fontId="62" fillId="0" borderId="25" xfId="0" applyFont="1" applyBorder="1" applyAlignment="1">
      <alignment horizontal="left" wrapText="1"/>
    </xf>
    <xf numFmtId="0" fontId="62" fillId="0" borderId="26" xfId="0" applyFont="1" applyBorder="1" applyAlignment="1">
      <alignment horizontal="left" wrapText="1"/>
    </xf>
    <xf numFmtId="0" fontId="60" fillId="0" borderId="46" xfId="0" applyFont="1" applyBorder="1" applyAlignment="1">
      <alignment horizontal="left"/>
    </xf>
    <xf numFmtId="0" fontId="0" fillId="11" borderId="46" xfId="0" applyFill="1" applyBorder="1" applyAlignment="1">
      <alignment horizontal="left"/>
    </xf>
    <xf numFmtId="0" fontId="0" fillId="11" borderId="54" xfId="0" applyFill="1" applyBorder="1" applyAlignment="1">
      <alignment horizontal="left"/>
    </xf>
    <xf numFmtId="0" fontId="0" fillId="11" borderId="55" xfId="0" applyFill="1" applyBorder="1" applyAlignment="1">
      <alignment horizontal="left"/>
    </xf>
    <xf numFmtId="0" fontId="30" fillId="0" borderId="54" xfId="0" applyFont="1" applyBorder="1" applyAlignment="1">
      <alignment horizontal="left" vertical="top"/>
    </xf>
    <xf numFmtId="0" fontId="56" fillId="0" borderId="55" xfId="0" applyFont="1" applyBorder="1" applyAlignment="1">
      <alignment horizontal="left"/>
    </xf>
    <xf numFmtId="0" fontId="0" fillId="0" borderId="46" xfId="0" applyBorder="1" applyAlignment="1">
      <alignment horizontal="center" vertical="top"/>
    </xf>
    <xf numFmtId="0" fontId="0" fillId="0" borderId="55" xfId="0" applyBorder="1" applyAlignment="1">
      <alignment horizontal="center" vertical="top"/>
    </xf>
    <xf numFmtId="0" fontId="56" fillId="0" borderId="54" xfId="0" applyFont="1" applyBorder="1" applyAlignment="1">
      <alignment horizontal="left"/>
    </xf>
    <xf numFmtId="0" fontId="45" fillId="4" borderId="46" xfId="0" applyFont="1" applyFill="1" applyBorder="1" applyAlignment="1">
      <alignment horizontal="left" vertical="top"/>
    </xf>
    <xf numFmtId="0" fontId="45" fillId="4" borderId="55" xfId="0" applyFont="1" applyFill="1" applyBorder="1" applyAlignment="1">
      <alignment horizontal="left" vertical="top"/>
    </xf>
    <xf numFmtId="0" fontId="55" fillId="4" borderId="46" xfId="0" applyFont="1" applyFill="1" applyBorder="1" applyAlignment="1">
      <alignment horizontal="left" vertical="top"/>
    </xf>
    <xf numFmtId="0" fontId="0" fillId="11" borderId="46" xfId="0" applyFill="1" applyBorder="1" applyAlignment="1">
      <alignment horizontal="center" vertical="top"/>
    </xf>
    <xf numFmtId="0" fontId="0" fillId="11" borderId="55" xfId="0" applyFill="1" applyBorder="1" applyAlignment="1">
      <alignment horizontal="center" vertical="top"/>
    </xf>
    <xf numFmtId="0" fontId="30" fillId="11" borderId="46" xfId="0" applyFont="1" applyFill="1" applyBorder="1" applyAlignment="1">
      <alignment horizontal="left" vertical="top"/>
    </xf>
    <xf numFmtId="0" fontId="0" fillId="11" borderId="54" xfId="0" applyFill="1" applyBorder="1" applyAlignment="1">
      <alignment horizontal="left" vertical="top"/>
    </xf>
    <xf numFmtId="0" fontId="0" fillId="11" borderId="55" xfId="0" applyFill="1" applyBorder="1" applyAlignment="1">
      <alignment horizontal="left" vertical="top"/>
    </xf>
    <xf numFmtId="0" fontId="0" fillId="0" borderId="54" xfId="0" applyBorder="1" applyAlignment="1">
      <alignment horizontal="center" vertical="top"/>
    </xf>
    <xf numFmtId="0" fontId="30" fillId="0" borderId="0" xfId="0" applyFont="1" applyAlignment="1">
      <alignment horizontal="center" wrapText="1"/>
    </xf>
    <xf numFmtId="14" fontId="75" fillId="4" borderId="46" xfId="0" applyNumberFormat="1" applyFont="1" applyFill="1" applyBorder="1" applyAlignment="1">
      <alignment horizontal="left" vertical="top"/>
    </xf>
    <xf numFmtId="0" fontId="76" fillId="4" borderId="54" xfId="0" applyFont="1" applyFill="1" applyBorder="1" applyAlignment="1">
      <alignment horizontal="left" vertical="top"/>
    </xf>
    <xf numFmtId="0" fontId="76" fillId="4" borderId="55" xfId="0" applyFont="1" applyFill="1" applyBorder="1" applyAlignment="1">
      <alignment horizontal="left" vertical="top"/>
    </xf>
    <xf numFmtId="0" fontId="30" fillId="0" borderId="46" xfId="0" applyFont="1" applyBorder="1" applyAlignment="1">
      <alignment horizontal="left" vertical="top" wrapText="1"/>
    </xf>
    <xf numFmtId="0" fontId="0" fillId="0" borderId="0" xfId="0" quotePrefix="1" applyAlignment="1">
      <alignment horizontal="left"/>
    </xf>
    <xf numFmtId="49" fontId="7" fillId="0" borderId="0" xfId="0" applyNumberFormat="1" applyFont="1" applyAlignment="1">
      <alignment horizontal="center"/>
    </xf>
    <xf numFmtId="1" fontId="0" fillId="0" borderId="0" xfId="0" applyNumberFormat="1" applyAlignment="1">
      <alignment horizontal="right"/>
    </xf>
    <xf numFmtId="0" fontId="0" fillId="0" borderId="0" xfId="0" quotePrefix="1" applyAlignment="1">
      <alignment horizontal="left" vertical="top" wrapText="1"/>
    </xf>
    <xf numFmtId="0" fontId="0" fillId="0" borderId="36" xfId="0" quotePrefix="1" applyBorder="1" applyAlignment="1">
      <alignment horizontal="left" vertical="top" wrapText="1"/>
    </xf>
    <xf numFmtId="0" fontId="7" fillId="0" borderId="0" xfId="0" quotePrefix="1" applyFont="1" applyAlignment="1">
      <alignment horizontal="center" vertical="top" wrapText="1"/>
    </xf>
    <xf numFmtId="0" fontId="7" fillId="0" borderId="36" xfId="0" quotePrefix="1" applyFont="1" applyBorder="1" applyAlignment="1">
      <alignment horizontal="center" vertical="top" wrapText="1"/>
    </xf>
    <xf numFmtId="0" fontId="8" fillId="0" borderId="10" xfId="0" applyFont="1" applyBorder="1" applyAlignment="1">
      <alignment horizontal="center"/>
    </xf>
    <xf numFmtId="1" fontId="14" fillId="0" borderId="11" xfId="0" applyNumberFormat="1" applyFont="1" applyBorder="1" applyAlignment="1">
      <alignment horizontal="center"/>
    </xf>
    <xf numFmtId="1" fontId="14" fillId="0" borderId="12" xfId="0" applyNumberFormat="1" applyFont="1" applyBorder="1" applyAlignment="1">
      <alignment horizontal="center"/>
    </xf>
    <xf numFmtId="1" fontId="14" fillId="0" borderId="13" xfId="0" applyNumberFormat="1" applyFont="1" applyBorder="1" applyAlignment="1">
      <alignment horizontal="center"/>
    </xf>
    <xf numFmtId="0" fontId="8" fillId="0" borderId="16" xfId="0" applyFont="1" applyBorder="1" applyAlignment="1">
      <alignment horizontal="center"/>
    </xf>
    <xf numFmtId="0" fontId="82" fillId="0" borderId="106" xfId="0" applyFont="1" applyBorder="1" applyAlignment="1">
      <alignment horizontal="center" vertical="center" wrapText="1"/>
    </xf>
    <xf numFmtId="0" fontId="83" fillId="0" borderId="107" xfId="0" applyFont="1" applyBorder="1"/>
    <xf numFmtId="0" fontId="84" fillId="0" borderId="106" xfId="0" applyFont="1" applyBorder="1" applyAlignment="1">
      <alignment horizontal="center" vertical="center" wrapText="1"/>
    </xf>
    <xf numFmtId="0" fontId="82" fillId="0" borderId="0" xfId="0" applyFont="1" applyAlignment="1">
      <alignment horizontal="center" vertical="center" wrapText="1"/>
    </xf>
    <xf numFmtId="0" fontId="0" fillId="0" borderId="0" xfId="0"/>
    <xf numFmtId="0" fontId="85" fillId="0" borderId="106" xfId="0" applyFont="1" applyBorder="1" applyAlignment="1">
      <alignment horizontal="center" vertical="center" wrapText="1"/>
    </xf>
    <xf numFmtId="0" fontId="83" fillId="0" borderId="115" xfId="0" applyFont="1" applyBorder="1"/>
    <xf numFmtId="0" fontId="82" fillId="0" borderId="113" xfId="0" applyFont="1" applyBorder="1" applyAlignment="1">
      <alignment horizontal="left" vertical="center" wrapText="1"/>
    </xf>
    <xf numFmtId="169" fontId="89" fillId="0" borderId="108" xfId="0" applyNumberFormat="1" applyFont="1" applyBorder="1" applyAlignment="1">
      <alignment horizontal="center" vertical="center" wrapText="1"/>
    </xf>
    <xf numFmtId="0" fontId="83" fillId="0" borderId="111" xfId="0" applyFont="1" applyBorder="1"/>
    <xf numFmtId="0" fontId="83" fillId="0" borderId="110" xfId="0" applyFont="1" applyBorder="1"/>
    <xf numFmtId="0" fontId="82" fillId="0" borderId="106" xfId="0" applyFont="1" applyBorder="1" applyAlignment="1">
      <alignment horizontal="center" vertical="center"/>
    </xf>
    <xf numFmtId="174" fontId="84" fillId="0" borderId="113" xfId="0" applyNumberFormat="1" applyFont="1" applyBorder="1" applyAlignment="1">
      <alignment horizontal="center" vertical="center"/>
    </xf>
    <xf numFmtId="0" fontId="83" fillId="0" borderId="114" xfId="0" applyFont="1" applyBorder="1"/>
    <xf numFmtId="0" fontId="89" fillId="0" borderId="108" xfId="0" applyFont="1" applyBorder="1" applyAlignment="1">
      <alignment horizontal="center" vertical="center" wrapText="1"/>
    </xf>
    <xf numFmtId="0" fontId="83" fillId="0" borderId="109" xfId="0" applyFont="1" applyBorder="1"/>
    <xf numFmtId="0" fontId="82" fillId="25" borderId="106" xfId="0" applyFont="1" applyFill="1" applyBorder="1" applyAlignment="1">
      <alignment horizontal="center" vertical="center" wrapText="1"/>
    </xf>
    <xf numFmtId="0" fontId="82" fillId="26" borderId="106" xfId="0" applyFont="1" applyFill="1" applyBorder="1" applyAlignment="1">
      <alignment horizontal="center" vertical="center" wrapText="1"/>
    </xf>
    <xf numFmtId="0" fontId="84" fillId="0" borderId="0" xfId="0" applyFont="1" applyAlignment="1">
      <alignment horizontal="center" vertical="center" wrapText="1"/>
    </xf>
    <xf numFmtId="167" fontId="92" fillId="21" borderId="0" xfId="0" applyNumberFormat="1" applyFont="1" applyFill="1" applyAlignment="1">
      <alignment horizontal="center" vertical="center"/>
    </xf>
    <xf numFmtId="0" fontId="83" fillId="0" borderId="0" xfId="0" applyFont="1"/>
    <xf numFmtId="0" fontId="84" fillId="0" borderId="0" xfId="0" applyFont="1" applyAlignment="1">
      <alignment horizontal="left" vertical="center" wrapText="1"/>
    </xf>
    <xf numFmtId="0" fontId="81" fillId="0" borderId="116" xfId="0" applyFont="1" applyBorder="1" applyAlignment="1">
      <alignment horizontal="center" vertical="center" wrapText="1"/>
    </xf>
    <xf numFmtId="0" fontId="85" fillId="0" borderId="106" xfId="0" applyFont="1" applyBorder="1" applyAlignment="1">
      <alignment horizontal="center" vertical="center"/>
    </xf>
    <xf numFmtId="0" fontId="82" fillId="0" borderId="113" xfId="0" applyFont="1" applyBorder="1" applyAlignment="1">
      <alignment horizontal="left" vertical="center"/>
    </xf>
    <xf numFmtId="0" fontId="92" fillId="0" borderId="0" xfId="0" applyFont="1" applyAlignment="1">
      <alignment horizontal="center" vertical="center"/>
    </xf>
    <xf numFmtId="167" fontId="92" fillId="27" borderId="0" xfId="0" applyNumberFormat="1" applyFont="1" applyFill="1" applyAlignment="1">
      <alignment horizontal="center" vertical="center"/>
    </xf>
    <xf numFmtId="0" fontId="82" fillId="0" borderId="0" xfId="0" applyFont="1" applyAlignment="1">
      <alignment horizontal="left" vertical="center" wrapText="1"/>
    </xf>
    <xf numFmtId="0" fontId="148" fillId="0" borderId="46" xfId="2" applyFont="1" applyBorder="1" applyAlignment="1">
      <alignment horizontal="center"/>
    </xf>
    <xf numFmtId="0" fontId="148" fillId="0" borderId="54" xfId="2" applyFont="1" applyBorder="1" applyAlignment="1">
      <alignment horizontal="center"/>
    </xf>
    <xf numFmtId="0" fontId="148" fillId="0" borderId="55" xfId="2" applyFont="1" applyBorder="1" applyAlignment="1">
      <alignment horizontal="center"/>
    </xf>
    <xf numFmtId="0" fontId="0" fillId="0" borderId="0" xfId="0" applyAlignment="1">
      <alignment wrapText="1"/>
    </xf>
  </cellXfs>
  <cellStyles count="5">
    <cellStyle name="Hiperłącze" xfId="2" builtinId="8"/>
    <cellStyle name="Normalny" xfId="0" builtinId="0"/>
    <cellStyle name="Normalny 7" xfId="3" xr:uid="{00000000-0005-0000-0000-000002000000}"/>
    <cellStyle name="Procentowy" xfId="1" builtinId="5"/>
    <cellStyle name="Walutowy" xfId="4" builtinId="4"/>
  </cellStyles>
  <dxfs count="108">
    <dxf>
      <font>
        <color rgb="FF9C0006"/>
      </font>
      <fill>
        <patternFill>
          <bgColor rgb="FFFFC7CE"/>
        </patternFill>
      </fill>
    </dxf>
    <dxf>
      <font>
        <color rgb="FF9C0006"/>
      </font>
      <fill>
        <patternFill>
          <bgColor rgb="FFFFC7CE"/>
        </patternFill>
      </fill>
    </dxf>
    <dxf>
      <font>
        <color rgb="FF9C5700"/>
      </font>
      <fill>
        <patternFill>
          <bgColor rgb="FFFFEB9C"/>
        </patternFill>
      </fill>
    </dxf>
    <dxf>
      <border>
        <bottom style="dotted">
          <color auto="1"/>
        </bottom>
        <vertical/>
        <horizontal/>
      </border>
    </dxf>
    <dxf>
      <border>
        <top style="dotted">
          <color auto="1"/>
        </top>
        <vertical/>
        <horizontal/>
      </border>
    </dxf>
    <dxf>
      <border>
        <top style="dotted">
          <color auto="1"/>
        </top>
        <vertical/>
        <horizontal/>
      </border>
    </dxf>
    <dxf>
      <border>
        <top style="dotted">
          <color auto="1"/>
        </top>
        <vertical/>
        <horizontal/>
      </border>
    </dxf>
    <dxf>
      <border>
        <left/>
        <top style="dotted">
          <color auto="1"/>
        </top>
        <vertical/>
        <horizontal/>
      </border>
    </dxf>
    <dxf>
      <border>
        <top style="dotted">
          <color auto="1"/>
        </top>
        <vertical/>
        <horizontal/>
      </border>
    </dxf>
    <dxf>
      <border>
        <left style="dotted">
          <color auto="1"/>
        </left>
        <vertical/>
        <horizontal/>
      </border>
    </dxf>
    <dxf>
      <border>
        <left style="dotted">
          <color auto="1"/>
        </left>
        <vertical/>
        <horizontal/>
      </border>
    </dxf>
    <dxf>
      <border>
        <left style="dotted">
          <color auto="1"/>
        </left>
        <vertical/>
        <horizontal/>
      </border>
    </dxf>
    <dxf>
      <border>
        <left style="dotted">
          <color auto="1"/>
        </left>
        <vertical/>
        <horizontal/>
      </border>
    </dxf>
    <dxf>
      <border>
        <left style="dotted">
          <color auto="1"/>
        </left>
        <vertical/>
        <horizontal/>
      </border>
    </dxf>
    <dxf>
      <font>
        <u/>
      </font>
      <fill>
        <patternFill>
          <bgColor rgb="FFFF0000"/>
        </patternFill>
      </fill>
    </dxf>
    <dxf>
      <font>
        <color auto="1"/>
      </font>
      <numFmt numFmtId="1" formatCode="0"/>
      <fill>
        <patternFill>
          <bgColor rgb="FFFF6D7E"/>
        </patternFill>
      </fill>
    </dxf>
    <dxf>
      <font>
        <color theme="1" tint="4.9989318521683403E-2"/>
      </font>
      <numFmt numFmtId="1" formatCode="0"/>
      <fill>
        <patternFill>
          <bgColor rgb="FFAEDA00"/>
        </patternFill>
      </fill>
    </dxf>
    <dxf>
      <font>
        <color theme="1"/>
      </font>
      <fill>
        <patternFill>
          <bgColor rgb="FFFFC7CE"/>
        </patternFill>
      </fill>
    </dxf>
    <dxf>
      <font>
        <color theme="1"/>
      </font>
      <fill>
        <patternFill>
          <bgColor rgb="FFFFC7CE"/>
        </patternFill>
      </fill>
    </dxf>
    <dxf>
      <font>
        <color auto="1"/>
      </font>
      <numFmt numFmtId="1" formatCode="0"/>
      <fill>
        <patternFill>
          <bgColor rgb="FFFF6D7E"/>
        </patternFill>
      </fill>
    </dxf>
    <dxf>
      <font>
        <color theme="1" tint="4.9989318521683403E-2"/>
      </font>
      <numFmt numFmtId="1" formatCode="0"/>
      <fill>
        <patternFill>
          <bgColor rgb="FF49D0D7"/>
        </patternFill>
      </fill>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charset val="238"/>
        <scheme val="none"/>
      </font>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auto="1"/>
        <name val="Avenir Next LT Pro Light"/>
        <family val="2"/>
        <charset val="238"/>
        <scheme val="none"/>
      </font>
    </dxf>
    <dxf>
      <font>
        <b val="0"/>
        <i val="0"/>
        <strike val="0"/>
        <condense val="0"/>
        <extend val="0"/>
        <outline val="0"/>
        <shadow val="0"/>
        <u val="none"/>
        <vertAlign val="baseline"/>
        <sz val="11"/>
        <color auto="1"/>
        <name val="Avenir Next LT Pro Light"/>
        <family val="2"/>
        <charset val="238"/>
        <scheme val="none"/>
      </font>
    </dxf>
    <dxf>
      <font>
        <b val="0"/>
        <i val="0"/>
        <strike val="0"/>
        <condense val="0"/>
        <extend val="0"/>
        <outline val="0"/>
        <shadow val="0"/>
        <u val="none"/>
        <vertAlign val="baseline"/>
        <sz val="11"/>
        <color auto="1"/>
        <name val="Avenir Next LT Pro Light"/>
        <family val="2"/>
        <charset val="238"/>
        <scheme val="none"/>
      </font>
      <alignment horizontal="left" vertical="center" textRotation="0" wrapText="0" indent="0" justifyLastLine="0" shrinkToFit="0" readingOrder="0"/>
    </dxf>
    <dxf>
      <font>
        <b val="0"/>
        <i val="0"/>
        <strike val="0"/>
        <condense val="0"/>
        <extend val="0"/>
        <outline val="0"/>
        <shadow val="0"/>
        <u val="none"/>
        <vertAlign val="baseline"/>
        <sz val="11"/>
        <color auto="1"/>
        <name val="Avenir Next LT Pro Light"/>
        <family val="2"/>
        <charset val="238"/>
        <scheme val="none"/>
      </font>
    </dxf>
    <dxf>
      <font>
        <b val="0"/>
        <i val="0"/>
        <strike val="0"/>
        <condense val="0"/>
        <extend val="0"/>
        <outline val="0"/>
        <shadow val="0"/>
        <u val="none"/>
        <vertAlign val="baseline"/>
        <sz val="11"/>
        <color auto="1"/>
        <name val="Avenir Next LT Pro Light"/>
        <family val="2"/>
        <charset val="238"/>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venir Next LT Pro Light"/>
        <family val="2"/>
        <charset val="238"/>
        <scheme val="none"/>
      </font>
      <alignment horizontal="general" vertical="center" textRotation="0" wrapText="0" indent="0" justifyLastLine="0" shrinkToFit="0" readingOrder="0"/>
    </dxf>
    <dxf>
      <font>
        <b val="0"/>
        <i val="0"/>
        <strike val="0"/>
        <condense val="0"/>
        <extend val="0"/>
        <outline val="0"/>
        <shadow val="0"/>
        <u val="none"/>
        <vertAlign val="baseline"/>
        <sz val="8"/>
        <color auto="1"/>
        <name val="Avenir Next LT Pro Light"/>
        <family val="2"/>
        <charset val="238"/>
        <scheme val="none"/>
      </font>
      <alignment horizontal="general" vertical="bottom" textRotation="0" wrapText="0" indent="0" justifyLastLine="0" shrinkToFit="0" readingOrder="0"/>
    </dxf>
    <dxf>
      <font>
        <b val="0"/>
        <i val="0"/>
        <strike val="0"/>
        <condense val="0"/>
        <extend val="0"/>
        <outline val="0"/>
        <shadow val="0"/>
        <u val="none"/>
        <vertAlign val="baseline"/>
        <sz val="8"/>
        <color auto="1"/>
        <name val="Avenir Next LT Pro Light"/>
        <family val="2"/>
        <charset val="238"/>
        <scheme val="none"/>
      </font>
      <alignment horizontal="general" vertical="center" textRotation="0" wrapText="0" indent="0" justifyLastLine="0" shrinkToFit="0" readingOrder="0"/>
    </dxf>
    <dxf>
      <font>
        <b/>
        <i val="0"/>
        <strike val="0"/>
        <condense val="0"/>
        <extend val="0"/>
        <outline val="0"/>
        <shadow val="0"/>
        <u val="none"/>
        <vertAlign val="baseline"/>
        <sz val="8"/>
        <color auto="1"/>
        <name val="Avenir Next LT Pro Light"/>
        <family val="2"/>
        <charset val="238"/>
        <scheme val="none"/>
      </font>
      <alignment horizontal="general" vertical="bottom" textRotation="0" wrapText="0" indent="0" justifyLastLine="0" shrinkToFit="0" readingOrder="0"/>
    </dxf>
    <dxf>
      <font>
        <strike val="0"/>
        <outline val="0"/>
        <shadow val="0"/>
        <u val="none"/>
        <vertAlign val="baseline"/>
        <color auto="1"/>
        <name val="Avenir Next LT Pro Light"/>
        <family val="2"/>
        <charset val="238"/>
        <scheme val="none"/>
      </font>
    </dxf>
    <dxf>
      <font>
        <strike val="0"/>
        <outline val="0"/>
        <shadow val="0"/>
        <u val="none"/>
        <vertAlign val="baseline"/>
        <color auto="1"/>
        <name val="Avenir Next LT Pro Light"/>
        <family val="2"/>
        <charset val="238"/>
        <scheme val="none"/>
      </font>
    </dxf>
    <dxf>
      <font>
        <strike val="0"/>
        <outline val="0"/>
        <shadow val="0"/>
        <u val="none"/>
        <vertAlign val="baseline"/>
        <color auto="1"/>
        <name val="Avenir Next LT Pro Light"/>
        <family val="2"/>
        <charset val="238"/>
        <scheme val="none"/>
      </font>
    </dxf>
    <dxf>
      <font>
        <strike val="0"/>
        <outline val="0"/>
        <shadow val="0"/>
        <u val="none"/>
        <vertAlign val="baseline"/>
        <color auto="1"/>
        <name val="Avenir Next LT Pro Light"/>
        <family val="2"/>
        <charset val="238"/>
        <scheme val="none"/>
      </font>
    </dxf>
    <dxf>
      <font>
        <strike val="0"/>
        <outline val="0"/>
        <shadow val="0"/>
        <u val="none"/>
        <vertAlign val="baseline"/>
        <color auto="1"/>
        <name val="Avenir Next LT Pro Light"/>
        <family val="2"/>
        <charset val="238"/>
        <scheme val="none"/>
      </font>
    </dxf>
    <dxf>
      <font>
        <strike val="0"/>
        <outline val="0"/>
        <shadow val="0"/>
        <u val="none"/>
        <vertAlign val="baseline"/>
        <color auto="1"/>
        <name val="Avenir Next LT Pro Light"/>
        <family val="2"/>
        <charset val="238"/>
        <scheme val="none"/>
      </font>
    </dxf>
    <dxf>
      <font>
        <strike val="0"/>
        <outline val="0"/>
        <shadow val="0"/>
        <u val="none"/>
        <vertAlign val="baseline"/>
        <sz val="11"/>
        <color auto="1"/>
        <name val="Avenir Next LT Pro Light"/>
        <family val="2"/>
        <charset val="238"/>
        <scheme val="none"/>
      </font>
      <numFmt numFmtId="0" formatCode="General"/>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numFmt numFmtId="0" formatCode="General"/>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numFmt numFmtId="0" formatCode="General"/>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numFmt numFmtId="0" formatCode="General"/>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numFmt numFmtId="0" formatCode="General"/>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1"/>
        <color auto="1"/>
        <name val="Avenir Next LT Pro Light"/>
        <family val="2"/>
        <charset val="238"/>
        <scheme val="none"/>
      </font>
      <fill>
        <patternFill patternType="solid">
          <fgColor indexed="64"/>
          <bgColor theme="0"/>
        </patternFill>
      </fill>
    </dxf>
    <dxf>
      <font>
        <strike val="0"/>
        <outline val="0"/>
        <shadow val="0"/>
        <u val="none"/>
        <vertAlign val="baseline"/>
        <sz val="16"/>
        <color auto="1"/>
        <name val="Avenir Next LT Pro Light"/>
        <family val="2"/>
        <charset val="238"/>
        <scheme val="none"/>
      </font>
      <numFmt numFmtId="0" formatCode="General"/>
      <fill>
        <patternFill patternType="solid">
          <fgColor indexed="64"/>
          <bgColor theme="0"/>
        </patternFill>
      </fill>
      <alignment horizontal="left" vertical="top" textRotation="0" wrapText="0" indent="0" justifyLastLine="0" shrinkToFit="0" readingOrder="0"/>
    </dxf>
    <dxf>
      <font>
        <strike val="0"/>
        <outline val="0"/>
        <shadow val="0"/>
        <u val="none"/>
        <vertAlign val="baseline"/>
        <sz val="16"/>
        <color auto="1"/>
        <name val="Avenir Next LT Pro Light"/>
        <family val="2"/>
        <charset val="238"/>
        <scheme val="none"/>
      </font>
      <fill>
        <patternFill patternType="solid">
          <fgColor indexed="64"/>
          <bgColor theme="0"/>
        </patternFill>
      </fill>
      <alignment horizontal="left" vertical="top" textRotation="0" wrapText="0" indent="0" justifyLastLine="0" shrinkToFit="0" readingOrder="0"/>
    </dxf>
    <dxf>
      <font>
        <strike val="0"/>
        <outline val="0"/>
        <shadow val="0"/>
        <u val="none"/>
        <vertAlign val="baseline"/>
        <sz val="16"/>
        <color auto="1"/>
        <name val="Avenir Next LT Pro Light"/>
        <family val="2"/>
        <charset val="238"/>
        <scheme val="none"/>
      </font>
      <fill>
        <patternFill patternType="solid">
          <fgColor indexed="64"/>
          <bgColor theme="0"/>
        </patternFill>
      </fill>
    </dxf>
    <dxf>
      <font>
        <strike val="0"/>
        <outline val="0"/>
        <shadow val="0"/>
        <u val="none"/>
        <vertAlign val="baseline"/>
        <sz val="16"/>
        <color auto="1"/>
        <name val="Avenir Next LT Pro Light"/>
        <family val="2"/>
        <charset val="238"/>
        <scheme val="none"/>
      </font>
      <fill>
        <patternFill patternType="solid">
          <fgColor indexed="64"/>
          <bgColor theme="0"/>
        </patternFill>
      </fill>
    </dxf>
    <dxf>
      <font>
        <strike val="0"/>
        <outline val="0"/>
        <shadow val="0"/>
        <u val="none"/>
        <vertAlign val="baseline"/>
        <sz val="16"/>
        <color auto="1"/>
        <name val="Avenir Next LT Pro Light"/>
        <family val="2"/>
        <charset val="238"/>
        <scheme val="none"/>
      </font>
      <fill>
        <patternFill patternType="solid">
          <fgColor indexed="64"/>
          <bgColor theme="0"/>
        </patternFill>
      </fill>
    </dxf>
    <dxf>
      <font>
        <strike val="0"/>
        <outline val="0"/>
        <shadow val="0"/>
        <u val="none"/>
        <vertAlign val="baseline"/>
        <sz val="16"/>
        <color auto="1"/>
        <name val="Avenir Next LT Pro Light"/>
        <family val="2"/>
        <charset val="238"/>
        <scheme val="none"/>
      </font>
      <fill>
        <patternFill patternType="solid">
          <fgColor indexed="64"/>
          <bgColor theme="0"/>
        </patternFill>
      </fill>
    </dxf>
    <dxf>
      <font>
        <strike val="0"/>
        <outline val="0"/>
        <shadow val="0"/>
        <u val="none"/>
        <vertAlign val="baseline"/>
        <sz val="16"/>
        <color auto="1"/>
        <name val="Avenir Next LT Pro Light"/>
        <family val="2"/>
        <charset val="238"/>
        <scheme val="none"/>
      </font>
      <fill>
        <patternFill patternType="solid">
          <fgColor indexed="64"/>
          <bgColor theme="0"/>
        </patternFill>
      </fill>
    </dxf>
    <dxf>
      <font>
        <b val="0"/>
        <i val="0"/>
        <strike val="0"/>
        <condense val="0"/>
        <extend val="0"/>
        <outline val="0"/>
        <shadow val="0"/>
        <u val="none"/>
        <vertAlign val="baseline"/>
        <sz val="11"/>
        <color theme="1"/>
        <name val="Avenir Next LT Pro"/>
        <family val="2"/>
        <charset val="238"/>
        <scheme val="none"/>
      </font>
      <numFmt numFmtId="13" formatCode="0%"/>
      <alignment horizontal="left" vertical="center" textRotation="0" wrapText="0" indent="0" justifyLastLine="0" shrinkToFit="0" readingOrder="0"/>
    </dxf>
    <dxf>
      <border outline="0">
        <top style="thin">
          <color theme="4" tint="0.39997558519241921"/>
        </top>
      </border>
    </dxf>
    <dxf>
      <font>
        <b val="0"/>
        <i val="0"/>
        <strike val="0"/>
        <condense val="0"/>
        <extend val="0"/>
        <outline val="0"/>
        <shadow val="0"/>
        <u val="none"/>
        <vertAlign val="baseline"/>
        <sz val="11"/>
        <color theme="1"/>
        <name val="Avenir Next LT Pro"/>
        <family val="2"/>
        <charset val="238"/>
        <scheme val="none"/>
      </font>
      <alignment horizontal="left" vertical="center" textRotation="0" wrapText="0" indent="0" justifyLastLine="0" shrinkToFit="0" readingOrder="0"/>
    </dxf>
    <dxf>
      <border outline="0">
        <bottom style="thin">
          <color theme="4" tint="0.39997558519241921"/>
        </bottom>
      </border>
    </dxf>
    <dxf>
      <font>
        <b val="0"/>
        <i val="0"/>
        <strike val="0"/>
        <condense val="0"/>
        <extend val="0"/>
        <outline val="0"/>
        <shadow val="0"/>
        <u val="none"/>
        <vertAlign val="baseline"/>
        <sz val="11"/>
        <color theme="1"/>
        <name val="Avenir Next LT Pro"/>
        <family val="2"/>
        <charset val="238"/>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venir Next LT Pro"/>
        <family val="2"/>
        <charset val="238"/>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vertical="center" textRotation="0" indent="0" justifyLastLine="0" shrinkToFit="0" readingOrder="0"/>
    </dxf>
    <dxf>
      <font>
        <strike val="0"/>
        <outline val="0"/>
        <shadow val="0"/>
        <vertAlign val="baseline"/>
        <name val="Avenir Next LT Pro"/>
        <family val="2"/>
        <charset val="238"/>
        <scheme val="none"/>
      </font>
      <alignment vertical="center" textRotation="0" indent="0" justifyLastLine="0" shrinkToFit="0" readingOrder="0"/>
    </dxf>
    <dxf>
      <font>
        <strike val="0"/>
        <outline val="0"/>
        <shadow val="0"/>
        <vertAlign val="baseline"/>
        <name val="Avenir Next LT Pro"/>
        <family val="2"/>
        <charset val="238"/>
        <scheme val="none"/>
      </font>
      <fill>
        <patternFill patternType="none">
          <fgColor indexed="64"/>
          <bgColor indexed="65"/>
        </patternFill>
      </fill>
      <alignment vertical="center" textRotation="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numFmt numFmtId="0" formatCode="General"/>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numFmt numFmtId="13" formatCode="0%"/>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vertical="center" textRotation="0" indent="0" justifyLastLine="0" shrinkToFit="0" readingOrder="0"/>
    </dxf>
    <dxf>
      <font>
        <strike val="0"/>
        <outline val="0"/>
        <shadow val="0"/>
        <vertAlign val="baseline"/>
        <name val="Avenir Next LT Pro"/>
        <family val="2"/>
        <charset val="238"/>
        <scheme val="none"/>
      </font>
      <alignment vertical="center" textRotation="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dxf>
    <dxf>
      <font>
        <strike val="0"/>
        <outline val="0"/>
        <shadow val="0"/>
        <vertAlign val="baseline"/>
        <name val="Avenir Next LT Pro"/>
        <family val="2"/>
        <charset val="238"/>
        <scheme val="none"/>
      </font>
      <alignment horizontal="left" vertical="center" textRotation="0" wrapText="0" indent="0" justifyLastLine="0" shrinkToFit="0" readingOrder="0"/>
      <border diagonalUp="0" diagonalDown="0" outline="0">
        <left style="thin">
          <color auto="1"/>
        </left>
        <right/>
        <top style="thin">
          <color auto="1"/>
        </top>
        <bottom style="thin">
          <color auto="1"/>
        </bottom>
      </border>
    </dxf>
    <dxf>
      <font>
        <strike val="0"/>
        <outline val="0"/>
        <shadow val="0"/>
        <vertAlign val="baseline"/>
        <name val="Avenir Next LT Pro"/>
        <family val="2"/>
        <charset val="238"/>
        <scheme val="none"/>
      </font>
      <alignment horizontal="left" vertical="center" textRotation="0" wrapText="0" indent="0" justifyLastLine="0" shrinkToFit="0" readingOrder="0"/>
    </dxf>
    <dxf>
      <border outline="0">
        <top style="thin">
          <color indexed="64"/>
        </top>
      </border>
    </dxf>
    <dxf>
      <border outline="0">
        <left style="thin">
          <color auto="1"/>
        </left>
        <right style="thin">
          <color auto="1"/>
        </right>
        <top style="thin">
          <color auto="1"/>
        </top>
        <bottom style="thin">
          <color auto="1"/>
        </bottom>
      </border>
    </dxf>
    <dxf>
      <font>
        <strike val="0"/>
        <outline val="0"/>
        <shadow val="0"/>
        <vertAlign val="baseline"/>
        <name val="Avenir Next LT Pro"/>
        <family val="2"/>
        <charset val="238"/>
        <scheme val="none"/>
      </font>
      <alignment horizontal="left" vertical="center" textRotation="0" wrapText="0" indent="0" justifyLastLine="0" shrinkToFit="0" readingOrder="0"/>
    </dxf>
    <dxf>
      <border outline="0">
        <bottom style="thin">
          <color indexed="64"/>
        </bottom>
      </border>
    </dxf>
    <dxf>
      <font>
        <strike val="0"/>
        <outline val="0"/>
        <shadow val="0"/>
        <vertAlign val="baseline"/>
        <name val="Avenir Next LT Pro"/>
        <family val="2"/>
        <charset val="238"/>
        <scheme val="none"/>
      </font>
      <alignment horizontal="left" vertical="center" textRotation="0" wrapText="0" indent="0" justifyLastLine="0" shrinkToFit="0" readingOrder="0"/>
    </dxf>
  </dxfs>
  <tableStyles count="0" defaultTableStyle="TableStyleMedium2" defaultPivotStyle="PivotStyleLight16"/>
  <colors>
    <mruColors>
      <color rgb="FF23234F"/>
      <color rgb="FF49D0D7"/>
      <color rgb="FF003399"/>
      <color rgb="FF3AC7D6"/>
      <color rgb="FF1D8085"/>
      <color rgb="FF4EDA00"/>
      <color rgb="FFFF6D7E"/>
      <color rgb="FFAEDA00"/>
      <color rgb="FF4472C4"/>
      <color rgb="FF92D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0"/>
    <c:plotArea>
      <c:layout>
        <c:manualLayout>
          <c:layoutTarget val="inner"/>
          <c:xMode val="edge"/>
          <c:yMode val="edge"/>
          <c:x val="6.2525713822072782E-2"/>
          <c:y val="3.7038613272417371E-2"/>
          <c:w val="0.93747428617792727"/>
          <c:h val="0.94726617390096435"/>
        </c:manualLayout>
      </c:layout>
      <c:barChart>
        <c:barDir val="col"/>
        <c:grouping val="clustered"/>
        <c:varyColors val="1"/>
        <c:ser>
          <c:idx val="0"/>
          <c:order val="0"/>
          <c:spPr>
            <a:gradFill flip="none" rotWithShape="1">
              <a:gsLst>
                <a:gs pos="100000">
                  <a:srgbClr val="BEEEF1"/>
                </a:gs>
                <a:gs pos="0">
                  <a:srgbClr val="3AC7D6">
                    <a:alpha val="97255"/>
                  </a:srgbClr>
                </a:gs>
              </a:gsLst>
              <a:lin ang="16200000" scaled="0"/>
              <a:tileRect/>
            </a:gradFill>
          </c:spPr>
          <c:invertIfNegative val="1"/>
          <c:dPt>
            <c:idx val="0"/>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1-B629-461F-A56C-DC7FB88A1734}"/>
              </c:ext>
            </c:extLst>
          </c:dPt>
          <c:dPt>
            <c:idx val="1"/>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3-B629-461F-A56C-DC7FB88A1734}"/>
              </c:ext>
            </c:extLst>
          </c:dPt>
          <c:dPt>
            <c:idx val="2"/>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5-B629-461F-A56C-DC7FB88A1734}"/>
              </c:ext>
            </c:extLst>
          </c:dPt>
          <c:dPt>
            <c:idx val="3"/>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7-B629-461F-A56C-DC7FB88A1734}"/>
              </c:ext>
            </c:extLst>
          </c:dPt>
          <c:dPt>
            <c:idx val="4"/>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9-B629-461F-A56C-DC7FB88A1734}"/>
              </c:ext>
            </c:extLst>
          </c:dPt>
          <c:dPt>
            <c:idx val="5"/>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B-B629-461F-A56C-DC7FB88A1734}"/>
              </c:ext>
            </c:extLst>
          </c:dPt>
          <c:dPt>
            <c:idx val="6"/>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D-B629-461F-A56C-DC7FB88A1734}"/>
              </c:ext>
            </c:extLst>
          </c:dPt>
          <c:dPt>
            <c:idx val="7"/>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0F-B629-461F-A56C-DC7FB88A1734}"/>
              </c:ext>
            </c:extLst>
          </c:dPt>
          <c:dPt>
            <c:idx val="8"/>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1-B629-461F-A56C-DC7FB88A1734}"/>
              </c:ext>
            </c:extLst>
          </c:dPt>
          <c:dPt>
            <c:idx val="9"/>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3-B629-461F-A56C-DC7FB88A1734}"/>
              </c:ext>
            </c:extLst>
          </c:dPt>
          <c:dPt>
            <c:idx val="10"/>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5-B629-461F-A56C-DC7FB88A1734}"/>
              </c:ext>
            </c:extLst>
          </c:dPt>
          <c:dPt>
            <c:idx val="11"/>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7-B629-461F-A56C-DC7FB88A1734}"/>
              </c:ext>
            </c:extLst>
          </c:dPt>
          <c:dPt>
            <c:idx val="12"/>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9-B629-461F-A56C-DC7FB88A1734}"/>
              </c:ext>
            </c:extLst>
          </c:dPt>
          <c:dPt>
            <c:idx val="13"/>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B-B629-461F-A56C-DC7FB88A1734}"/>
              </c:ext>
            </c:extLst>
          </c:dPt>
          <c:dPt>
            <c:idx val="14"/>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D-B629-461F-A56C-DC7FB88A1734}"/>
              </c:ext>
            </c:extLst>
          </c:dPt>
          <c:dPt>
            <c:idx val="15"/>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1F-B629-461F-A56C-DC7FB88A1734}"/>
              </c:ext>
            </c:extLst>
          </c:dPt>
          <c:dPt>
            <c:idx val="16"/>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1-B629-461F-A56C-DC7FB88A1734}"/>
              </c:ext>
            </c:extLst>
          </c:dPt>
          <c:dPt>
            <c:idx val="17"/>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3-B629-461F-A56C-DC7FB88A1734}"/>
              </c:ext>
            </c:extLst>
          </c:dPt>
          <c:dPt>
            <c:idx val="18"/>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5-B629-461F-A56C-DC7FB88A1734}"/>
              </c:ext>
            </c:extLst>
          </c:dPt>
          <c:dPt>
            <c:idx val="19"/>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7-B629-461F-A56C-DC7FB88A1734}"/>
              </c:ext>
            </c:extLst>
          </c:dPt>
          <c:dPt>
            <c:idx val="20"/>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9-B629-461F-A56C-DC7FB88A1734}"/>
              </c:ext>
            </c:extLst>
          </c:dPt>
          <c:dPt>
            <c:idx val="21"/>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B-B629-461F-A56C-DC7FB88A1734}"/>
              </c:ext>
            </c:extLst>
          </c:dPt>
          <c:dPt>
            <c:idx val="22"/>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D-B629-461F-A56C-DC7FB88A1734}"/>
              </c:ext>
            </c:extLst>
          </c:dPt>
          <c:dPt>
            <c:idx val="23"/>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2F-B629-461F-A56C-DC7FB88A1734}"/>
              </c:ext>
            </c:extLst>
          </c:dPt>
          <c:dPt>
            <c:idx val="24"/>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1-B629-461F-A56C-DC7FB88A1734}"/>
              </c:ext>
            </c:extLst>
          </c:dPt>
          <c:dPt>
            <c:idx val="25"/>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3-B629-461F-A56C-DC7FB88A1734}"/>
              </c:ext>
            </c:extLst>
          </c:dPt>
          <c:dPt>
            <c:idx val="26"/>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5-B629-461F-A56C-DC7FB88A1734}"/>
              </c:ext>
            </c:extLst>
          </c:dPt>
          <c:dPt>
            <c:idx val="27"/>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7-B629-461F-A56C-DC7FB88A1734}"/>
              </c:ext>
            </c:extLst>
          </c:dPt>
          <c:dPt>
            <c:idx val="28"/>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9-B629-461F-A56C-DC7FB88A1734}"/>
              </c:ext>
            </c:extLst>
          </c:dPt>
          <c:dPt>
            <c:idx val="29"/>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B-B629-461F-A56C-DC7FB88A1734}"/>
              </c:ext>
            </c:extLst>
          </c:dPt>
          <c:dPt>
            <c:idx val="30"/>
            <c:invertIfNegative val="1"/>
            <c:bubble3D val="0"/>
            <c:spPr>
              <a:gradFill flip="none" rotWithShape="1">
                <a:gsLst>
                  <a:gs pos="100000">
                    <a:srgbClr val="BEEEF1"/>
                  </a:gs>
                  <a:gs pos="0">
                    <a:srgbClr val="3AC7D6">
                      <a:alpha val="97255"/>
                    </a:srgbClr>
                  </a:gs>
                </a:gsLst>
                <a:lin ang="16200000" scaled="0"/>
                <a:tileRect/>
              </a:gradFill>
              <a:ln>
                <a:noFill/>
              </a:ln>
              <a:effectLst/>
            </c:spPr>
            <c:extLst>
              <c:ext xmlns:c16="http://schemas.microsoft.com/office/drawing/2014/chart" uri="{C3380CC4-5D6E-409C-BE32-E72D297353CC}">
                <c16:uniqueId val="{0000003D-B629-461F-A56C-DC7FB88A173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odec Pro" panose="00000600000000000000" pitchFamily="2" charset="0"/>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solidFill>
                <a:prstDash val="sysDot"/>
              </a:ln>
              <a:effectLst/>
            </c:spPr>
            <c:trendlineType val="linear"/>
            <c:dispRSqr val="0"/>
            <c:dispEq val="0"/>
          </c:trendline>
          <c:val>
            <c:numRef>
              <c:f>'Dane wejściowe'!$M$129:$M$159</c:f>
              <c:numCache>
                <c:formatCode>0</c:formatCode>
                <c:ptCount val="31"/>
                <c:pt idx="0">
                  <c:v>-36399.996000000006</c:v>
                </c:pt>
                <c:pt idx="1">
                  <c:v>-26207.794128000009</c:v>
                </c:pt>
                <c:pt idx="2">
                  <c:v>-15868.926471061928</c:v>
                </c:pt>
                <c:pt idx="3">
                  <c:v>-5381.2825085405093</c:v>
                </c:pt>
                <c:pt idx="4">
                  <c:v>5257.2786506015946</c:v>
                </c:pt>
                <c:pt idx="5">
                  <c:v>16048.928704823753</c:v>
                </c:pt>
                <c:pt idx="6">
                  <c:v>26995.87060332617</c:v>
                </c:pt>
                <c:pt idx="7">
                  <c:v>38100.338995748039</c:v>
                </c:pt>
                <c:pt idx="8">
                  <c:v>49364.600688336861</c:v>
                </c:pt>
                <c:pt idx="9">
                  <c:v>60790.955106682035</c:v>
                </c:pt>
                <c:pt idx="10">
                  <c:v>72381.73476510719</c:v>
                </c:pt>
                <c:pt idx="11">
                  <c:v>84139.305742817087</c:v>
                </c:pt>
                <c:pt idx="12">
                  <c:v>96066.068166896235</c:v>
                </c:pt>
                <c:pt idx="13">
                  <c:v>108164.45670225788</c:v>
                </c:pt>
                <c:pt idx="14">
                  <c:v>120436.94104864339</c:v>
                </c:pt>
                <c:pt idx="15">
                  <c:v>132886.02644477339</c:v>
                </c:pt>
                <c:pt idx="16">
                  <c:v>145514.25417975368</c:v>
                </c:pt>
                <c:pt idx="17">
                  <c:v>158324.20211184036</c:v>
                </c:pt>
                <c:pt idx="18">
                  <c:v>171318.48519466975</c:v>
                </c:pt>
                <c:pt idx="19">
                  <c:v>184499.75601106105</c:v>
                </c:pt>
                <c:pt idx="20">
                  <c:v>197870.70531450023</c:v>
                </c:pt>
                <c:pt idx="21">
                  <c:v>211434.06257841591</c:v>
                </c:pt>
                <c:pt idx="22">
                  <c:v>225192.59655335933</c:v>
                </c:pt>
                <c:pt idx="23">
                  <c:v>239149.11583220219</c:v>
                </c:pt>
                <c:pt idx="24">
                  <c:v>253306.46942346761</c:v>
                </c:pt>
                <c:pt idx="25">
                  <c:v>267667.54733291134</c:v>
                </c:pt>
                <c:pt idx="26">
                  <c:v>282235.28115347197</c:v>
                </c:pt>
                <c:pt idx="27">
                  <c:v>297012.64466371044</c:v>
                </c:pt>
                <c:pt idx="28">
                  <c:v>312002.65443486127</c:v>
                </c:pt>
                <c:pt idx="29">
                  <c:v>327208.37044661894</c:v>
                </c:pt>
                <c:pt idx="30">
                  <c:v>342632.89671178581</c:v>
                </c:pt>
              </c:numCache>
            </c:numRef>
          </c:val>
          <c:extLst>
            <c:ext xmlns:c16="http://schemas.microsoft.com/office/drawing/2014/chart" uri="{C3380CC4-5D6E-409C-BE32-E72D297353CC}">
              <c16:uniqueId val="{00000001-079F-4C41-BA34-7751ECAC8F2F}"/>
            </c:ext>
          </c:extLst>
        </c:ser>
        <c:dLbls>
          <c:dLblPos val="outEnd"/>
          <c:showLegendKey val="0"/>
          <c:showVal val="1"/>
          <c:showCatName val="0"/>
          <c:showSerName val="0"/>
          <c:showPercent val="0"/>
          <c:showBubbleSize val="0"/>
        </c:dLbls>
        <c:gapWidth val="219"/>
        <c:overlap val="-27"/>
        <c:axId val="470259216"/>
        <c:axId val="470265744"/>
        <c:extLst/>
      </c:barChart>
      <c:catAx>
        <c:axId val="47025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Codec Pro" panose="00000600000000000000" pitchFamily="2" charset="0"/>
                <a:ea typeface="+mn-ea"/>
                <a:cs typeface="+mn-cs"/>
              </a:defRPr>
            </a:pPr>
            <a:endParaRPr lang="pl-PL"/>
          </a:p>
        </c:txPr>
        <c:crossAx val="470265744"/>
        <c:crosses val="autoZero"/>
        <c:auto val="1"/>
        <c:lblAlgn val="ctr"/>
        <c:lblOffset val="100"/>
        <c:noMultiLvlLbl val="0"/>
      </c:catAx>
      <c:valAx>
        <c:axId val="4702657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odec Pro" panose="00000600000000000000" pitchFamily="2" charset="0"/>
                <a:ea typeface="+mn-ea"/>
                <a:cs typeface="+mn-cs"/>
              </a:defRPr>
            </a:pPr>
            <a:endParaRPr lang="pl-PL"/>
          </a:p>
        </c:txPr>
        <c:crossAx val="47025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525713822072782E-2"/>
          <c:y val="3.7038613272417371E-2"/>
          <c:w val="0.93747428617792727"/>
          <c:h val="0.94726617390096435"/>
        </c:manualLayout>
      </c:layout>
      <c:barChart>
        <c:barDir val="col"/>
        <c:grouping val="clustered"/>
        <c:varyColors val="1"/>
        <c:ser>
          <c:idx val="0"/>
          <c:order val="0"/>
          <c:tx>
            <c:strRef>
              <c:f>'Dane wejściowe'!$M$128</c:f>
              <c:strCache>
                <c:ptCount val="1"/>
                <c:pt idx="0">
                  <c:v>Rentowność</c:v>
                </c:pt>
              </c:strCache>
            </c:strRef>
          </c:tx>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effectLst>
                      <a:outerShdw blurRad="50800" dist="38100" dir="5400000" algn="t" rotWithShape="0">
                        <a:prstClr val="black">
                          <a:alpha val="40000"/>
                        </a:prstClr>
                      </a:outerShdw>
                    </a:effectLst>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trendlineType val="linear"/>
            <c:dispRSqr val="0"/>
            <c:dispEq val="0"/>
          </c:trendline>
          <c:cat>
            <c:numRef>
              <c:f>'Dane wejściowe'!$B$129:$B$159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'Dane wejściowe'!$M$129:$M$159</c:f>
              <c:numCache>
                <c:formatCode>0</c:formatCode>
                <c:ptCount val="31"/>
                <c:pt idx="0">
                  <c:v>-36399.996000000006</c:v>
                </c:pt>
                <c:pt idx="1">
                  <c:v>-26207.794128000009</c:v>
                </c:pt>
                <c:pt idx="2">
                  <c:v>-15868.926471061928</c:v>
                </c:pt>
                <c:pt idx="3">
                  <c:v>-5381.2825085405093</c:v>
                </c:pt>
                <c:pt idx="4">
                  <c:v>5257.2786506015946</c:v>
                </c:pt>
                <c:pt idx="5">
                  <c:v>16048.928704823753</c:v>
                </c:pt>
                <c:pt idx="6">
                  <c:v>26995.87060332617</c:v>
                </c:pt>
                <c:pt idx="7">
                  <c:v>38100.338995748039</c:v>
                </c:pt>
                <c:pt idx="8">
                  <c:v>49364.600688336861</c:v>
                </c:pt>
                <c:pt idx="9">
                  <c:v>60790.955106682035</c:v>
                </c:pt>
                <c:pt idx="10">
                  <c:v>72381.73476510719</c:v>
                </c:pt>
                <c:pt idx="11">
                  <c:v>84139.305742817087</c:v>
                </c:pt>
                <c:pt idx="12">
                  <c:v>96066.068166896235</c:v>
                </c:pt>
                <c:pt idx="13">
                  <c:v>108164.45670225788</c:v>
                </c:pt>
                <c:pt idx="14">
                  <c:v>120436.94104864339</c:v>
                </c:pt>
                <c:pt idx="15">
                  <c:v>132886.02644477339</c:v>
                </c:pt>
                <c:pt idx="16">
                  <c:v>145514.25417975368</c:v>
                </c:pt>
                <c:pt idx="17">
                  <c:v>158324.20211184036</c:v>
                </c:pt>
                <c:pt idx="18">
                  <c:v>171318.48519466975</c:v>
                </c:pt>
                <c:pt idx="19">
                  <c:v>184499.75601106105</c:v>
                </c:pt>
                <c:pt idx="20">
                  <c:v>197870.70531450023</c:v>
                </c:pt>
                <c:pt idx="21">
                  <c:v>211434.06257841591</c:v>
                </c:pt>
                <c:pt idx="22">
                  <c:v>225192.59655335933</c:v>
                </c:pt>
                <c:pt idx="23">
                  <c:v>239149.11583220219</c:v>
                </c:pt>
                <c:pt idx="24">
                  <c:v>253306.46942346761</c:v>
                </c:pt>
                <c:pt idx="25">
                  <c:v>267667.54733291134</c:v>
                </c:pt>
                <c:pt idx="26">
                  <c:v>282235.28115347197</c:v>
                </c:pt>
                <c:pt idx="27">
                  <c:v>297012.64466371044</c:v>
                </c:pt>
                <c:pt idx="28">
                  <c:v>312002.65443486127</c:v>
                </c:pt>
                <c:pt idx="29">
                  <c:v>327208.37044661894</c:v>
                </c:pt>
                <c:pt idx="30">
                  <c:v>342632.89671178581</c:v>
                </c:pt>
              </c:numCache>
            </c:numRef>
          </c:val>
          <c:extLst>
            <c:ext xmlns:c16="http://schemas.microsoft.com/office/drawing/2014/chart" uri="{C3380CC4-5D6E-409C-BE32-E72D297353CC}">
              <c16:uniqueId val="{00000000-02C3-4591-AE44-E0C916DE7D8B}"/>
            </c:ext>
          </c:extLst>
        </c:ser>
        <c:ser>
          <c:idx val="1"/>
          <c:order val="1"/>
          <c:tx>
            <c:strRef>
              <c:f>PV!$AG$177</c:f>
              <c:strCache>
                <c:ptCount val="1"/>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'Dane wejściowe'!$B$129:$B$159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PV!$AG$181:$AG$211</c:f>
              <c:numCache>
                <c:formatCode>0</c:formatCode>
                <c:ptCount val="31"/>
              </c:numCache>
            </c:numRef>
          </c:val>
          <c:extLst>
            <c:ext xmlns:c16="http://schemas.microsoft.com/office/drawing/2014/chart" uri="{C3380CC4-5D6E-409C-BE32-E72D297353CC}">
              <c16:uniqueId val="{00000000-1904-4250-8CFF-A2DC5A7CE954}"/>
            </c:ext>
          </c:extLst>
        </c:ser>
        <c:ser>
          <c:idx val="2"/>
          <c:order val="2"/>
          <c:tx>
            <c:strRef>
              <c:f>PV!$AH$177</c:f>
              <c:strCache>
                <c:ptCount val="1"/>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'Dane wejściowe'!$B$129:$B$159</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PV!$AH$181:$AH$211</c:f>
              <c:numCache>
                <c:formatCode>0</c:formatCode>
                <c:ptCount val="31"/>
              </c:numCache>
            </c:numRef>
          </c:val>
          <c:extLst>
            <c:ext xmlns:c16="http://schemas.microsoft.com/office/drawing/2014/chart" uri="{C3380CC4-5D6E-409C-BE32-E72D297353CC}">
              <c16:uniqueId val="{00000001-1904-4250-8CFF-A2DC5A7CE954}"/>
            </c:ext>
          </c:extLst>
        </c:ser>
        <c:dLbls>
          <c:dLblPos val="outEnd"/>
          <c:showLegendKey val="0"/>
          <c:showVal val="1"/>
          <c:showCatName val="0"/>
          <c:showSerName val="0"/>
          <c:showPercent val="0"/>
          <c:showBubbleSize val="0"/>
        </c:dLbls>
        <c:gapWidth val="50"/>
        <c:overlap val="50"/>
        <c:axId val="470259216"/>
        <c:axId val="470265744"/>
        <c:extLst/>
      </c:barChart>
      <c:catAx>
        <c:axId val="47025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70265744"/>
        <c:crosses val="autoZero"/>
        <c:auto val="1"/>
        <c:lblAlgn val="ctr"/>
        <c:lblOffset val="100"/>
        <c:noMultiLvlLbl val="0"/>
      </c:catAx>
      <c:valAx>
        <c:axId val="470265744"/>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0" sourceLinked="1"/>
        <c:majorTickMark val="out"/>
        <c:minorTickMark val="none"/>
        <c:tickLblPos val="nextTo"/>
        <c:spPr>
          <a:noFill/>
          <a:ln w="12700">
            <a:solidFill>
              <a:srgbClr val="00206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702592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pl-PL"/>
    </a:p>
  </c:txPr>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493746343774626E-2"/>
          <c:y val="1.8138737370030814E-2"/>
          <c:w val="0.90839814066100288"/>
          <c:h val="0.82925864727177701"/>
        </c:manualLayout>
      </c:layout>
      <c:scatterChart>
        <c:scatterStyle val="smoothMarker"/>
        <c:varyColors val="0"/>
        <c:ser>
          <c:idx val="1"/>
          <c:order val="0"/>
          <c:tx>
            <c:strRef>
              <c:f>PV!$F$110</c:f>
              <c:strCache>
                <c:ptCount val="1"/>
                <c:pt idx="0">
                  <c:v>Profil firmy dziennej</c:v>
                </c:pt>
              </c:strCache>
            </c:strRef>
          </c:tx>
          <c:spPr>
            <a:ln w="38100" cap="rnd">
              <a:solidFill>
                <a:srgbClr val="49D0D7"/>
              </a:solidFill>
              <a:round/>
            </a:ln>
            <a:effectLst>
              <a:glow rad="88900">
                <a:srgbClr val="49D0D7">
                  <a:alpha val="50000"/>
                </a:srgbClr>
              </a:glow>
            </a:effectLst>
          </c:spPr>
          <c:marker>
            <c:symbol val="none"/>
          </c:marker>
          <c:dLbls>
            <c:spPr>
              <a:noFill/>
              <a:ln>
                <a:noFill/>
              </a:ln>
              <a:effectLst/>
            </c:spPr>
            <c:txPr>
              <a:bodyPr wrap="square" lIns="38100" tIns="19050" rIns="38100" bIns="19050" anchor="ctr">
                <a:spAutoFit/>
              </a:bodyPr>
              <a:lstStyle/>
              <a:p>
                <a:pPr>
                  <a:defRPr>
                    <a:effectLst>
                      <a:outerShdw blurRad="50800" dist="38100" dir="5400000" algn="t" rotWithShape="0">
                        <a:prstClr val="black">
                          <a:alpha val="40000"/>
                        </a:prstClr>
                      </a:outerShdw>
                    </a:effectLst>
                  </a:defRPr>
                </a:pPr>
                <a:endParaRPr lang="pl-P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strRef>
              <c:f>PV!$B$114:$B$125</c:f>
              <c:strCache>
                <c:ptCount val="12"/>
                <c:pt idx="0">
                  <c:v>Styczeń</c:v>
                </c:pt>
                <c:pt idx="1">
                  <c:v>Luty</c:v>
                </c:pt>
                <c:pt idx="2">
                  <c:v>Marzec</c:v>
                </c:pt>
                <c:pt idx="3">
                  <c:v>Kwiecień</c:v>
                </c:pt>
                <c:pt idx="4">
                  <c:v>Maj</c:v>
                </c:pt>
                <c:pt idx="5">
                  <c:v>Czerwiec</c:v>
                </c:pt>
                <c:pt idx="6">
                  <c:v>Lipiec</c:v>
                </c:pt>
                <c:pt idx="7">
                  <c:v>Sierpień</c:v>
                </c:pt>
                <c:pt idx="8">
                  <c:v>Wrzesień</c:v>
                </c:pt>
                <c:pt idx="9">
                  <c:v>Październik</c:v>
                </c:pt>
                <c:pt idx="10">
                  <c:v>Listopad</c:v>
                </c:pt>
                <c:pt idx="11">
                  <c:v>Grudzień</c:v>
                </c:pt>
              </c:strCache>
            </c:strRef>
          </c:xVal>
          <c:yVal>
            <c:numRef>
              <c:f>PV!$F$114:$F$125</c:f>
              <c:numCache>
                <c:formatCode>0</c:formatCode>
                <c:ptCount val="12"/>
                <c:pt idx="0">
                  <c:v>1110</c:v>
                </c:pt>
                <c:pt idx="1">
                  <c:v>1110</c:v>
                </c:pt>
                <c:pt idx="2">
                  <c:v>1110</c:v>
                </c:pt>
                <c:pt idx="3">
                  <c:v>1110</c:v>
                </c:pt>
                <c:pt idx="4">
                  <c:v>1110</c:v>
                </c:pt>
                <c:pt idx="5">
                  <c:v>1110</c:v>
                </c:pt>
                <c:pt idx="6">
                  <c:v>1110</c:v>
                </c:pt>
                <c:pt idx="7">
                  <c:v>1110</c:v>
                </c:pt>
                <c:pt idx="8">
                  <c:v>1110</c:v>
                </c:pt>
                <c:pt idx="9">
                  <c:v>1110</c:v>
                </c:pt>
                <c:pt idx="10">
                  <c:v>1110</c:v>
                </c:pt>
                <c:pt idx="11">
                  <c:v>1110</c:v>
                </c:pt>
              </c:numCache>
            </c:numRef>
          </c:yVal>
          <c:smooth val="1"/>
          <c:extLst>
            <c:ext xmlns:c16="http://schemas.microsoft.com/office/drawing/2014/chart" uri="{C3380CC4-5D6E-409C-BE32-E72D297353CC}">
              <c16:uniqueId val="{00000000-32D9-46D6-B483-3FD850C6B4D7}"/>
            </c:ext>
          </c:extLst>
        </c:ser>
        <c:ser>
          <c:idx val="0"/>
          <c:order val="1"/>
          <c:tx>
            <c:strRef>
              <c:f>PV!$I$110</c:f>
              <c:strCache>
                <c:ptCount val="1"/>
                <c:pt idx="0">
                  <c:v>Produkcja instalacji PV</c:v>
                </c:pt>
              </c:strCache>
            </c:strRef>
          </c:tx>
          <c:spPr>
            <a:ln w="38100" cap="rnd">
              <a:solidFill>
                <a:srgbClr val="23234F"/>
              </a:solidFill>
              <a:round/>
            </a:ln>
            <a:effectLst>
              <a:glow rad="63500">
                <a:srgbClr val="23234F">
                  <a:alpha val="40000"/>
                </a:srgbClr>
              </a:glow>
            </a:effectLst>
          </c:spPr>
          <c:marker>
            <c:symbol val="none"/>
          </c:marker>
          <c:dLbls>
            <c:spPr>
              <a:noFill/>
              <a:ln>
                <a:noFill/>
              </a:ln>
              <a:effectLst/>
            </c:spPr>
            <c:txPr>
              <a:bodyPr wrap="square" lIns="38100" tIns="19050" rIns="38100" bIns="19050" anchor="ctr">
                <a:spAutoFit/>
              </a:bodyPr>
              <a:lstStyle/>
              <a:p>
                <a:pPr>
                  <a:defRPr sz="1200">
                    <a:effectLst>
                      <a:outerShdw blurRad="50800" dist="38100" dir="5400000" algn="t" rotWithShape="0">
                        <a:prstClr val="black">
                          <a:alpha val="40000"/>
                        </a:prstClr>
                      </a:outerShdw>
                    </a:effectLst>
                  </a:defRPr>
                </a:pPr>
                <a:endParaRPr lang="pl-P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strRef>
              <c:f>PV!$B$114:$B$125</c:f>
              <c:strCache>
                <c:ptCount val="12"/>
                <c:pt idx="0">
                  <c:v>Styczeń</c:v>
                </c:pt>
                <c:pt idx="1">
                  <c:v>Luty</c:v>
                </c:pt>
                <c:pt idx="2">
                  <c:v>Marzec</c:v>
                </c:pt>
                <c:pt idx="3">
                  <c:v>Kwiecień</c:v>
                </c:pt>
                <c:pt idx="4">
                  <c:v>Maj</c:v>
                </c:pt>
                <c:pt idx="5">
                  <c:v>Czerwiec</c:v>
                </c:pt>
                <c:pt idx="6">
                  <c:v>Lipiec</c:v>
                </c:pt>
                <c:pt idx="7">
                  <c:v>Sierpień</c:v>
                </c:pt>
                <c:pt idx="8">
                  <c:v>Wrzesień</c:v>
                </c:pt>
                <c:pt idx="9">
                  <c:v>Październik</c:v>
                </c:pt>
                <c:pt idx="10">
                  <c:v>Listopad</c:v>
                </c:pt>
                <c:pt idx="11">
                  <c:v>Grudzień</c:v>
                </c:pt>
              </c:strCache>
            </c:strRef>
          </c:xVal>
          <c:yVal>
            <c:numRef>
              <c:f>PV!$I$114:$I$125</c:f>
              <c:numCache>
                <c:formatCode>0</c:formatCode>
                <c:ptCount val="12"/>
                <c:pt idx="0">
                  <c:v>464.43250802139033</c:v>
                </c:pt>
                <c:pt idx="1">
                  <c:v>609.71652335115823</c:v>
                </c:pt>
                <c:pt idx="2">
                  <c:v>983.64423493761171</c:v>
                </c:pt>
                <c:pt idx="3">
                  <c:v>1390.9158188948297</c:v>
                </c:pt>
                <c:pt idx="4">
                  <c:v>1471.8937946524088</c:v>
                </c:pt>
                <c:pt idx="5">
                  <c:v>1505.2376670231745</c:v>
                </c:pt>
                <c:pt idx="6">
                  <c:v>1579.0705272727234</c:v>
                </c:pt>
                <c:pt idx="7">
                  <c:v>1431.4048067736132</c:v>
                </c:pt>
                <c:pt idx="8">
                  <c:v>1097.9660830659541</c:v>
                </c:pt>
                <c:pt idx="9">
                  <c:v>752.61883351158588</c:v>
                </c:pt>
                <c:pt idx="10">
                  <c:v>404.88987878787913</c:v>
                </c:pt>
                <c:pt idx="11">
                  <c:v>333.43872370766525</c:v>
                </c:pt>
              </c:numCache>
            </c:numRef>
          </c:yVal>
          <c:smooth val="1"/>
          <c:extLst>
            <c:ext xmlns:c16="http://schemas.microsoft.com/office/drawing/2014/chart" uri="{C3380CC4-5D6E-409C-BE32-E72D297353CC}">
              <c16:uniqueId val="{00000001-32D9-46D6-B483-3FD850C6B4D7}"/>
            </c:ext>
          </c:extLst>
        </c:ser>
        <c:dLbls>
          <c:dLblPos val="t"/>
          <c:showLegendKey val="0"/>
          <c:showVal val="1"/>
          <c:showCatName val="0"/>
          <c:showSerName val="0"/>
          <c:showPercent val="0"/>
          <c:showBubbleSize val="0"/>
        </c:dLbls>
        <c:axId val="470269552"/>
        <c:axId val="470260304"/>
      </c:scatterChart>
      <c:valAx>
        <c:axId val="470269552"/>
        <c:scaling>
          <c:orientation val="minMax"/>
          <c:max val="12"/>
          <c:min val="1"/>
        </c:scaling>
        <c:delete val="0"/>
        <c:axPos val="b"/>
        <c:numFmt formatCode="General" sourceLinked="1"/>
        <c:majorTickMark val="none"/>
        <c:minorTickMark val="none"/>
        <c:tickLblPos val="nextTo"/>
        <c:txPr>
          <a:bodyPr rot="-60000000" vert="horz"/>
          <a:lstStyle/>
          <a:p>
            <a:pPr>
              <a:defRPr/>
            </a:pPr>
            <a:endParaRPr lang="pl-PL"/>
          </a:p>
        </c:txPr>
        <c:crossAx val="470260304"/>
        <c:crosses val="autoZero"/>
        <c:crossBetween val="midCat"/>
        <c:majorUnit val="1"/>
        <c:minorUnit val="1"/>
      </c:valAx>
      <c:valAx>
        <c:axId val="470260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70269552"/>
        <c:crosses val="autoZero"/>
        <c:crossBetween val="midCat"/>
      </c:valAx>
      <c:spPr>
        <a:noFill/>
        <a:ln>
          <a:noFill/>
        </a:ln>
        <a:effectLst/>
      </c:spPr>
    </c:plotArea>
    <c:legend>
      <c:legendPos val="r"/>
      <c:layout>
        <c:manualLayout>
          <c:xMode val="edge"/>
          <c:yMode val="edge"/>
          <c:x val="0.22901120583742007"/>
          <c:y val="0.89705566060524577"/>
          <c:w val="0.58026805978268747"/>
          <c:h val="9.9274583941341477E-2"/>
        </c:manualLayout>
      </c:layout>
      <c:overlay val="0"/>
      <c:txPr>
        <a:bodyPr/>
        <a:lstStyle/>
        <a:p>
          <a:pPr>
            <a:defRPr sz="1200"/>
          </a:pPr>
          <a:endParaRPr lang="pl-PL"/>
        </a:p>
      </c:txPr>
    </c:legend>
    <c:plotVisOnly val="1"/>
    <c:dispBlanksAs val="gap"/>
    <c:showDLblsOverMax val="0"/>
  </c:chart>
  <c:spPr>
    <a:noFill/>
    <a:ln w="9525" cap="flat" cmpd="sng" algn="ctr">
      <a:noFill/>
      <a:round/>
    </a:ln>
    <a:effectLst/>
  </c:spPr>
  <c:txPr>
    <a:bodyPr/>
    <a:lstStyle/>
    <a:p>
      <a:pPr>
        <a:defRPr/>
      </a:pPr>
      <a:endParaRPr lang="pl-PL"/>
    </a:p>
  </c:txPr>
  <c:printSettings>
    <c:headerFooter/>
    <c:pageMargins b="0.75000000000000089" l="0.70000000000000062" r="0.70000000000000062" t="0.75000000000000089"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9333333333333343E-2"/>
          <c:y val="0"/>
          <c:w val="0.93500000000000005"/>
          <c:h val="0.60026051924885671"/>
        </c:manualLayout>
      </c:layout>
      <c:barChart>
        <c:barDir val="bar"/>
        <c:grouping val="stacked"/>
        <c:varyColors val="0"/>
        <c:ser>
          <c:idx val="0"/>
          <c:order val="0"/>
          <c:tx>
            <c:strRef>
              <c:f>'BAZA DANYCH'!$X$61:$X$63</c:f>
              <c:strCache>
                <c:ptCount val="3"/>
                <c:pt idx="0">
                  <c:v>0,9</c:v>
                </c:pt>
                <c:pt idx="1">
                  <c:v>0,3</c:v>
                </c:pt>
                <c:pt idx="2">
                  <c:v>0,3</c:v>
                </c:pt>
              </c:strCache>
            </c:strRef>
          </c:tx>
          <c:spPr>
            <a:solidFill>
              <a:srgbClr val="FFFF00"/>
            </a:solidFill>
            <a:ln>
              <a:noFill/>
            </a:ln>
            <a:effectLst/>
          </c:spPr>
          <c:invertIfNegative val="0"/>
          <c:val>
            <c:numRef>
              <c:f>'BAZA DANYCH'!$X$61</c:f>
              <c:numCache>
                <c:formatCode>General</c:formatCode>
                <c:ptCount val="1"/>
                <c:pt idx="0">
                  <c:v>0.9</c:v>
                </c:pt>
              </c:numCache>
            </c:numRef>
          </c:val>
          <c:extLst>
            <c:ext xmlns:c16="http://schemas.microsoft.com/office/drawing/2014/chart" uri="{C3380CC4-5D6E-409C-BE32-E72D297353CC}">
              <c16:uniqueId val="{00000000-0450-497E-905B-D840FD7F3DBF}"/>
            </c:ext>
          </c:extLst>
        </c:ser>
        <c:ser>
          <c:idx val="1"/>
          <c:order val="1"/>
          <c:spPr>
            <a:solidFill>
              <a:srgbClr val="92D050"/>
            </a:solidFill>
            <a:ln>
              <a:noFill/>
            </a:ln>
            <a:effectLst/>
          </c:spPr>
          <c:invertIfNegative val="0"/>
          <c:val>
            <c:numRef>
              <c:f>'BAZA DANYCH'!$X$62</c:f>
              <c:numCache>
                <c:formatCode>General</c:formatCode>
                <c:ptCount val="1"/>
                <c:pt idx="0">
                  <c:v>0.29999999999999993</c:v>
                </c:pt>
              </c:numCache>
            </c:numRef>
          </c:val>
          <c:extLst>
            <c:ext xmlns:c16="http://schemas.microsoft.com/office/drawing/2014/chart" uri="{C3380CC4-5D6E-409C-BE32-E72D297353CC}">
              <c16:uniqueId val="{00000001-0450-497E-905B-D840FD7F3DBF}"/>
            </c:ext>
          </c:extLst>
        </c:ser>
        <c:ser>
          <c:idx val="2"/>
          <c:order val="2"/>
          <c:spPr>
            <a:solidFill>
              <a:srgbClr val="FF0000"/>
            </a:solidFill>
            <a:ln>
              <a:noFill/>
            </a:ln>
            <a:effectLst/>
          </c:spPr>
          <c:invertIfNegative val="0"/>
          <c:val>
            <c:numRef>
              <c:f>'BAZA DANYCH'!$X$63</c:f>
              <c:numCache>
                <c:formatCode>General</c:formatCode>
                <c:ptCount val="1"/>
                <c:pt idx="0">
                  <c:v>0.30000000000000004</c:v>
                </c:pt>
              </c:numCache>
            </c:numRef>
          </c:val>
          <c:extLst>
            <c:ext xmlns:c16="http://schemas.microsoft.com/office/drawing/2014/chart" uri="{C3380CC4-5D6E-409C-BE32-E72D297353CC}">
              <c16:uniqueId val="{00000002-0450-497E-905B-D840FD7F3DBF}"/>
            </c:ext>
          </c:extLst>
        </c:ser>
        <c:dLbls>
          <c:showLegendKey val="0"/>
          <c:showVal val="0"/>
          <c:showCatName val="0"/>
          <c:showSerName val="0"/>
          <c:showPercent val="0"/>
          <c:showBubbleSize val="0"/>
        </c:dLbls>
        <c:gapWidth val="0"/>
        <c:overlap val="100"/>
        <c:axId val="470267376"/>
        <c:axId val="470272816"/>
      </c:barChart>
      <c:scatterChart>
        <c:scatterStyle val="lineMarker"/>
        <c:varyColors val="0"/>
        <c:ser>
          <c:idx val="3"/>
          <c:order val="3"/>
          <c:tx>
            <c:strRef>
              <c:f>'BAZA DANYCH'!$W$64</c:f>
              <c:strCache>
                <c:ptCount val="1"/>
                <c:pt idx="0">
                  <c:v>50</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3-0450-497E-905B-D840FD7F3DBF}"/>
                </c:ext>
              </c:extLst>
            </c:dLbl>
            <c:numFmt formatCode="0%" sourceLinked="0"/>
            <c:spPr>
              <a:noFill/>
              <a:ln>
                <a:noFill/>
              </a:ln>
              <a:effectLst/>
            </c:spPr>
            <c:txPr>
              <a:bodyPr rot="0" spcFirstLastPara="1" vertOverflow="ellipsis" vert="horz" wrap="square" lIns="38100" tIns="72000" rIns="108000" bIns="19050" anchor="ctr" anchorCtr="1">
                <a:spAutoFit/>
              </a:bodyPr>
              <a:lstStyle/>
              <a:p>
                <a:pPr>
                  <a:defRPr sz="1800" b="0" i="0" u="none" strike="noStrike" kern="1200" baseline="0">
                    <a:solidFill>
                      <a:schemeClr val="tx1"/>
                    </a:solidFill>
                    <a:latin typeface="+mn-lt"/>
                    <a:ea typeface="+mn-ea"/>
                    <a:cs typeface="+mn-cs"/>
                  </a:defRPr>
                </a:pPr>
                <a:endParaRPr lang="pl-PL"/>
              </a:p>
            </c:txPr>
            <c:dLblPos val="l"/>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xVal>
            <c:numRef>
              <c:f>'BAZA DANYCH'!$X$66:$X$67</c:f>
              <c:numCache>
                <c:formatCode>General</c:formatCode>
                <c:ptCount val="2"/>
                <c:pt idx="0">
                  <c:v>1.6525787784799999</c:v>
                </c:pt>
                <c:pt idx="1">
                  <c:v>1.6525787784799999</c:v>
                </c:pt>
              </c:numCache>
            </c:numRef>
          </c:xVal>
          <c:yVal>
            <c:numRef>
              <c:f>'BAZA DANYCH'!$W$66:$W$67</c:f>
              <c:numCache>
                <c:formatCode>General</c:formatCode>
                <c:ptCount val="2"/>
                <c:pt idx="0">
                  <c:v>1</c:v>
                </c:pt>
                <c:pt idx="1">
                  <c:v>45</c:v>
                </c:pt>
              </c:numCache>
            </c:numRef>
          </c:yVal>
          <c:smooth val="0"/>
          <c:extLst>
            <c:ext xmlns:c16="http://schemas.microsoft.com/office/drawing/2014/chart" uri="{C3380CC4-5D6E-409C-BE32-E72D297353CC}">
              <c16:uniqueId val="{00000004-0450-497E-905B-D840FD7F3DBF}"/>
            </c:ext>
          </c:extLst>
        </c:ser>
        <c:ser>
          <c:idx val="4"/>
          <c:order val="4"/>
          <c:yVal>
            <c:numLit>
              <c:formatCode>General</c:formatCode>
              <c:ptCount val="1"/>
              <c:pt idx="0">
                <c:v>1</c:v>
              </c:pt>
            </c:numLit>
          </c:yVal>
          <c:smooth val="0"/>
          <c:extLst>
            <c:ext xmlns:c16="http://schemas.microsoft.com/office/drawing/2014/chart" uri="{C3380CC4-5D6E-409C-BE32-E72D297353CC}">
              <c16:uniqueId val="{00000000-F664-4BF0-9062-C062A77C994A}"/>
            </c:ext>
          </c:extLst>
        </c:ser>
        <c:dLbls>
          <c:showLegendKey val="0"/>
          <c:showVal val="0"/>
          <c:showCatName val="0"/>
          <c:showSerName val="0"/>
          <c:showPercent val="0"/>
          <c:showBubbleSize val="0"/>
        </c:dLbls>
        <c:axId val="470258672"/>
        <c:axId val="470263024"/>
      </c:scatterChart>
      <c:valAx>
        <c:axId val="470258672"/>
        <c:scaling>
          <c:orientation val="minMax"/>
          <c:max val="1.5"/>
          <c:min val="0.60000000000000031"/>
        </c:scaling>
        <c:delete val="0"/>
        <c:axPos val="b"/>
        <c:numFmt formatCode="0%" sourceLinked="0"/>
        <c:majorTickMark val="none"/>
        <c:minorTickMark val="none"/>
        <c:tickLblPos val="low"/>
        <c:spPr>
          <a:noFill/>
          <a:ln w="0" cap="flat" cmpd="sng" algn="ctr">
            <a:noFill/>
            <a:round/>
          </a:ln>
          <a:effectLst/>
        </c:spPr>
        <c:txPr>
          <a:bodyPr rot="0" spcFirstLastPara="1" vertOverflow="ellipsis" vert="horz" wrap="square" anchor="ctr" anchorCtr="0"/>
          <a:lstStyle/>
          <a:p>
            <a:pPr>
              <a:defRPr sz="1600" b="0" i="0" u="none" strike="noStrike" kern="1200" baseline="0">
                <a:solidFill>
                  <a:schemeClr val="tx1">
                    <a:lumMod val="65000"/>
                    <a:lumOff val="35000"/>
                  </a:schemeClr>
                </a:solidFill>
                <a:latin typeface="+mn-lt"/>
                <a:ea typeface="+mn-ea"/>
                <a:cs typeface="+mn-cs"/>
              </a:defRPr>
            </a:pPr>
            <a:endParaRPr lang="pl-PL"/>
          </a:p>
        </c:txPr>
        <c:crossAx val="470263024"/>
        <c:crosses val="autoZero"/>
        <c:crossBetween val="midCat"/>
      </c:valAx>
      <c:valAx>
        <c:axId val="470263024"/>
        <c:scaling>
          <c:orientation val="minMax"/>
        </c:scaling>
        <c:delete val="1"/>
        <c:axPos val="r"/>
        <c:numFmt formatCode="General" sourceLinked="1"/>
        <c:majorTickMark val="none"/>
        <c:minorTickMark val="none"/>
        <c:tickLblPos val="none"/>
        <c:crossAx val="470258672"/>
        <c:crosses val="max"/>
        <c:crossBetween val="midCat"/>
      </c:valAx>
      <c:valAx>
        <c:axId val="470272816"/>
        <c:scaling>
          <c:orientation val="minMax"/>
          <c:max val="150"/>
          <c:min val="60"/>
        </c:scaling>
        <c:delete val="1"/>
        <c:axPos val="t"/>
        <c:numFmt formatCode="General" sourceLinked="1"/>
        <c:majorTickMark val="out"/>
        <c:minorTickMark val="none"/>
        <c:tickLblPos val="none"/>
        <c:crossAx val="470267376"/>
        <c:crosses val="max"/>
        <c:crossBetween val="between"/>
      </c:valAx>
      <c:catAx>
        <c:axId val="470267376"/>
        <c:scaling>
          <c:orientation val="minMax"/>
        </c:scaling>
        <c:delete val="1"/>
        <c:axPos val="l"/>
        <c:majorTickMark val="out"/>
        <c:minorTickMark val="none"/>
        <c:tickLblPos val="none"/>
        <c:crossAx val="470272816"/>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pl-PL"/>
    </a:p>
  </c:txPr>
  <c:printSettings>
    <c:headerFooter/>
    <c:pageMargins b="0.75000000000000022" l="0.70000000000000018" r="0.70000000000000018" t="0.75000000000000022" header="0.3000000000000001" footer="0.3000000000000001"/>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85-4507-9D9B-5E7F35FCCB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85-4507-9D9B-5E7F35FCCB31}"/>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C385-4507-9D9B-5E7F35FCCB31}"/>
              </c:ext>
            </c:extLst>
          </c:dPt>
          <c:dLbls>
            <c:dLbl>
              <c:idx val="0"/>
              <c:layout>
                <c:manualLayout>
                  <c:x val="-0.13210988132183965"/>
                  <c:y val="-0.24458215903712038"/>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15:layout>
                    <c:manualLayout>
                      <c:w val="0.3689410100329425"/>
                      <c:h val="0.13800023428501462"/>
                    </c:manualLayout>
                  </c15:layout>
                </c:ext>
                <c:ext xmlns:c16="http://schemas.microsoft.com/office/drawing/2014/chart" uri="{C3380CC4-5D6E-409C-BE32-E72D297353CC}">
                  <c16:uniqueId val="{00000001-C385-4507-9D9B-5E7F35FCCB31}"/>
                </c:ext>
              </c:extLst>
            </c:dLbl>
            <c:dLbl>
              <c:idx val="1"/>
              <c:layout>
                <c:manualLayout>
                  <c:x val="-0.13350506965169176"/>
                  <c:y val="1.262197264801963E-2"/>
                </c:manualLayout>
              </c:layout>
              <c:showLegendKey val="0"/>
              <c:showVal val="1"/>
              <c:showCatName val="0"/>
              <c:showSerName val="0"/>
              <c:showPercent val="0"/>
              <c:showBubbleSize val="0"/>
              <c:extLst>
                <c:ext xmlns:c15="http://schemas.microsoft.com/office/drawing/2012/chart" uri="{CE6537A1-D6FC-4f65-9D91-7224C49458BB}">
                  <c15:layout>
                    <c:manualLayout>
                      <c:w val="0.24680871429029855"/>
                      <c:h val="0.20700035142752191"/>
                    </c:manualLayout>
                  </c15:layout>
                </c:ext>
                <c:ext xmlns:c16="http://schemas.microsoft.com/office/drawing/2014/chart" uri="{C3380CC4-5D6E-409C-BE32-E72D297353CC}">
                  <c16:uniqueId val="{00000003-C385-4507-9D9B-5E7F35FCCB31}"/>
                </c:ext>
              </c:extLst>
            </c:dLbl>
            <c:dLbl>
              <c:idx val="2"/>
              <c:layout>
                <c:manualLayout>
                  <c:x val="5.2707266937350547E-2"/>
                  <c:y val="2.0653668291463561E-3"/>
                </c:manualLayout>
              </c:layout>
              <c:showLegendKey val="0"/>
              <c:showVal val="1"/>
              <c:showCatName val="0"/>
              <c:showSerName val="0"/>
              <c:showPercent val="0"/>
              <c:showBubbleSize val="0"/>
              <c:extLst>
                <c:ext xmlns:c15="http://schemas.microsoft.com/office/drawing/2012/chart" uri="{CE6537A1-D6FC-4f65-9D91-7224C49458BB}">
                  <c15:layout>
                    <c:manualLayout>
                      <c:w val="0.26305929665373257"/>
                      <c:h val="0.14156804522018815"/>
                    </c:manualLayout>
                  </c15:layout>
                </c:ext>
                <c:ext xmlns:c16="http://schemas.microsoft.com/office/drawing/2014/chart" uri="{C3380CC4-5D6E-409C-BE32-E72D297353CC}">
                  <c16:uniqueId val="{00000005-C385-4507-9D9B-5E7F35FCCB31}"/>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'BAZA DANYCH'!$N$55:$N$57</c:f>
              <c:strCache>
                <c:ptCount val="3"/>
                <c:pt idx="0">
                  <c:v>Netto</c:v>
                </c:pt>
                <c:pt idx="1">
                  <c:v>VAT</c:v>
                </c:pt>
                <c:pt idx="2">
                  <c:v>Dofinansowanie</c:v>
                </c:pt>
              </c:strCache>
            </c:strRef>
          </c:cat>
          <c:val>
            <c:numRef>
              <c:f>'BAZA DANYCH'!$O$55:$O$57</c:f>
              <c:numCache>
                <c:formatCode>#\ ##0.00\ "zł"</c:formatCode>
                <c:ptCount val="3"/>
                <c:pt idx="0">
                  <c:v>26294.189063999995</c:v>
                </c:pt>
                <c:pt idx="1">
                  <c:v>2103.5351251200154</c:v>
                </c:pt>
                <c:pt idx="2">
                  <c:v>0</c:v>
                </c:pt>
              </c:numCache>
            </c:numRef>
          </c:val>
          <c:extLst>
            <c:ext xmlns:c16="http://schemas.microsoft.com/office/drawing/2014/chart" uri="{C3380CC4-5D6E-409C-BE32-E72D297353CC}">
              <c16:uniqueId val="{00000006-C385-4507-9D9B-5E7F35FCCB31}"/>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385-4507-9D9B-5E7F35FCCB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385-4507-9D9B-5E7F35FCCB31}"/>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C-C385-4507-9D9B-5E7F35FCCB31}"/>
              </c:ext>
            </c:extLst>
          </c:dPt>
          <c:dLbls>
            <c:dLbl>
              <c:idx val="0"/>
              <c:layout>
                <c:manualLayout>
                  <c:x val="-0.27540360873694208"/>
                  <c:y val="-0.16538313428440632"/>
                </c:manualLayout>
              </c:layout>
              <c:showLegendKey val="0"/>
              <c:showVal val="1"/>
              <c:showCatName val="0"/>
              <c:showSerName val="0"/>
              <c:showPercent val="0"/>
              <c:showBubbleSize val="0"/>
              <c:extLst>
                <c:ext xmlns:c15="http://schemas.microsoft.com/office/drawing/2012/chart" uri="{CE6537A1-D6FC-4f65-9D91-7224C49458BB}">
                  <c15:layout>
                    <c:manualLayout>
                      <c:w val="0.36087369420702753"/>
                      <c:h val="0.16558436940446522"/>
                    </c:manualLayout>
                  </c15:layout>
                </c:ext>
                <c:ext xmlns:c16="http://schemas.microsoft.com/office/drawing/2014/chart" uri="{C3380CC4-5D6E-409C-BE32-E72D297353CC}">
                  <c16:uniqueId val="{00000008-C385-4507-9D9B-5E7F35FCCB31}"/>
                </c:ext>
              </c:extLst>
            </c:dLbl>
            <c:dLbl>
              <c:idx val="1"/>
              <c:layout>
                <c:manualLayout>
                  <c:x val="5.401206509539843E-2"/>
                  <c:y val="4.4949613745940184E-2"/>
                </c:manualLayout>
              </c:layout>
              <c:showLegendKey val="0"/>
              <c:showVal val="1"/>
              <c:showCatName val="0"/>
              <c:showSerName val="0"/>
              <c:showPercent val="0"/>
              <c:showBubbleSize val="0"/>
              <c:extLst>
                <c:ext xmlns:c15="http://schemas.microsoft.com/office/drawing/2012/chart" uri="{CE6537A1-D6FC-4f65-9D91-7224C49458BB}">
                  <c15:layout>
                    <c:manualLayout>
                      <c:w val="0.29375574848015795"/>
                      <c:h val="0.16705623046583823"/>
                    </c:manualLayout>
                  </c15:layout>
                </c:ext>
                <c:ext xmlns:c16="http://schemas.microsoft.com/office/drawing/2014/chart" uri="{C3380CC4-5D6E-409C-BE32-E72D297353CC}">
                  <c16:uniqueId val="{0000000A-C385-4507-9D9B-5E7F35FCCB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'BAZA DANYCH'!$N$55:$N$57</c:f>
              <c:strCache>
                <c:ptCount val="3"/>
                <c:pt idx="0">
                  <c:v>Netto</c:v>
                </c:pt>
                <c:pt idx="1">
                  <c:v>VAT</c:v>
                </c:pt>
                <c:pt idx="2">
                  <c:v>Dofinansowanie</c:v>
                </c:pt>
              </c:strCache>
            </c:strRef>
          </c:cat>
          <c:val>
            <c:numRef>
              <c:f>'BAZA DANYCH'!$O$55:$O$57</c:f>
              <c:numCache>
                <c:formatCode>#\ ##0.00\ "zł"</c:formatCode>
                <c:ptCount val="3"/>
                <c:pt idx="0">
                  <c:v>26294.189063999995</c:v>
                </c:pt>
                <c:pt idx="1">
                  <c:v>2103.5351251200154</c:v>
                </c:pt>
                <c:pt idx="2">
                  <c:v>0</c:v>
                </c:pt>
              </c:numCache>
            </c:numRef>
          </c:val>
          <c:extLst>
            <c:ext xmlns:c16="http://schemas.microsoft.com/office/drawing/2014/chart" uri="{C3380CC4-5D6E-409C-BE32-E72D297353CC}">
              <c16:uniqueId val="{0000000D-C385-4507-9D9B-5E7F35FCCB3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6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5B-41E2-B7F7-E7C4B51A67C4}"/>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935B-41E2-B7F7-E7C4B51A67C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35B-41E2-B7F7-E7C4B51A67C4}"/>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935B-41E2-B7F7-E7C4B51A67C4}"/>
              </c:ext>
            </c:extLst>
          </c:dPt>
          <c:dLbls>
            <c:dLbl>
              <c:idx val="0"/>
              <c:layout>
                <c:manualLayout>
                  <c:x val="-0.26588903843278"/>
                  <c:y val="-0.20965211891208096"/>
                </c:manualLayout>
              </c:layout>
              <c:showLegendKey val="0"/>
              <c:showVal val="1"/>
              <c:showCatName val="0"/>
              <c:showSerName val="0"/>
              <c:showPercent val="0"/>
              <c:showBubbleSize val="0"/>
              <c:extLst>
                <c:ext xmlns:c15="http://schemas.microsoft.com/office/drawing/2012/chart" uri="{CE6537A1-D6FC-4f65-9D91-7224C49458BB}">
                  <c15:layout>
                    <c:manualLayout>
                      <c:w val="0.32761327949753255"/>
                      <c:h val="0.16567836812144213"/>
                    </c:manualLayout>
                  </c15:layout>
                </c:ext>
                <c:ext xmlns:c16="http://schemas.microsoft.com/office/drawing/2014/chart" uri="{C3380CC4-5D6E-409C-BE32-E72D297353CC}">
                  <c16:uniqueId val="{00000001-935B-41E2-B7F7-E7C4B51A67C4}"/>
                </c:ext>
              </c:extLst>
            </c:dLbl>
            <c:dLbl>
              <c:idx val="1"/>
              <c:layout>
                <c:manualLayout>
                  <c:x val="-8.1138888888888899E-2"/>
                  <c:y val="5.8208333333333334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extLst>
                <c:ext xmlns:c15="http://schemas.microsoft.com/office/drawing/2012/chart" uri="{CE6537A1-D6FC-4f65-9D91-7224C49458BB}">
                  <c15:layout>
                    <c:manualLayout>
                      <c:w val="0.30338888888888887"/>
                      <c:h val="0.25135416666666666"/>
                    </c:manualLayout>
                  </c15:layout>
                </c:ext>
                <c:ext xmlns:c16="http://schemas.microsoft.com/office/drawing/2014/chart" uri="{C3380CC4-5D6E-409C-BE32-E72D297353CC}">
                  <c16:uniqueId val="{00000003-935B-41E2-B7F7-E7C4B51A67C4}"/>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pl-PL"/>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'BAZA DANYCH'!$N$58:$N$59</c:f>
              <c:strCache>
                <c:ptCount val="1"/>
                <c:pt idx="0">
                  <c:v>Gotówka</c:v>
                </c:pt>
              </c:strCache>
            </c:strRef>
          </c:cat>
          <c:val>
            <c:numRef>
              <c:f>'BAZA DANYCH'!$O$58:$O$59</c:f>
              <c:numCache>
                <c:formatCode>#\ ##0.00\ "zł"</c:formatCode>
                <c:ptCount val="2"/>
                <c:pt idx="0">
                  <c:v>28397.72418912001</c:v>
                </c:pt>
                <c:pt idx="1">
                  <c:v>0</c:v>
                </c:pt>
              </c:numCache>
            </c:numRef>
          </c:val>
          <c:extLst>
            <c:ext xmlns:c16="http://schemas.microsoft.com/office/drawing/2014/chart" uri="{C3380CC4-5D6E-409C-BE32-E72D297353CC}">
              <c16:uniqueId val="{00000008-935B-41E2-B7F7-E7C4B51A67C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6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chart>
  <c:spPr>
    <a:noFill/>
    <a:ln w="9525" cap="flat" cmpd="sng" algn="ctr">
      <a:noFill/>
      <a:round/>
    </a:ln>
    <a:effectLst/>
  </c:spPr>
  <c:txPr>
    <a:bodyPr/>
    <a:lstStyle/>
    <a:p>
      <a:pPr>
        <a:defRPr/>
      </a:pPr>
      <a:endParaRPr lang="pl-P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l-PL"/>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pl-PL"/>
              <a:t>Skumulowany przepływ
 środków pieniężnych z Mój Prąd 4.0</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pl-PL"/>
        </a:p>
      </c:txPr>
    </c:title>
    <c:autoTitleDeleted val="0"/>
    <c:plotArea>
      <c:layout>
        <c:manualLayout>
          <c:xMode val="edge"/>
          <c:yMode val="edge"/>
          <c:x val="0.17008601638800125"/>
          <c:y val="0.20184719433583431"/>
          <c:w val="0.80630409402583603"/>
          <c:h val="0.70157737151713695"/>
        </c:manualLayout>
      </c:layout>
      <c:barChart>
        <c:barDir val="col"/>
        <c:grouping val="clustered"/>
        <c:varyColors val="1"/>
        <c:ser>
          <c:idx val="0"/>
          <c:order val="0"/>
          <c:tx>
            <c:v>Bilans tyś PLN</c:v>
          </c:tx>
          <c:invertIfNegative val="1"/>
          <c:dPt>
            <c:idx val="0"/>
            <c:invertIfNegative val="1"/>
            <c:bubble3D val="0"/>
            <c:spPr>
              <a:solidFill>
                <a:schemeClr val="accent1">
                  <a:tint val="37000"/>
                </a:schemeClr>
              </a:solidFill>
              <a:ln>
                <a:noFill/>
              </a:ln>
              <a:effectLst/>
            </c:spPr>
            <c:extLst>
              <c:ext xmlns:c16="http://schemas.microsoft.com/office/drawing/2014/chart" uri="{C3380CC4-5D6E-409C-BE32-E72D297353CC}">
                <c16:uniqueId val="{00000001-3A7B-45C5-9E44-B6A498886D94}"/>
              </c:ext>
            </c:extLst>
          </c:dPt>
          <c:dPt>
            <c:idx val="1"/>
            <c:invertIfNegative val="1"/>
            <c:bubble3D val="0"/>
            <c:spPr>
              <a:solidFill>
                <a:schemeClr val="accent1">
                  <a:tint val="44000"/>
                </a:schemeClr>
              </a:solidFill>
              <a:ln>
                <a:noFill/>
              </a:ln>
              <a:effectLst/>
            </c:spPr>
            <c:extLst>
              <c:ext xmlns:c16="http://schemas.microsoft.com/office/drawing/2014/chart" uri="{C3380CC4-5D6E-409C-BE32-E72D297353CC}">
                <c16:uniqueId val="{00000003-3A7B-45C5-9E44-B6A498886D94}"/>
              </c:ext>
            </c:extLst>
          </c:dPt>
          <c:dPt>
            <c:idx val="2"/>
            <c:invertIfNegative val="1"/>
            <c:bubble3D val="0"/>
            <c:spPr>
              <a:solidFill>
                <a:schemeClr val="accent1">
                  <a:tint val="50000"/>
                </a:schemeClr>
              </a:solidFill>
              <a:ln>
                <a:noFill/>
              </a:ln>
              <a:effectLst/>
            </c:spPr>
            <c:extLst>
              <c:ext xmlns:c16="http://schemas.microsoft.com/office/drawing/2014/chart" uri="{C3380CC4-5D6E-409C-BE32-E72D297353CC}">
                <c16:uniqueId val="{00000005-3A7B-45C5-9E44-B6A498886D94}"/>
              </c:ext>
            </c:extLst>
          </c:dPt>
          <c:dPt>
            <c:idx val="3"/>
            <c:invertIfNegative val="1"/>
            <c:bubble3D val="0"/>
            <c:spPr>
              <a:solidFill>
                <a:schemeClr val="accent1">
                  <a:tint val="57000"/>
                </a:schemeClr>
              </a:solidFill>
              <a:ln>
                <a:noFill/>
              </a:ln>
              <a:effectLst/>
            </c:spPr>
            <c:extLst>
              <c:ext xmlns:c16="http://schemas.microsoft.com/office/drawing/2014/chart" uri="{C3380CC4-5D6E-409C-BE32-E72D297353CC}">
                <c16:uniqueId val="{00000007-3A7B-45C5-9E44-B6A498886D94}"/>
              </c:ext>
            </c:extLst>
          </c:dPt>
          <c:dPt>
            <c:idx val="4"/>
            <c:invertIfNegative val="1"/>
            <c:bubble3D val="0"/>
            <c:spPr>
              <a:solidFill>
                <a:schemeClr val="accent1">
                  <a:tint val="64000"/>
                </a:schemeClr>
              </a:solidFill>
              <a:ln>
                <a:noFill/>
              </a:ln>
              <a:effectLst/>
            </c:spPr>
            <c:extLst>
              <c:ext xmlns:c16="http://schemas.microsoft.com/office/drawing/2014/chart" uri="{C3380CC4-5D6E-409C-BE32-E72D297353CC}">
                <c16:uniqueId val="{00000009-3A7B-45C5-9E44-B6A498886D94}"/>
              </c:ext>
            </c:extLst>
          </c:dPt>
          <c:dPt>
            <c:idx val="5"/>
            <c:invertIfNegative val="1"/>
            <c:bubble3D val="0"/>
            <c:spPr>
              <a:solidFill>
                <a:schemeClr val="accent1">
                  <a:tint val="70000"/>
                </a:schemeClr>
              </a:solidFill>
              <a:ln>
                <a:noFill/>
              </a:ln>
              <a:effectLst/>
            </c:spPr>
            <c:extLst>
              <c:ext xmlns:c16="http://schemas.microsoft.com/office/drawing/2014/chart" uri="{C3380CC4-5D6E-409C-BE32-E72D297353CC}">
                <c16:uniqueId val="{0000000B-3A7B-45C5-9E44-B6A498886D94}"/>
              </c:ext>
            </c:extLst>
          </c:dPt>
          <c:dPt>
            <c:idx val="6"/>
            <c:invertIfNegative val="1"/>
            <c:bubble3D val="0"/>
            <c:spPr>
              <a:solidFill>
                <a:schemeClr val="accent1">
                  <a:tint val="77000"/>
                </a:schemeClr>
              </a:solidFill>
              <a:ln>
                <a:noFill/>
              </a:ln>
              <a:effectLst/>
            </c:spPr>
            <c:extLst>
              <c:ext xmlns:c16="http://schemas.microsoft.com/office/drawing/2014/chart" uri="{C3380CC4-5D6E-409C-BE32-E72D297353CC}">
                <c16:uniqueId val="{0000000D-3A7B-45C5-9E44-B6A498886D94}"/>
              </c:ext>
            </c:extLst>
          </c:dPt>
          <c:dPt>
            <c:idx val="7"/>
            <c:invertIfNegative val="1"/>
            <c:bubble3D val="0"/>
            <c:spPr>
              <a:solidFill>
                <a:schemeClr val="accent1">
                  <a:tint val="84000"/>
                </a:schemeClr>
              </a:solidFill>
              <a:ln>
                <a:noFill/>
              </a:ln>
              <a:effectLst/>
            </c:spPr>
            <c:extLst>
              <c:ext xmlns:c16="http://schemas.microsoft.com/office/drawing/2014/chart" uri="{C3380CC4-5D6E-409C-BE32-E72D297353CC}">
                <c16:uniqueId val="{0000000F-3A7B-45C5-9E44-B6A498886D94}"/>
              </c:ext>
            </c:extLst>
          </c:dPt>
          <c:dPt>
            <c:idx val="8"/>
            <c:invertIfNegative val="1"/>
            <c:bubble3D val="0"/>
            <c:spPr>
              <a:solidFill>
                <a:schemeClr val="accent1">
                  <a:tint val="90000"/>
                </a:schemeClr>
              </a:solidFill>
              <a:ln>
                <a:noFill/>
              </a:ln>
              <a:effectLst/>
            </c:spPr>
            <c:extLst>
              <c:ext xmlns:c16="http://schemas.microsoft.com/office/drawing/2014/chart" uri="{C3380CC4-5D6E-409C-BE32-E72D297353CC}">
                <c16:uniqueId val="{00000011-3A7B-45C5-9E44-B6A498886D94}"/>
              </c:ext>
            </c:extLst>
          </c:dPt>
          <c:dPt>
            <c:idx val="9"/>
            <c:invertIfNegative val="1"/>
            <c:bubble3D val="0"/>
            <c:spPr>
              <a:solidFill>
                <a:schemeClr val="accent1">
                  <a:tint val="97000"/>
                </a:schemeClr>
              </a:solidFill>
              <a:ln>
                <a:noFill/>
              </a:ln>
              <a:effectLst/>
            </c:spPr>
            <c:extLst>
              <c:ext xmlns:c16="http://schemas.microsoft.com/office/drawing/2014/chart" uri="{C3380CC4-5D6E-409C-BE32-E72D297353CC}">
                <c16:uniqueId val="{00000013-3A7B-45C5-9E44-B6A498886D94}"/>
              </c:ext>
            </c:extLst>
          </c:dPt>
          <c:dPt>
            <c:idx val="10"/>
            <c:invertIfNegative val="1"/>
            <c:bubble3D val="0"/>
            <c:spPr>
              <a:solidFill>
                <a:schemeClr val="accent1">
                  <a:shade val="96000"/>
                </a:schemeClr>
              </a:solidFill>
              <a:ln>
                <a:noFill/>
              </a:ln>
              <a:effectLst/>
            </c:spPr>
            <c:extLst>
              <c:ext xmlns:c16="http://schemas.microsoft.com/office/drawing/2014/chart" uri="{C3380CC4-5D6E-409C-BE32-E72D297353CC}">
                <c16:uniqueId val="{00000015-3A7B-45C5-9E44-B6A498886D94}"/>
              </c:ext>
            </c:extLst>
          </c:dPt>
          <c:dPt>
            <c:idx val="11"/>
            <c:invertIfNegative val="1"/>
            <c:bubble3D val="0"/>
            <c:spPr>
              <a:solidFill>
                <a:schemeClr val="accent1">
                  <a:shade val="90000"/>
                </a:schemeClr>
              </a:solidFill>
              <a:ln>
                <a:noFill/>
              </a:ln>
              <a:effectLst/>
            </c:spPr>
            <c:extLst>
              <c:ext xmlns:c16="http://schemas.microsoft.com/office/drawing/2014/chart" uri="{C3380CC4-5D6E-409C-BE32-E72D297353CC}">
                <c16:uniqueId val="{00000017-3A7B-45C5-9E44-B6A498886D94}"/>
              </c:ext>
            </c:extLst>
          </c:dPt>
          <c:dPt>
            <c:idx val="12"/>
            <c:invertIfNegative val="1"/>
            <c:bubble3D val="0"/>
            <c:spPr>
              <a:solidFill>
                <a:schemeClr val="accent1">
                  <a:shade val="83000"/>
                </a:schemeClr>
              </a:solidFill>
              <a:ln>
                <a:noFill/>
              </a:ln>
              <a:effectLst/>
            </c:spPr>
            <c:extLst>
              <c:ext xmlns:c16="http://schemas.microsoft.com/office/drawing/2014/chart" uri="{C3380CC4-5D6E-409C-BE32-E72D297353CC}">
                <c16:uniqueId val="{00000019-3A7B-45C5-9E44-B6A498886D94}"/>
              </c:ext>
            </c:extLst>
          </c:dPt>
          <c:dPt>
            <c:idx val="13"/>
            <c:invertIfNegative val="1"/>
            <c:bubble3D val="0"/>
            <c:spPr>
              <a:solidFill>
                <a:schemeClr val="accent1">
                  <a:shade val="76000"/>
                </a:schemeClr>
              </a:solidFill>
              <a:ln>
                <a:noFill/>
              </a:ln>
              <a:effectLst/>
            </c:spPr>
            <c:extLst>
              <c:ext xmlns:c16="http://schemas.microsoft.com/office/drawing/2014/chart" uri="{C3380CC4-5D6E-409C-BE32-E72D297353CC}">
                <c16:uniqueId val="{0000001B-3A7B-45C5-9E44-B6A498886D94}"/>
              </c:ext>
            </c:extLst>
          </c:dPt>
          <c:dPt>
            <c:idx val="14"/>
            <c:invertIfNegative val="1"/>
            <c:bubble3D val="0"/>
            <c:spPr>
              <a:solidFill>
                <a:schemeClr val="accent1">
                  <a:shade val="70000"/>
                </a:schemeClr>
              </a:solidFill>
              <a:ln>
                <a:noFill/>
              </a:ln>
              <a:effectLst/>
            </c:spPr>
            <c:extLst>
              <c:ext xmlns:c16="http://schemas.microsoft.com/office/drawing/2014/chart" uri="{C3380CC4-5D6E-409C-BE32-E72D297353CC}">
                <c16:uniqueId val="{0000001D-3A7B-45C5-9E44-B6A498886D94}"/>
              </c:ext>
            </c:extLst>
          </c:dPt>
          <c:dPt>
            <c:idx val="15"/>
            <c:invertIfNegative val="1"/>
            <c:bubble3D val="0"/>
            <c:spPr>
              <a:solidFill>
                <a:schemeClr val="accent1">
                  <a:shade val="63000"/>
                </a:schemeClr>
              </a:solidFill>
              <a:ln>
                <a:noFill/>
              </a:ln>
              <a:effectLst/>
            </c:spPr>
            <c:extLst>
              <c:ext xmlns:c16="http://schemas.microsoft.com/office/drawing/2014/chart" uri="{C3380CC4-5D6E-409C-BE32-E72D297353CC}">
                <c16:uniqueId val="{0000001F-3A7B-45C5-9E44-B6A498886D94}"/>
              </c:ext>
            </c:extLst>
          </c:dPt>
          <c:dPt>
            <c:idx val="16"/>
            <c:invertIfNegative val="1"/>
            <c:bubble3D val="0"/>
            <c:spPr>
              <a:solidFill>
                <a:schemeClr val="accent1">
                  <a:shade val="56000"/>
                </a:schemeClr>
              </a:solidFill>
              <a:ln>
                <a:noFill/>
              </a:ln>
              <a:effectLst/>
            </c:spPr>
            <c:extLst>
              <c:ext xmlns:c16="http://schemas.microsoft.com/office/drawing/2014/chart" uri="{C3380CC4-5D6E-409C-BE32-E72D297353CC}">
                <c16:uniqueId val="{00000021-3A7B-45C5-9E44-B6A498886D94}"/>
              </c:ext>
            </c:extLst>
          </c:dPt>
          <c:dPt>
            <c:idx val="17"/>
            <c:invertIfNegative val="1"/>
            <c:bubble3D val="0"/>
            <c:spPr>
              <a:solidFill>
                <a:schemeClr val="accent1">
                  <a:shade val="50000"/>
                </a:schemeClr>
              </a:solidFill>
              <a:ln>
                <a:noFill/>
              </a:ln>
              <a:effectLst/>
            </c:spPr>
            <c:extLst>
              <c:ext xmlns:c16="http://schemas.microsoft.com/office/drawing/2014/chart" uri="{C3380CC4-5D6E-409C-BE32-E72D297353CC}">
                <c16:uniqueId val="{00000023-3A7B-45C5-9E44-B6A498886D94}"/>
              </c:ext>
            </c:extLst>
          </c:dPt>
          <c:dPt>
            <c:idx val="18"/>
            <c:invertIfNegative val="1"/>
            <c:bubble3D val="0"/>
            <c:spPr>
              <a:solidFill>
                <a:schemeClr val="accent1">
                  <a:shade val="43000"/>
                </a:schemeClr>
              </a:solidFill>
              <a:ln>
                <a:noFill/>
              </a:ln>
              <a:effectLst/>
            </c:spPr>
            <c:extLst>
              <c:ext xmlns:c16="http://schemas.microsoft.com/office/drawing/2014/chart" uri="{C3380CC4-5D6E-409C-BE32-E72D297353CC}">
                <c16:uniqueId val="{00000025-3A7B-45C5-9E44-B6A498886D94}"/>
              </c:ext>
            </c:extLst>
          </c:dPt>
          <c:dPt>
            <c:idx val="19"/>
            <c:invertIfNegative val="1"/>
            <c:bubble3D val="0"/>
            <c:spPr>
              <a:solidFill>
                <a:schemeClr val="accent1">
                  <a:shade val="36000"/>
                </a:schemeClr>
              </a:solidFill>
              <a:ln>
                <a:noFill/>
              </a:ln>
              <a:effectLst/>
            </c:spPr>
            <c:extLst>
              <c:ext xmlns:c16="http://schemas.microsoft.com/office/drawing/2014/chart" uri="{C3380CC4-5D6E-409C-BE32-E72D297353CC}">
                <c16:uniqueId val="{00000027-3A7B-45C5-9E44-B6A498886D94}"/>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'Listy Rozwijane'!$C$29:$V$29</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'Listy Rozwijane'!$C$37:$V$37</c:f>
              <c:numCache>
                <c:formatCode>_-* #\ ##0.00\ [$zł-415]_-;\-* #\ ##0.00\ [$zł-415]_-;_-* "-"??\ [$zł-415]_-;_-@</c:formatCode>
                <c:ptCount val="20"/>
                <c:pt idx="0" formatCode="0.00">
                  <c:v>-69300</c:v>
                </c:pt>
                <c:pt idx="1">
                  <c:v>-59274.835200000001</c:v>
                </c:pt>
                <c:pt idx="2">
                  <c:v>-48978.697755819179</c:v>
                </c:pt>
                <c:pt idx="3">
                  <c:v>-37991.533716304351</c:v>
                </c:pt>
                <c:pt idx="4">
                  <c:v>-26778.756948236049</c:v>
                </c:pt>
                <c:pt idx="5">
                  <c:v>-14814.343205575442</c:v>
                </c:pt>
                <c:pt idx="6">
                  <c:v>-2605.1898462456484</c:v>
                </c:pt>
                <c:pt idx="7">
                  <c:v>10421.375896515472</c:v>
                </c:pt>
                <c:pt idx="8">
                  <c:v>23713.358812395847</c:v>
                </c:pt>
                <c:pt idx="9">
                  <c:v>37894.116593394261</c:v>
                </c:pt>
                <c:pt idx="10">
                  <c:v>52362.636707436628</c:v>
                </c:pt>
                <c:pt idx="11">
                  <c:v>67797.335538176092</c:v>
                </c:pt>
                <c:pt idx="12">
                  <c:v>83543.934080493695</c:v>
                </c:pt>
                <c:pt idx="13">
                  <c:v>100488.37513848783</c:v>
                </c:pt>
                <c:pt idx="14">
                  <c:v>117940.60248844414</c:v>
                </c:pt>
                <c:pt idx="15">
                  <c:v>136753.71264212663</c:v>
                </c:pt>
                <c:pt idx="16">
                  <c:v>156120.14418344558</c:v>
                </c:pt>
                <c:pt idx="17">
                  <c:v>177006.97806356702</c:v>
                </c:pt>
                <c:pt idx="18">
                  <c:v>198496.66819188243</c:v>
                </c:pt>
                <c:pt idx="19">
                  <c:v>221684.68392381066</c:v>
                </c:pt>
              </c:numCache>
            </c:numRef>
          </c:val>
          <c:extLst>
            <c:ext xmlns:c16="http://schemas.microsoft.com/office/drawing/2014/chart" uri="{C3380CC4-5D6E-409C-BE32-E72D297353CC}">
              <c16:uniqueId val="{00000028-3A7B-45C5-9E44-B6A498886D94}"/>
            </c:ext>
          </c:extLst>
        </c:ser>
        <c:dLbls>
          <c:dLblPos val="outEnd"/>
          <c:showLegendKey val="0"/>
          <c:showVal val="1"/>
          <c:showCatName val="0"/>
          <c:showSerName val="0"/>
          <c:showPercent val="0"/>
          <c:showBubbleSize val="0"/>
        </c:dLbls>
        <c:gapWidth val="444"/>
        <c:overlap val="-90"/>
        <c:axId val="999768365"/>
        <c:axId val="1609743102"/>
      </c:barChart>
      <c:catAx>
        <c:axId val="99976836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l-PL"/>
                  <a:t>Rok inwestycji</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l-PL"/>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l-PL"/>
          </a:p>
        </c:txPr>
        <c:crossAx val="1609743102"/>
        <c:crosses val="autoZero"/>
        <c:auto val="1"/>
        <c:lblAlgn val="ctr"/>
        <c:lblOffset val="100"/>
        <c:noMultiLvlLbl val="1"/>
      </c:catAx>
      <c:valAx>
        <c:axId val="1609743102"/>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pl-PL"/>
                  <a:t> Wydatki/Zyski</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pl-PL"/>
            </a:p>
          </c:txPr>
        </c:title>
        <c:numFmt formatCode="_-* #,##0\ [$zł-415]_-;\-* #,##0\ [$zł-415]_-;_-* &quot;-&quot;??\ [$zł-415]_-;_-@_-" sourceLinked="0"/>
        <c:majorTickMark val="none"/>
        <c:minorTickMark val="none"/>
        <c:tickLblPos val="nextTo"/>
        <c:crossAx val="999768365"/>
        <c:crosses val="autoZero"/>
        <c:crossBetween val="between"/>
      </c:valAx>
      <c:spPr>
        <a:noFill/>
        <a:ln>
          <a:noFill/>
        </a:ln>
        <a:effectLst/>
      </c:spPr>
    </c:plotArea>
    <c:plotVisOnly val="1"/>
    <c:dispBlanksAs val="zero"/>
    <c:showDLblsOverMax val="1"/>
  </c:chart>
  <c:spPr>
    <a:solidFill>
      <a:schemeClr val="lt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e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emf"/><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1</xdr:col>
      <xdr:colOff>0</xdr:colOff>
      <xdr:row>160</xdr:row>
      <xdr:rowOff>0</xdr:rowOff>
    </xdr:from>
    <xdr:to>
      <xdr:col>12</xdr:col>
      <xdr:colOff>486654</xdr:colOff>
      <xdr:row>180</xdr:row>
      <xdr:rowOff>112058</xdr:rowOff>
    </xdr:to>
    <xdr:graphicFrame macro="">
      <xdr:nvGraphicFramePr>
        <xdr:cNvPr id="2" name="Wykres 1">
          <a:extLst>
            <a:ext uri="{FF2B5EF4-FFF2-40B4-BE49-F238E27FC236}">
              <a16:creationId xmlns:a16="http://schemas.microsoft.com/office/drawing/2014/main" id="{C13C5131-B8C0-4371-A40B-C0A0A0B4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240928</xdr:colOff>
      <xdr:row>149</xdr:row>
      <xdr:rowOff>179294</xdr:rowOff>
    </xdr:from>
    <xdr:to>
      <xdr:col>30</xdr:col>
      <xdr:colOff>268141</xdr:colOff>
      <xdr:row>173</xdr:row>
      <xdr:rowOff>112059</xdr:rowOff>
    </xdr:to>
    <xdr:graphicFrame macro="">
      <xdr:nvGraphicFramePr>
        <xdr:cNvPr id="5" name="Wykres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81644</xdr:colOff>
      <xdr:row>127</xdr:row>
      <xdr:rowOff>68035</xdr:rowOff>
    </xdr:from>
    <xdr:to>
      <xdr:col>30</xdr:col>
      <xdr:colOff>149679</xdr:colOff>
      <xdr:row>146</xdr:row>
      <xdr:rowOff>204107</xdr:rowOff>
    </xdr:to>
    <xdr:graphicFrame macro="">
      <xdr:nvGraphicFramePr>
        <xdr:cNvPr id="2" name="Wykres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108857</xdr:colOff>
      <xdr:row>105</xdr:row>
      <xdr:rowOff>37112</xdr:rowOff>
    </xdr:from>
    <xdr:to>
      <xdr:col>30</xdr:col>
      <xdr:colOff>259335</xdr:colOff>
      <xdr:row>107</xdr:row>
      <xdr:rowOff>254257</xdr:rowOff>
    </xdr:to>
    <xdr:graphicFrame macro="">
      <xdr:nvGraphicFramePr>
        <xdr:cNvPr id="6" name="Wykres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27214</xdr:colOff>
      <xdr:row>266</xdr:row>
      <xdr:rowOff>81644</xdr:rowOff>
    </xdr:from>
    <xdr:to>
      <xdr:col>13</xdr:col>
      <xdr:colOff>261257</xdr:colOff>
      <xdr:row>278</xdr:row>
      <xdr:rowOff>13512</xdr:rowOff>
    </xdr:to>
    <xdr:graphicFrame macro="">
      <xdr:nvGraphicFramePr>
        <xdr:cNvPr id="8" name="Wykres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54429</xdr:colOff>
      <xdr:row>266</xdr:row>
      <xdr:rowOff>68036</xdr:rowOff>
    </xdr:from>
    <xdr:to>
      <xdr:col>26</xdr:col>
      <xdr:colOff>1703</xdr:colOff>
      <xdr:row>278</xdr:row>
      <xdr:rowOff>119743</xdr:rowOff>
    </xdr:to>
    <xdr:graphicFrame macro="">
      <xdr:nvGraphicFramePr>
        <xdr:cNvPr id="9" name="Wykres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41</xdr:col>
          <xdr:colOff>335218</xdr:colOff>
          <xdr:row>209</xdr:row>
          <xdr:rowOff>197293</xdr:rowOff>
        </xdr:from>
        <xdr:to>
          <xdr:col>42</xdr:col>
          <xdr:colOff>120199</xdr:colOff>
          <xdr:row>227</xdr:row>
          <xdr:rowOff>106295</xdr:rowOff>
        </xdr:to>
        <xdr:pic>
          <xdr:nvPicPr>
            <xdr:cNvPr id="17" name="Obraz 16">
              <a:extLst>
                <a:ext uri="{FF2B5EF4-FFF2-40B4-BE49-F238E27FC236}">
                  <a16:creationId xmlns:a16="http://schemas.microsoft.com/office/drawing/2014/main" id="{00000000-0008-0000-0000-000011000000}"/>
                </a:ext>
              </a:extLst>
            </xdr:cNvPr>
            <xdr:cNvPicPr>
              <a:picLocks noChangeAspect="1"/>
              <a:extLst>
                <a:ext uri="{84589F7E-364E-4C9E-8A38-B11213B215E9}">
                  <a14:cameraTool cellRange="obraz12" spid="_x0000_s98869"/>
                </a:ext>
              </a:extLst>
            </xdr:cNvPicPr>
          </xdr:nvPicPr>
          <xdr:blipFill rotWithShape="1">
            <a:blip xmlns:r="http://schemas.openxmlformats.org/officeDocument/2006/relationships" r:embed="rId6"/>
            <a:srcRect b="13366"/>
            <a:stretch>
              <a:fillRect/>
            </a:stretch>
          </xdr:blipFill>
          <xdr:spPr>
            <a:xfrm>
              <a:off x="12605659" y="55083705"/>
              <a:ext cx="3852716" cy="4749943"/>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79</xdr:col>
      <xdr:colOff>127652</xdr:colOff>
      <xdr:row>18</xdr:row>
      <xdr:rowOff>91865</xdr:rowOff>
    </xdr:from>
    <xdr:to>
      <xdr:col>96</xdr:col>
      <xdr:colOff>82796</xdr:colOff>
      <xdr:row>24</xdr:row>
      <xdr:rowOff>30476</xdr:rowOff>
    </xdr:to>
    <xdr:pic>
      <xdr:nvPicPr>
        <xdr:cNvPr id="33" name="Obraz 32">
          <a:extLst>
            <a:ext uri="{FF2B5EF4-FFF2-40B4-BE49-F238E27FC236}">
              <a16:creationId xmlns:a16="http://schemas.microsoft.com/office/drawing/2014/main" id="{EC5053E9-4462-47A1-A5DF-99F85A5F7401}"/>
            </a:ext>
          </a:extLst>
        </xdr:cNvPr>
        <xdr:cNvPicPr>
          <a:picLocks noChangeAspect="1"/>
        </xdr:cNvPicPr>
      </xdr:nvPicPr>
      <xdr:blipFill>
        <a:blip xmlns:r="http://schemas.openxmlformats.org/officeDocument/2006/relationships" r:embed="rId1"/>
        <a:stretch>
          <a:fillRect/>
        </a:stretch>
      </xdr:blipFill>
      <xdr:spPr>
        <a:xfrm>
          <a:off x="13662677" y="463340"/>
          <a:ext cx="4682474" cy="681562"/>
        </a:xfrm>
        <a:prstGeom prst="rect">
          <a:avLst/>
        </a:prstGeom>
      </xdr:spPr>
    </xdr:pic>
    <xdr:clientData/>
  </xdr:twoCellAnchor>
  <xdr:twoCellAnchor editAs="oneCell">
    <xdr:from>
      <xdr:col>42</xdr:col>
      <xdr:colOff>135355</xdr:colOff>
      <xdr:row>41</xdr:row>
      <xdr:rowOff>50511</xdr:rowOff>
    </xdr:from>
    <xdr:to>
      <xdr:col>44</xdr:col>
      <xdr:colOff>144600</xdr:colOff>
      <xdr:row>44</xdr:row>
      <xdr:rowOff>107112</xdr:rowOff>
    </xdr:to>
    <xdr:pic>
      <xdr:nvPicPr>
        <xdr:cNvPr id="4" name="Obraz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7354302" y="1930445"/>
          <a:ext cx="345427" cy="405918"/>
        </a:xfrm>
        <a:prstGeom prst="rect">
          <a:avLst/>
        </a:prstGeom>
      </xdr:spPr>
    </xdr:pic>
    <xdr:clientData/>
  </xdr:twoCellAnchor>
  <xdr:twoCellAnchor>
    <xdr:from>
      <xdr:col>38</xdr:col>
      <xdr:colOff>152400</xdr:colOff>
      <xdr:row>40</xdr:row>
      <xdr:rowOff>119743</xdr:rowOff>
    </xdr:from>
    <xdr:to>
      <xdr:col>41</xdr:col>
      <xdr:colOff>97972</xdr:colOff>
      <xdr:row>41</xdr:row>
      <xdr:rowOff>0</xdr:rowOff>
    </xdr:to>
    <xdr:cxnSp macro="">
      <xdr:nvCxnSpPr>
        <xdr:cNvPr id="8" name="Łącznik prosty ze strzałką 7">
          <a:extLst>
            <a:ext uri="{FF2B5EF4-FFF2-40B4-BE49-F238E27FC236}">
              <a16:creationId xmlns:a16="http://schemas.microsoft.com/office/drawing/2014/main" id="{00000000-0008-0000-0500-000008000000}"/>
            </a:ext>
          </a:extLst>
        </xdr:cNvPr>
        <xdr:cNvCxnSpPr/>
      </xdr:nvCxnSpPr>
      <xdr:spPr>
        <a:xfrm>
          <a:off x="6618514" y="1872343"/>
          <a:ext cx="484415" cy="54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152400</xdr:colOff>
      <xdr:row>42</xdr:row>
      <xdr:rowOff>16329</xdr:rowOff>
    </xdr:from>
    <xdr:to>
      <xdr:col>41</xdr:col>
      <xdr:colOff>38100</xdr:colOff>
      <xdr:row>42</xdr:row>
      <xdr:rowOff>16329</xdr:rowOff>
    </xdr:to>
    <xdr:cxnSp macro="">
      <xdr:nvCxnSpPr>
        <xdr:cNvPr id="10" name="Łącznik prosty ze strzałką 9">
          <a:extLst>
            <a:ext uri="{FF2B5EF4-FFF2-40B4-BE49-F238E27FC236}">
              <a16:creationId xmlns:a16="http://schemas.microsoft.com/office/drawing/2014/main" id="{00000000-0008-0000-0500-00000A000000}"/>
            </a:ext>
          </a:extLst>
        </xdr:cNvPr>
        <xdr:cNvCxnSpPr/>
      </xdr:nvCxnSpPr>
      <xdr:spPr>
        <a:xfrm flipH="1">
          <a:off x="6618514" y="2019300"/>
          <a:ext cx="424543"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8283</xdr:colOff>
      <xdr:row>3</xdr:row>
      <xdr:rowOff>0</xdr:rowOff>
    </xdr:from>
    <xdr:to>
      <xdr:col>35</xdr:col>
      <xdr:colOff>2</xdr:colOff>
      <xdr:row>50</xdr:row>
      <xdr:rowOff>8282</xdr:rowOff>
    </xdr:to>
    <xdr:cxnSp macro="">
      <xdr:nvCxnSpPr>
        <xdr:cNvPr id="9" name="Łącznik prosty 8">
          <a:extLst>
            <a:ext uri="{FF2B5EF4-FFF2-40B4-BE49-F238E27FC236}">
              <a16:creationId xmlns:a16="http://schemas.microsoft.com/office/drawing/2014/main" id="{00000000-0008-0000-0500-000009000000}"/>
            </a:ext>
          </a:extLst>
        </xdr:cNvPr>
        <xdr:cNvCxnSpPr/>
      </xdr:nvCxnSpPr>
      <xdr:spPr>
        <a:xfrm flipH="1">
          <a:off x="5483087" y="372717"/>
          <a:ext cx="720589" cy="584752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105</xdr:col>
      <xdr:colOff>9780</xdr:colOff>
      <xdr:row>20</xdr:row>
      <xdr:rowOff>53665</xdr:rowOff>
    </xdr:from>
    <xdr:to>
      <xdr:col>107</xdr:col>
      <xdr:colOff>11781</xdr:colOff>
      <xdr:row>23</xdr:row>
      <xdr:rowOff>100126</xdr:rowOff>
    </xdr:to>
    <xdr:pic>
      <xdr:nvPicPr>
        <xdr:cNvPr id="5" name="Obraz 4">
          <a:extLst>
            <a:ext uri="{FF2B5EF4-FFF2-40B4-BE49-F238E27FC236}">
              <a16:creationId xmlns:a16="http://schemas.microsoft.com/office/drawing/2014/main" id="{00BA5212-4F94-4E60-86A2-E535881411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40755" y="672790"/>
          <a:ext cx="383001" cy="417935"/>
        </a:xfrm>
        <a:prstGeom prst="rect">
          <a:avLst/>
        </a:prstGeom>
      </xdr:spPr>
    </xdr:pic>
    <xdr:clientData/>
  </xdr:twoCellAnchor>
  <xdr:twoCellAnchor editAs="oneCell">
    <xdr:from>
      <xdr:col>38</xdr:col>
      <xdr:colOff>88016</xdr:colOff>
      <xdr:row>27</xdr:row>
      <xdr:rowOff>96742</xdr:rowOff>
    </xdr:from>
    <xdr:to>
      <xdr:col>39</xdr:col>
      <xdr:colOff>109992</xdr:colOff>
      <xdr:row>30</xdr:row>
      <xdr:rowOff>29759</xdr:rowOff>
    </xdr:to>
    <xdr:pic>
      <xdr:nvPicPr>
        <xdr:cNvPr id="66" name="Obraz 65" descr="Znalezione obrazy dla zapytania symbol uziemienia">
          <a:extLst>
            <a:ext uri="{FF2B5EF4-FFF2-40B4-BE49-F238E27FC236}">
              <a16:creationId xmlns:a16="http://schemas.microsoft.com/office/drawing/2014/main" id="{20C61881-EC4D-4B40-8EB9-6AC132EF0D9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86485" y="3472164"/>
          <a:ext cx="185330" cy="290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108694</xdr:colOff>
      <xdr:row>8</xdr:row>
      <xdr:rowOff>97769</xdr:rowOff>
    </xdr:from>
    <xdr:to>
      <xdr:col>24</xdr:col>
      <xdr:colOff>124956</xdr:colOff>
      <xdr:row>11</xdr:row>
      <xdr:rowOff>30785</xdr:rowOff>
    </xdr:to>
    <xdr:pic>
      <xdr:nvPicPr>
        <xdr:cNvPr id="68" name="Obraz 67" descr="Znalezione obrazy dla zapytania symbol uziemienia">
          <a:extLst>
            <a:ext uri="{FF2B5EF4-FFF2-40B4-BE49-F238E27FC236}">
              <a16:creationId xmlns:a16="http://schemas.microsoft.com/office/drawing/2014/main" id="{B766DBB6-7952-4AB5-8B6F-7D00DA7516F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29002" y="1094231"/>
          <a:ext cx="199435" cy="306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90944</xdr:colOff>
      <xdr:row>6</xdr:row>
      <xdr:rowOff>93877</xdr:rowOff>
    </xdr:from>
    <xdr:to>
      <xdr:col>1</xdr:col>
      <xdr:colOff>107206</xdr:colOff>
      <xdr:row>9</xdr:row>
      <xdr:rowOff>32609</xdr:rowOff>
    </xdr:to>
    <xdr:pic>
      <xdr:nvPicPr>
        <xdr:cNvPr id="83" name="Obraz 82" descr="Znalezione obrazy dla zapytania symbol uziemienia">
          <a:extLst>
            <a:ext uri="{FF2B5EF4-FFF2-40B4-BE49-F238E27FC236}">
              <a16:creationId xmlns:a16="http://schemas.microsoft.com/office/drawing/2014/main" id="{E1920A88-4833-4E85-BCA9-A292C103948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0944" y="842739"/>
          <a:ext cx="200193" cy="313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86095</xdr:colOff>
      <xdr:row>27</xdr:row>
      <xdr:rowOff>96918</xdr:rowOff>
    </xdr:from>
    <xdr:to>
      <xdr:col>71</xdr:col>
      <xdr:colOff>102355</xdr:colOff>
      <xdr:row>30</xdr:row>
      <xdr:rowOff>29936</xdr:rowOff>
    </xdr:to>
    <xdr:pic>
      <xdr:nvPicPr>
        <xdr:cNvPr id="85" name="Obraz 84" descr="symbol uziemienia&#10;">
          <a:extLst>
            <a:ext uri="{FF2B5EF4-FFF2-40B4-BE49-F238E27FC236}">
              <a16:creationId xmlns:a16="http://schemas.microsoft.com/office/drawing/2014/main" id="{8F832D42-37F9-4019-939F-175DD1B2F7D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808664" y="3466797"/>
          <a:ext cx="200191" cy="307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146957</xdr:colOff>
      <xdr:row>32</xdr:row>
      <xdr:rowOff>87086</xdr:rowOff>
    </xdr:from>
    <xdr:to>
      <xdr:col>40</xdr:col>
      <xdr:colOff>65314</xdr:colOff>
      <xdr:row>33</xdr:row>
      <xdr:rowOff>59871</xdr:rowOff>
    </xdr:to>
    <xdr:sp macro="" textlink="">
      <xdr:nvSpPr>
        <xdr:cNvPr id="2" name="Owal 1">
          <a:extLst>
            <a:ext uri="{FF2B5EF4-FFF2-40B4-BE49-F238E27FC236}">
              <a16:creationId xmlns:a16="http://schemas.microsoft.com/office/drawing/2014/main" id="{DAB4EC0C-5E6C-442C-A051-0F4C0F42D5F2}"/>
            </a:ext>
          </a:extLst>
        </xdr:cNvPr>
        <xdr:cNvSpPr/>
      </xdr:nvSpPr>
      <xdr:spPr>
        <a:xfrm>
          <a:off x="7162800" y="4093029"/>
          <a:ext cx="108857" cy="97971"/>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pl-PL" sz="1100"/>
        </a:p>
      </xdr:txBody>
    </xdr:sp>
    <xdr:clientData/>
  </xdr:twoCellAnchor>
  <xdr:oneCellAnchor>
    <xdr:from>
      <xdr:col>103</xdr:col>
      <xdr:colOff>135108</xdr:colOff>
      <xdr:row>6</xdr:row>
      <xdr:rowOff>109154</xdr:rowOff>
    </xdr:from>
    <xdr:ext cx="368347" cy="420134"/>
    <xdr:pic>
      <xdr:nvPicPr>
        <xdr:cNvPr id="32" name="Obraz 31">
          <a:extLst>
            <a:ext uri="{FF2B5EF4-FFF2-40B4-BE49-F238E27FC236}">
              <a16:creationId xmlns:a16="http://schemas.microsoft.com/office/drawing/2014/main" id="{4B684656-0117-464B-B083-099F7C7701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01200" y="861128"/>
          <a:ext cx="368347" cy="420134"/>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0</xdr:col>
          <xdr:colOff>144036</xdr:colOff>
          <xdr:row>3</xdr:row>
          <xdr:rowOff>87306</xdr:rowOff>
        </xdr:from>
        <xdr:to>
          <xdr:col>30</xdr:col>
          <xdr:colOff>5351</xdr:colOff>
          <xdr:row>9</xdr:row>
          <xdr:rowOff>87308</xdr:rowOff>
        </xdr:to>
        <xdr:pic>
          <xdr:nvPicPr>
            <xdr:cNvPr id="34" name="Obraz 33">
              <a:extLst>
                <a:ext uri="{FF2B5EF4-FFF2-40B4-BE49-F238E27FC236}">
                  <a16:creationId xmlns:a16="http://schemas.microsoft.com/office/drawing/2014/main" id="{CAD6478C-D01E-4E4C-94D3-F7199DC0C3BB}"/>
                </a:ext>
              </a:extLst>
            </xdr:cNvPr>
            <xdr:cNvPicPr>
              <a:picLocks noChangeAspect="1"/>
              <a:extLst>
                <a:ext uri="{84589F7E-364E-4C9E-8A38-B11213B215E9}">
                  <a14:cameraTool cellRange="string1" spid="_x0000_s56858"/>
                </a:ext>
              </a:extLst>
            </xdr:cNvPicPr>
          </xdr:nvPicPr>
          <xdr:blipFill rotWithShape="1">
            <a:blip xmlns:r="http://schemas.openxmlformats.org/officeDocument/2006/relationships" r:embed="rId5"/>
            <a:srcRect l="1" t="8730" r="-423" b="8329"/>
            <a:stretch>
              <a:fillRect/>
            </a:stretch>
          </xdr:blipFill>
          <xdr:spPr>
            <a:xfrm>
              <a:off x="144036" y="460979"/>
              <a:ext cx="5363834" cy="747348"/>
            </a:xfrm>
            <a:prstGeom prst="rect">
              <a:avLst/>
            </a:prstGeom>
          </xdr:spPr>
        </xdr:pic>
        <xdr:clientData/>
      </xdr:twoCellAnchor>
    </mc:Choice>
    <mc:Fallback/>
  </mc:AlternateContent>
  <xdr:twoCellAnchor editAs="oneCell">
    <xdr:from>
      <xdr:col>71</xdr:col>
      <xdr:colOff>85397</xdr:colOff>
      <xdr:row>1</xdr:row>
      <xdr:rowOff>98537</xdr:rowOff>
    </xdr:from>
    <xdr:to>
      <xdr:col>72</xdr:col>
      <xdr:colOff>101656</xdr:colOff>
      <xdr:row>4</xdr:row>
      <xdr:rowOff>31555</xdr:rowOff>
    </xdr:to>
    <xdr:pic macro="[0]!Uziom1">
      <xdr:nvPicPr>
        <xdr:cNvPr id="22" name="Obraz 21" descr="symbol uziemienia&#10;">
          <a:extLst>
            <a:ext uri="{FF2B5EF4-FFF2-40B4-BE49-F238E27FC236}">
              <a16:creationId xmlns:a16="http://schemas.microsoft.com/office/drawing/2014/main" id="{6D4720F5-0509-495B-988E-71E6B323C87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91897" y="223347"/>
          <a:ext cx="200191" cy="307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71</xdr:col>
      <xdr:colOff>65690</xdr:colOff>
      <xdr:row>6</xdr:row>
      <xdr:rowOff>85397</xdr:rowOff>
    </xdr:from>
    <xdr:to>
      <xdr:col>72</xdr:col>
      <xdr:colOff>81950</xdr:colOff>
      <xdr:row>9</xdr:row>
      <xdr:rowOff>18415</xdr:rowOff>
    </xdr:to>
    <xdr:pic>
      <xdr:nvPicPr>
        <xdr:cNvPr id="28" name="Obraz 27" descr="symbol uziemienia&#10;">
          <a:extLst>
            <a:ext uri="{FF2B5EF4-FFF2-40B4-BE49-F238E27FC236}">
              <a16:creationId xmlns:a16="http://schemas.microsoft.com/office/drawing/2014/main" id="{1A7251FE-6D62-47C3-8CE8-135233B8412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72190" y="834259"/>
          <a:ext cx="200191" cy="307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79</xdr:col>
      <xdr:colOff>111673</xdr:colOff>
      <xdr:row>11</xdr:row>
      <xdr:rowOff>59121</xdr:rowOff>
    </xdr:from>
    <xdr:to>
      <xdr:col>107</xdr:col>
      <xdr:colOff>29986</xdr:colOff>
      <xdr:row>17</xdr:row>
      <xdr:rowOff>110259</xdr:rowOff>
    </xdr:to>
    <xdr:grpSp>
      <xdr:nvGrpSpPr>
        <xdr:cNvPr id="3" name="Grupa 2">
          <a:extLst>
            <a:ext uri="{FF2B5EF4-FFF2-40B4-BE49-F238E27FC236}">
              <a16:creationId xmlns:a16="http://schemas.microsoft.com/office/drawing/2014/main" id="{7AFAB717-F2ED-466F-BF0E-098F7246CEA1}"/>
            </a:ext>
          </a:extLst>
        </xdr:cNvPr>
        <xdr:cNvGrpSpPr/>
      </xdr:nvGrpSpPr>
      <xdr:grpSpPr>
        <a:xfrm>
          <a:off x="16685173" y="1421196"/>
          <a:ext cx="6662013" cy="794088"/>
          <a:chOff x="15424942" y="1429256"/>
          <a:chExt cx="5047159" cy="798484"/>
        </a:xfrm>
      </xdr:grpSpPr>
      <xdr:pic>
        <xdr:nvPicPr>
          <xdr:cNvPr id="17" name="Obraz 16">
            <a:extLst>
              <a:ext uri="{FF2B5EF4-FFF2-40B4-BE49-F238E27FC236}">
                <a16:creationId xmlns:a16="http://schemas.microsoft.com/office/drawing/2014/main" id="{2773745C-5115-4B3D-8473-2BFECE264A12}"/>
              </a:ext>
            </a:extLst>
          </xdr:cNvPr>
          <xdr:cNvPicPr>
            <a:picLocks noChangeAspect="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15424942" y="1429256"/>
            <a:ext cx="4685055" cy="798484"/>
          </a:xfrm>
          <a:prstGeom prst="rect">
            <a:avLst/>
          </a:prstGeom>
          <a:ln>
            <a:noFill/>
          </a:ln>
        </xdr:spPr>
      </xdr:pic>
      <xdr:pic>
        <xdr:nvPicPr>
          <xdr:cNvPr id="6" name="Obraz 5">
            <a:extLst>
              <a:ext uri="{FF2B5EF4-FFF2-40B4-BE49-F238E27FC236}">
                <a16:creationId xmlns:a16="http://schemas.microsoft.com/office/drawing/2014/main" id="{F6C45677-6EF6-499F-B25D-3711157A3234}"/>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061644" y="1657540"/>
            <a:ext cx="410457" cy="403878"/>
          </a:xfrm>
          <a:prstGeom prst="rect">
            <a:avLst/>
          </a:prstGeom>
        </xdr:spPr>
      </xdr:pic>
    </xdr:grpSp>
    <xdr:clientData/>
  </xdr:twoCellAnchor>
  <xdr:twoCellAnchor>
    <xdr:from>
      <xdr:col>28</xdr:col>
      <xdr:colOff>58616</xdr:colOff>
      <xdr:row>57</xdr:row>
      <xdr:rowOff>36636</xdr:rowOff>
    </xdr:from>
    <xdr:to>
      <xdr:col>67</xdr:col>
      <xdr:colOff>28552</xdr:colOff>
      <xdr:row>82</xdr:row>
      <xdr:rowOff>103236</xdr:rowOff>
    </xdr:to>
    <xdr:grpSp>
      <xdr:nvGrpSpPr>
        <xdr:cNvPr id="11" name="Grupa 10">
          <a:extLst>
            <a:ext uri="{FF2B5EF4-FFF2-40B4-BE49-F238E27FC236}">
              <a16:creationId xmlns:a16="http://schemas.microsoft.com/office/drawing/2014/main" id="{D6279379-C337-4FB2-A6C6-41E6063E3B8D}"/>
            </a:ext>
          </a:extLst>
        </xdr:cNvPr>
        <xdr:cNvGrpSpPr/>
      </xdr:nvGrpSpPr>
      <xdr:grpSpPr>
        <a:xfrm>
          <a:off x="5135441" y="7094661"/>
          <a:ext cx="7904261" cy="3733725"/>
          <a:chOff x="80597" y="234463"/>
          <a:chExt cx="7948956" cy="3766697"/>
        </a:xfrm>
      </xdr:grpSpPr>
      <xdr:sp macro="" textlink="">
        <xdr:nvSpPr>
          <xdr:cNvPr id="249" name="Prostokąt 248">
            <a:extLst>
              <a:ext uri="{FF2B5EF4-FFF2-40B4-BE49-F238E27FC236}">
                <a16:creationId xmlns:a16="http://schemas.microsoft.com/office/drawing/2014/main" id="{76208A4A-4B8D-4959-8E47-27B8D8304907}"/>
              </a:ext>
            </a:extLst>
          </xdr:cNvPr>
          <xdr:cNvSpPr/>
        </xdr:nvSpPr>
        <xdr:spPr>
          <a:xfrm>
            <a:off x="7414847" y="2978315"/>
            <a:ext cx="614706" cy="17210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800" b="0" cap="none" spc="0">
                <a:ln w="0"/>
                <a:solidFill>
                  <a:schemeClr val="tx1"/>
                </a:solidFill>
                <a:effectLst>
                  <a:outerShdw blurRad="38100" dist="19050" dir="2700000" algn="tl" rotWithShape="0">
                    <a:schemeClr val="dk1">
                      <a:alpha val="40000"/>
                    </a:schemeClr>
                  </a:outerShdw>
                </a:effectLst>
              </a:rPr>
              <a:t>6A/1P</a:t>
            </a:r>
          </a:p>
        </xdr:txBody>
      </xdr:sp>
      <xdr:grpSp>
        <xdr:nvGrpSpPr>
          <xdr:cNvPr id="258" name="Grupa 257">
            <a:extLst>
              <a:ext uri="{FF2B5EF4-FFF2-40B4-BE49-F238E27FC236}">
                <a16:creationId xmlns:a16="http://schemas.microsoft.com/office/drawing/2014/main" id="{2B78BAC9-0A56-43D0-84BE-7DEDFA6939F9}"/>
              </a:ext>
            </a:extLst>
          </xdr:cNvPr>
          <xdr:cNvGrpSpPr/>
        </xdr:nvGrpSpPr>
        <xdr:grpSpPr>
          <a:xfrm>
            <a:off x="80597" y="234463"/>
            <a:ext cx="7632475" cy="3766697"/>
            <a:chOff x="80597" y="235091"/>
            <a:chExt cx="7490123" cy="3785649"/>
          </a:xfrm>
        </xdr:grpSpPr>
        <xdr:grpSp>
          <xdr:nvGrpSpPr>
            <xdr:cNvPr id="42" name="Grupa 41">
              <a:extLst>
                <a:ext uri="{FF2B5EF4-FFF2-40B4-BE49-F238E27FC236}">
                  <a16:creationId xmlns:a16="http://schemas.microsoft.com/office/drawing/2014/main" id="{ADA26ACF-0679-4208-84C5-40BF356F9553}"/>
                </a:ext>
              </a:extLst>
            </xdr:cNvPr>
            <xdr:cNvGrpSpPr/>
          </xdr:nvGrpSpPr>
          <xdr:grpSpPr>
            <a:xfrm>
              <a:off x="80597" y="235091"/>
              <a:ext cx="5367581" cy="3291123"/>
              <a:chOff x="80597" y="234463"/>
              <a:chExt cx="5470786" cy="3274166"/>
            </a:xfrm>
          </xdr:grpSpPr>
          <xdr:grpSp>
            <xdr:nvGrpSpPr>
              <xdr:cNvPr id="41" name="Grupa 40">
                <a:extLst>
                  <a:ext uri="{FF2B5EF4-FFF2-40B4-BE49-F238E27FC236}">
                    <a16:creationId xmlns:a16="http://schemas.microsoft.com/office/drawing/2014/main" id="{10B90D1A-3A48-43E9-A722-A176F40E4F1A}"/>
                  </a:ext>
                </a:extLst>
              </xdr:cNvPr>
              <xdr:cNvGrpSpPr/>
            </xdr:nvGrpSpPr>
            <xdr:grpSpPr>
              <a:xfrm>
                <a:off x="329712" y="234463"/>
                <a:ext cx="5221671" cy="3274166"/>
                <a:chOff x="329712" y="234463"/>
                <a:chExt cx="5221671" cy="3274166"/>
              </a:xfrm>
            </xdr:grpSpPr>
            <xdr:grpSp>
              <xdr:nvGrpSpPr>
                <xdr:cNvPr id="40" name="Grupa 39">
                  <a:extLst>
                    <a:ext uri="{FF2B5EF4-FFF2-40B4-BE49-F238E27FC236}">
                      <a16:creationId xmlns:a16="http://schemas.microsoft.com/office/drawing/2014/main" id="{55136B06-DF11-4A6A-BF05-2954EFB7B18B}"/>
                    </a:ext>
                  </a:extLst>
                </xdr:cNvPr>
                <xdr:cNvGrpSpPr/>
              </xdr:nvGrpSpPr>
              <xdr:grpSpPr>
                <a:xfrm>
                  <a:off x="329712" y="234463"/>
                  <a:ext cx="5218099" cy="3274166"/>
                  <a:chOff x="326153" y="235091"/>
                  <a:chExt cx="5118453" cy="3291123"/>
                </a:xfrm>
              </xdr:grpSpPr>
              <xdr:grpSp>
                <xdr:nvGrpSpPr>
                  <xdr:cNvPr id="38" name="Grupa 37">
                    <a:extLst>
                      <a:ext uri="{FF2B5EF4-FFF2-40B4-BE49-F238E27FC236}">
                        <a16:creationId xmlns:a16="http://schemas.microsoft.com/office/drawing/2014/main" id="{E6A08A24-4BBA-4A62-AFBC-42B48314D6F6}"/>
                      </a:ext>
                    </a:extLst>
                  </xdr:cNvPr>
                  <xdr:cNvGrpSpPr/>
                </xdr:nvGrpSpPr>
                <xdr:grpSpPr>
                  <a:xfrm>
                    <a:off x="326153" y="235091"/>
                    <a:ext cx="5118453" cy="3291123"/>
                    <a:chOff x="326153" y="235091"/>
                    <a:chExt cx="5118453" cy="3291123"/>
                  </a:xfrm>
                </xdr:grpSpPr>
                <xdr:grpSp>
                  <xdr:nvGrpSpPr>
                    <xdr:cNvPr id="128" name="Grupa 127">
                      <a:extLst>
                        <a:ext uri="{FF2B5EF4-FFF2-40B4-BE49-F238E27FC236}">
                          <a16:creationId xmlns:a16="http://schemas.microsoft.com/office/drawing/2014/main" id="{C83C1A8E-131D-49CC-8A27-E63F0C31E961}"/>
                        </a:ext>
                      </a:extLst>
                    </xdr:cNvPr>
                    <xdr:cNvGrpSpPr/>
                  </xdr:nvGrpSpPr>
                  <xdr:grpSpPr>
                    <a:xfrm>
                      <a:off x="326153" y="235091"/>
                      <a:ext cx="5118453" cy="3291123"/>
                      <a:chOff x="336266" y="231874"/>
                      <a:chExt cx="5081325" cy="3260633"/>
                    </a:xfrm>
                  </xdr:grpSpPr>
                  <xdr:cxnSp macro="">
                    <xdr:nvCxnSpPr>
                      <xdr:cNvPr id="129" name="Łącznik prosty 128">
                        <a:extLst>
                          <a:ext uri="{FF2B5EF4-FFF2-40B4-BE49-F238E27FC236}">
                            <a16:creationId xmlns:a16="http://schemas.microsoft.com/office/drawing/2014/main" id="{FBD386D6-0E46-4EE6-B05D-20BF73022E25}"/>
                          </a:ext>
                        </a:extLst>
                      </xdr:cNvPr>
                      <xdr:cNvCxnSpPr/>
                    </xdr:nvCxnSpPr>
                    <xdr:spPr>
                      <a:xfrm>
                        <a:off x="5231212" y="736785"/>
                        <a:ext cx="0" cy="117000"/>
                      </a:xfrm>
                      <a:prstGeom prst="line">
                        <a:avLst/>
                      </a:prstGeom>
                      <a:ln w="9525"/>
                    </xdr:spPr>
                    <xdr:style>
                      <a:lnRef idx="1">
                        <a:schemeClr val="dk1"/>
                      </a:lnRef>
                      <a:fillRef idx="0">
                        <a:schemeClr val="dk1"/>
                      </a:fillRef>
                      <a:effectRef idx="0">
                        <a:schemeClr val="dk1"/>
                      </a:effectRef>
                      <a:fontRef idx="minor">
                        <a:schemeClr val="tx1"/>
                      </a:fontRef>
                    </xdr:style>
                  </xdr:cxnSp>
                  <xdr:sp macro="" textlink="">
                    <xdr:nvSpPr>
                      <xdr:cNvPr id="130" name="Owal 129">
                        <a:extLst>
                          <a:ext uri="{FF2B5EF4-FFF2-40B4-BE49-F238E27FC236}">
                            <a16:creationId xmlns:a16="http://schemas.microsoft.com/office/drawing/2014/main" id="{913F3030-538C-4012-A994-CF9ADE910641}"/>
                          </a:ext>
                        </a:extLst>
                      </xdr:cNvPr>
                      <xdr:cNvSpPr/>
                    </xdr:nvSpPr>
                    <xdr:spPr>
                      <a:xfrm>
                        <a:off x="5230241" y="769306"/>
                        <a:ext cx="45355" cy="473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xnSp macro="">
                    <xdr:nvCxnSpPr>
                      <xdr:cNvPr id="131" name="Łącznik prosty 130">
                        <a:extLst>
                          <a:ext uri="{FF2B5EF4-FFF2-40B4-BE49-F238E27FC236}">
                            <a16:creationId xmlns:a16="http://schemas.microsoft.com/office/drawing/2014/main" id="{B90DA9CF-75C3-4E9A-906D-8783936DECCF}"/>
                          </a:ext>
                        </a:extLst>
                      </xdr:cNvPr>
                      <xdr:cNvCxnSpPr/>
                    </xdr:nvCxnSpPr>
                    <xdr:spPr>
                      <a:xfrm>
                        <a:off x="5221634" y="993921"/>
                        <a:ext cx="0" cy="116525"/>
                      </a:xfrm>
                      <a:prstGeom prst="line">
                        <a:avLst/>
                      </a:prstGeom>
                      <a:ln w="9525"/>
                    </xdr:spPr>
                    <xdr:style>
                      <a:lnRef idx="1">
                        <a:schemeClr val="dk1"/>
                      </a:lnRef>
                      <a:fillRef idx="0">
                        <a:schemeClr val="dk1"/>
                      </a:fillRef>
                      <a:effectRef idx="0">
                        <a:schemeClr val="dk1"/>
                      </a:effectRef>
                      <a:fontRef idx="minor">
                        <a:schemeClr val="tx1"/>
                      </a:fontRef>
                    </xdr:style>
                  </xdr:cxnSp>
                  <xdr:sp macro="" textlink="">
                    <xdr:nvSpPr>
                      <xdr:cNvPr id="132" name="Owal 131">
                        <a:extLst>
                          <a:ext uri="{FF2B5EF4-FFF2-40B4-BE49-F238E27FC236}">
                            <a16:creationId xmlns:a16="http://schemas.microsoft.com/office/drawing/2014/main" id="{8B8C93D7-9328-4B2A-AB4E-AB5D18D51E79}"/>
                          </a:ext>
                        </a:extLst>
                      </xdr:cNvPr>
                      <xdr:cNvSpPr/>
                    </xdr:nvSpPr>
                    <xdr:spPr>
                      <a:xfrm>
                        <a:off x="5220663" y="1025967"/>
                        <a:ext cx="45355" cy="473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xnSp macro="">
                    <xdr:nvCxnSpPr>
                      <xdr:cNvPr id="133" name="Łącznik prosty 132">
                        <a:extLst>
                          <a:ext uri="{FF2B5EF4-FFF2-40B4-BE49-F238E27FC236}">
                            <a16:creationId xmlns:a16="http://schemas.microsoft.com/office/drawing/2014/main" id="{6CB5AA18-E3D8-4EE4-B700-219991F631E4}"/>
                          </a:ext>
                        </a:extLst>
                      </xdr:cNvPr>
                      <xdr:cNvCxnSpPr/>
                    </xdr:nvCxnSpPr>
                    <xdr:spPr>
                      <a:xfrm flipH="1">
                        <a:off x="5339046" y="794745"/>
                        <a:ext cx="77332"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34" name="Łącznik prosty 133">
                        <a:extLst>
                          <a:ext uri="{FF2B5EF4-FFF2-40B4-BE49-F238E27FC236}">
                            <a16:creationId xmlns:a16="http://schemas.microsoft.com/office/drawing/2014/main" id="{17640272-7261-4146-BF32-D2798E00796C}"/>
                          </a:ext>
                        </a:extLst>
                      </xdr:cNvPr>
                      <xdr:cNvCxnSpPr/>
                    </xdr:nvCxnSpPr>
                    <xdr:spPr>
                      <a:xfrm flipH="1">
                        <a:off x="5341684" y="749026"/>
                        <a:ext cx="587" cy="8030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35" name="Łącznik prosty 134">
                        <a:extLst>
                          <a:ext uri="{FF2B5EF4-FFF2-40B4-BE49-F238E27FC236}">
                            <a16:creationId xmlns:a16="http://schemas.microsoft.com/office/drawing/2014/main" id="{CB345E65-E63D-4B47-8BDD-F67DCEBA1BA2}"/>
                          </a:ext>
                        </a:extLst>
                      </xdr:cNvPr>
                      <xdr:cNvCxnSpPr/>
                    </xdr:nvCxnSpPr>
                    <xdr:spPr>
                      <a:xfrm flipH="1">
                        <a:off x="5338753" y="1059466"/>
                        <a:ext cx="78838"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136" name="Łącznik prosty 135">
                        <a:extLst>
                          <a:ext uri="{FF2B5EF4-FFF2-40B4-BE49-F238E27FC236}">
                            <a16:creationId xmlns:a16="http://schemas.microsoft.com/office/drawing/2014/main" id="{2BE08387-3558-4D03-8921-BA9D52D1658F}"/>
                          </a:ext>
                        </a:extLst>
                      </xdr:cNvPr>
                      <xdr:cNvCxnSpPr/>
                    </xdr:nvCxnSpPr>
                    <xdr:spPr>
                      <a:xfrm flipH="1">
                        <a:off x="5341391" y="1013747"/>
                        <a:ext cx="587" cy="80303"/>
                      </a:xfrm>
                      <a:prstGeom prst="line">
                        <a:avLst/>
                      </a:prstGeom>
                    </xdr:spPr>
                    <xdr:style>
                      <a:lnRef idx="1">
                        <a:schemeClr val="dk1"/>
                      </a:lnRef>
                      <a:fillRef idx="0">
                        <a:schemeClr val="dk1"/>
                      </a:fillRef>
                      <a:effectRef idx="0">
                        <a:schemeClr val="dk1"/>
                      </a:effectRef>
                      <a:fontRef idx="minor">
                        <a:schemeClr val="tx1"/>
                      </a:fontRef>
                    </xdr:style>
                  </xdr:cxnSp>
                  <xdr:grpSp>
                    <xdr:nvGrpSpPr>
                      <xdr:cNvPr id="137" name="Grupa 136">
                        <a:extLst>
                          <a:ext uri="{FF2B5EF4-FFF2-40B4-BE49-F238E27FC236}">
                            <a16:creationId xmlns:a16="http://schemas.microsoft.com/office/drawing/2014/main" id="{300413C0-132D-4920-B87C-8788FAD2B2D4}"/>
                          </a:ext>
                        </a:extLst>
                      </xdr:cNvPr>
                      <xdr:cNvGrpSpPr/>
                    </xdr:nvGrpSpPr>
                    <xdr:grpSpPr>
                      <a:xfrm>
                        <a:off x="336266" y="231874"/>
                        <a:ext cx="4896267" cy="3260633"/>
                        <a:chOff x="336266" y="231874"/>
                        <a:chExt cx="4896267" cy="3260633"/>
                      </a:xfrm>
                    </xdr:grpSpPr>
                    <xdr:grpSp>
                      <xdr:nvGrpSpPr>
                        <xdr:cNvPr id="151" name="Grupa 150">
                          <a:extLst>
                            <a:ext uri="{FF2B5EF4-FFF2-40B4-BE49-F238E27FC236}">
                              <a16:creationId xmlns:a16="http://schemas.microsoft.com/office/drawing/2014/main" id="{950683E6-8C49-4B7A-91C6-1A08BC953304}"/>
                            </a:ext>
                          </a:extLst>
                        </xdr:cNvPr>
                        <xdr:cNvGrpSpPr/>
                      </xdr:nvGrpSpPr>
                      <xdr:grpSpPr>
                        <a:xfrm>
                          <a:off x="336266" y="231874"/>
                          <a:ext cx="4550449" cy="3260633"/>
                          <a:chOff x="365608" y="243164"/>
                          <a:chExt cx="4577816" cy="3254409"/>
                        </a:xfrm>
                      </xdr:grpSpPr>
                      <xdr:pic>
                        <xdr:nvPicPr>
                          <xdr:cNvPr id="166" name="Obraz 165" descr="Znalezione obrazy dla zapytania symbol uziemienia">
                            <a:extLst>
                              <a:ext uri="{FF2B5EF4-FFF2-40B4-BE49-F238E27FC236}">
                                <a16:creationId xmlns:a16="http://schemas.microsoft.com/office/drawing/2014/main" id="{A8ABA5E0-56B1-467A-A220-B1A50C90B8F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75773" y="3191839"/>
                            <a:ext cx="198480" cy="305734"/>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67" name="Grupa 166">
                            <a:extLst>
                              <a:ext uri="{FF2B5EF4-FFF2-40B4-BE49-F238E27FC236}">
                                <a16:creationId xmlns:a16="http://schemas.microsoft.com/office/drawing/2014/main" id="{382AECC7-C025-4BE5-B6CE-418ED9BF5277}"/>
                              </a:ext>
                            </a:extLst>
                          </xdr:cNvPr>
                          <xdr:cNvGrpSpPr/>
                        </xdr:nvGrpSpPr>
                        <xdr:grpSpPr>
                          <a:xfrm>
                            <a:off x="365608" y="243164"/>
                            <a:ext cx="4577816" cy="3247438"/>
                            <a:chOff x="360402" y="244834"/>
                            <a:chExt cx="4525753" cy="3272272"/>
                          </a:xfrm>
                        </xdr:grpSpPr>
                        <xdr:sp macro="" textlink="">
                          <xdr:nvSpPr>
                            <xdr:cNvPr id="168" name="Prostokąt 167">
                              <a:extLst>
                                <a:ext uri="{FF2B5EF4-FFF2-40B4-BE49-F238E27FC236}">
                                  <a16:creationId xmlns:a16="http://schemas.microsoft.com/office/drawing/2014/main" id="{56D82C97-520D-4FC1-8BFC-62D4A8A5CE8A}"/>
                                </a:ext>
                              </a:extLst>
                            </xdr:cNvPr>
                            <xdr:cNvSpPr/>
                          </xdr:nvSpPr>
                          <xdr:spPr>
                            <a:xfrm>
                              <a:off x="4047414" y="244834"/>
                              <a:ext cx="838741" cy="3272272"/>
                            </a:xfrm>
                            <a:prstGeom prst="rect">
                              <a:avLst/>
                            </a:prstGeom>
                            <a:noFill/>
                            <a:ln w="19050">
                              <a:solidFill>
                                <a:schemeClr val="tx1"/>
                              </a:solidFill>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grpSp>
                          <xdr:nvGrpSpPr>
                            <xdr:cNvPr id="306" name="Grupa 305">
                              <a:extLst>
                                <a:ext uri="{FF2B5EF4-FFF2-40B4-BE49-F238E27FC236}">
                                  <a16:creationId xmlns:a16="http://schemas.microsoft.com/office/drawing/2014/main" id="{201E231C-F68A-4041-A56A-C156D0A6BD41}"/>
                                </a:ext>
                              </a:extLst>
                            </xdr:cNvPr>
                            <xdr:cNvGrpSpPr/>
                          </xdr:nvGrpSpPr>
                          <xdr:grpSpPr>
                            <a:xfrm>
                              <a:off x="360402" y="626019"/>
                              <a:ext cx="4482364" cy="617883"/>
                              <a:chOff x="358361" y="625168"/>
                              <a:chExt cx="4455219" cy="617204"/>
                            </a:xfrm>
                          </xdr:grpSpPr>
                          <xdr:cxnSp macro="">
                            <xdr:nvCxnSpPr>
                              <xdr:cNvPr id="312" name="Łącznik prosty 311">
                                <a:extLst>
                                  <a:ext uri="{FF2B5EF4-FFF2-40B4-BE49-F238E27FC236}">
                                    <a16:creationId xmlns:a16="http://schemas.microsoft.com/office/drawing/2014/main" id="{840AC988-1324-4687-B8B3-E2326A89F46F}"/>
                                  </a:ext>
                                </a:extLst>
                              </xdr:cNvPr>
                              <xdr:cNvCxnSpPr>
                                <a:stCxn id="324" idx="1"/>
                              </xdr:cNvCxnSpPr>
                            </xdr:nvCxnSpPr>
                            <xdr:spPr>
                              <a:xfrm flipH="1">
                                <a:off x="365296" y="811186"/>
                                <a:ext cx="178535" cy="376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nvGrpSpPr>
                              <xdr:cNvPr id="313" name="Grupa 312">
                                <a:extLst>
                                  <a:ext uri="{FF2B5EF4-FFF2-40B4-BE49-F238E27FC236}">
                                    <a16:creationId xmlns:a16="http://schemas.microsoft.com/office/drawing/2014/main" id="{63B65F75-4D64-4A2D-AA95-D575C7D91D81}"/>
                                  </a:ext>
                                </a:extLst>
                              </xdr:cNvPr>
                              <xdr:cNvGrpSpPr/>
                            </xdr:nvGrpSpPr>
                            <xdr:grpSpPr>
                              <a:xfrm>
                                <a:off x="358361" y="625168"/>
                                <a:ext cx="4455219" cy="617204"/>
                                <a:chOff x="362647" y="628740"/>
                                <a:chExt cx="4553536" cy="620061"/>
                              </a:xfrm>
                            </xdr:grpSpPr>
                            <xdr:sp macro="" textlink="">
                              <xdr:nvSpPr>
                                <xdr:cNvPr id="314" name="Prostokąt 313">
                                  <a:extLst>
                                    <a:ext uri="{FF2B5EF4-FFF2-40B4-BE49-F238E27FC236}">
                                      <a16:creationId xmlns:a16="http://schemas.microsoft.com/office/drawing/2014/main" id="{3352F325-A0B5-4D44-A53D-E0BB4841BC36}"/>
                                    </a:ext>
                                  </a:extLst>
                                </xdr:cNvPr>
                                <xdr:cNvSpPr/>
                              </xdr:nvSpPr>
                              <xdr:spPr>
                                <a:xfrm>
                                  <a:off x="4340871" y="628740"/>
                                  <a:ext cx="575312" cy="6200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grpSp>
                              <xdr:nvGrpSpPr>
                                <xdr:cNvPr id="315" name="Grupa 314">
                                  <a:extLst>
                                    <a:ext uri="{FF2B5EF4-FFF2-40B4-BE49-F238E27FC236}">
                                      <a16:creationId xmlns:a16="http://schemas.microsoft.com/office/drawing/2014/main" id="{B1E09F06-5B11-4AC6-86E6-96EE77C660AB}"/>
                                    </a:ext>
                                  </a:extLst>
                                </xdr:cNvPr>
                                <xdr:cNvGrpSpPr/>
                              </xdr:nvGrpSpPr>
                              <xdr:grpSpPr>
                                <a:xfrm>
                                  <a:off x="552211" y="745331"/>
                                  <a:ext cx="2573302" cy="144304"/>
                                  <a:chOff x="546012" y="730156"/>
                                  <a:chExt cx="2548213" cy="138233"/>
                                </a:xfrm>
                              </xdr:grpSpPr>
                              <xdr:sp macro="" textlink="">
                                <xdr:nvSpPr>
                                  <xdr:cNvPr id="324" name="Prostokąt 323">
                                    <a:extLst>
                                      <a:ext uri="{FF2B5EF4-FFF2-40B4-BE49-F238E27FC236}">
                                        <a16:creationId xmlns:a16="http://schemas.microsoft.com/office/drawing/2014/main" id="{7DD3FE47-0EE3-4196-98BC-975F24C84A9F}"/>
                                      </a:ext>
                                    </a:extLst>
                                  </xdr:cNvPr>
                                  <xdr:cNvSpPr/>
                                </xdr:nvSpPr>
                                <xdr:spPr>
                                  <a:xfrm>
                                    <a:off x="546012" y="730156"/>
                                    <a:ext cx="580373"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sp macro="" textlink="">
                                <xdr:nvSpPr>
                                  <xdr:cNvPr id="325" name="Prostokąt 324">
                                    <a:extLst>
                                      <a:ext uri="{FF2B5EF4-FFF2-40B4-BE49-F238E27FC236}">
                                        <a16:creationId xmlns:a16="http://schemas.microsoft.com/office/drawing/2014/main" id="{2314D817-8D5C-4B8E-8E60-50F623547059}"/>
                                      </a:ext>
                                    </a:extLst>
                                  </xdr:cNvPr>
                                  <xdr:cNvSpPr/>
                                </xdr:nvSpPr>
                                <xdr:spPr>
                                  <a:xfrm>
                                    <a:off x="1418318" y="733728"/>
                                    <a:ext cx="594677"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sp macro="" textlink="">
                                <xdr:nvSpPr>
                                  <xdr:cNvPr id="326" name="Prostokąt 325">
                                    <a:extLst>
                                      <a:ext uri="{FF2B5EF4-FFF2-40B4-BE49-F238E27FC236}">
                                        <a16:creationId xmlns:a16="http://schemas.microsoft.com/office/drawing/2014/main" id="{1152BE49-67A3-4443-8196-71189DBD5E39}"/>
                                      </a:ext>
                                    </a:extLst>
                                  </xdr:cNvPr>
                                  <xdr:cNvSpPr/>
                                </xdr:nvSpPr>
                                <xdr:spPr>
                                  <a:xfrm>
                                    <a:off x="2515766" y="731347"/>
                                    <a:ext cx="578459"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grpSp>
                                <xdr:nvGrpSpPr>
                                  <xdr:cNvPr id="327" name="Grupa 326">
                                    <a:extLst>
                                      <a:ext uri="{FF2B5EF4-FFF2-40B4-BE49-F238E27FC236}">
                                        <a16:creationId xmlns:a16="http://schemas.microsoft.com/office/drawing/2014/main" id="{0A1B3A20-C6DB-47DB-8456-5F3E499CA1D3}"/>
                                      </a:ext>
                                    </a:extLst>
                                  </xdr:cNvPr>
                                  <xdr:cNvGrpSpPr/>
                                </xdr:nvGrpSpPr>
                                <xdr:grpSpPr>
                                  <a:xfrm>
                                    <a:off x="1126385" y="751533"/>
                                    <a:ext cx="1389382" cy="91792"/>
                                    <a:chOff x="1133259" y="754952"/>
                                    <a:chExt cx="1398927" cy="91792"/>
                                  </a:xfrm>
                                </xdr:grpSpPr>
                                <xdr:cxnSp macro="">
                                  <xdr:nvCxnSpPr>
                                    <xdr:cNvPr id="328" name="Łącznik prosty 327">
                                      <a:extLst>
                                        <a:ext uri="{FF2B5EF4-FFF2-40B4-BE49-F238E27FC236}">
                                          <a16:creationId xmlns:a16="http://schemas.microsoft.com/office/drawing/2014/main" id="{51C61900-7486-47EE-8DEE-534967E01343}"/>
                                        </a:ext>
                                      </a:extLst>
                                    </xdr:cNvPr>
                                    <xdr:cNvCxnSpPr>
                                      <a:stCxn id="324" idx="3"/>
                                      <a:endCxn id="325" idx="1"/>
                                    </xdr:cNvCxnSpPr>
                                  </xdr:nvCxnSpPr>
                                  <xdr:spPr>
                                    <a:xfrm>
                                      <a:off x="1133259" y="800906"/>
                                      <a:ext cx="293939" cy="3572"/>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29" name="Łącznik prosty 328">
                                      <a:extLst>
                                        <a:ext uri="{FF2B5EF4-FFF2-40B4-BE49-F238E27FC236}">
                                          <a16:creationId xmlns:a16="http://schemas.microsoft.com/office/drawing/2014/main" id="{F5BB52CC-07F9-40E9-872B-09983398E3B0}"/>
                                        </a:ext>
                                      </a:extLst>
                                    </xdr:cNvPr>
                                    <xdr:cNvCxnSpPr>
                                      <a:stCxn id="325" idx="3"/>
                                    </xdr:cNvCxnSpPr>
                                  </xdr:nvCxnSpPr>
                                  <xdr:spPr>
                                    <a:xfrm flipV="1">
                                      <a:off x="2025961" y="804439"/>
                                      <a:ext cx="167590" cy="38"/>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330" name="Łącznik prosty 329">
                                      <a:extLst>
                                        <a:ext uri="{FF2B5EF4-FFF2-40B4-BE49-F238E27FC236}">
                                          <a16:creationId xmlns:a16="http://schemas.microsoft.com/office/drawing/2014/main" id="{B20F7F1C-9733-4D96-9CAA-BEF9927B5B67}"/>
                                        </a:ext>
                                      </a:extLst>
                                    </xdr:cNvPr>
                                    <xdr:cNvCxnSpPr>
                                      <a:stCxn id="326" idx="1"/>
                                    </xdr:cNvCxnSpPr>
                                  </xdr:nvCxnSpPr>
                                  <xdr:spPr>
                                    <a:xfrm flipH="1" flipV="1">
                                      <a:off x="2248320" y="799119"/>
                                      <a:ext cx="283866" cy="2978"/>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331" name="Łącznik prosty 330">
                                      <a:extLst>
                                        <a:ext uri="{FF2B5EF4-FFF2-40B4-BE49-F238E27FC236}">
                                          <a16:creationId xmlns:a16="http://schemas.microsoft.com/office/drawing/2014/main" id="{43049721-3F12-4E7B-A6D8-F0D68A80A443}"/>
                                        </a:ext>
                                      </a:extLst>
                                    </xdr:cNvPr>
                                    <xdr:cNvCxnSpPr/>
                                  </xdr:nvCxnSpPr>
                                  <xdr:spPr>
                                    <a:xfrm>
                                      <a:off x="2177376" y="754952"/>
                                      <a:ext cx="35225" cy="91792"/>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332" name="Łącznik prosty 331">
                                      <a:extLst>
                                        <a:ext uri="{FF2B5EF4-FFF2-40B4-BE49-F238E27FC236}">
                                          <a16:creationId xmlns:a16="http://schemas.microsoft.com/office/drawing/2014/main" id="{2AC6E20E-D977-4F91-BC59-BE507B525CB5}"/>
                                        </a:ext>
                                      </a:extLst>
                                    </xdr:cNvPr>
                                    <xdr:cNvCxnSpPr/>
                                  </xdr:nvCxnSpPr>
                                  <xdr:spPr>
                                    <a:xfrm>
                                      <a:off x="2228502" y="754952"/>
                                      <a:ext cx="34105" cy="91792"/>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grpSp>
                            </xdr:grpSp>
                            <xdr:cxnSp macro="">
                              <xdr:nvCxnSpPr>
                                <xdr:cNvPr id="318" name="Łącznik prosty 317">
                                  <a:extLst>
                                    <a:ext uri="{FF2B5EF4-FFF2-40B4-BE49-F238E27FC236}">
                                      <a16:creationId xmlns:a16="http://schemas.microsoft.com/office/drawing/2014/main" id="{6CD74FEE-FDF3-4E31-AF9B-6BD76A757F12}"/>
                                    </a:ext>
                                  </a:extLst>
                                </xdr:cNvPr>
                                <xdr:cNvCxnSpPr>
                                  <a:cxnSpLocks/>
                                  <a:stCxn id="326" idx="3"/>
                                </xdr:cNvCxnSpPr>
                              </xdr:nvCxnSpPr>
                              <xdr:spPr>
                                <a:xfrm>
                                  <a:off x="3125514" y="816862"/>
                                  <a:ext cx="367609" cy="398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22" name="Łącznik prosty 321">
                                  <a:extLst>
                                    <a:ext uri="{FF2B5EF4-FFF2-40B4-BE49-F238E27FC236}">
                                      <a16:creationId xmlns:a16="http://schemas.microsoft.com/office/drawing/2014/main" id="{87BD41DD-300F-4ACB-AEF0-F276087A7A6C}"/>
                                    </a:ext>
                                  </a:extLst>
                                </xdr:cNvPr>
                                <xdr:cNvCxnSpPr/>
                              </xdr:nvCxnSpPr>
                              <xdr:spPr>
                                <a:xfrm>
                                  <a:off x="362647" y="810725"/>
                                  <a:ext cx="8975" cy="320845"/>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23" name="Łącznik prosty 322">
                                  <a:extLst>
                                    <a:ext uri="{FF2B5EF4-FFF2-40B4-BE49-F238E27FC236}">
                                      <a16:creationId xmlns:a16="http://schemas.microsoft.com/office/drawing/2014/main" id="{FC01BC35-74AB-4808-8A1A-B9509EE3974C}"/>
                                    </a:ext>
                                  </a:extLst>
                                </xdr:cNvPr>
                                <xdr:cNvCxnSpPr>
                                  <a:cxnSpLocks/>
                                </xdr:cNvCxnSpPr>
                              </xdr:nvCxnSpPr>
                              <xdr:spPr>
                                <a:xfrm>
                                  <a:off x="368443" y="1121214"/>
                                  <a:ext cx="3292851" cy="15019"/>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grpSp>
                      </xdr:grpSp>
                    </xdr:grpSp>
                    <xdr:cxnSp macro="">
                      <xdr:nvCxnSpPr>
                        <xdr:cNvPr id="139" name="Łącznik prosty 138">
                          <a:extLst>
                            <a:ext uri="{FF2B5EF4-FFF2-40B4-BE49-F238E27FC236}">
                              <a16:creationId xmlns:a16="http://schemas.microsoft.com/office/drawing/2014/main" id="{629919EE-0F3A-467A-BA32-BDCC5CB65EAE}"/>
                            </a:ext>
                          </a:extLst>
                        </xdr:cNvPr>
                        <xdr:cNvCxnSpPr/>
                      </xdr:nvCxnSpPr>
                      <xdr:spPr>
                        <a:xfrm>
                          <a:off x="4838316" y="801809"/>
                          <a:ext cx="394217"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0" name="Łącznik prosty 139">
                          <a:extLst>
                            <a:ext uri="{FF2B5EF4-FFF2-40B4-BE49-F238E27FC236}">
                              <a16:creationId xmlns:a16="http://schemas.microsoft.com/office/drawing/2014/main" id="{6B7549E1-E017-48E4-B722-E0BC9EFC26E3}"/>
                            </a:ext>
                          </a:extLst>
                        </xdr:cNvPr>
                        <xdr:cNvCxnSpPr/>
                      </xdr:nvCxnSpPr>
                      <xdr:spPr>
                        <a:xfrm>
                          <a:off x="4838316" y="1058469"/>
                          <a:ext cx="384640"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99" name="Łącznik prosty 198">
                      <a:extLst>
                        <a:ext uri="{FF2B5EF4-FFF2-40B4-BE49-F238E27FC236}">
                          <a16:creationId xmlns:a16="http://schemas.microsoft.com/office/drawing/2014/main" id="{A59A9C1A-DB0F-4A8B-A7B2-74F3895667F1}"/>
                        </a:ext>
                      </a:extLst>
                    </xdr:cNvPr>
                    <xdr:cNvCxnSpPr/>
                  </xdr:nvCxnSpPr>
                  <xdr:spPr>
                    <a:xfrm>
                      <a:off x="4021852" y="812034"/>
                      <a:ext cx="272562"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00" name="Łącznik prosty 199">
                      <a:extLst>
                        <a:ext uri="{FF2B5EF4-FFF2-40B4-BE49-F238E27FC236}">
                          <a16:creationId xmlns:a16="http://schemas.microsoft.com/office/drawing/2014/main" id="{48D4FCB0-FA19-4640-8896-7483591FECB6}"/>
                        </a:ext>
                      </a:extLst>
                    </xdr:cNvPr>
                    <xdr:cNvCxnSpPr/>
                  </xdr:nvCxnSpPr>
                  <xdr:spPr>
                    <a:xfrm>
                      <a:off x="4021852" y="1071094"/>
                      <a:ext cx="278005"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Prostokąt 24">
                      <a:extLst>
                        <a:ext uri="{FF2B5EF4-FFF2-40B4-BE49-F238E27FC236}">
                          <a16:creationId xmlns:a16="http://schemas.microsoft.com/office/drawing/2014/main" id="{F64C1547-1EB1-46E2-A0D6-25C0F485EB09}"/>
                        </a:ext>
                      </a:extLst>
                    </xdr:cNvPr>
                    <xdr:cNvSpPr/>
                  </xdr:nvSpPr>
                  <xdr:spPr>
                    <a:xfrm>
                      <a:off x="3412671" y="658585"/>
                      <a:ext cx="612000" cy="2577758"/>
                    </a:xfrm>
                    <a:prstGeom prst="rect">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r>
                        <a:rPr lang="pl-PL" sz="600" b="1" i="0" baseline="0">
                          <a:solidFill>
                            <a:schemeClr val="dk1"/>
                          </a:solidFill>
                          <a:effectLst/>
                          <a:latin typeface="+mn-lt"/>
                          <a:ea typeface="+mn-ea"/>
                          <a:cs typeface="+mn-cs"/>
                        </a:rPr>
                        <a:t>PEFS-EL40H-4</a:t>
                      </a:r>
                      <a:endParaRPr lang="pl-PL" sz="600" b="1">
                        <a:effectLst/>
                      </a:endParaRPr>
                    </a:p>
                    <a:p>
                      <a:pPr algn="l"/>
                      <a:endParaRPr lang="pl-PL" sz="1100" b="1"/>
                    </a:p>
                  </xdr:txBody>
                </xdr:sp>
              </xdr:grpSp>
              <xdr:sp macro="" textlink="">
                <xdr:nvSpPr>
                  <xdr:cNvPr id="39" name="Prostokąt 38">
                    <a:extLst>
                      <a:ext uri="{FF2B5EF4-FFF2-40B4-BE49-F238E27FC236}">
                        <a16:creationId xmlns:a16="http://schemas.microsoft.com/office/drawing/2014/main" id="{203B8EF4-AD5F-4DE2-9A35-5769C498F088}"/>
                      </a:ext>
                    </a:extLst>
                  </xdr:cNvPr>
                  <xdr:cNvSpPr/>
                </xdr:nvSpPr>
                <xdr:spPr>
                  <a:xfrm>
                    <a:off x="3412671" y="315686"/>
                    <a:ext cx="604157" cy="3374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700" b="0" cap="none" spc="0">
                        <a:ln w="0"/>
                        <a:solidFill>
                          <a:schemeClr val="tx1"/>
                        </a:solidFill>
                        <a:effectLst>
                          <a:outerShdw blurRad="38100" dist="19050" dir="2700000" algn="tl" rotWithShape="0">
                            <a:schemeClr val="dk1">
                              <a:alpha val="40000"/>
                            </a:schemeClr>
                          </a:outerShdw>
                        </a:effectLst>
                      </a:rPr>
                      <a:t>WP-PV</a:t>
                    </a:r>
                    <a:br>
                      <a:rPr lang="pl-PL" sz="700" b="0" cap="none" spc="0">
                        <a:ln w="0"/>
                        <a:solidFill>
                          <a:schemeClr val="tx1"/>
                        </a:solidFill>
                        <a:effectLst>
                          <a:outerShdw blurRad="38100" dist="19050" dir="2700000" algn="tl" rotWithShape="0">
                            <a:schemeClr val="dk1">
                              <a:alpha val="40000"/>
                            </a:schemeClr>
                          </a:outerShdw>
                        </a:effectLst>
                      </a:rPr>
                    </a:br>
                    <a:r>
                      <a:rPr lang="pl-PL" sz="700" b="0" cap="none" spc="0">
                        <a:ln w="0"/>
                        <a:solidFill>
                          <a:schemeClr val="tx1"/>
                        </a:solidFill>
                        <a:effectLst>
                          <a:outerShdw blurRad="38100" dist="19050" dir="2700000" algn="tl" rotWithShape="0">
                            <a:schemeClr val="dk1">
                              <a:alpha val="40000"/>
                            </a:schemeClr>
                          </a:outerShdw>
                        </a:effectLst>
                      </a:rPr>
                      <a:t>1.1</a:t>
                    </a:r>
                  </a:p>
                </xdr:txBody>
              </xdr:sp>
            </xdr:grpSp>
            <xdr:grpSp>
              <xdr:nvGrpSpPr>
                <xdr:cNvPr id="202" name="Grupa 201">
                  <a:extLst>
                    <a:ext uri="{FF2B5EF4-FFF2-40B4-BE49-F238E27FC236}">
                      <a16:creationId xmlns:a16="http://schemas.microsoft.com/office/drawing/2014/main" id="{6130050A-BAFF-497A-BE1A-FA86CAA024DE}"/>
                    </a:ext>
                  </a:extLst>
                </xdr:cNvPr>
                <xdr:cNvGrpSpPr/>
              </xdr:nvGrpSpPr>
              <xdr:grpSpPr>
                <a:xfrm>
                  <a:off x="333284" y="2617428"/>
                  <a:ext cx="5218099" cy="617090"/>
                  <a:chOff x="326153" y="617651"/>
                  <a:chExt cx="5118453" cy="620112"/>
                </a:xfrm>
              </xdr:grpSpPr>
              <xdr:grpSp>
                <xdr:nvGrpSpPr>
                  <xdr:cNvPr id="204" name="Grupa 203">
                    <a:extLst>
                      <a:ext uri="{FF2B5EF4-FFF2-40B4-BE49-F238E27FC236}">
                        <a16:creationId xmlns:a16="http://schemas.microsoft.com/office/drawing/2014/main" id="{FF0127B3-E662-4106-A4B7-B7290CE1CF36}"/>
                      </a:ext>
                    </a:extLst>
                  </xdr:cNvPr>
                  <xdr:cNvGrpSpPr/>
                </xdr:nvGrpSpPr>
                <xdr:grpSpPr>
                  <a:xfrm>
                    <a:off x="326153" y="617651"/>
                    <a:ext cx="5118453" cy="620112"/>
                    <a:chOff x="336266" y="610890"/>
                    <a:chExt cx="5081325" cy="614367"/>
                  </a:xfrm>
                </xdr:grpSpPr>
                <xdr:cxnSp macro="">
                  <xdr:nvCxnSpPr>
                    <xdr:cNvPr id="208" name="Łącznik prosty 207">
                      <a:extLst>
                        <a:ext uri="{FF2B5EF4-FFF2-40B4-BE49-F238E27FC236}">
                          <a16:creationId xmlns:a16="http://schemas.microsoft.com/office/drawing/2014/main" id="{82427C16-52A8-401B-9EBE-90C61AA2A44C}"/>
                        </a:ext>
                      </a:extLst>
                    </xdr:cNvPr>
                    <xdr:cNvCxnSpPr/>
                  </xdr:nvCxnSpPr>
                  <xdr:spPr>
                    <a:xfrm>
                      <a:off x="5231212" y="736785"/>
                      <a:ext cx="0" cy="117000"/>
                    </a:xfrm>
                    <a:prstGeom prst="line">
                      <a:avLst/>
                    </a:prstGeom>
                    <a:ln w="9525"/>
                  </xdr:spPr>
                  <xdr:style>
                    <a:lnRef idx="1">
                      <a:schemeClr val="dk1"/>
                    </a:lnRef>
                    <a:fillRef idx="0">
                      <a:schemeClr val="dk1"/>
                    </a:fillRef>
                    <a:effectRef idx="0">
                      <a:schemeClr val="dk1"/>
                    </a:effectRef>
                    <a:fontRef idx="minor">
                      <a:schemeClr val="tx1"/>
                    </a:fontRef>
                  </xdr:style>
                </xdr:cxnSp>
                <xdr:sp macro="" textlink="">
                  <xdr:nvSpPr>
                    <xdr:cNvPr id="209" name="Owal 208">
                      <a:extLst>
                        <a:ext uri="{FF2B5EF4-FFF2-40B4-BE49-F238E27FC236}">
                          <a16:creationId xmlns:a16="http://schemas.microsoft.com/office/drawing/2014/main" id="{7A8D515F-1C4C-442F-87A1-D0D966B42C2C}"/>
                        </a:ext>
                      </a:extLst>
                    </xdr:cNvPr>
                    <xdr:cNvSpPr/>
                  </xdr:nvSpPr>
                  <xdr:spPr>
                    <a:xfrm>
                      <a:off x="5230241" y="769306"/>
                      <a:ext cx="45355" cy="473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xnSp macro="">
                  <xdr:nvCxnSpPr>
                    <xdr:cNvPr id="210" name="Łącznik prosty 209">
                      <a:extLst>
                        <a:ext uri="{FF2B5EF4-FFF2-40B4-BE49-F238E27FC236}">
                          <a16:creationId xmlns:a16="http://schemas.microsoft.com/office/drawing/2014/main" id="{01EC1110-86A5-48A3-AD7D-E5173A92147C}"/>
                        </a:ext>
                      </a:extLst>
                    </xdr:cNvPr>
                    <xdr:cNvCxnSpPr/>
                  </xdr:nvCxnSpPr>
                  <xdr:spPr>
                    <a:xfrm>
                      <a:off x="5221634" y="993921"/>
                      <a:ext cx="0" cy="116525"/>
                    </a:xfrm>
                    <a:prstGeom prst="line">
                      <a:avLst/>
                    </a:prstGeom>
                    <a:ln w="9525"/>
                  </xdr:spPr>
                  <xdr:style>
                    <a:lnRef idx="1">
                      <a:schemeClr val="dk1"/>
                    </a:lnRef>
                    <a:fillRef idx="0">
                      <a:schemeClr val="dk1"/>
                    </a:fillRef>
                    <a:effectRef idx="0">
                      <a:schemeClr val="dk1"/>
                    </a:effectRef>
                    <a:fontRef idx="minor">
                      <a:schemeClr val="tx1"/>
                    </a:fontRef>
                  </xdr:style>
                </xdr:cxnSp>
                <xdr:sp macro="" textlink="">
                  <xdr:nvSpPr>
                    <xdr:cNvPr id="211" name="Owal 210">
                      <a:extLst>
                        <a:ext uri="{FF2B5EF4-FFF2-40B4-BE49-F238E27FC236}">
                          <a16:creationId xmlns:a16="http://schemas.microsoft.com/office/drawing/2014/main" id="{C036A9AB-5ACA-4544-80E5-C95AAF82CFCE}"/>
                        </a:ext>
                      </a:extLst>
                    </xdr:cNvPr>
                    <xdr:cNvSpPr/>
                  </xdr:nvSpPr>
                  <xdr:spPr>
                    <a:xfrm>
                      <a:off x="5220663" y="1025967"/>
                      <a:ext cx="45355" cy="473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l-PL" sz="1100"/>
                    </a:p>
                  </xdr:txBody>
                </xdr:sp>
                <xdr:cxnSp macro="">
                  <xdr:nvCxnSpPr>
                    <xdr:cNvPr id="212" name="Łącznik prosty 211">
                      <a:extLst>
                        <a:ext uri="{FF2B5EF4-FFF2-40B4-BE49-F238E27FC236}">
                          <a16:creationId xmlns:a16="http://schemas.microsoft.com/office/drawing/2014/main" id="{774819E5-FDFF-4DDF-BD8B-FA9CB0593D5E}"/>
                        </a:ext>
                      </a:extLst>
                    </xdr:cNvPr>
                    <xdr:cNvCxnSpPr/>
                  </xdr:nvCxnSpPr>
                  <xdr:spPr>
                    <a:xfrm flipH="1">
                      <a:off x="5339046" y="794745"/>
                      <a:ext cx="77332"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13" name="Łącznik prosty 212">
                      <a:extLst>
                        <a:ext uri="{FF2B5EF4-FFF2-40B4-BE49-F238E27FC236}">
                          <a16:creationId xmlns:a16="http://schemas.microsoft.com/office/drawing/2014/main" id="{FB13B65D-778F-421B-B2D0-D0776779A2C1}"/>
                        </a:ext>
                      </a:extLst>
                    </xdr:cNvPr>
                    <xdr:cNvCxnSpPr/>
                  </xdr:nvCxnSpPr>
                  <xdr:spPr>
                    <a:xfrm flipH="1">
                      <a:off x="5341684" y="749026"/>
                      <a:ext cx="587" cy="80303"/>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14" name="Łącznik prosty 213">
                      <a:extLst>
                        <a:ext uri="{FF2B5EF4-FFF2-40B4-BE49-F238E27FC236}">
                          <a16:creationId xmlns:a16="http://schemas.microsoft.com/office/drawing/2014/main" id="{4E656D2D-C9A1-4B2C-B239-76BD5308E34C}"/>
                        </a:ext>
                      </a:extLst>
                    </xdr:cNvPr>
                    <xdr:cNvCxnSpPr/>
                  </xdr:nvCxnSpPr>
                  <xdr:spPr>
                    <a:xfrm flipH="1">
                      <a:off x="5338753" y="1059466"/>
                      <a:ext cx="78838" cy="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15" name="Łącznik prosty 214">
                      <a:extLst>
                        <a:ext uri="{FF2B5EF4-FFF2-40B4-BE49-F238E27FC236}">
                          <a16:creationId xmlns:a16="http://schemas.microsoft.com/office/drawing/2014/main" id="{976D0543-E27A-4C4A-A8B6-9DEB07A7CFB5}"/>
                        </a:ext>
                      </a:extLst>
                    </xdr:cNvPr>
                    <xdr:cNvCxnSpPr/>
                  </xdr:nvCxnSpPr>
                  <xdr:spPr>
                    <a:xfrm flipH="1">
                      <a:off x="5341391" y="1013747"/>
                      <a:ext cx="587" cy="80303"/>
                    </a:xfrm>
                    <a:prstGeom prst="line">
                      <a:avLst/>
                    </a:prstGeom>
                  </xdr:spPr>
                  <xdr:style>
                    <a:lnRef idx="1">
                      <a:schemeClr val="dk1"/>
                    </a:lnRef>
                    <a:fillRef idx="0">
                      <a:schemeClr val="dk1"/>
                    </a:fillRef>
                    <a:effectRef idx="0">
                      <a:schemeClr val="dk1"/>
                    </a:effectRef>
                    <a:fontRef idx="minor">
                      <a:schemeClr val="tx1"/>
                    </a:fontRef>
                  </xdr:style>
                </xdr:cxnSp>
                <xdr:grpSp>
                  <xdr:nvGrpSpPr>
                    <xdr:cNvPr id="216" name="Grupa 215">
                      <a:extLst>
                        <a:ext uri="{FF2B5EF4-FFF2-40B4-BE49-F238E27FC236}">
                          <a16:creationId xmlns:a16="http://schemas.microsoft.com/office/drawing/2014/main" id="{1C881FFD-D067-4A57-9174-BD249B521881}"/>
                        </a:ext>
                      </a:extLst>
                    </xdr:cNvPr>
                    <xdr:cNvGrpSpPr/>
                  </xdr:nvGrpSpPr>
                  <xdr:grpSpPr>
                    <a:xfrm>
                      <a:off x="336266" y="610890"/>
                      <a:ext cx="4896267" cy="614367"/>
                      <a:chOff x="336266" y="610890"/>
                      <a:chExt cx="4896267" cy="614367"/>
                    </a:xfrm>
                  </xdr:grpSpPr>
                  <xdr:grpSp>
                    <xdr:nvGrpSpPr>
                      <xdr:cNvPr id="231" name="Grupa 230">
                        <a:extLst>
                          <a:ext uri="{FF2B5EF4-FFF2-40B4-BE49-F238E27FC236}">
                            <a16:creationId xmlns:a16="http://schemas.microsoft.com/office/drawing/2014/main" id="{57519135-F0C6-4993-9572-0B78B91B93D1}"/>
                          </a:ext>
                        </a:extLst>
                      </xdr:cNvPr>
                      <xdr:cNvGrpSpPr/>
                    </xdr:nvGrpSpPr>
                    <xdr:grpSpPr>
                      <a:xfrm>
                        <a:off x="336266" y="610890"/>
                        <a:ext cx="4506823" cy="614367"/>
                        <a:chOff x="358361" y="625168"/>
                        <a:chExt cx="4455219" cy="617204"/>
                      </a:xfrm>
                    </xdr:grpSpPr>
                    <xdr:cxnSp macro="">
                      <xdr:nvCxnSpPr>
                        <xdr:cNvPr id="232" name="Łącznik prosty 231">
                          <a:extLst>
                            <a:ext uri="{FF2B5EF4-FFF2-40B4-BE49-F238E27FC236}">
                              <a16:creationId xmlns:a16="http://schemas.microsoft.com/office/drawing/2014/main" id="{9EDDC69C-C848-4153-AA51-DC3F9D9A1611}"/>
                            </a:ext>
                          </a:extLst>
                        </xdr:cNvPr>
                        <xdr:cNvCxnSpPr>
                          <a:stCxn id="239" idx="1"/>
                        </xdr:cNvCxnSpPr>
                      </xdr:nvCxnSpPr>
                      <xdr:spPr>
                        <a:xfrm flipH="1">
                          <a:off x="365296" y="811186"/>
                          <a:ext cx="178535" cy="376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nvGrpSpPr>
                        <xdr:cNvPr id="233" name="Grupa 232">
                          <a:extLst>
                            <a:ext uri="{FF2B5EF4-FFF2-40B4-BE49-F238E27FC236}">
                              <a16:creationId xmlns:a16="http://schemas.microsoft.com/office/drawing/2014/main" id="{4FB2D317-58E6-4A94-95AB-7266E22AF00E}"/>
                            </a:ext>
                          </a:extLst>
                        </xdr:cNvPr>
                        <xdr:cNvGrpSpPr/>
                      </xdr:nvGrpSpPr>
                      <xdr:grpSpPr>
                        <a:xfrm>
                          <a:off x="358361" y="625168"/>
                          <a:ext cx="4455219" cy="617204"/>
                          <a:chOff x="362647" y="628740"/>
                          <a:chExt cx="4553536" cy="620061"/>
                        </a:xfrm>
                      </xdr:grpSpPr>
                      <xdr:sp macro="" textlink="">
                        <xdr:nvSpPr>
                          <xdr:cNvPr id="234" name="Prostokąt 233">
                            <a:extLst>
                              <a:ext uri="{FF2B5EF4-FFF2-40B4-BE49-F238E27FC236}">
                                <a16:creationId xmlns:a16="http://schemas.microsoft.com/office/drawing/2014/main" id="{04ADDF46-71B0-4B8B-9DC8-97D6A538EF39}"/>
                              </a:ext>
                            </a:extLst>
                          </xdr:cNvPr>
                          <xdr:cNvSpPr/>
                        </xdr:nvSpPr>
                        <xdr:spPr>
                          <a:xfrm>
                            <a:off x="4340871" y="628740"/>
                            <a:ext cx="575312" cy="6200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grpSp>
                        <xdr:nvGrpSpPr>
                          <xdr:cNvPr id="235" name="Grupa 234">
                            <a:extLst>
                              <a:ext uri="{FF2B5EF4-FFF2-40B4-BE49-F238E27FC236}">
                                <a16:creationId xmlns:a16="http://schemas.microsoft.com/office/drawing/2014/main" id="{70EDBEA9-8184-4A6A-A773-5B62884DE9AA}"/>
                              </a:ext>
                            </a:extLst>
                          </xdr:cNvPr>
                          <xdr:cNvGrpSpPr/>
                        </xdr:nvGrpSpPr>
                        <xdr:grpSpPr>
                          <a:xfrm>
                            <a:off x="552211" y="745331"/>
                            <a:ext cx="2573302" cy="144304"/>
                            <a:chOff x="546012" y="730156"/>
                            <a:chExt cx="2548213" cy="138233"/>
                          </a:xfrm>
                        </xdr:grpSpPr>
                        <xdr:sp macro="" textlink="">
                          <xdr:nvSpPr>
                            <xdr:cNvPr id="239" name="Prostokąt 238">
                              <a:extLst>
                                <a:ext uri="{FF2B5EF4-FFF2-40B4-BE49-F238E27FC236}">
                                  <a16:creationId xmlns:a16="http://schemas.microsoft.com/office/drawing/2014/main" id="{48B30045-331C-47BA-86EB-2F4116ACC4D4}"/>
                                </a:ext>
                              </a:extLst>
                            </xdr:cNvPr>
                            <xdr:cNvSpPr/>
                          </xdr:nvSpPr>
                          <xdr:spPr>
                            <a:xfrm>
                              <a:off x="546012" y="730156"/>
                              <a:ext cx="580373"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sp macro="" textlink="">
                          <xdr:nvSpPr>
                            <xdr:cNvPr id="240" name="Prostokąt 239">
                              <a:extLst>
                                <a:ext uri="{FF2B5EF4-FFF2-40B4-BE49-F238E27FC236}">
                                  <a16:creationId xmlns:a16="http://schemas.microsoft.com/office/drawing/2014/main" id="{509BC215-84B9-4B81-B938-896569657212}"/>
                                </a:ext>
                              </a:extLst>
                            </xdr:cNvPr>
                            <xdr:cNvSpPr/>
                          </xdr:nvSpPr>
                          <xdr:spPr>
                            <a:xfrm>
                              <a:off x="1418318" y="733728"/>
                              <a:ext cx="594677"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sp macro="" textlink="">
                          <xdr:nvSpPr>
                            <xdr:cNvPr id="241" name="Prostokąt 240">
                              <a:extLst>
                                <a:ext uri="{FF2B5EF4-FFF2-40B4-BE49-F238E27FC236}">
                                  <a16:creationId xmlns:a16="http://schemas.microsoft.com/office/drawing/2014/main" id="{99C03DD5-F469-45E4-9C51-7219458C2B3C}"/>
                                </a:ext>
                              </a:extLst>
                            </xdr:cNvPr>
                            <xdr:cNvSpPr/>
                          </xdr:nvSpPr>
                          <xdr:spPr>
                            <a:xfrm>
                              <a:off x="2515766" y="731347"/>
                              <a:ext cx="578459" cy="134661"/>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pl-PL" sz="1100"/>
                            </a:p>
                          </xdr:txBody>
                        </xdr:sp>
                        <xdr:grpSp>
                          <xdr:nvGrpSpPr>
                            <xdr:cNvPr id="242" name="Grupa 241">
                              <a:extLst>
                                <a:ext uri="{FF2B5EF4-FFF2-40B4-BE49-F238E27FC236}">
                                  <a16:creationId xmlns:a16="http://schemas.microsoft.com/office/drawing/2014/main" id="{9EF35D01-CBF0-4861-B0EB-F59B91E2BCC3}"/>
                                </a:ext>
                              </a:extLst>
                            </xdr:cNvPr>
                            <xdr:cNvGrpSpPr/>
                          </xdr:nvGrpSpPr>
                          <xdr:grpSpPr>
                            <a:xfrm>
                              <a:off x="1126385" y="751533"/>
                              <a:ext cx="1389382" cy="91792"/>
                              <a:chOff x="1133259" y="754952"/>
                              <a:chExt cx="1398927" cy="91792"/>
                            </a:xfrm>
                          </xdr:grpSpPr>
                          <xdr:cxnSp macro="">
                            <xdr:nvCxnSpPr>
                              <xdr:cNvPr id="243" name="Łącznik prosty 242">
                                <a:extLst>
                                  <a:ext uri="{FF2B5EF4-FFF2-40B4-BE49-F238E27FC236}">
                                    <a16:creationId xmlns:a16="http://schemas.microsoft.com/office/drawing/2014/main" id="{52F7621D-E645-4496-8812-7F7C01AF2DE2}"/>
                                  </a:ext>
                                </a:extLst>
                              </xdr:cNvPr>
                              <xdr:cNvCxnSpPr>
                                <a:stCxn id="239" idx="3"/>
                                <a:endCxn id="240" idx="1"/>
                              </xdr:cNvCxnSpPr>
                            </xdr:nvCxnSpPr>
                            <xdr:spPr>
                              <a:xfrm>
                                <a:off x="1133259" y="800906"/>
                                <a:ext cx="293939" cy="3572"/>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44" name="Łącznik prosty 243">
                                <a:extLst>
                                  <a:ext uri="{FF2B5EF4-FFF2-40B4-BE49-F238E27FC236}">
                                    <a16:creationId xmlns:a16="http://schemas.microsoft.com/office/drawing/2014/main" id="{3F332477-54A1-4485-8EE6-99ECDDBDA9BD}"/>
                                  </a:ext>
                                </a:extLst>
                              </xdr:cNvPr>
                              <xdr:cNvCxnSpPr>
                                <a:stCxn id="240" idx="3"/>
                              </xdr:cNvCxnSpPr>
                            </xdr:nvCxnSpPr>
                            <xdr:spPr>
                              <a:xfrm flipV="1">
                                <a:off x="2025961" y="804439"/>
                                <a:ext cx="167590" cy="38"/>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245" name="Łącznik prosty 244">
                                <a:extLst>
                                  <a:ext uri="{FF2B5EF4-FFF2-40B4-BE49-F238E27FC236}">
                                    <a16:creationId xmlns:a16="http://schemas.microsoft.com/office/drawing/2014/main" id="{91974F14-7132-4217-AB48-76CE53B466F8}"/>
                                  </a:ext>
                                </a:extLst>
                              </xdr:cNvPr>
                              <xdr:cNvCxnSpPr>
                                <a:stCxn id="241" idx="1"/>
                              </xdr:cNvCxnSpPr>
                            </xdr:nvCxnSpPr>
                            <xdr:spPr>
                              <a:xfrm flipH="1" flipV="1">
                                <a:off x="2248320" y="799119"/>
                                <a:ext cx="283866" cy="2978"/>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246" name="Łącznik prosty 245">
                                <a:extLst>
                                  <a:ext uri="{FF2B5EF4-FFF2-40B4-BE49-F238E27FC236}">
                                    <a16:creationId xmlns:a16="http://schemas.microsoft.com/office/drawing/2014/main" id="{3EA4C306-AFF7-407D-892F-E22B086CF1B8}"/>
                                  </a:ext>
                                </a:extLst>
                              </xdr:cNvPr>
                              <xdr:cNvCxnSpPr/>
                            </xdr:nvCxnSpPr>
                            <xdr:spPr>
                              <a:xfrm>
                                <a:off x="2177376" y="754952"/>
                                <a:ext cx="35225" cy="91792"/>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cxnSp macro="">
                            <xdr:nvCxnSpPr>
                              <xdr:cNvPr id="247" name="Łącznik prosty 246">
                                <a:extLst>
                                  <a:ext uri="{FF2B5EF4-FFF2-40B4-BE49-F238E27FC236}">
                                    <a16:creationId xmlns:a16="http://schemas.microsoft.com/office/drawing/2014/main" id="{4EF5AA25-342F-460E-B9E9-5F3D74426D7F}"/>
                                  </a:ext>
                                </a:extLst>
                              </xdr:cNvPr>
                              <xdr:cNvCxnSpPr/>
                            </xdr:nvCxnSpPr>
                            <xdr:spPr>
                              <a:xfrm>
                                <a:off x="2228502" y="754952"/>
                                <a:ext cx="34105" cy="91792"/>
                              </a:xfrm>
                              <a:prstGeom prst="line">
                                <a:avLst/>
                              </a:prstGeom>
                              <a:ln w="19050">
                                <a:solidFill>
                                  <a:srgbClr val="7030A0"/>
                                </a:solidFill>
                              </a:ln>
                            </xdr:spPr>
                            <xdr:style>
                              <a:lnRef idx="1">
                                <a:schemeClr val="accent5"/>
                              </a:lnRef>
                              <a:fillRef idx="0">
                                <a:schemeClr val="accent5"/>
                              </a:fillRef>
                              <a:effectRef idx="0">
                                <a:schemeClr val="accent5"/>
                              </a:effectRef>
                              <a:fontRef idx="minor">
                                <a:schemeClr val="tx1"/>
                              </a:fontRef>
                            </xdr:style>
                          </xdr:cxnSp>
                        </xdr:grpSp>
                      </xdr:grpSp>
                      <xdr:cxnSp macro="">
                        <xdr:nvCxnSpPr>
                          <xdr:cNvPr id="236" name="Łącznik prosty 235">
                            <a:extLst>
                              <a:ext uri="{FF2B5EF4-FFF2-40B4-BE49-F238E27FC236}">
                                <a16:creationId xmlns:a16="http://schemas.microsoft.com/office/drawing/2014/main" id="{431F9D0D-CE00-47F2-8FAF-5CA92E7E7567}"/>
                              </a:ext>
                            </a:extLst>
                          </xdr:cNvPr>
                          <xdr:cNvCxnSpPr>
                            <a:cxnSpLocks/>
                            <a:stCxn id="241" idx="3"/>
                          </xdr:cNvCxnSpPr>
                        </xdr:nvCxnSpPr>
                        <xdr:spPr>
                          <a:xfrm>
                            <a:off x="3125512" y="816862"/>
                            <a:ext cx="330076" cy="239"/>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37" name="Łącznik prosty 236">
                            <a:extLst>
                              <a:ext uri="{FF2B5EF4-FFF2-40B4-BE49-F238E27FC236}">
                                <a16:creationId xmlns:a16="http://schemas.microsoft.com/office/drawing/2014/main" id="{2AB810E0-BA43-4092-9004-CBFE83572AD9}"/>
                              </a:ext>
                            </a:extLst>
                          </xdr:cNvPr>
                          <xdr:cNvCxnSpPr/>
                        </xdr:nvCxnSpPr>
                        <xdr:spPr>
                          <a:xfrm>
                            <a:off x="362647" y="810725"/>
                            <a:ext cx="8975" cy="320845"/>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38" name="Łącznik prosty 237">
                            <a:extLst>
                              <a:ext uri="{FF2B5EF4-FFF2-40B4-BE49-F238E27FC236}">
                                <a16:creationId xmlns:a16="http://schemas.microsoft.com/office/drawing/2014/main" id="{C065D0D5-167C-4EB8-800F-19D7FA222B03}"/>
                              </a:ext>
                            </a:extLst>
                          </xdr:cNvPr>
                          <xdr:cNvCxnSpPr>
                            <a:cxnSpLocks/>
                          </xdr:cNvCxnSpPr>
                        </xdr:nvCxnSpPr>
                        <xdr:spPr>
                          <a:xfrm>
                            <a:off x="368443" y="1121214"/>
                            <a:ext cx="3087145" cy="8858"/>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218" name="Łącznik prosty 217">
                        <a:extLst>
                          <a:ext uri="{FF2B5EF4-FFF2-40B4-BE49-F238E27FC236}">
                            <a16:creationId xmlns:a16="http://schemas.microsoft.com/office/drawing/2014/main" id="{EB9F6D7B-046F-4D42-B19E-F40369D58DCF}"/>
                          </a:ext>
                        </a:extLst>
                      </xdr:cNvPr>
                      <xdr:cNvCxnSpPr/>
                    </xdr:nvCxnSpPr>
                    <xdr:spPr>
                      <a:xfrm>
                        <a:off x="4838316" y="801809"/>
                        <a:ext cx="394217"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19" name="Łącznik prosty 218">
                        <a:extLst>
                          <a:ext uri="{FF2B5EF4-FFF2-40B4-BE49-F238E27FC236}">
                            <a16:creationId xmlns:a16="http://schemas.microsoft.com/office/drawing/2014/main" id="{C752A788-820E-4E1F-82F6-ED217B40F783}"/>
                          </a:ext>
                        </a:extLst>
                      </xdr:cNvPr>
                      <xdr:cNvCxnSpPr/>
                    </xdr:nvCxnSpPr>
                    <xdr:spPr>
                      <a:xfrm>
                        <a:off x="4838316" y="1058469"/>
                        <a:ext cx="384640"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206" name="Łącznik prosty 205">
                    <a:extLst>
                      <a:ext uri="{FF2B5EF4-FFF2-40B4-BE49-F238E27FC236}">
                        <a16:creationId xmlns:a16="http://schemas.microsoft.com/office/drawing/2014/main" id="{28D299D7-3F18-41A3-8E93-0B7FA6F591C9}"/>
                      </a:ext>
                    </a:extLst>
                  </xdr:cNvPr>
                  <xdr:cNvCxnSpPr/>
                </xdr:nvCxnSpPr>
                <xdr:spPr>
                  <a:xfrm>
                    <a:off x="4021852" y="812034"/>
                    <a:ext cx="272562"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07" name="Łącznik prosty 206">
                    <a:extLst>
                      <a:ext uri="{FF2B5EF4-FFF2-40B4-BE49-F238E27FC236}">
                        <a16:creationId xmlns:a16="http://schemas.microsoft.com/office/drawing/2014/main" id="{FEABFC27-0ECF-48AC-A91B-698FEFA65EC3}"/>
                      </a:ext>
                    </a:extLst>
                  </xdr:cNvPr>
                  <xdr:cNvCxnSpPr/>
                </xdr:nvCxnSpPr>
                <xdr:spPr>
                  <a:xfrm>
                    <a:off x="4021852" y="1071094"/>
                    <a:ext cx="278005" cy="0"/>
                  </a:xfrm>
                  <a:prstGeom prst="line">
                    <a:avLst/>
                  </a:prstGeom>
                  <a:ln w="19050">
                    <a:solidFill>
                      <a:srgbClr val="7030A0"/>
                    </a:solidFill>
                  </a:ln>
                </xdr:spPr>
                <xdr:style>
                  <a:lnRef idx="1">
                    <a:schemeClr val="accent1"/>
                  </a:lnRef>
                  <a:fillRef idx="0">
                    <a:schemeClr val="accent1"/>
                  </a:fillRef>
                  <a:effectRef idx="0">
                    <a:schemeClr val="accent1"/>
                  </a:effectRef>
                  <a:fontRef idx="minor">
                    <a:schemeClr val="tx1"/>
                  </a:fontRef>
                </xdr:style>
              </xdr:cxnSp>
            </xdr:grpSp>
          </xdr:grpSp>
          <xdr:pic>
            <xdr:nvPicPr>
              <xdr:cNvPr id="248" name="Obraz 247" descr="Znalezione obrazy dla zapytania symbol uziemienia">
                <a:extLst>
                  <a:ext uri="{FF2B5EF4-FFF2-40B4-BE49-F238E27FC236}">
                    <a16:creationId xmlns:a16="http://schemas.microsoft.com/office/drawing/2014/main" id="{AC590768-2298-4DE6-82C0-99786FD6F35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0597" y="2835520"/>
                <a:ext cx="202604" cy="307590"/>
              </a:xfrm>
              <a:prstGeom prst="rect">
                <a:avLst/>
              </a:prstGeom>
              <a:noFill/>
              <a:extLst>
                <a:ext uri="{909E8E84-426E-40DD-AFC4-6F175D3DCCD1}">
                  <a14:hiddenFill xmlns:a14="http://schemas.microsoft.com/office/drawing/2010/main">
                    <a:solidFill>
                      <a:srgbClr val="FFFFFF"/>
                    </a:solidFill>
                  </a14:hiddenFill>
                </a:ext>
              </a:extLst>
            </xdr:spPr>
          </xdr:pic>
        </xdr:grpSp>
        <xdr:cxnSp macro="">
          <xdr:nvCxnSpPr>
            <xdr:cNvPr id="55" name="Łącznik prosty 54">
              <a:extLst>
                <a:ext uri="{FF2B5EF4-FFF2-40B4-BE49-F238E27FC236}">
                  <a16:creationId xmlns:a16="http://schemas.microsoft.com/office/drawing/2014/main" id="{317003F1-0EC6-45AC-88BF-A7CC32D52F5A}"/>
                </a:ext>
              </a:extLst>
            </xdr:cNvPr>
            <xdr:cNvCxnSpPr/>
          </xdr:nvCxnSpPr>
          <xdr:spPr>
            <a:xfrm>
              <a:off x="7562518" y="3378396"/>
              <a:ext cx="8202" cy="438959"/>
            </a:xfrm>
            <a:prstGeom prst="line">
              <a:avLst/>
            </a:prstGeom>
            <a:ln>
              <a:solidFill>
                <a:srgbClr val="FF0000"/>
              </a:solidFill>
            </a:ln>
          </xdr:spPr>
          <xdr:style>
            <a:lnRef idx="2">
              <a:schemeClr val="accent2"/>
            </a:lnRef>
            <a:fillRef idx="0">
              <a:schemeClr val="accent2"/>
            </a:fillRef>
            <a:effectRef idx="1">
              <a:schemeClr val="accent2"/>
            </a:effectRef>
            <a:fontRef idx="minor">
              <a:schemeClr val="tx1"/>
            </a:fontRef>
          </xdr:style>
        </xdr:cxnSp>
        <xdr:cxnSp macro="">
          <xdr:nvCxnSpPr>
            <xdr:cNvPr id="60" name="Łącznik prosty 59">
              <a:extLst>
                <a:ext uri="{FF2B5EF4-FFF2-40B4-BE49-F238E27FC236}">
                  <a16:creationId xmlns:a16="http://schemas.microsoft.com/office/drawing/2014/main" id="{BCA98656-7BF9-4566-A4B4-FE0169562A13}"/>
                </a:ext>
              </a:extLst>
            </xdr:cNvPr>
            <xdr:cNvCxnSpPr/>
          </xdr:nvCxnSpPr>
          <xdr:spPr>
            <a:xfrm flipH="1">
              <a:off x="3964974" y="3812206"/>
              <a:ext cx="3603171" cy="5149"/>
            </a:xfrm>
            <a:prstGeom prst="line">
              <a:avLst/>
            </a:prstGeom>
            <a:ln>
              <a:solidFill>
                <a:srgbClr val="FF0000"/>
              </a:solidFill>
            </a:ln>
          </xdr:spPr>
          <xdr:style>
            <a:lnRef idx="2">
              <a:schemeClr val="accent2"/>
            </a:lnRef>
            <a:fillRef idx="0">
              <a:schemeClr val="accent2"/>
            </a:fillRef>
            <a:effectRef idx="1">
              <a:schemeClr val="accent2"/>
            </a:effectRef>
            <a:fontRef idx="minor">
              <a:schemeClr val="tx1"/>
            </a:fontRef>
          </xdr:style>
        </xdr:cxnSp>
        <xdr:cxnSp macro="">
          <xdr:nvCxnSpPr>
            <xdr:cNvPr id="251" name="Łącznik prosty 250">
              <a:extLst>
                <a:ext uri="{FF2B5EF4-FFF2-40B4-BE49-F238E27FC236}">
                  <a16:creationId xmlns:a16="http://schemas.microsoft.com/office/drawing/2014/main" id="{4737F4A8-26A8-4604-9F96-A3CC9A6F1CBF}"/>
                </a:ext>
              </a:extLst>
            </xdr:cNvPr>
            <xdr:cNvCxnSpPr/>
          </xdr:nvCxnSpPr>
          <xdr:spPr>
            <a:xfrm>
              <a:off x="3952691" y="3232114"/>
              <a:ext cx="6656" cy="588505"/>
            </a:xfrm>
            <a:prstGeom prst="line">
              <a:avLst/>
            </a:prstGeom>
            <a:ln>
              <a:solidFill>
                <a:srgbClr val="FF0000"/>
              </a:solidFill>
            </a:ln>
          </xdr:spPr>
          <xdr:style>
            <a:lnRef idx="2">
              <a:schemeClr val="accent2"/>
            </a:lnRef>
            <a:fillRef idx="0">
              <a:schemeClr val="accent2"/>
            </a:fillRef>
            <a:effectRef idx="1">
              <a:schemeClr val="accent2"/>
            </a:effectRef>
            <a:fontRef idx="minor">
              <a:schemeClr val="tx1"/>
            </a:fontRef>
          </xdr:style>
        </xdr:cxnSp>
        <xdr:sp macro="" textlink="">
          <xdr:nvSpPr>
            <xdr:cNvPr id="256" name="Prostokąt 255">
              <a:extLst>
                <a:ext uri="{FF2B5EF4-FFF2-40B4-BE49-F238E27FC236}">
                  <a16:creationId xmlns:a16="http://schemas.microsoft.com/office/drawing/2014/main" id="{CF3E9A67-F3BE-4D43-AC15-D18357A5E60E}"/>
                </a:ext>
              </a:extLst>
            </xdr:cNvPr>
            <xdr:cNvSpPr/>
          </xdr:nvSpPr>
          <xdr:spPr>
            <a:xfrm>
              <a:off x="4065084" y="3828619"/>
              <a:ext cx="1278789" cy="19212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l-PL" sz="800" b="0" cap="none" spc="0">
                  <a:ln w="0"/>
                  <a:solidFill>
                    <a:schemeClr val="tx1"/>
                  </a:solidFill>
                  <a:effectLst>
                    <a:outerShdw blurRad="38100" dist="19050" dir="2700000" algn="tl" rotWithShape="0">
                      <a:schemeClr val="dk1">
                        <a:alpha val="40000"/>
                      </a:schemeClr>
                    </a:outerShdw>
                  </a:effectLst>
                </a:rPr>
                <a:t>Przewód AC</a:t>
              </a:r>
              <a:r>
                <a:rPr lang="pl-PL" sz="800" b="0" cap="none" spc="0" baseline="0">
                  <a:ln w="0"/>
                  <a:solidFill>
                    <a:schemeClr val="tx1"/>
                  </a:solidFill>
                  <a:effectLst>
                    <a:outerShdw blurRad="38100" dist="19050" dir="2700000" algn="tl" rotWithShape="0">
                      <a:schemeClr val="dk1">
                        <a:alpha val="40000"/>
                      </a:schemeClr>
                    </a:outerShdw>
                  </a:effectLst>
                </a:rPr>
                <a:t> 3x 0,75mm2</a:t>
              </a:r>
            </a:p>
          </xdr:txBody>
        </xdr:sp>
        <xdr:pic>
          <xdr:nvPicPr>
            <xdr:cNvPr id="257" name="Obraz 256" descr="Znalezione obrazy dla zapytania symbol uziemienia">
              <a:extLst>
                <a:ext uri="{FF2B5EF4-FFF2-40B4-BE49-F238E27FC236}">
                  <a16:creationId xmlns:a16="http://schemas.microsoft.com/office/drawing/2014/main" id="{F3D7FD8E-EA56-4058-85A1-9AE071DF14E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560900" y="3210907"/>
              <a:ext cx="201590" cy="308574"/>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mc:AlternateContent xmlns:mc="http://schemas.openxmlformats.org/markup-compatibility/2006">
    <mc:Choice xmlns:a14="http://schemas.microsoft.com/office/drawing/2010/main" Requires="a14">
      <xdr:twoCellAnchor editAs="oneCell">
        <xdr:from>
          <xdr:col>26</xdr:col>
          <xdr:colOff>1</xdr:colOff>
          <xdr:row>64</xdr:row>
          <xdr:rowOff>58615</xdr:rowOff>
        </xdr:from>
        <xdr:to>
          <xdr:col>54</xdr:col>
          <xdr:colOff>169047</xdr:colOff>
          <xdr:row>69</xdr:row>
          <xdr:rowOff>36636</xdr:rowOff>
        </xdr:to>
        <xdr:pic>
          <xdr:nvPicPr>
            <xdr:cNvPr id="103" name="Obraz 102">
              <a:extLst>
                <a:ext uri="{FF2B5EF4-FFF2-40B4-BE49-F238E27FC236}">
                  <a16:creationId xmlns:a16="http://schemas.microsoft.com/office/drawing/2014/main" id="{51D2E613-0BAA-43C1-ACDF-513AD7CE2312}"/>
                </a:ext>
              </a:extLst>
            </xdr:cNvPr>
            <xdr:cNvPicPr>
              <a:picLocks noChangeAspect="1"/>
              <a:extLst>
                <a:ext uri="{84589F7E-364E-4C9E-8A38-B11213B215E9}">
                  <a14:cameraTool cellRange="string1" spid="_x0000_s56859"/>
                </a:ext>
              </a:extLst>
            </xdr:cNvPicPr>
          </xdr:nvPicPr>
          <xdr:blipFill rotWithShape="1">
            <a:blip xmlns:r="http://schemas.openxmlformats.org/officeDocument/2006/relationships" r:embed="rId8"/>
            <a:srcRect l="1" t="8730" r="-423" b="8329"/>
            <a:stretch>
              <a:fillRect/>
            </a:stretch>
          </xdr:blipFill>
          <xdr:spPr>
            <a:xfrm>
              <a:off x="4769828" y="8088923"/>
              <a:ext cx="5363834" cy="747348"/>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5</xdr:col>
      <xdr:colOff>171450</xdr:colOff>
      <xdr:row>4</xdr:row>
      <xdr:rowOff>95250</xdr:rowOff>
    </xdr:from>
    <xdr:ext cx="1390650" cy="257175"/>
    <xdr:sp macro="" textlink="">
      <xdr:nvSpPr>
        <xdr:cNvPr id="2" name="Shape 3">
          <a:extLst>
            <a:ext uri="{FF2B5EF4-FFF2-40B4-BE49-F238E27FC236}">
              <a16:creationId xmlns:a16="http://schemas.microsoft.com/office/drawing/2014/main" id="{2B506553-67CA-4B33-AF85-415D7712A7BE}"/>
            </a:ext>
          </a:extLst>
        </xdr:cNvPr>
        <xdr:cNvSpPr/>
      </xdr:nvSpPr>
      <xdr:spPr>
        <a:xfrm rot="10800000">
          <a:off x="4419600" y="1304925"/>
          <a:ext cx="1390650" cy="257175"/>
        </a:xfrm>
        <a:prstGeom prst="rightArrow">
          <a:avLst>
            <a:gd name="adj1" fmla="val 50000"/>
            <a:gd name="adj2" fmla="val 50000"/>
          </a:avLst>
        </a:prstGeom>
        <a:solidFill>
          <a:srgbClr val="96D02E"/>
        </a:solidFill>
        <a:ln w="10775" cap="flat" cmpd="sng">
          <a:solidFill>
            <a:srgbClr val="31538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190500</xdr:colOff>
      <xdr:row>21</xdr:row>
      <xdr:rowOff>142875</xdr:rowOff>
    </xdr:from>
    <xdr:ext cx="1390650" cy="257175"/>
    <xdr:sp macro="" textlink="">
      <xdr:nvSpPr>
        <xdr:cNvPr id="3" name="Shape 4">
          <a:extLst>
            <a:ext uri="{FF2B5EF4-FFF2-40B4-BE49-F238E27FC236}">
              <a16:creationId xmlns:a16="http://schemas.microsoft.com/office/drawing/2014/main" id="{60F267A6-71BF-4AA3-AFB1-D8C7661F4199}"/>
            </a:ext>
          </a:extLst>
        </xdr:cNvPr>
        <xdr:cNvSpPr/>
      </xdr:nvSpPr>
      <xdr:spPr>
        <a:xfrm rot="10800000">
          <a:off x="4438650" y="8210550"/>
          <a:ext cx="1390650" cy="257175"/>
        </a:xfrm>
        <a:prstGeom prst="rightArrow">
          <a:avLst>
            <a:gd name="adj1" fmla="val 50000"/>
            <a:gd name="adj2" fmla="val 50000"/>
          </a:avLst>
        </a:prstGeom>
        <a:solidFill>
          <a:srgbClr val="96D02E"/>
        </a:solidFill>
        <a:ln w="10775" cap="flat" cmpd="sng">
          <a:solidFill>
            <a:srgbClr val="31538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190500</xdr:colOff>
      <xdr:row>21</xdr:row>
      <xdr:rowOff>142875</xdr:rowOff>
    </xdr:from>
    <xdr:ext cx="1390650" cy="257175"/>
    <xdr:sp macro="" textlink="">
      <xdr:nvSpPr>
        <xdr:cNvPr id="4" name="Shape 4">
          <a:extLst>
            <a:ext uri="{FF2B5EF4-FFF2-40B4-BE49-F238E27FC236}">
              <a16:creationId xmlns:a16="http://schemas.microsoft.com/office/drawing/2014/main" id="{F59C4F0E-C339-492C-A43E-AE127C23721B}"/>
            </a:ext>
          </a:extLst>
        </xdr:cNvPr>
        <xdr:cNvSpPr/>
      </xdr:nvSpPr>
      <xdr:spPr>
        <a:xfrm rot="10800000">
          <a:off x="4438650" y="8210550"/>
          <a:ext cx="1390650" cy="257175"/>
        </a:xfrm>
        <a:prstGeom prst="rightArrow">
          <a:avLst>
            <a:gd name="adj1" fmla="val 50000"/>
            <a:gd name="adj2" fmla="val 50000"/>
          </a:avLst>
        </a:prstGeom>
        <a:solidFill>
          <a:srgbClr val="96D02E"/>
        </a:solidFill>
        <a:ln w="10775" cap="flat" cmpd="sng">
          <a:solidFill>
            <a:srgbClr val="31538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5</xdr:col>
      <xdr:colOff>314325</xdr:colOff>
      <xdr:row>18</xdr:row>
      <xdr:rowOff>0</xdr:rowOff>
    </xdr:from>
    <xdr:ext cx="1390650" cy="257175"/>
    <xdr:sp macro="" textlink="">
      <xdr:nvSpPr>
        <xdr:cNvPr id="5" name="Shape 4">
          <a:extLst>
            <a:ext uri="{FF2B5EF4-FFF2-40B4-BE49-F238E27FC236}">
              <a16:creationId xmlns:a16="http://schemas.microsoft.com/office/drawing/2014/main" id="{9A1FACCC-300C-4BDB-9E4D-06253D72FC18}"/>
            </a:ext>
          </a:extLst>
        </xdr:cNvPr>
        <xdr:cNvSpPr/>
      </xdr:nvSpPr>
      <xdr:spPr>
        <a:xfrm rot="10800000">
          <a:off x="4562475" y="6762750"/>
          <a:ext cx="1390650" cy="257175"/>
        </a:xfrm>
        <a:prstGeom prst="rightArrow">
          <a:avLst>
            <a:gd name="adj1" fmla="val 50000"/>
            <a:gd name="adj2" fmla="val 50000"/>
          </a:avLst>
        </a:prstGeom>
        <a:solidFill>
          <a:srgbClr val="96D02E"/>
        </a:solidFill>
        <a:ln w="10775" cap="flat" cmpd="sng">
          <a:solidFill>
            <a:srgbClr val="31538F"/>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9</xdr:col>
      <xdr:colOff>66674</xdr:colOff>
      <xdr:row>0</xdr:row>
      <xdr:rowOff>109536</xdr:rowOff>
    </xdr:from>
    <xdr:to>
      <xdr:col>12</xdr:col>
      <xdr:colOff>266699</xdr:colOff>
      <xdr:row>10</xdr:row>
      <xdr:rowOff>19049</xdr:rowOff>
    </xdr:to>
    <xdr:graphicFrame macro="">
      <xdr:nvGraphicFramePr>
        <xdr:cNvPr id="6" name="Wykres 1">
          <a:extLst>
            <a:ext uri="{FF2B5EF4-FFF2-40B4-BE49-F238E27FC236}">
              <a16:creationId xmlns:a16="http://schemas.microsoft.com/office/drawing/2014/main" id="{6F72B54A-A521-4DD0-B5A4-4667EC23D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Z:\Programy%20wycenowe\PV\Wycena\BD%20aktualne%20dane.xlsx" TargetMode="External"/><Relationship Id="rId1" Type="http://schemas.openxmlformats.org/officeDocument/2006/relationships/externalLinkPath" Target="BD%20aktualne%20da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anele"/>
      <sheetName val="Inwerter"/>
      <sheetName val="Magazyn energii"/>
      <sheetName val="inne"/>
      <sheetName val="wycena PV"/>
      <sheetName val="Arkusz1"/>
      <sheetName val="PC"/>
      <sheetName val="Obliczenia PC"/>
      <sheetName val="wycena PC"/>
      <sheetName val="schematyPC"/>
      <sheetName val="Zbiorniki CWUCO"/>
      <sheetName val="PC_CWU"/>
      <sheetName val="dane_meteo"/>
      <sheetName val="Kotły"/>
      <sheetName val="KK Kotły"/>
      <sheetName val="Tabela nr 019_A_NBP_2023 z dnia"/>
    </sheetNames>
    <sheetDataSet>
      <sheetData sheetId="0">
        <row r="1">
          <cell r="A1" t="str">
            <v>Panel_Nazwa</v>
          </cell>
          <cell r="B1" t="str">
            <v>c.zak</v>
          </cell>
          <cell r="C1" t="str">
            <v>W</v>
          </cell>
          <cell r="D1" t="str">
            <v>gwarancja</v>
          </cell>
          <cell r="E1" t="str">
            <v>straty</v>
          </cell>
          <cell r="F1" t="str">
            <v>open_V</v>
          </cell>
          <cell r="G1" t="str">
            <v>%/C</v>
          </cell>
          <cell r="H1" t="str">
            <v>MPP_25</v>
          </cell>
          <cell r="I1" t="str">
            <v>sprawność</v>
          </cell>
          <cell r="J1" t="str">
            <v>prąd_zwarciowy</v>
          </cell>
          <cell r="K1" t="str">
            <v>wysokość</v>
          </cell>
          <cell r="L1" t="str">
            <v>szerokość</v>
          </cell>
          <cell r="M1" t="str">
            <v>grubość</v>
          </cell>
          <cell r="N1" t="str">
            <v>Powierzchnia</v>
          </cell>
          <cell r="O1" t="str">
            <v>wygląd</v>
          </cell>
        </row>
        <row r="2">
          <cell r="A2" t="str">
            <v>Akcome Chaser-M10/132P 500W BF</v>
          </cell>
          <cell r="B2">
            <v>755</v>
          </cell>
          <cell r="C2">
            <v>500</v>
          </cell>
          <cell r="D2">
            <v>12</v>
          </cell>
          <cell r="E2">
            <v>0.55000000000000004</v>
          </cell>
          <cell r="F2">
            <v>45.55</v>
          </cell>
          <cell r="G2">
            <v>0.36</v>
          </cell>
          <cell r="H2">
            <v>38.549999999999997</v>
          </cell>
          <cell r="I2">
            <v>21.06</v>
          </cell>
          <cell r="J2">
            <v>13.85</v>
          </cell>
          <cell r="K2">
            <v>2094</v>
          </cell>
          <cell r="L2">
            <v>1134</v>
          </cell>
          <cell r="M2">
            <v>35</v>
          </cell>
          <cell r="N2">
            <v>1.51</v>
          </cell>
        </row>
        <row r="3">
          <cell r="A3" t="str">
            <v>Akcome Chaser-M6/120P 380W</v>
          </cell>
          <cell r="B3">
            <v>555</v>
          </cell>
          <cell r="C3">
            <v>380</v>
          </cell>
          <cell r="D3">
            <v>12</v>
          </cell>
          <cell r="E3">
            <v>0.55000000000000004</v>
          </cell>
          <cell r="F3">
            <v>42.5</v>
          </cell>
          <cell r="G3">
            <v>0.36</v>
          </cell>
          <cell r="H3">
            <v>34.71</v>
          </cell>
          <cell r="I3">
            <v>20.86</v>
          </cell>
          <cell r="J3">
            <v>11.47</v>
          </cell>
          <cell r="K3">
            <v>1755</v>
          </cell>
          <cell r="L3">
            <v>1038</v>
          </cell>
          <cell r="M3">
            <v>30</v>
          </cell>
          <cell r="N3">
            <v>1.95</v>
          </cell>
        </row>
        <row r="4">
          <cell r="A4" t="str">
            <v>Hyundai HiE-S410VG</v>
          </cell>
          <cell r="B4">
            <v>995</v>
          </cell>
          <cell r="C4">
            <v>410</v>
          </cell>
          <cell r="D4">
            <v>25</v>
          </cell>
          <cell r="E4">
            <v>0.55000000000000004</v>
          </cell>
          <cell r="F4">
            <v>46.6</v>
          </cell>
          <cell r="G4">
            <v>0.34</v>
          </cell>
          <cell r="H4">
            <v>38.799999999999997</v>
          </cell>
          <cell r="I4">
            <v>20.9</v>
          </cell>
          <cell r="J4">
            <v>11.07</v>
          </cell>
          <cell r="K4">
            <v>1719</v>
          </cell>
          <cell r="L4">
            <v>1140</v>
          </cell>
          <cell r="M4">
            <v>35</v>
          </cell>
          <cell r="N4">
            <v>2.4268292682926829</v>
          </cell>
        </row>
        <row r="5">
          <cell r="A5" t="str">
            <v>Hyundai HiE-S485VI</v>
          </cell>
          <cell r="B5">
            <v>940</v>
          </cell>
          <cell r="C5">
            <v>485</v>
          </cell>
          <cell r="D5">
            <v>25</v>
          </cell>
          <cell r="E5">
            <v>0.55000000000000004</v>
          </cell>
          <cell r="F5">
            <v>46.7</v>
          </cell>
          <cell r="G5">
            <v>0.34</v>
          </cell>
          <cell r="H5">
            <v>38.799999999999997</v>
          </cell>
          <cell r="I5">
            <v>20.7</v>
          </cell>
          <cell r="J5">
            <v>13.22</v>
          </cell>
          <cell r="K5">
            <v>2065</v>
          </cell>
          <cell r="L5">
            <v>1140</v>
          </cell>
          <cell r="M5">
            <v>35</v>
          </cell>
          <cell r="N5">
            <v>1.9381443298969072</v>
          </cell>
        </row>
        <row r="6">
          <cell r="A6" t="str">
            <v>Jinko JKM415N-54HL4-B FB</v>
          </cell>
          <cell r="B6">
            <v>715</v>
          </cell>
          <cell r="C6">
            <v>415</v>
          </cell>
          <cell r="D6">
            <v>25</v>
          </cell>
          <cell r="E6">
            <v>0.4</v>
          </cell>
          <cell r="F6">
            <v>37.96</v>
          </cell>
          <cell r="G6">
            <v>0.3</v>
          </cell>
          <cell r="H6">
            <v>31.85</v>
          </cell>
          <cell r="I6">
            <v>21.25</v>
          </cell>
          <cell r="J6">
            <v>13.74</v>
          </cell>
          <cell r="K6">
            <v>1722</v>
          </cell>
          <cell r="L6">
            <v>1086</v>
          </cell>
          <cell r="M6">
            <v>30</v>
          </cell>
          <cell r="N6">
            <v>1.7228915662650603</v>
          </cell>
        </row>
        <row r="7">
          <cell r="A7" t="str">
            <v>Jinko JKM555N-72HL4-V BIFACIAL</v>
          </cell>
          <cell r="B7">
            <v>975</v>
          </cell>
          <cell r="C7">
            <v>555</v>
          </cell>
          <cell r="D7">
            <v>25</v>
          </cell>
          <cell r="E7">
            <v>0.4</v>
          </cell>
          <cell r="F7">
            <v>50.47</v>
          </cell>
          <cell r="G7">
            <v>0.3</v>
          </cell>
          <cell r="H7">
            <v>41.77</v>
          </cell>
          <cell r="I7">
            <v>21.48</v>
          </cell>
          <cell r="J7">
            <v>14.07</v>
          </cell>
          <cell r="K7">
            <v>2278</v>
          </cell>
          <cell r="L7">
            <v>1134</v>
          </cell>
          <cell r="M7">
            <v>30</v>
          </cell>
          <cell r="N7">
            <v>1.7567567567567568</v>
          </cell>
        </row>
        <row r="8">
          <cell r="A8" t="str">
            <v>Jolywood JW.-HD120N-345W BIFACIAL</v>
          </cell>
          <cell r="B8">
            <v>620</v>
          </cell>
          <cell r="C8">
            <v>345</v>
          </cell>
          <cell r="D8">
            <v>15</v>
          </cell>
          <cell r="E8">
            <v>0.4</v>
          </cell>
          <cell r="F8">
            <v>42.1</v>
          </cell>
          <cell r="G8">
            <v>0.32</v>
          </cell>
          <cell r="H8">
            <v>35.4</v>
          </cell>
          <cell r="I8">
            <v>20.5</v>
          </cell>
          <cell r="J8">
            <v>10.220000000000001</v>
          </cell>
          <cell r="K8">
            <v>1690</v>
          </cell>
          <cell r="L8">
            <v>996</v>
          </cell>
          <cell r="M8">
            <v>30</v>
          </cell>
          <cell r="N8">
            <v>1.7971014492753623</v>
          </cell>
        </row>
        <row r="9">
          <cell r="A9" t="str">
            <v>Jolywood JW.-HD144N-555W BIFACIAL</v>
          </cell>
          <cell r="B9">
            <v>955</v>
          </cell>
          <cell r="C9">
            <v>555</v>
          </cell>
          <cell r="D9">
            <v>12</v>
          </cell>
          <cell r="E9">
            <v>0.4</v>
          </cell>
          <cell r="F9">
            <v>50.4</v>
          </cell>
          <cell r="G9">
            <v>0.32</v>
          </cell>
          <cell r="H9">
            <v>42.2</v>
          </cell>
          <cell r="I9">
            <v>21.42</v>
          </cell>
          <cell r="J9">
            <v>13.93</v>
          </cell>
          <cell r="K9">
            <v>2285</v>
          </cell>
          <cell r="L9">
            <v>1134</v>
          </cell>
          <cell r="M9">
            <v>30</v>
          </cell>
          <cell r="N9">
            <v>1.7207207207207207</v>
          </cell>
        </row>
        <row r="10">
          <cell r="A10" t="str">
            <v>LONGi LR4-60HPB-360M FULL BLACK</v>
          </cell>
          <cell r="B10">
            <v>411.59</v>
          </cell>
          <cell r="C10">
            <v>360</v>
          </cell>
          <cell r="D10">
            <v>12</v>
          </cell>
          <cell r="E10">
            <v>0.55000000000000004</v>
          </cell>
          <cell r="F10">
            <v>40.799999999999997</v>
          </cell>
          <cell r="G10">
            <v>0.35</v>
          </cell>
          <cell r="H10">
            <v>34.799999999999997</v>
          </cell>
          <cell r="I10">
            <v>19.5</v>
          </cell>
          <cell r="J10">
            <v>11.33</v>
          </cell>
          <cell r="K10">
            <v>1755</v>
          </cell>
          <cell r="L10">
            <v>1038</v>
          </cell>
          <cell r="M10">
            <v>35</v>
          </cell>
          <cell r="N10">
            <v>1.1433055555555556</v>
          </cell>
        </row>
        <row r="11">
          <cell r="A11" t="str">
            <v>LONGi LR4-60HPH-375M 9BB BF</v>
          </cell>
          <cell r="B11">
            <v>605</v>
          </cell>
          <cell r="C11">
            <v>375</v>
          </cell>
          <cell r="D11">
            <v>12</v>
          </cell>
          <cell r="E11">
            <v>0.55000000000000004</v>
          </cell>
          <cell r="F11">
            <v>41.1</v>
          </cell>
          <cell r="G11">
            <v>0.34</v>
          </cell>
          <cell r="H11">
            <v>34.6</v>
          </cell>
          <cell r="I11">
            <v>20.6</v>
          </cell>
          <cell r="J11">
            <v>11.6</v>
          </cell>
          <cell r="K11">
            <v>1755</v>
          </cell>
          <cell r="L11">
            <v>1038</v>
          </cell>
          <cell r="M11">
            <v>30</v>
          </cell>
          <cell r="N11">
            <v>1.6133333333333333</v>
          </cell>
        </row>
        <row r="12">
          <cell r="A12" t="str">
            <v>LONGi LR4-72HPH-450M</v>
          </cell>
          <cell r="B12">
            <v>710</v>
          </cell>
          <cell r="C12">
            <v>450</v>
          </cell>
          <cell r="D12">
            <v>12</v>
          </cell>
          <cell r="E12">
            <v>0.55000000000000004</v>
          </cell>
          <cell r="F12">
            <v>49.3</v>
          </cell>
          <cell r="G12">
            <v>0.35</v>
          </cell>
          <cell r="H12">
            <v>41.5</v>
          </cell>
          <cell r="I12">
            <v>20.7</v>
          </cell>
          <cell r="J12">
            <v>11.6</v>
          </cell>
          <cell r="K12">
            <v>2094</v>
          </cell>
          <cell r="L12">
            <v>1038</v>
          </cell>
          <cell r="M12">
            <v>35</v>
          </cell>
          <cell r="N12">
            <v>1.5777777777777777</v>
          </cell>
        </row>
        <row r="13">
          <cell r="A13" t="str">
            <v>LONGi LR4-72HPH-455M</v>
          </cell>
          <cell r="B13">
            <v>710</v>
          </cell>
          <cell r="C13">
            <v>455</v>
          </cell>
          <cell r="D13">
            <v>12</v>
          </cell>
          <cell r="E13">
            <v>0.55000000000000004</v>
          </cell>
          <cell r="F13">
            <v>49.5</v>
          </cell>
          <cell r="G13">
            <v>0.35</v>
          </cell>
          <cell r="H13">
            <v>41.7</v>
          </cell>
          <cell r="I13">
            <v>20.9</v>
          </cell>
          <cell r="J13">
            <v>11.66</v>
          </cell>
          <cell r="K13">
            <v>2094</v>
          </cell>
          <cell r="L13">
            <v>1038</v>
          </cell>
          <cell r="M13">
            <v>35</v>
          </cell>
          <cell r="N13">
            <v>1.5604395604395604</v>
          </cell>
        </row>
        <row r="14">
          <cell r="A14" t="str">
            <v>LONGi LR5-72HPH-540M</v>
          </cell>
          <cell r="B14">
            <v>630</v>
          </cell>
          <cell r="C14">
            <v>540</v>
          </cell>
          <cell r="D14">
            <v>12</v>
          </cell>
          <cell r="E14">
            <v>0.55000000000000004</v>
          </cell>
          <cell r="F14">
            <v>49.5</v>
          </cell>
          <cell r="G14">
            <v>0.35</v>
          </cell>
          <cell r="H14">
            <v>41.65</v>
          </cell>
          <cell r="I14">
            <v>21.1</v>
          </cell>
          <cell r="J14">
            <v>13.85</v>
          </cell>
          <cell r="K14">
            <v>2256</v>
          </cell>
          <cell r="L14">
            <v>1133</v>
          </cell>
          <cell r="M14">
            <v>35</v>
          </cell>
          <cell r="N14">
            <v>1.1666666666666667</v>
          </cell>
        </row>
        <row r="15">
          <cell r="A15" t="str">
            <v>PhonoSolar PS405M4-22/WH FULL BLACK</v>
          </cell>
          <cell r="B15">
            <v>525</v>
          </cell>
          <cell r="C15">
            <v>405</v>
          </cell>
          <cell r="D15">
            <v>15</v>
          </cell>
          <cell r="E15">
            <v>0.55000000000000004</v>
          </cell>
          <cell r="F15">
            <v>45.63</v>
          </cell>
          <cell r="G15">
            <v>0.35</v>
          </cell>
          <cell r="H15">
            <v>38.28</v>
          </cell>
          <cell r="I15">
            <v>20.25</v>
          </cell>
          <cell r="J15">
            <v>11.12</v>
          </cell>
          <cell r="K15">
            <v>1925</v>
          </cell>
          <cell r="L15">
            <v>1039</v>
          </cell>
          <cell r="M15">
            <v>30</v>
          </cell>
          <cell r="N15">
            <v>1.2962962962962963</v>
          </cell>
        </row>
        <row r="16">
          <cell r="A16" t="str">
            <v>PhonoSolar PS380M4-20/UH BLACK FRAME</v>
          </cell>
          <cell r="B16">
            <v>485</v>
          </cell>
          <cell r="C16">
            <v>380</v>
          </cell>
          <cell r="D16">
            <v>15</v>
          </cell>
          <cell r="E16">
            <v>0.55000000000000004</v>
          </cell>
          <cell r="F16">
            <v>34.68</v>
          </cell>
          <cell r="G16">
            <v>0.35</v>
          </cell>
          <cell r="H16">
            <v>41.37</v>
          </cell>
          <cell r="I16">
            <v>20.76</v>
          </cell>
          <cell r="J16">
            <v>11.49</v>
          </cell>
          <cell r="K16">
            <v>1732</v>
          </cell>
          <cell r="L16">
            <v>1039</v>
          </cell>
          <cell r="M16">
            <v>30</v>
          </cell>
          <cell r="N16">
            <v>1.2763157894736843</v>
          </cell>
        </row>
        <row r="17">
          <cell r="A17" t="str">
            <v>TW Solar TW555-MAP M10-144-H</v>
          </cell>
          <cell r="B17">
            <v>430</v>
          </cell>
          <cell r="C17">
            <v>555</v>
          </cell>
          <cell r="D17">
            <v>12</v>
          </cell>
          <cell r="E17">
            <v>0.55000000000000004</v>
          </cell>
          <cell r="F17">
            <v>50.11</v>
          </cell>
          <cell r="G17">
            <v>0.34</v>
          </cell>
          <cell r="H17">
            <v>41.45</v>
          </cell>
          <cell r="I17">
            <v>21.5</v>
          </cell>
          <cell r="J17">
            <v>13.96</v>
          </cell>
          <cell r="K17">
            <v>2278</v>
          </cell>
          <cell r="L17">
            <v>1134</v>
          </cell>
          <cell r="M17">
            <v>35</v>
          </cell>
          <cell r="N17">
            <v>0.77477477477477474</v>
          </cell>
        </row>
        <row r="18">
          <cell r="A18" t="str">
            <v>TW Solar TW665-MCP-132-H</v>
          </cell>
          <cell r="B18">
            <v>713</v>
          </cell>
          <cell r="C18">
            <v>665</v>
          </cell>
          <cell r="D18">
            <v>12</v>
          </cell>
          <cell r="E18">
            <v>0.55000000000000004</v>
          </cell>
          <cell r="F18">
            <v>46.5</v>
          </cell>
          <cell r="G18">
            <v>0.34</v>
          </cell>
          <cell r="H18">
            <v>38</v>
          </cell>
          <cell r="I18">
            <v>21.4</v>
          </cell>
          <cell r="J18">
            <v>18.55</v>
          </cell>
          <cell r="K18">
            <v>2384</v>
          </cell>
          <cell r="L18">
            <v>1303</v>
          </cell>
          <cell r="M18">
            <v>35</v>
          </cell>
          <cell r="N18">
            <v>1.0721804511278195</v>
          </cell>
        </row>
        <row r="19">
          <cell r="A19" t="str">
            <v>Sunlink SL5N108 430W</v>
          </cell>
          <cell r="B19">
            <v>366</v>
          </cell>
          <cell r="C19">
            <v>430</v>
          </cell>
          <cell r="D19">
            <v>25</v>
          </cell>
          <cell r="E19">
            <v>0.42</v>
          </cell>
          <cell r="F19">
            <v>38.42</v>
          </cell>
          <cell r="G19">
            <v>0.3</v>
          </cell>
          <cell r="H19">
            <v>32.26</v>
          </cell>
          <cell r="I19">
            <v>22</v>
          </cell>
          <cell r="J19">
            <v>14.16</v>
          </cell>
          <cell r="K19">
            <v>1722</v>
          </cell>
          <cell r="L19">
            <v>1134</v>
          </cell>
          <cell r="M19">
            <v>30</v>
          </cell>
          <cell r="N19">
            <v>0.85116279069767442</v>
          </cell>
        </row>
        <row r="20">
          <cell r="A20" t="str">
            <v>Sunlink SL4M144-BF 455W</v>
          </cell>
          <cell r="B20">
            <v>347</v>
          </cell>
          <cell r="C20">
            <v>455</v>
          </cell>
          <cell r="D20">
            <v>25</v>
          </cell>
          <cell r="E20">
            <v>0.97</v>
          </cell>
          <cell r="F20">
            <v>49.5</v>
          </cell>
          <cell r="G20">
            <v>0.35</v>
          </cell>
          <cell r="H20">
            <v>41.7</v>
          </cell>
          <cell r="I20">
            <v>20.9</v>
          </cell>
          <cell r="J20">
            <v>11.67</v>
          </cell>
          <cell r="K20">
            <v>2094</v>
          </cell>
          <cell r="L20">
            <v>1038</v>
          </cell>
          <cell r="M20">
            <v>35</v>
          </cell>
          <cell r="N20">
            <v>0.76263736263736259</v>
          </cell>
        </row>
        <row r="21">
          <cell r="A21" t="str">
            <v>LG LG375N1K-E6</v>
          </cell>
          <cell r="B21">
            <v>562</v>
          </cell>
          <cell r="C21">
            <v>375</v>
          </cell>
          <cell r="D21">
            <v>25</v>
          </cell>
          <cell r="E21">
            <v>0.38</v>
          </cell>
          <cell r="F21">
            <v>41.5</v>
          </cell>
          <cell r="G21">
            <v>0.33</v>
          </cell>
          <cell r="H21">
            <v>34.9</v>
          </cell>
          <cell r="I21">
            <v>20.399999999999999</v>
          </cell>
          <cell r="J21">
            <v>11.33</v>
          </cell>
          <cell r="K21">
            <v>1768</v>
          </cell>
          <cell r="L21">
            <v>1042</v>
          </cell>
          <cell r="M21">
            <v>40</v>
          </cell>
          <cell r="N21">
            <v>1.4986666666666666</v>
          </cell>
        </row>
        <row r="22">
          <cell r="A22" t="str">
            <v>Trina TSM-435 NEG9R.2B</v>
          </cell>
          <cell r="B22">
            <v>370</v>
          </cell>
          <cell r="C22">
            <v>435</v>
          </cell>
          <cell r="D22">
            <v>25</v>
          </cell>
          <cell r="E22">
            <v>0.4</v>
          </cell>
          <cell r="F22">
            <v>51.8</v>
          </cell>
          <cell r="G22">
            <v>0.3</v>
          </cell>
          <cell r="H22">
            <v>43.6</v>
          </cell>
          <cell r="I22">
            <v>21.8</v>
          </cell>
          <cell r="J22">
            <v>10.64</v>
          </cell>
          <cell r="K22">
            <v>1762</v>
          </cell>
          <cell r="L22">
            <v>1134</v>
          </cell>
          <cell r="M22">
            <v>30</v>
          </cell>
          <cell r="N22">
            <v>0.85057471264367812</v>
          </cell>
        </row>
        <row r="23">
          <cell r="A23" t="str">
            <v>Jinko JKM435N=54HL4R-B</v>
          </cell>
          <cell r="B23">
            <v>491</v>
          </cell>
          <cell r="C23">
            <v>435</v>
          </cell>
          <cell r="D23">
            <v>25</v>
          </cell>
          <cell r="E23">
            <v>0.4</v>
          </cell>
          <cell r="F23">
            <v>39.36</v>
          </cell>
          <cell r="G23">
            <v>0.28999999999999998</v>
          </cell>
          <cell r="H23">
            <v>32.78</v>
          </cell>
          <cell r="I23">
            <v>21.77</v>
          </cell>
          <cell r="J23">
            <v>13.72</v>
          </cell>
          <cell r="K23">
            <v>1762</v>
          </cell>
          <cell r="L23">
            <v>1134</v>
          </cell>
          <cell r="M23">
            <v>30</v>
          </cell>
          <cell r="N23">
            <v>1.1287356321839082</v>
          </cell>
        </row>
        <row r="24">
          <cell r="A24" t="str">
            <v>Vissmann VITOVOLT M400AK</v>
          </cell>
          <cell r="B24">
            <v>390</v>
          </cell>
          <cell r="C24">
            <v>400</v>
          </cell>
          <cell r="D24">
            <v>12</v>
          </cell>
          <cell r="E24">
            <v>0.35</v>
          </cell>
          <cell r="F24">
            <v>37</v>
          </cell>
          <cell r="G24">
            <v>0.27</v>
          </cell>
          <cell r="H24">
            <v>31.09</v>
          </cell>
          <cell r="I24">
            <v>20.7</v>
          </cell>
          <cell r="J24">
            <v>13.65</v>
          </cell>
          <cell r="K24">
            <v>1708</v>
          </cell>
          <cell r="L24">
            <v>1133</v>
          </cell>
          <cell r="M24">
            <v>30</v>
          </cell>
          <cell r="N24">
            <v>0.97499999999999998</v>
          </cell>
        </row>
        <row r="25">
          <cell r="N25" t="e">
            <v>#DIV/0!</v>
          </cell>
        </row>
        <row r="26">
          <cell r="N26" t="e">
            <v>#DIV/0!</v>
          </cell>
        </row>
        <row r="27">
          <cell r="N27" t="e">
            <v>#DIV/0!</v>
          </cell>
        </row>
        <row r="28">
          <cell r="N28" t="e">
            <v>#DIV/0!</v>
          </cell>
        </row>
        <row r="29">
          <cell r="N29" t="e">
            <v>#DIV/0!</v>
          </cell>
        </row>
        <row r="30">
          <cell r="N30" t="e">
            <v>#DIV/0!</v>
          </cell>
        </row>
        <row r="31">
          <cell r="N31" t="e">
            <v>#DIV/0!</v>
          </cell>
        </row>
        <row r="32">
          <cell r="N32" t="e">
            <v>#DIV/0!</v>
          </cell>
        </row>
        <row r="33">
          <cell r="N33" t="e">
            <v>#DIV/0!</v>
          </cell>
        </row>
        <row r="34">
          <cell r="N34" t="e">
            <v>#DIV/0!</v>
          </cell>
        </row>
        <row r="35">
          <cell r="N35" t="e">
            <v>#DIV/0!</v>
          </cell>
        </row>
        <row r="36">
          <cell r="N36" t="e">
            <v>#DIV/0!</v>
          </cell>
        </row>
        <row r="37">
          <cell r="N37" t="e">
            <v>#DIV/0!</v>
          </cell>
        </row>
        <row r="38">
          <cell r="N38" t="e">
            <v>#DIV/0!</v>
          </cell>
        </row>
        <row r="39">
          <cell r="N39" t="e">
            <v>#DIV/0!</v>
          </cell>
        </row>
        <row r="40">
          <cell r="N40" t="e">
            <v>#DIV/0!</v>
          </cell>
        </row>
        <row r="41">
          <cell r="N41" t="e">
            <v>#DIV/0!</v>
          </cell>
        </row>
        <row r="42">
          <cell r="N42" t="e">
            <v>#DIV/0!</v>
          </cell>
        </row>
        <row r="43">
          <cell r="N43" t="e">
            <v>#DIV/0!</v>
          </cell>
        </row>
        <row r="44">
          <cell r="N44" t="e">
            <v>#DIV/0!</v>
          </cell>
        </row>
        <row r="45">
          <cell r="N45" t="e">
            <v>#DIV/0!</v>
          </cell>
        </row>
        <row r="46">
          <cell r="N46" t="e">
            <v>#DIV/0!</v>
          </cell>
        </row>
        <row r="47">
          <cell r="N47" t="e">
            <v>#DIV/0!</v>
          </cell>
        </row>
        <row r="48">
          <cell r="N48" t="e">
            <v>#DIV/0!</v>
          </cell>
        </row>
        <row r="49">
          <cell r="N49" t="e">
            <v>#DIV/0!</v>
          </cell>
        </row>
        <row r="50">
          <cell r="N50" t="e">
            <v>#DIV/0!</v>
          </cell>
        </row>
        <row r="51">
          <cell r="N51" t="e">
            <v>#DIV/0!</v>
          </cell>
        </row>
        <row r="52">
          <cell r="N52" t="e">
            <v>#DIV/0!</v>
          </cell>
        </row>
        <row r="53">
          <cell r="N53" t="e">
            <v>#DIV/0!</v>
          </cell>
        </row>
        <row r="54">
          <cell r="N54" t="e">
            <v>#DIV/0!</v>
          </cell>
        </row>
        <row r="55">
          <cell r="N55" t="e">
            <v>#DIV/0!</v>
          </cell>
        </row>
        <row r="56">
          <cell r="N56" t="e">
            <v>#DIV/0!</v>
          </cell>
        </row>
        <row r="57">
          <cell r="N57" t="e">
            <v>#DIV/0!</v>
          </cell>
        </row>
        <row r="58">
          <cell r="N58" t="e">
            <v>#DIV/0!</v>
          </cell>
        </row>
        <row r="59">
          <cell r="N59" t="e">
            <v>#DIV/0!</v>
          </cell>
        </row>
        <row r="60">
          <cell r="N60" t="e">
            <v>#DIV/0!</v>
          </cell>
        </row>
        <row r="61">
          <cell r="N61" t="e">
            <v>#DIV/0!</v>
          </cell>
        </row>
        <row r="62">
          <cell r="N62" t="e">
            <v>#DIV/0!</v>
          </cell>
        </row>
        <row r="63">
          <cell r="N63" t="e">
            <v>#DIV/0!</v>
          </cell>
        </row>
        <row r="64">
          <cell r="N64" t="e">
            <v>#DIV/0!</v>
          </cell>
        </row>
        <row r="65">
          <cell r="N65" t="e">
            <v>#DIV/0!</v>
          </cell>
        </row>
        <row r="66">
          <cell r="N66" t="e">
            <v>#DIV/0!</v>
          </cell>
        </row>
        <row r="67">
          <cell r="N67" t="e">
            <v>#DIV/0!</v>
          </cell>
        </row>
        <row r="68">
          <cell r="N68" t="e">
            <v>#DIV/0!</v>
          </cell>
        </row>
        <row r="69">
          <cell r="N69" t="e">
            <v>#DIV/0!</v>
          </cell>
        </row>
        <row r="70">
          <cell r="N70" t="e">
            <v>#DIV/0!</v>
          </cell>
        </row>
        <row r="71">
          <cell r="N71" t="e">
            <v>#DIV/0!</v>
          </cell>
        </row>
        <row r="72">
          <cell r="N72" t="e">
            <v>#DIV/0!</v>
          </cell>
        </row>
        <row r="73">
          <cell r="N73" t="e">
            <v>#DIV/0!</v>
          </cell>
        </row>
        <row r="74">
          <cell r="N74" t="e">
            <v>#DIV/0!</v>
          </cell>
        </row>
        <row r="75">
          <cell r="N75" t="e">
            <v>#DIV/0!</v>
          </cell>
        </row>
        <row r="76">
          <cell r="N76" t="e">
            <v>#DIV/0!</v>
          </cell>
        </row>
        <row r="77">
          <cell r="N77" t="e">
            <v>#DIV/0!</v>
          </cell>
        </row>
        <row r="78">
          <cell r="N78" t="e">
            <v>#DIV/0!</v>
          </cell>
        </row>
        <row r="79">
          <cell r="N79" t="e">
            <v>#DIV/0!</v>
          </cell>
        </row>
        <row r="80">
          <cell r="N80" t="e">
            <v>#DIV/0!</v>
          </cell>
        </row>
        <row r="81">
          <cell r="N81" t="e">
            <v>#DIV/0!</v>
          </cell>
        </row>
        <row r="82">
          <cell r="N82" t="e">
            <v>#DIV/0!</v>
          </cell>
        </row>
        <row r="83">
          <cell r="N83" t="e">
            <v>#DIV/0!</v>
          </cell>
        </row>
        <row r="84">
          <cell r="N84" t="e">
            <v>#DIV/0!</v>
          </cell>
        </row>
        <row r="85">
          <cell r="N85" t="e">
            <v>#DIV/0!</v>
          </cell>
        </row>
        <row r="86">
          <cell r="N86" t="e">
            <v>#DIV/0!</v>
          </cell>
        </row>
        <row r="87">
          <cell r="N87" t="e">
            <v>#DIV/0!</v>
          </cell>
        </row>
        <row r="88">
          <cell r="N88" t="e">
            <v>#DIV/0!</v>
          </cell>
        </row>
        <row r="89">
          <cell r="N89" t="e">
            <v>#DIV/0!</v>
          </cell>
        </row>
        <row r="90">
          <cell r="N90" t="e">
            <v>#DIV/0!</v>
          </cell>
        </row>
        <row r="91">
          <cell r="N91" t="e">
            <v>#DIV/0!</v>
          </cell>
        </row>
      </sheetData>
      <sheetData sheetId="1">
        <row r="2">
          <cell r="A2" t="str">
            <v>Nazwa</v>
          </cell>
          <cell r="B2" t="str">
            <v>dodatkowo</v>
          </cell>
          <cell r="C2" t="str">
            <v>sprawność</v>
          </cell>
          <cell r="D2" t="str">
            <v>ilość faz</v>
          </cell>
          <cell r="E2" t="str">
            <v>ilość_mppt</v>
          </cell>
          <cell r="F2" t="str">
            <v>c.katalogowa</v>
          </cell>
          <cell r="G2" t="str">
            <v>netto</v>
          </cell>
          <cell r="H2" t="str">
            <v>brutto</v>
          </cell>
          <cell r="I2" t="str">
            <v>nom W</v>
          </cell>
          <cell r="J2" t="str">
            <v>min</v>
          </cell>
          <cell r="K2" t="str">
            <v>max W</v>
          </cell>
          <cell r="L2" t="str">
            <v>%</v>
          </cell>
          <cell r="M2" t="str">
            <v>max V/string</v>
          </cell>
          <cell r="N2" t="str">
            <v>zabezpieczenia AC</v>
          </cell>
          <cell r="O2" t="str">
            <v>Gwarancja</v>
          </cell>
          <cell r="P2" t="str">
            <v>Zdjęcie_Inwerter</v>
          </cell>
          <cell r="Q2" t="str">
            <v>max_A_DC</v>
          </cell>
          <cell r="R2" t="str">
            <v>zakres_DC</v>
          </cell>
          <cell r="S2" t="str">
            <v>THDi</v>
          </cell>
          <cell r="T2" t="str">
            <v>min_DC</v>
          </cell>
          <cell r="U2" t="str">
            <v>Kolumna1</v>
          </cell>
          <cell r="V2" t="str">
            <v>Kolumna2</v>
          </cell>
          <cell r="W2" t="str">
            <v>Kolumna3</v>
          </cell>
          <cell r="X2" t="str">
            <v>Kolumna4</v>
          </cell>
        </row>
        <row r="3">
          <cell r="A3" t="str">
            <v>Hoymiles HM-600 1F</v>
          </cell>
          <cell r="D3">
            <v>1</v>
          </cell>
          <cell r="E3">
            <v>2</v>
          </cell>
          <cell r="G3">
            <v>590</v>
          </cell>
          <cell r="H3">
            <v>637.20000000000005</v>
          </cell>
        </row>
        <row r="4">
          <cell r="A4" t="str">
            <v>Hoymiles HM-800 1F</v>
          </cell>
          <cell r="D4">
            <v>1</v>
          </cell>
          <cell r="E4">
            <v>2</v>
          </cell>
          <cell r="G4">
            <v>665</v>
          </cell>
          <cell r="H4">
            <v>718.2</v>
          </cell>
        </row>
        <row r="5">
          <cell r="A5" t="str">
            <v>Hoymiles HM-1200 1F</v>
          </cell>
          <cell r="D5">
            <v>1</v>
          </cell>
          <cell r="E5">
            <v>4</v>
          </cell>
          <cell r="G5">
            <v>951</v>
          </cell>
          <cell r="H5">
            <v>1027.0800000000002</v>
          </cell>
        </row>
        <row r="6">
          <cell r="A6" t="str">
            <v>Hoymiles HM-1500 1F</v>
          </cell>
          <cell r="D6">
            <v>1</v>
          </cell>
          <cell r="E6">
            <v>4</v>
          </cell>
          <cell r="G6">
            <v>1009</v>
          </cell>
          <cell r="H6">
            <v>1089.72</v>
          </cell>
        </row>
        <row r="7">
          <cell r="A7" t="str">
            <v>Hoymiles HMS-350-1T 1F</v>
          </cell>
          <cell r="D7">
            <v>1</v>
          </cell>
          <cell r="E7">
            <v>1</v>
          </cell>
          <cell r="G7">
            <v>350</v>
          </cell>
          <cell r="H7">
            <v>378</v>
          </cell>
        </row>
        <row r="8">
          <cell r="A8" t="str">
            <v>Hoymiles HMS-400-1T 1F</v>
          </cell>
          <cell r="D8">
            <v>1</v>
          </cell>
          <cell r="E8">
            <v>1</v>
          </cell>
          <cell r="G8">
            <v>370</v>
          </cell>
          <cell r="H8">
            <v>399.6</v>
          </cell>
        </row>
        <row r="9">
          <cell r="A9" t="str">
            <v>Hoymiles HMS-450-1T 1F</v>
          </cell>
          <cell r="D9">
            <v>1</v>
          </cell>
          <cell r="E9">
            <v>1</v>
          </cell>
          <cell r="G9">
            <v>385</v>
          </cell>
          <cell r="H9">
            <v>415.8</v>
          </cell>
        </row>
        <row r="10">
          <cell r="A10" t="str">
            <v>Hoymiles HMS-500-1T 1F</v>
          </cell>
          <cell r="D10">
            <v>1</v>
          </cell>
          <cell r="E10">
            <v>1</v>
          </cell>
          <cell r="G10">
            <v>410</v>
          </cell>
          <cell r="H10">
            <v>442.8</v>
          </cell>
        </row>
        <row r="11">
          <cell r="A11" t="str">
            <v>Hoymiles HMS-600-2T 1F</v>
          </cell>
          <cell r="D11">
            <v>1</v>
          </cell>
          <cell r="E11">
            <v>2</v>
          </cell>
          <cell r="G11">
            <v>686</v>
          </cell>
          <cell r="H11">
            <v>740.88</v>
          </cell>
        </row>
        <row r="12">
          <cell r="A12" t="str">
            <v>Hoymiles HMS-700-2T 1F</v>
          </cell>
          <cell r="D12">
            <v>1</v>
          </cell>
          <cell r="E12">
            <v>2</v>
          </cell>
          <cell r="G12">
            <v>703</v>
          </cell>
          <cell r="H12">
            <v>759.24</v>
          </cell>
        </row>
        <row r="13">
          <cell r="A13" t="str">
            <v>Hoymiles HMS-800-2T 1F</v>
          </cell>
          <cell r="D13">
            <v>1</v>
          </cell>
          <cell r="E13">
            <v>2</v>
          </cell>
          <cell r="G13">
            <v>720</v>
          </cell>
          <cell r="H13">
            <v>777.6</v>
          </cell>
        </row>
        <row r="14">
          <cell r="A14" t="str">
            <v>Hoymiles HMS-900-2T 1F</v>
          </cell>
          <cell r="D14">
            <v>1</v>
          </cell>
          <cell r="E14">
            <v>2</v>
          </cell>
          <cell r="G14">
            <v>709</v>
          </cell>
          <cell r="H14">
            <v>765.72</v>
          </cell>
        </row>
        <row r="15">
          <cell r="A15" t="str">
            <v>Hoymiles HMS-1000-2T 1F</v>
          </cell>
          <cell r="D15">
            <v>1</v>
          </cell>
          <cell r="E15">
            <v>2</v>
          </cell>
          <cell r="G15">
            <v>738</v>
          </cell>
          <cell r="H15">
            <v>797.04000000000008</v>
          </cell>
        </row>
        <row r="16">
          <cell r="A16" t="str">
            <v>Hoymiles HMS-1600-4T 1F</v>
          </cell>
          <cell r="D16">
            <v>1</v>
          </cell>
          <cell r="E16">
            <v>4</v>
          </cell>
          <cell r="G16">
            <v>951</v>
          </cell>
          <cell r="H16">
            <v>1027.0800000000002</v>
          </cell>
        </row>
        <row r="17">
          <cell r="A17" t="str">
            <v>Hoymiles HMS-1800-4T 1F</v>
          </cell>
          <cell r="D17">
            <v>1</v>
          </cell>
          <cell r="E17">
            <v>4</v>
          </cell>
          <cell r="G17">
            <v>1010</v>
          </cell>
          <cell r="H17">
            <v>1090.8000000000002</v>
          </cell>
        </row>
        <row r="18">
          <cell r="A18" t="str">
            <v>Hoymiles HMS-2000-4T 1F</v>
          </cell>
          <cell r="C18">
            <v>99.6</v>
          </cell>
          <cell r="D18">
            <v>1</v>
          </cell>
          <cell r="E18">
            <v>4</v>
          </cell>
          <cell r="G18">
            <v>1067</v>
          </cell>
          <cell r="H18">
            <v>1152.3600000000001</v>
          </cell>
          <cell r="I18">
            <v>2000</v>
          </cell>
          <cell r="K18">
            <v>670</v>
          </cell>
          <cell r="N18">
            <v>10</v>
          </cell>
          <cell r="O18">
            <v>12</v>
          </cell>
          <cell r="T18">
            <v>20</v>
          </cell>
        </row>
        <row r="19">
          <cell r="A19" t="str">
            <v>Hoymiles HMS-1800-6T 3F</v>
          </cell>
          <cell r="D19">
            <v>3</v>
          </cell>
          <cell r="E19">
            <v>6</v>
          </cell>
          <cell r="G19">
            <v>1182</v>
          </cell>
          <cell r="H19">
            <v>1276.5600000000002</v>
          </cell>
        </row>
        <row r="20">
          <cell r="A20" t="str">
            <v>Hoymiles HMS-2250-6T 3F</v>
          </cell>
          <cell r="D20">
            <v>3</v>
          </cell>
          <cell r="E20">
            <v>6</v>
          </cell>
          <cell r="G20">
            <v>1300</v>
          </cell>
          <cell r="H20">
            <v>1404</v>
          </cell>
        </row>
        <row r="21">
          <cell r="A21" t="str">
            <v>Sofar 2200TL-G3</v>
          </cell>
          <cell r="C21">
            <v>96.9</v>
          </cell>
          <cell r="D21">
            <v>1</v>
          </cell>
          <cell r="E21">
            <v>1</v>
          </cell>
          <cell r="G21">
            <v>1044</v>
          </cell>
          <cell r="H21">
            <v>1127.52</v>
          </cell>
          <cell r="I21">
            <v>2200</v>
          </cell>
          <cell r="K21">
            <v>3000</v>
          </cell>
          <cell r="M21">
            <v>500</v>
          </cell>
          <cell r="N21">
            <v>9.6</v>
          </cell>
          <cell r="O21">
            <v>12</v>
          </cell>
          <cell r="Q21">
            <v>12</v>
          </cell>
          <cell r="R21" t="str">
            <v>50-500</v>
          </cell>
          <cell r="S21">
            <v>0.03</v>
          </cell>
          <cell r="T21">
            <v>70</v>
          </cell>
        </row>
        <row r="22">
          <cell r="A22" t="str">
            <v>Sofar 2700TL-G3</v>
          </cell>
          <cell r="C22">
            <v>97.2</v>
          </cell>
          <cell r="D22">
            <v>1</v>
          </cell>
          <cell r="E22">
            <v>1</v>
          </cell>
          <cell r="G22">
            <v>1122.3</v>
          </cell>
          <cell r="H22">
            <v>1212.0840000000001</v>
          </cell>
          <cell r="I22">
            <v>2700</v>
          </cell>
          <cell r="K22">
            <v>3700</v>
          </cell>
          <cell r="M22">
            <v>550</v>
          </cell>
          <cell r="N22">
            <v>11.8</v>
          </cell>
          <cell r="O22">
            <v>12</v>
          </cell>
          <cell r="Q22">
            <v>12</v>
          </cell>
          <cell r="R22" t="str">
            <v>50-550</v>
          </cell>
          <cell r="S22">
            <v>0.03</v>
          </cell>
          <cell r="T22">
            <v>70</v>
          </cell>
        </row>
        <row r="23">
          <cell r="A23" t="str">
            <v>Sofar 3000TL-G3</v>
          </cell>
          <cell r="C23">
            <v>97.2</v>
          </cell>
          <cell r="D23">
            <v>1</v>
          </cell>
          <cell r="E23">
            <v>1</v>
          </cell>
          <cell r="G23">
            <v>1174.5</v>
          </cell>
          <cell r="H23">
            <v>1268.46</v>
          </cell>
          <cell r="I23">
            <v>3000</v>
          </cell>
          <cell r="K23">
            <v>4100</v>
          </cell>
          <cell r="M23">
            <v>550</v>
          </cell>
          <cell r="N23">
            <v>13</v>
          </cell>
          <cell r="O23">
            <v>12</v>
          </cell>
          <cell r="Q23">
            <v>12</v>
          </cell>
          <cell r="R23" t="str">
            <v>50-550</v>
          </cell>
          <cell r="S23">
            <v>0.03</v>
          </cell>
          <cell r="T23">
            <v>70</v>
          </cell>
        </row>
        <row r="24">
          <cell r="A24" t="str">
            <v>Sofar 3300TL-G3</v>
          </cell>
          <cell r="C24">
            <v>97.2</v>
          </cell>
          <cell r="D24">
            <v>1</v>
          </cell>
          <cell r="E24">
            <v>1</v>
          </cell>
          <cell r="G24">
            <v>1204.95</v>
          </cell>
          <cell r="H24">
            <v>1301.3460000000002</v>
          </cell>
          <cell r="I24">
            <v>3300</v>
          </cell>
          <cell r="K24">
            <v>4500</v>
          </cell>
          <cell r="M24">
            <v>550</v>
          </cell>
          <cell r="N24">
            <v>14.3</v>
          </cell>
          <cell r="O24">
            <v>12</v>
          </cell>
          <cell r="Q24">
            <v>12</v>
          </cell>
          <cell r="R24" t="str">
            <v>50-550</v>
          </cell>
          <cell r="S24">
            <v>0.03</v>
          </cell>
          <cell r="T24">
            <v>70</v>
          </cell>
        </row>
        <row r="25">
          <cell r="A25" t="str">
            <v>Sofar 3KTLM-G3</v>
          </cell>
          <cell r="C25">
            <v>97.3</v>
          </cell>
          <cell r="D25">
            <v>1</v>
          </cell>
          <cell r="E25">
            <v>2</v>
          </cell>
          <cell r="G25">
            <v>2030</v>
          </cell>
          <cell r="H25">
            <v>2192.4</v>
          </cell>
          <cell r="I25">
            <v>3000</v>
          </cell>
          <cell r="K25">
            <v>4500</v>
          </cell>
          <cell r="M25">
            <v>600</v>
          </cell>
          <cell r="N25">
            <v>15</v>
          </cell>
          <cell r="O25">
            <v>12</v>
          </cell>
          <cell r="Q25">
            <v>15</v>
          </cell>
          <cell r="R25" t="str">
            <v>80-550</v>
          </cell>
          <cell r="S25">
            <v>0.03</v>
          </cell>
          <cell r="T25">
            <v>90</v>
          </cell>
        </row>
        <row r="26">
          <cell r="A26" t="str">
            <v>Sofar 3.6KTLM-G3</v>
          </cell>
          <cell r="C26">
            <v>97.3</v>
          </cell>
          <cell r="D26">
            <v>1</v>
          </cell>
          <cell r="E26">
            <v>2</v>
          </cell>
          <cell r="G26">
            <v>2070</v>
          </cell>
          <cell r="H26">
            <v>2235.6000000000004</v>
          </cell>
          <cell r="I26">
            <v>3600</v>
          </cell>
          <cell r="K26">
            <v>5400</v>
          </cell>
          <cell r="M26">
            <v>600</v>
          </cell>
          <cell r="N26">
            <v>16</v>
          </cell>
          <cell r="O26">
            <v>12</v>
          </cell>
          <cell r="Q26">
            <v>15</v>
          </cell>
          <cell r="R26" t="str">
            <v>80-550</v>
          </cell>
          <cell r="S26">
            <v>0.03</v>
          </cell>
          <cell r="T26">
            <v>90</v>
          </cell>
        </row>
        <row r="27">
          <cell r="A27" t="str">
            <v>Sofar 3.3KTLX-G3</v>
          </cell>
          <cell r="G27">
            <v>2995</v>
          </cell>
          <cell r="H27">
            <v>3234.6000000000004</v>
          </cell>
          <cell r="I27">
            <v>3300</v>
          </cell>
          <cell r="J27">
            <v>3000</v>
          </cell>
          <cell r="K27">
            <v>4500</v>
          </cell>
          <cell r="M27">
            <v>1100</v>
          </cell>
          <cell r="N27">
            <v>5</v>
          </cell>
          <cell r="O27">
            <v>12</v>
          </cell>
          <cell r="Q27">
            <v>15</v>
          </cell>
          <cell r="R27" t="str">
            <v>140-1000</v>
          </cell>
          <cell r="S27">
            <v>0.03</v>
          </cell>
          <cell r="T27">
            <v>160</v>
          </cell>
        </row>
        <row r="28">
          <cell r="A28" t="str">
            <v>Sofar 4.4KTLX-G3</v>
          </cell>
          <cell r="G28">
            <v>3060</v>
          </cell>
          <cell r="H28">
            <v>3304.8</v>
          </cell>
          <cell r="I28">
            <v>4400</v>
          </cell>
          <cell r="J28">
            <v>3300</v>
          </cell>
          <cell r="K28">
            <v>6000</v>
          </cell>
          <cell r="M28">
            <v>1100</v>
          </cell>
          <cell r="N28">
            <v>6.7</v>
          </cell>
          <cell r="O28">
            <v>12</v>
          </cell>
          <cell r="Q28">
            <v>15</v>
          </cell>
          <cell r="R28" t="str">
            <v>140-1000</v>
          </cell>
          <cell r="S28">
            <v>0.03</v>
          </cell>
          <cell r="T28">
            <v>160</v>
          </cell>
        </row>
        <row r="29">
          <cell r="A29" t="str">
            <v>Sofar 5.5KTLX-G3</v>
          </cell>
          <cell r="G29">
            <v>3250</v>
          </cell>
          <cell r="H29">
            <v>3510.0000000000005</v>
          </cell>
          <cell r="I29">
            <v>5500</v>
          </cell>
          <cell r="J29">
            <v>4400</v>
          </cell>
          <cell r="K29">
            <v>7500</v>
          </cell>
          <cell r="M29">
            <v>1100</v>
          </cell>
          <cell r="N29">
            <v>8.3000000000000007</v>
          </cell>
          <cell r="O29">
            <v>12</v>
          </cell>
          <cell r="Q29">
            <v>15</v>
          </cell>
          <cell r="R29" t="str">
            <v>140-1000</v>
          </cell>
          <cell r="S29">
            <v>0.03</v>
          </cell>
          <cell r="T29">
            <v>160</v>
          </cell>
        </row>
        <row r="30">
          <cell r="A30" t="str">
            <v>Sofar 6.6KTLX-G3</v>
          </cell>
          <cell r="G30">
            <v>3390</v>
          </cell>
          <cell r="H30">
            <v>3661.2000000000003</v>
          </cell>
          <cell r="I30">
            <v>6600</v>
          </cell>
          <cell r="J30">
            <v>5500</v>
          </cell>
          <cell r="K30">
            <v>9000</v>
          </cell>
          <cell r="M30">
            <v>1100</v>
          </cell>
          <cell r="N30">
            <v>10</v>
          </cell>
          <cell r="O30">
            <v>12</v>
          </cell>
          <cell r="Q30">
            <v>15</v>
          </cell>
          <cell r="R30" t="str">
            <v>140-1000</v>
          </cell>
          <cell r="S30">
            <v>0.03</v>
          </cell>
          <cell r="T30">
            <v>160</v>
          </cell>
        </row>
        <row r="31">
          <cell r="A31" t="str">
            <v>Sofar 8.8KTLX-G3</v>
          </cell>
          <cell r="G31">
            <v>3520</v>
          </cell>
          <cell r="H31">
            <v>3801.6000000000004</v>
          </cell>
          <cell r="I31">
            <v>8800</v>
          </cell>
          <cell r="J31">
            <v>6600</v>
          </cell>
          <cell r="K31">
            <v>12000</v>
          </cell>
          <cell r="M31">
            <v>1100</v>
          </cell>
          <cell r="N31">
            <v>13.3</v>
          </cell>
          <cell r="O31">
            <v>12</v>
          </cell>
          <cell r="Q31">
            <v>15</v>
          </cell>
          <cell r="R31" t="str">
            <v>140-1000</v>
          </cell>
          <cell r="S31">
            <v>0.03</v>
          </cell>
          <cell r="T31">
            <v>160</v>
          </cell>
        </row>
        <row r="32">
          <cell r="A32" t="str">
            <v>Sofar 11KTL-X G3</v>
          </cell>
          <cell r="C32">
            <v>98</v>
          </cell>
          <cell r="D32">
            <v>3</v>
          </cell>
          <cell r="E32">
            <v>2</v>
          </cell>
          <cell r="G32">
            <v>3790</v>
          </cell>
          <cell r="H32">
            <v>4093.2000000000003</v>
          </cell>
          <cell r="I32">
            <v>10000</v>
          </cell>
          <cell r="J32">
            <v>8800</v>
          </cell>
          <cell r="K32">
            <v>15000</v>
          </cell>
          <cell r="M32">
            <v>1100</v>
          </cell>
          <cell r="N32">
            <v>16.7</v>
          </cell>
          <cell r="O32">
            <v>12</v>
          </cell>
          <cell r="Q32">
            <v>15</v>
          </cell>
          <cell r="R32" t="str">
            <v>140-1000</v>
          </cell>
          <cell r="S32">
            <v>0.03</v>
          </cell>
          <cell r="T32">
            <v>160</v>
          </cell>
        </row>
        <row r="33">
          <cell r="A33" t="str">
            <v>Sofar 12KTLX-G3</v>
          </cell>
          <cell r="G33">
            <v>3930</v>
          </cell>
          <cell r="H33">
            <v>4244.4000000000005</v>
          </cell>
          <cell r="I33">
            <v>12000</v>
          </cell>
          <cell r="J33">
            <v>11000</v>
          </cell>
          <cell r="K33">
            <v>18000</v>
          </cell>
          <cell r="M33">
            <v>1100</v>
          </cell>
          <cell r="N33">
            <v>20</v>
          </cell>
          <cell r="O33">
            <v>12</v>
          </cell>
          <cell r="Q33">
            <v>30</v>
          </cell>
          <cell r="R33" t="str">
            <v>140-1000</v>
          </cell>
          <cell r="S33">
            <v>0.03</v>
          </cell>
          <cell r="T33">
            <v>160</v>
          </cell>
        </row>
        <row r="34">
          <cell r="A34" t="str">
            <v>Sofar 15KTLX-G3</v>
          </cell>
          <cell r="G34">
            <v>4550</v>
          </cell>
          <cell r="H34">
            <v>4914</v>
          </cell>
        </row>
        <row r="35">
          <cell r="A35" t="str">
            <v>Sofar 17KTLX-G#</v>
          </cell>
          <cell r="G35">
            <v>4860</v>
          </cell>
          <cell r="H35">
            <v>5248.8</v>
          </cell>
        </row>
        <row r="36">
          <cell r="A36" t="str">
            <v>Sofar 20KTLX-G3</v>
          </cell>
          <cell r="G36">
            <v>5490</v>
          </cell>
          <cell r="H36">
            <v>5929.2000000000007</v>
          </cell>
        </row>
        <row r="37">
          <cell r="A37" t="str">
            <v>Sofar 22KTLX-G3</v>
          </cell>
          <cell r="G37">
            <v>5700</v>
          </cell>
          <cell r="H37">
            <v>6156</v>
          </cell>
        </row>
        <row r="38">
          <cell r="A38" t="str">
            <v>Sofar 24KTLX-G3</v>
          </cell>
          <cell r="G38">
            <v>6005</v>
          </cell>
          <cell r="H38">
            <v>6485.4000000000005</v>
          </cell>
        </row>
        <row r="39">
          <cell r="A39" t="str">
            <v>Sofar 25KTLX-G3</v>
          </cell>
          <cell r="G39">
            <v>6800</v>
          </cell>
          <cell r="H39">
            <v>7344.0000000000009</v>
          </cell>
        </row>
        <row r="40">
          <cell r="A40" t="str">
            <v>Sofar 30KTL-X G3</v>
          </cell>
          <cell r="C40">
            <v>98</v>
          </cell>
          <cell r="D40">
            <v>3</v>
          </cell>
          <cell r="E40">
            <v>3</v>
          </cell>
          <cell r="G40">
            <v>7260</v>
          </cell>
          <cell r="H40">
            <v>7840.8</v>
          </cell>
          <cell r="I40">
            <v>30000</v>
          </cell>
          <cell r="J40">
            <v>27000</v>
          </cell>
          <cell r="K40">
            <v>33000</v>
          </cell>
          <cell r="M40">
            <v>1000</v>
          </cell>
          <cell r="N40">
            <v>51.5</v>
          </cell>
          <cell r="O40">
            <v>12</v>
          </cell>
          <cell r="Q40">
            <v>40</v>
          </cell>
          <cell r="R40" t="str">
            <v>480-850</v>
          </cell>
          <cell r="S40">
            <v>0.03</v>
          </cell>
          <cell r="T40">
            <v>200</v>
          </cell>
        </row>
        <row r="41">
          <cell r="A41" t="str">
            <v>Sofar 33KTLX-G3</v>
          </cell>
          <cell r="G41">
            <v>7890</v>
          </cell>
          <cell r="H41">
            <v>8521.2000000000007</v>
          </cell>
          <cell r="S41">
            <v>0.03</v>
          </cell>
        </row>
        <row r="42">
          <cell r="A42" t="str">
            <v>Sofar 36KTLX-G3</v>
          </cell>
          <cell r="G42">
            <v>8700</v>
          </cell>
          <cell r="H42">
            <v>9396</v>
          </cell>
          <cell r="S42">
            <v>0.03</v>
          </cell>
        </row>
        <row r="43">
          <cell r="A43" t="str">
            <v>Sofar 40KTLX-G3</v>
          </cell>
          <cell r="G43">
            <v>8990</v>
          </cell>
          <cell r="H43">
            <v>9709.2000000000007</v>
          </cell>
          <cell r="S43">
            <v>0.03</v>
          </cell>
        </row>
        <row r="44">
          <cell r="A44" t="str">
            <v>Sofar 45KTLX-G3</v>
          </cell>
          <cell r="G44">
            <v>9580</v>
          </cell>
          <cell r="H44">
            <v>10346.400000000001</v>
          </cell>
          <cell r="S44">
            <v>0.03</v>
          </cell>
        </row>
        <row r="45">
          <cell r="A45" t="str">
            <v>Sofar 50KTLX-G3</v>
          </cell>
          <cell r="G45">
            <v>10050</v>
          </cell>
          <cell r="H45">
            <v>10854</v>
          </cell>
          <cell r="S45">
            <v>0.03</v>
          </cell>
        </row>
        <row r="46">
          <cell r="A46" t="str">
            <v>FoxESS F3000</v>
          </cell>
          <cell r="B46" t="str">
            <v>-</v>
          </cell>
          <cell r="C46">
            <v>97.4</v>
          </cell>
          <cell r="D46">
            <v>1</v>
          </cell>
          <cell r="E46">
            <v>2</v>
          </cell>
          <cell r="G46">
            <v>2150</v>
          </cell>
          <cell r="H46">
            <v>2322</v>
          </cell>
          <cell r="I46">
            <v>3000</v>
          </cell>
          <cell r="J46">
            <v>2500</v>
          </cell>
          <cell r="K46">
            <v>3900</v>
          </cell>
          <cell r="L46">
            <v>0.24788681677199997</v>
          </cell>
          <cell r="M46">
            <v>600</v>
          </cell>
          <cell r="N46">
            <v>14.3</v>
          </cell>
          <cell r="O46">
            <v>12</v>
          </cell>
          <cell r="Q46">
            <v>15</v>
          </cell>
          <cell r="R46" t="str">
            <v>80-550</v>
          </cell>
          <cell r="S46">
            <v>0.03</v>
          </cell>
          <cell r="T46">
            <v>120</v>
          </cell>
        </row>
        <row r="47">
          <cell r="A47" t="str">
            <v>FoxESS F3600</v>
          </cell>
          <cell r="B47" t="str">
            <v>-</v>
          </cell>
          <cell r="C47">
            <v>97.4</v>
          </cell>
          <cell r="D47">
            <v>1</v>
          </cell>
          <cell r="E47">
            <v>2</v>
          </cell>
          <cell r="G47">
            <v>2250</v>
          </cell>
          <cell r="H47">
            <v>2430</v>
          </cell>
          <cell r="I47">
            <v>3600</v>
          </cell>
          <cell r="J47">
            <v>3000</v>
          </cell>
          <cell r="K47">
            <v>4680</v>
          </cell>
          <cell r="L47">
            <v>1.6525787784799999</v>
          </cell>
          <cell r="M47">
            <v>600</v>
          </cell>
          <cell r="N47">
            <v>17.2</v>
          </cell>
          <cell r="O47">
            <v>12</v>
          </cell>
          <cell r="Q47">
            <v>15</v>
          </cell>
          <cell r="R47" t="str">
            <v>80-550</v>
          </cell>
          <cell r="S47">
            <v>0.03</v>
          </cell>
          <cell r="T47">
            <v>120</v>
          </cell>
        </row>
        <row r="48">
          <cell r="A48" t="str">
            <v>FoxESS S2000 G2</v>
          </cell>
          <cell r="B48" t="str">
            <v>mini</v>
          </cell>
          <cell r="C48">
            <v>97.4</v>
          </cell>
          <cell r="D48">
            <v>1</v>
          </cell>
          <cell r="E48">
            <v>1</v>
          </cell>
          <cell r="G48">
            <v>1450</v>
          </cell>
          <cell r="H48">
            <v>1566</v>
          </cell>
          <cell r="I48">
            <v>2000</v>
          </cell>
          <cell r="J48">
            <v>1500</v>
          </cell>
          <cell r="K48">
            <v>3000</v>
          </cell>
          <cell r="L48">
            <v>0.39661890683519996</v>
          </cell>
          <cell r="M48">
            <v>500</v>
          </cell>
          <cell r="N48">
            <v>9.6</v>
          </cell>
          <cell r="O48">
            <v>12</v>
          </cell>
          <cell r="Q48">
            <v>18</v>
          </cell>
          <cell r="R48" t="str">
            <v>50-480</v>
          </cell>
          <cell r="S48">
            <v>0.03</v>
          </cell>
          <cell r="T48">
            <v>60</v>
          </cell>
        </row>
        <row r="49">
          <cell r="A49" t="str">
            <v>FoxESS S2500 G2</v>
          </cell>
          <cell r="B49" t="str">
            <v>mini</v>
          </cell>
          <cell r="C49">
            <v>97.4</v>
          </cell>
          <cell r="D49">
            <v>1</v>
          </cell>
          <cell r="E49">
            <v>1</v>
          </cell>
          <cell r="G49">
            <v>1550</v>
          </cell>
          <cell r="H49">
            <v>1674</v>
          </cell>
          <cell r="I49">
            <v>2500</v>
          </cell>
          <cell r="J49">
            <v>2000</v>
          </cell>
          <cell r="K49">
            <v>3750</v>
          </cell>
          <cell r="L49">
            <v>0.33051575569599995</v>
          </cell>
          <cell r="M49">
            <v>500</v>
          </cell>
          <cell r="N49">
            <v>12</v>
          </cell>
          <cell r="O49">
            <v>12</v>
          </cell>
          <cell r="Q49">
            <v>18</v>
          </cell>
          <cell r="R49" t="str">
            <v>50-480</v>
          </cell>
          <cell r="S49">
            <v>0.03</v>
          </cell>
          <cell r="T49">
            <v>60</v>
          </cell>
        </row>
        <row r="50">
          <cell r="A50" t="str">
            <v>FoxESS S3000 G2</v>
          </cell>
          <cell r="B50" t="str">
            <v>mini</v>
          </cell>
          <cell r="C50">
            <v>97.4</v>
          </cell>
          <cell r="D50">
            <v>1</v>
          </cell>
          <cell r="E50">
            <v>1</v>
          </cell>
          <cell r="G50">
            <v>1600</v>
          </cell>
          <cell r="H50">
            <v>1728</v>
          </cell>
          <cell r="I50">
            <v>3000</v>
          </cell>
          <cell r="J50">
            <v>2500</v>
          </cell>
          <cell r="K50">
            <v>4500</v>
          </cell>
          <cell r="L50">
            <v>0.28329921916799999</v>
          </cell>
          <cell r="M50">
            <v>500</v>
          </cell>
          <cell r="N50">
            <v>14.3</v>
          </cell>
          <cell r="O50">
            <v>12</v>
          </cell>
          <cell r="Q50">
            <v>18</v>
          </cell>
          <cell r="R50" t="str">
            <v>50-480</v>
          </cell>
          <cell r="S50">
            <v>0.03</v>
          </cell>
          <cell r="T50">
            <v>60</v>
          </cell>
        </row>
        <row r="51">
          <cell r="A51" t="str">
            <v>FoxESS T10 G3</v>
          </cell>
          <cell r="B51" t="str">
            <v>-</v>
          </cell>
          <cell r="C51">
            <v>98.6</v>
          </cell>
          <cell r="D51">
            <v>3</v>
          </cell>
          <cell r="E51">
            <v>2</v>
          </cell>
          <cell r="G51">
            <v>4300</v>
          </cell>
          <cell r="H51">
            <v>4644</v>
          </cell>
          <cell r="I51">
            <v>10000</v>
          </cell>
          <cell r="J51">
            <v>3000</v>
          </cell>
          <cell r="K51">
            <v>15000</v>
          </cell>
          <cell r="L51">
            <v>0.19830945341759998</v>
          </cell>
          <cell r="M51">
            <v>1100</v>
          </cell>
          <cell r="N51">
            <v>15.9</v>
          </cell>
          <cell r="O51">
            <v>12</v>
          </cell>
          <cell r="Q51">
            <v>18.2</v>
          </cell>
          <cell r="R51" t="str">
            <v>380-850</v>
          </cell>
          <cell r="S51">
            <v>0.03</v>
          </cell>
          <cell r="T51">
            <v>140</v>
          </cell>
        </row>
        <row r="52">
          <cell r="A52" t="str">
            <v>FoxESS T12 G3</v>
          </cell>
          <cell r="B52" t="str">
            <v>-</v>
          </cell>
          <cell r="C52">
            <v>98.6</v>
          </cell>
          <cell r="D52">
            <v>3</v>
          </cell>
          <cell r="E52">
            <v>2</v>
          </cell>
          <cell r="G52">
            <v>4600</v>
          </cell>
          <cell r="H52">
            <v>4968</v>
          </cell>
          <cell r="I52">
            <v>12000</v>
          </cell>
          <cell r="J52">
            <v>10000</v>
          </cell>
          <cell r="K52">
            <v>18000</v>
          </cell>
          <cell r="L52">
            <v>0.18361986427555554</v>
          </cell>
          <cell r="M52">
            <v>1100</v>
          </cell>
          <cell r="N52">
            <v>19.100000000000001</v>
          </cell>
          <cell r="O52">
            <v>12</v>
          </cell>
          <cell r="Q52">
            <v>18.2</v>
          </cell>
          <cell r="R52" t="str">
            <v>455-850</v>
          </cell>
          <cell r="S52">
            <v>0.03</v>
          </cell>
          <cell r="T52">
            <v>140</v>
          </cell>
        </row>
        <row r="53">
          <cell r="A53" t="str">
            <v>FoxESS T15 G3</v>
          </cell>
          <cell r="B53" t="str">
            <v>-</v>
          </cell>
          <cell r="C53">
            <v>98.6</v>
          </cell>
          <cell r="D53">
            <v>3</v>
          </cell>
          <cell r="E53">
            <v>2</v>
          </cell>
          <cell r="G53">
            <v>5000</v>
          </cell>
          <cell r="H53">
            <v>5400</v>
          </cell>
          <cell r="I53">
            <v>15000</v>
          </cell>
          <cell r="J53">
            <v>12000</v>
          </cell>
          <cell r="K53">
            <v>22500</v>
          </cell>
          <cell r="L53">
            <v>1.3771489820666665</v>
          </cell>
          <cell r="M53">
            <v>1100</v>
          </cell>
          <cell r="N53">
            <v>23.9</v>
          </cell>
          <cell r="O53">
            <v>12</v>
          </cell>
          <cell r="Q53">
            <v>36.4</v>
          </cell>
          <cell r="R53" t="str">
            <v>275-850</v>
          </cell>
          <cell r="S53">
            <v>0.03</v>
          </cell>
          <cell r="T53">
            <v>140</v>
          </cell>
        </row>
        <row r="54">
          <cell r="A54" t="str">
            <v>FoxESS T17 G3</v>
          </cell>
          <cell r="B54" t="str">
            <v>-</v>
          </cell>
          <cell r="C54">
            <v>98.6</v>
          </cell>
          <cell r="D54">
            <v>3</v>
          </cell>
          <cell r="E54">
            <v>2</v>
          </cell>
          <cell r="G54">
            <v>5300</v>
          </cell>
          <cell r="H54">
            <v>5724</v>
          </cell>
          <cell r="I54">
            <v>17000</v>
          </cell>
          <cell r="J54">
            <v>15000</v>
          </cell>
          <cell r="K54">
            <v>25500</v>
          </cell>
          <cell r="L54">
            <v>1.23943408386</v>
          </cell>
          <cell r="M54">
            <v>1100</v>
          </cell>
          <cell r="N54">
            <v>27.1</v>
          </cell>
          <cell r="O54">
            <v>12</v>
          </cell>
          <cell r="Q54">
            <v>36.4</v>
          </cell>
          <cell r="R54" t="str">
            <v>315-850</v>
          </cell>
          <cell r="S54">
            <v>0.03</v>
          </cell>
          <cell r="T54">
            <v>140</v>
          </cell>
        </row>
        <row r="55">
          <cell r="A55" t="str">
            <v>FoxESS T20 G3</v>
          </cell>
          <cell r="B55" t="str">
            <v>-</v>
          </cell>
          <cell r="C55">
            <v>98.6</v>
          </cell>
          <cell r="D55">
            <v>3</v>
          </cell>
          <cell r="E55">
            <v>2</v>
          </cell>
          <cell r="G55">
            <v>5600</v>
          </cell>
          <cell r="H55">
            <v>6048</v>
          </cell>
          <cell r="I55">
            <v>20000</v>
          </cell>
          <cell r="J55">
            <v>17000</v>
          </cell>
          <cell r="K55">
            <v>30000</v>
          </cell>
          <cell r="L55">
            <v>0.9915472670879999</v>
          </cell>
          <cell r="M55">
            <v>1100</v>
          </cell>
          <cell r="N55">
            <v>31.9</v>
          </cell>
          <cell r="O55">
            <v>12</v>
          </cell>
          <cell r="Q55">
            <v>36.4</v>
          </cell>
          <cell r="R55" t="str">
            <v>370-850</v>
          </cell>
          <cell r="S55">
            <v>0.03</v>
          </cell>
          <cell r="T55">
            <v>140</v>
          </cell>
        </row>
        <row r="56">
          <cell r="A56" t="str">
            <v>FoxESS T23 G3</v>
          </cell>
          <cell r="B56" t="str">
            <v>-</v>
          </cell>
          <cell r="C56">
            <v>98.6</v>
          </cell>
          <cell r="D56">
            <v>3</v>
          </cell>
          <cell r="E56">
            <v>2</v>
          </cell>
          <cell r="G56">
            <v>6100</v>
          </cell>
          <cell r="H56">
            <v>6588</v>
          </cell>
          <cell r="I56">
            <v>23000</v>
          </cell>
          <cell r="J56">
            <v>20000</v>
          </cell>
          <cell r="K56">
            <v>34500</v>
          </cell>
          <cell r="L56">
            <v>0.82628938923999995</v>
          </cell>
          <cell r="M56">
            <v>1100</v>
          </cell>
          <cell r="N56">
            <v>36.700000000000003</v>
          </cell>
          <cell r="O56">
            <v>12</v>
          </cell>
          <cell r="Q56">
            <v>36.4</v>
          </cell>
          <cell r="R56" t="str">
            <v>430-850</v>
          </cell>
          <cell r="S56">
            <v>0.03</v>
          </cell>
          <cell r="T56">
            <v>140</v>
          </cell>
        </row>
        <row r="57">
          <cell r="A57" t="str">
            <v>FoxESS T25 G3</v>
          </cell>
          <cell r="B57" t="str">
            <v>-</v>
          </cell>
          <cell r="C57">
            <v>98.6</v>
          </cell>
          <cell r="D57">
            <v>3</v>
          </cell>
          <cell r="E57">
            <v>2</v>
          </cell>
          <cell r="G57">
            <v>6100</v>
          </cell>
          <cell r="H57">
            <v>6588</v>
          </cell>
          <cell r="I57">
            <v>25000</v>
          </cell>
          <cell r="J57">
            <v>23000</v>
          </cell>
          <cell r="K57">
            <v>37500</v>
          </cell>
          <cell r="L57">
            <v>0.49577363354399995</v>
          </cell>
          <cell r="M57">
            <v>1100</v>
          </cell>
          <cell r="N57">
            <v>39.9</v>
          </cell>
          <cell r="O57">
            <v>12</v>
          </cell>
          <cell r="Q57">
            <v>36.4</v>
          </cell>
          <cell r="R57" t="str">
            <v>460-850</v>
          </cell>
          <cell r="S57">
            <v>0.03</v>
          </cell>
          <cell r="T57">
            <v>140</v>
          </cell>
        </row>
        <row r="58">
          <cell r="A58" t="str">
            <v>FoxESS T3 G3</v>
          </cell>
          <cell r="B58" t="str">
            <v>-</v>
          </cell>
          <cell r="C58">
            <v>98.6</v>
          </cell>
          <cell r="D58">
            <v>3</v>
          </cell>
          <cell r="E58">
            <v>2</v>
          </cell>
          <cell r="G58">
            <v>3700</v>
          </cell>
          <cell r="H58">
            <v>3996.0000000000005</v>
          </cell>
          <cell r="I58">
            <v>3000</v>
          </cell>
          <cell r="J58">
            <v>2000</v>
          </cell>
          <cell r="K58">
            <v>4500</v>
          </cell>
          <cell r="L58">
            <v>0.9915472670879999</v>
          </cell>
          <cell r="M58">
            <v>1100</v>
          </cell>
          <cell r="N58">
            <v>4.8</v>
          </cell>
          <cell r="O58">
            <v>12</v>
          </cell>
          <cell r="Q58">
            <v>18.2</v>
          </cell>
          <cell r="R58" t="str">
            <v>140-850</v>
          </cell>
          <cell r="S58">
            <v>0.03</v>
          </cell>
          <cell r="T58">
            <v>140</v>
          </cell>
        </row>
        <row r="59">
          <cell r="A59" t="str">
            <v>FoxESS T4 G3</v>
          </cell>
          <cell r="B59" t="str">
            <v>-</v>
          </cell>
          <cell r="C59">
            <v>98.6</v>
          </cell>
          <cell r="D59">
            <v>3</v>
          </cell>
          <cell r="E59">
            <v>2</v>
          </cell>
          <cell r="G59">
            <v>3750</v>
          </cell>
          <cell r="H59">
            <v>4050.0000000000005</v>
          </cell>
          <cell r="I59">
            <v>4000</v>
          </cell>
          <cell r="J59">
            <v>3000</v>
          </cell>
          <cell r="K59">
            <v>6000</v>
          </cell>
          <cell r="L59">
            <v>0.99</v>
          </cell>
          <cell r="M59">
            <v>1100</v>
          </cell>
          <cell r="N59">
            <v>6.4</v>
          </cell>
          <cell r="O59">
            <v>12</v>
          </cell>
          <cell r="Q59">
            <v>18.2</v>
          </cell>
          <cell r="R59" t="str">
            <v>155-850</v>
          </cell>
          <cell r="S59">
            <v>0.03</v>
          </cell>
          <cell r="T59">
            <v>140</v>
          </cell>
        </row>
        <row r="60">
          <cell r="A60" t="str">
            <v>FoxESS T5 G3</v>
          </cell>
          <cell r="B60" t="str">
            <v>-</v>
          </cell>
          <cell r="C60">
            <v>98.6</v>
          </cell>
          <cell r="D60">
            <v>3</v>
          </cell>
          <cell r="E60">
            <v>2</v>
          </cell>
          <cell r="G60">
            <v>3800</v>
          </cell>
          <cell r="H60">
            <v>4104</v>
          </cell>
          <cell r="I60">
            <v>5000</v>
          </cell>
          <cell r="J60">
            <v>4000</v>
          </cell>
          <cell r="K60">
            <v>7500</v>
          </cell>
          <cell r="L60">
            <v>550</v>
          </cell>
          <cell r="M60">
            <v>1100</v>
          </cell>
          <cell r="N60">
            <v>8</v>
          </cell>
          <cell r="O60">
            <v>12</v>
          </cell>
          <cell r="P60">
            <v>60</v>
          </cell>
          <cell r="Q60">
            <v>18.2</v>
          </cell>
          <cell r="R60" t="str">
            <v>190-850</v>
          </cell>
          <cell r="S60">
            <v>0.03</v>
          </cell>
          <cell r="T60">
            <v>140</v>
          </cell>
        </row>
        <row r="61">
          <cell r="A61" t="str">
            <v>FoxESS T6 G3</v>
          </cell>
          <cell r="B61" t="str">
            <v>-</v>
          </cell>
          <cell r="C61">
            <v>98.6</v>
          </cell>
          <cell r="D61">
            <v>3</v>
          </cell>
          <cell r="E61">
            <v>2</v>
          </cell>
          <cell r="G61">
            <v>3900</v>
          </cell>
          <cell r="H61">
            <v>4212</v>
          </cell>
          <cell r="I61">
            <v>6000</v>
          </cell>
          <cell r="J61">
            <v>5000</v>
          </cell>
          <cell r="K61">
            <v>9000</v>
          </cell>
          <cell r="M61">
            <v>1100</v>
          </cell>
          <cell r="N61">
            <v>9.6</v>
          </cell>
          <cell r="O61">
            <v>12</v>
          </cell>
          <cell r="Q61">
            <v>18.2</v>
          </cell>
          <cell r="R61" t="str">
            <v>230-850</v>
          </cell>
          <cell r="S61">
            <v>0.03</v>
          </cell>
          <cell r="T61">
            <v>140</v>
          </cell>
        </row>
        <row r="62">
          <cell r="A62" t="str">
            <v>FoxESS T8 G3</v>
          </cell>
          <cell r="B62" t="str">
            <v>-</v>
          </cell>
          <cell r="C62">
            <v>98.6</v>
          </cell>
          <cell r="D62">
            <v>3</v>
          </cell>
          <cell r="E62">
            <v>2</v>
          </cell>
          <cell r="G62">
            <v>4000</v>
          </cell>
          <cell r="H62">
            <v>4320</v>
          </cell>
          <cell r="I62">
            <v>8000</v>
          </cell>
          <cell r="J62">
            <v>6000</v>
          </cell>
          <cell r="K62">
            <v>12000</v>
          </cell>
          <cell r="M62">
            <v>1100</v>
          </cell>
          <cell r="N62">
            <v>12.8</v>
          </cell>
          <cell r="O62">
            <v>12</v>
          </cell>
          <cell r="Q62">
            <v>18.2</v>
          </cell>
          <cell r="R62" t="str">
            <v>300-850</v>
          </cell>
          <cell r="S62">
            <v>0.03</v>
          </cell>
          <cell r="T62">
            <v>140</v>
          </cell>
        </row>
        <row r="63">
          <cell r="A63" t="str">
            <v>Fronius PRIMO 3.0-1</v>
          </cell>
          <cell r="B63" t="str">
            <v>-</v>
          </cell>
          <cell r="C63">
            <v>98</v>
          </cell>
          <cell r="D63">
            <v>1</v>
          </cell>
          <cell r="E63">
            <v>2</v>
          </cell>
          <cell r="G63">
            <v>4850</v>
          </cell>
          <cell r="H63">
            <v>5238</v>
          </cell>
          <cell r="I63">
            <v>3000</v>
          </cell>
          <cell r="J63">
            <v>2500</v>
          </cell>
          <cell r="K63">
            <v>4500</v>
          </cell>
          <cell r="L63">
            <v>1.3399287393081081</v>
          </cell>
          <cell r="M63">
            <v>1000</v>
          </cell>
          <cell r="N63">
            <v>13</v>
          </cell>
          <cell r="O63">
            <v>7</v>
          </cell>
          <cell r="Q63">
            <v>18</v>
          </cell>
          <cell r="R63" t="str">
            <v>80-800</v>
          </cell>
          <cell r="S63">
            <v>0.05</v>
          </cell>
          <cell r="T63">
            <v>80</v>
          </cell>
        </row>
        <row r="64">
          <cell r="A64" t="str">
            <v>Fronius PRIMO 3.6-1</v>
          </cell>
          <cell r="B64" t="str">
            <v>-</v>
          </cell>
          <cell r="C64">
            <v>98</v>
          </cell>
          <cell r="D64">
            <v>1</v>
          </cell>
          <cell r="E64">
            <v>2</v>
          </cell>
          <cell r="G64">
            <v>5100</v>
          </cell>
          <cell r="H64">
            <v>5508</v>
          </cell>
          <cell r="I64">
            <v>3600</v>
          </cell>
          <cell r="J64">
            <v>3000</v>
          </cell>
          <cell r="K64">
            <v>5500</v>
          </cell>
          <cell r="L64">
            <v>1.1017191856533333</v>
          </cell>
          <cell r="M64">
            <v>1000</v>
          </cell>
          <cell r="N64">
            <v>16</v>
          </cell>
          <cell r="O64">
            <v>7</v>
          </cell>
          <cell r="Q64">
            <v>18</v>
          </cell>
          <cell r="R64" t="str">
            <v>80-800</v>
          </cell>
          <cell r="S64">
            <v>0.05</v>
          </cell>
          <cell r="T64">
            <v>80</v>
          </cell>
        </row>
        <row r="65">
          <cell r="A65" t="str">
            <v>Fronius PRIMO Light 3.0-1</v>
          </cell>
          <cell r="B65" t="str">
            <v>light</v>
          </cell>
          <cell r="C65">
            <v>98</v>
          </cell>
          <cell r="D65">
            <v>1</v>
          </cell>
          <cell r="E65">
            <v>2</v>
          </cell>
          <cell r="G65">
            <v>3350</v>
          </cell>
          <cell r="H65">
            <v>3618.0000000000005</v>
          </cell>
          <cell r="I65">
            <v>3000</v>
          </cell>
          <cell r="J65">
            <v>2500</v>
          </cell>
          <cell r="K65">
            <v>4500</v>
          </cell>
          <cell r="L65">
            <v>1.6525787784799999</v>
          </cell>
          <cell r="M65">
            <v>1000</v>
          </cell>
          <cell r="N65">
            <v>13</v>
          </cell>
          <cell r="O65">
            <v>7</v>
          </cell>
          <cell r="Q65">
            <v>18</v>
          </cell>
          <cell r="R65" t="str">
            <v>80-800</v>
          </cell>
          <cell r="S65">
            <v>0.05</v>
          </cell>
          <cell r="T65">
            <v>80</v>
          </cell>
        </row>
        <row r="66">
          <cell r="A66" t="str">
            <v>Fronius PRIMO Light 3.6-1</v>
          </cell>
          <cell r="B66" t="str">
            <v>light</v>
          </cell>
          <cell r="C66">
            <v>98</v>
          </cell>
          <cell r="D66">
            <v>1</v>
          </cell>
          <cell r="E66">
            <v>2</v>
          </cell>
          <cell r="G66">
            <v>4600</v>
          </cell>
          <cell r="H66">
            <v>4968</v>
          </cell>
          <cell r="I66">
            <v>3600</v>
          </cell>
          <cell r="J66">
            <v>3000</v>
          </cell>
          <cell r="K66">
            <v>5500</v>
          </cell>
          <cell r="L66">
            <v>1.3399287393081081</v>
          </cell>
          <cell r="M66">
            <v>1000</v>
          </cell>
          <cell r="N66">
            <v>16</v>
          </cell>
          <cell r="O66">
            <v>7</v>
          </cell>
          <cell r="Q66">
            <v>18</v>
          </cell>
          <cell r="R66" t="str">
            <v>80-800</v>
          </cell>
          <cell r="S66">
            <v>0.05</v>
          </cell>
          <cell r="T66">
            <v>80</v>
          </cell>
        </row>
        <row r="67">
          <cell r="A67" t="str">
            <v>Fronius Symo 10.0-3-M</v>
          </cell>
          <cell r="B67" t="str">
            <v>-</v>
          </cell>
          <cell r="C67">
            <v>97.4</v>
          </cell>
          <cell r="D67">
            <v>3</v>
          </cell>
          <cell r="E67">
            <v>2</v>
          </cell>
          <cell r="G67">
            <v>9450</v>
          </cell>
          <cell r="H67">
            <v>10206</v>
          </cell>
          <cell r="I67">
            <v>10000</v>
          </cell>
          <cell r="J67">
            <v>8200</v>
          </cell>
          <cell r="K67">
            <v>15000</v>
          </cell>
          <cell r="L67">
            <v>1.6525787784799999</v>
          </cell>
          <cell r="M67">
            <v>1000</v>
          </cell>
          <cell r="N67">
            <v>14.4</v>
          </cell>
          <cell r="O67">
            <v>7</v>
          </cell>
          <cell r="Q67">
            <v>40.5</v>
          </cell>
          <cell r="R67" t="str">
            <v>200-800</v>
          </cell>
          <cell r="S67">
            <v>0.03</v>
          </cell>
          <cell r="T67">
            <v>200</v>
          </cell>
        </row>
        <row r="68">
          <cell r="A68" t="str">
            <v>Fronius Symo 12.5-3-M</v>
          </cell>
          <cell r="B68" t="str">
            <v>-</v>
          </cell>
          <cell r="C68">
            <v>97.6</v>
          </cell>
          <cell r="D68">
            <v>3</v>
          </cell>
          <cell r="E68">
            <v>2</v>
          </cell>
          <cell r="G68">
            <v>10700</v>
          </cell>
          <cell r="H68">
            <v>11556</v>
          </cell>
          <cell r="I68">
            <v>12500</v>
          </cell>
          <cell r="J68">
            <v>10000</v>
          </cell>
          <cell r="K68">
            <v>18800</v>
          </cell>
          <cell r="L68">
            <v>1.3771489820666665</v>
          </cell>
          <cell r="M68">
            <v>1000</v>
          </cell>
          <cell r="N68">
            <v>18</v>
          </cell>
          <cell r="O68">
            <v>7</v>
          </cell>
          <cell r="Q68">
            <v>40.5</v>
          </cell>
          <cell r="R68" t="str">
            <v>200-800</v>
          </cell>
          <cell r="S68">
            <v>0.03</v>
          </cell>
          <cell r="T68">
            <v>200</v>
          </cell>
        </row>
        <row r="69">
          <cell r="A69" t="str">
            <v>Fronius Symo 15.0-3-M</v>
          </cell>
          <cell r="B69" t="str">
            <v>-</v>
          </cell>
          <cell r="C69">
            <v>97.8</v>
          </cell>
          <cell r="D69">
            <v>3</v>
          </cell>
          <cell r="E69">
            <v>2</v>
          </cell>
          <cell r="G69">
            <v>10800</v>
          </cell>
          <cell r="H69">
            <v>11664</v>
          </cell>
          <cell r="I69">
            <v>15000</v>
          </cell>
          <cell r="J69">
            <v>12500</v>
          </cell>
          <cell r="K69">
            <v>22500</v>
          </cell>
          <cell r="L69">
            <v>1.23943408386</v>
          </cell>
          <cell r="M69">
            <v>1000</v>
          </cell>
          <cell r="N69">
            <v>21.7</v>
          </cell>
          <cell r="O69">
            <v>7</v>
          </cell>
          <cell r="Q69">
            <v>49.5</v>
          </cell>
          <cell r="R69" t="str">
            <v>200-800</v>
          </cell>
          <cell r="S69">
            <v>0.03</v>
          </cell>
          <cell r="T69">
            <v>200</v>
          </cell>
        </row>
        <row r="70">
          <cell r="A70" t="str">
            <v>Fronius Symo 17.5-3-M</v>
          </cell>
          <cell r="B70" t="str">
            <v>-</v>
          </cell>
          <cell r="C70">
            <v>97.8</v>
          </cell>
          <cell r="D70">
            <v>3</v>
          </cell>
          <cell r="E70">
            <v>2</v>
          </cell>
          <cell r="G70">
            <v>11500</v>
          </cell>
          <cell r="H70">
            <v>12420</v>
          </cell>
          <cell r="I70">
            <v>17500</v>
          </cell>
          <cell r="J70">
            <v>15000</v>
          </cell>
          <cell r="K70">
            <v>26300</v>
          </cell>
          <cell r="L70">
            <v>0.9915472670879999</v>
          </cell>
          <cell r="M70">
            <v>1000</v>
          </cell>
          <cell r="N70">
            <v>25.3</v>
          </cell>
          <cell r="O70">
            <v>7</v>
          </cell>
          <cell r="Q70">
            <v>49.5</v>
          </cell>
          <cell r="R70" t="str">
            <v>200-800</v>
          </cell>
          <cell r="S70">
            <v>0.03</v>
          </cell>
          <cell r="T70">
            <v>200</v>
          </cell>
        </row>
        <row r="71">
          <cell r="A71" t="str">
            <v>Fronius Symo 20.0-3-M</v>
          </cell>
          <cell r="B71" t="str">
            <v>-</v>
          </cell>
          <cell r="C71">
            <v>97.9</v>
          </cell>
          <cell r="D71">
            <v>3</v>
          </cell>
          <cell r="E71">
            <v>2</v>
          </cell>
          <cell r="G71">
            <v>11550</v>
          </cell>
          <cell r="H71">
            <v>12474</v>
          </cell>
          <cell r="I71">
            <v>20000</v>
          </cell>
          <cell r="J71">
            <v>17500</v>
          </cell>
          <cell r="K71">
            <v>30000</v>
          </cell>
          <cell r="M71">
            <v>1000</v>
          </cell>
          <cell r="N71">
            <v>28.9</v>
          </cell>
          <cell r="O71">
            <v>7</v>
          </cell>
          <cell r="Q71">
            <v>49.5</v>
          </cell>
          <cell r="R71" t="str">
            <v>200-800</v>
          </cell>
          <cell r="S71">
            <v>0.03</v>
          </cell>
          <cell r="T71">
            <v>200</v>
          </cell>
        </row>
        <row r="72">
          <cell r="A72" t="str">
            <v>Fronius Symo 3.0-3-M</v>
          </cell>
          <cell r="B72" t="str">
            <v>light</v>
          </cell>
          <cell r="C72">
            <v>96.5</v>
          </cell>
          <cell r="D72">
            <v>3</v>
          </cell>
          <cell r="E72">
            <v>2</v>
          </cell>
          <cell r="G72">
            <v>4650</v>
          </cell>
          <cell r="H72">
            <v>5022</v>
          </cell>
          <cell r="I72">
            <v>3000</v>
          </cell>
          <cell r="J72">
            <v>2500</v>
          </cell>
          <cell r="K72">
            <v>6000</v>
          </cell>
          <cell r="L72">
            <v>0.60460199212682919</v>
          </cell>
          <cell r="M72">
            <v>1000</v>
          </cell>
          <cell r="N72">
            <v>4.3</v>
          </cell>
          <cell r="O72">
            <v>7</v>
          </cell>
          <cell r="Q72">
            <v>24</v>
          </cell>
          <cell r="R72" t="str">
            <v>150-800</v>
          </cell>
          <cell r="S72">
            <v>0.03</v>
          </cell>
          <cell r="T72">
            <v>200</v>
          </cell>
        </row>
        <row r="73">
          <cell r="A73" t="str">
            <v>Fronius Symo 3.0-3-S</v>
          </cell>
          <cell r="B73" t="str">
            <v>-</v>
          </cell>
          <cell r="C73">
            <v>96.2</v>
          </cell>
          <cell r="D73">
            <v>3</v>
          </cell>
          <cell r="E73">
            <v>1</v>
          </cell>
          <cell r="G73">
            <v>4750</v>
          </cell>
          <cell r="H73">
            <v>5130</v>
          </cell>
          <cell r="I73">
            <v>3000</v>
          </cell>
          <cell r="J73">
            <v>2500</v>
          </cell>
          <cell r="K73">
            <v>6000</v>
          </cell>
          <cell r="L73">
            <v>0.9915472670879999</v>
          </cell>
          <cell r="M73">
            <v>1000</v>
          </cell>
          <cell r="N73">
            <v>4.3</v>
          </cell>
          <cell r="O73">
            <v>7</v>
          </cell>
          <cell r="Q73">
            <v>24</v>
          </cell>
          <cell r="R73" t="str">
            <v>150-800</v>
          </cell>
          <cell r="S73">
            <v>0.03</v>
          </cell>
          <cell r="T73">
            <v>200</v>
          </cell>
        </row>
        <row r="74">
          <cell r="A74" t="str">
            <v>Fronius Symo 3.7-3-M</v>
          </cell>
          <cell r="B74" t="str">
            <v>-</v>
          </cell>
          <cell r="C74">
            <v>96.9</v>
          </cell>
          <cell r="D74">
            <v>3</v>
          </cell>
          <cell r="E74">
            <v>2</v>
          </cell>
          <cell r="G74">
            <v>6050</v>
          </cell>
          <cell r="H74">
            <v>6534</v>
          </cell>
          <cell r="I74">
            <v>3700</v>
          </cell>
          <cell r="J74">
            <v>3000</v>
          </cell>
          <cell r="K74">
            <v>7400</v>
          </cell>
          <cell r="L74">
            <v>0.9915472670879999</v>
          </cell>
          <cell r="M74">
            <v>1000</v>
          </cell>
          <cell r="N74">
            <v>5.3</v>
          </cell>
          <cell r="O74">
            <v>7</v>
          </cell>
          <cell r="Q74">
            <v>24</v>
          </cell>
          <cell r="R74" t="str">
            <v>150-800</v>
          </cell>
          <cell r="S74">
            <v>0.03</v>
          </cell>
          <cell r="T74">
            <v>200</v>
          </cell>
        </row>
        <row r="75">
          <cell r="A75" t="str">
            <v>Fronius Symo 3.7-3-S</v>
          </cell>
          <cell r="B75" t="str">
            <v>-</v>
          </cell>
          <cell r="C75">
            <v>96.7</v>
          </cell>
          <cell r="D75">
            <v>3</v>
          </cell>
          <cell r="E75">
            <v>1</v>
          </cell>
          <cell r="G75">
            <v>5250</v>
          </cell>
          <cell r="H75">
            <v>5670</v>
          </cell>
          <cell r="I75">
            <v>3700</v>
          </cell>
          <cell r="J75">
            <v>3000</v>
          </cell>
          <cell r="K75">
            <v>7400</v>
          </cell>
          <cell r="L75">
            <v>0.82628938923999995</v>
          </cell>
          <cell r="M75">
            <v>1000</v>
          </cell>
          <cell r="N75">
            <v>5.3</v>
          </cell>
          <cell r="O75">
            <v>7</v>
          </cell>
          <cell r="Q75">
            <v>24</v>
          </cell>
          <cell r="R75" t="str">
            <v>150-800</v>
          </cell>
          <cell r="S75">
            <v>0.03</v>
          </cell>
          <cell r="T75">
            <v>200</v>
          </cell>
        </row>
        <row r="76">
          <cell r="A76" t="str">
            <v>Fronius Symo 4.5-3-M</v>
          </cell>
          <cell r="B76" t="str">
            <v>-</v>
          </cell>
          <cell r="C76">
            <v>97.2</v>
          </cell>
          <cell r="D76">
            <v>3</v>
          </cell>
          <cell r="E76">
            <v>2</v>
          </cell>
          <cell r="G76">
            <v>6400</v>
          </cell>
          <cell r="H76">
            <v>6912</v>
          </cell>
          <cell r="I76">
            <v>4500</v>
          </cell>
          <cell r="J76">
            <v>3700</v>
          </cell>
          <cell r="K76">
            <v>9000</v>
          </cell>
          <cell r="L76">
            <v>0.49577363354399995</v>
          </cell>
          <cell r="M76">
            <v>1000</v>
          </cell>
          <cell r="N76">
            <v>6.5</v>
          </cell>
          <cell r="O76">
            <v>7</v>
          </cell>
          <cell r="Q76">
            <v>24</v>
          </cell>
          <cell r="R76" t="str">
            <v>150-800</v>
          </cell>
          <cell r="S76">
            <v>0.03</v>
          </cell>
          <cell r="T76">
            <v>200</v>
          </cell>
        </row>
        <row r="77">
          <cell r="A77" t="str">
            <v>Fronius Symo 4.5-3-S</v>
          </cell>
          <cell r="B77" t="str">
            <v>-</v>
          </cell>
          <cell r="C77">
            <v>97</v>
          </cell>
          <cell r="D77">
            <v>3</v>
          </cell>
          <cell r="E77">
            <v>1</v>
          </cell>
          <cell r="G77">
            <v>5800</v>
          </cell>
          <cell r="H77">
            <v>6264</v>
          </cell>
          <cell r="I77">
            <v>4500</v>
          </cell>
          <cell r="J77">
            <v>3700</v>
          </cell>
          <cell r="K77">
            <v>9000</v>
          </cell>
          <cell r="L77">
            <v>0.70824804791999996</v>
          </cell>
          <cell r="M77">
            <v>1000</v>
          </cell>
          <cell r="N77">
            <v>6.5</v>
          </cell>
          <cell r="O77">
            <v>7</v>
          </cell>
          <cell r="Q77">
            <v>24</v>
          </cell>
          <cell r="R77" t="str">
            <v>150-800</v>
          </cell>
          <cell r="S77">
            <v>0.03</v>
          </cell>
          <cell r="T77">
            <v>200</v>
          </cell>
        </row>
        <row r="78">
          <cell r="A78" t="str">
            <v>Fronius Symo 5.0-3-M</v>
          </cell>
          <cell r="B78" t="str">
            <v>light</v>
          </cell>
          <cell r="C78">
            <v>97.3</v>
          </cell>
          <cell r="D78">
            <v>3</v>
          </cell>
          <cell r="E78">
            <v>2</v>
          </cell>
          <cell r="G78">
            <v>6050</v>
          </cell>
          <cell r="H78">
            <v>6534</v>
          </cell>
          <cell r="I78">
            <v>5000</v>
          </cell>
          <cell r="J78">
            <v>4500</v>
          </cell>
          <cell r="K78">
            <v>10000</v>
          </cell>
          <cell r="L78">
            <v>4.9577363354399999</v>
          </cell>
          <cell r="M78">
            <v>1000</v>
          </cell>
          <cell r="N78">
            <v>7.2</v>
          </cell>
          <cell r="O78">
            <v>7</v>
          </cell>
          <cell r="Q78">
            <v>24</v>
          </cell>
          <cell r="R78" t="str">
            <v>150-800</v>
          </cell>
          <cell r="S78">
            <v>0.03</v>
          </cell>
          <cell r="T78">
            <v>200</v>
          </cell>
        </row>
        <row r="79">
          <cell r="A79" t="str">
            <v>Fronius Symo 6.0-3-M</v>
          </cell>
          <cell r="B79" t="str">
            <v>light</v>
          </cell>
          <cell r="C79">
            <v>97.5</v>
          </cell>
          <cell r="D79">
            <v>3</v>
          </cell>
          <cell r="E79">
            <v>2</v>
          </cell>
          <cell r="G79">
            <v>6150</v>
          </cell>
          <cell r="H79">
            <v>6642</v>
          </cell>
          <cell r="I79">
            <v>6000</v>
          </cell>
          <cell r="J79">
            <v>5000</v>
          </cell>
          <cell r="K79">
            <v>12000</v>
          </cell>
          <cell r="L79">
            <v>3.3051575569599998</v>
          </cell>
          <cell r="M79">
            <v>1000</v>
          </cell>
          <cell r="N79">
            <v>8.6999999999999993</v>
          </cell>
          <cell r="O79">
            <v>7</v>
          </cell>
          <cell r="Q79">
            <v>24</v>
          </cell>
          <cell r="R79" t="str">
            <v>150-800</v>
          </cell>
          <cell r="S79">
            <v>0.03</v>
          </cell>
          <cell r="T79">
            <v>200</v>
          </cell>
        </row>
        <row r="80">
          <cell r="A80" t="str">
            <v>Fronius Symo 7.0-3-M</v>
          </cell>
          <cell r="B80" t="str">
            <v>light</v>
          </cell>
          <cell r="C80">
            <v>97.6</v>
          </cell>
          <cell r="D80">
            <v>3</v>
          </cell>
          <cell r="E80">
            <v>2</v>
          </cell>
          <cell r="G80">
            <v>7750</v>
          </cell>
          <cell r="H80">
            <v>8370</v>
          </cell>
          <cell r="I80">
            <v>7000</v>
          </cell>
          <cell r="J80">
            <v>6000</v>
          </cell>
          <cell r="K80">
            <v>14000</v>
          </cell>
          <cell r="L80">
            <v>2.47886816772</v>
          </cell>
          <cell r="M80">
            <v>1000</v>
          </cell>
          <cell r="N80">
            <v>10.1</v>
          </cell>
          <cell r="O80">
            <v>7</v>
          </cell>
          <cell r="Q80">
            <v>24</v>
          </cell>
          <cell r="R80" t="str">
            <v>150-800</v>
          </cell>
          <cell r="S80">
            <v>0.03</v>
          </cell>
          <cell r="T80">
            <v>200</v>
          </cell>
        </row>
        <row r="81">
          <cell r="A81" t="str">
            <v>Fronius Symo 8.2-3-M</v>
          </cell>
          <cell r="B81" t="str">
            <v>light</v>
          </cell>
          <cell r="C81">
            <v>97.7</v>
          </cell>
          <cell r="D81">
            <v>3</v>
          </cell>
          <cell r="E81">
            <v>2</v>
          </cell>
          <cell r="G81">
            <v>8600</v>
          </cell>
          <cell r="H81">
            <v>9288</v>
          </cell>
          <cell r="I81">
            <v>8200</v>
          </cell>
          <cell r="J81">
            <v>7000</v>
          </cell>
          <cell r="K81">
            <v>16400</v>
          </cell>
          <cell r="L81">
            <v>1.6525787784799999</v>
          </cell>
          <cell r="M81">
            <v>1000</v>
          </cell>
          <cell r="N81">
            <v>11.8</v>
          </cell>
          <cell r="O81">
            <v>7</v>
          </cell>
          <cell r="Q81">
            <v>24</v>
          </cell>
          <cell r="R81" t="str">
            <v>150-800</v>
          </cell>
          <cell r="S81">
            <v>0.03</v>
          </cell>
          <cell r="T81">
            <v>200</v>
          </cell>
        </row>
        <row r="82">
          <cell r="A82" t="str">
            <v>Solaredge - SE2200H</v>
          </cell>
          <cell r="B82" t="str">
            <v>-</v>
          </cell>
          <cell r="C82">
            <v>0.98</v>
          </cell>
          <cell r="D82">
            <v>1</v>
          </cell>
          <cell r="E82">
            <v>2</v>
          </cell>
          <cell r="G82">
            <v>3200</v>
          </cell>
          <cell r="H82">
            <v>3456</v>
          </cell>
          <cell r="I82">
            <v>2200</v>
          </cell>
          <cell r="J82">
            <v>1500</v>
          </cell>
          <cell r="K82">
            <v>4400</v>
          </cell>
          <cell r="L82">
            <v>0.49577363354399995</v>
          </cell>
          <cell r="M82">
            <v>480</v>
          </cell>
          <cell r="N82">
            <v>10</v>
          </cell>
          <cell r="O82">
            <v>12</v>
          </cell>
          <cell r="Q82">
            <v>6.5</v>
          </cell>
          <cell r="R82" t="str">
            <v>184-264,5</v>
          </cell>
          <cell r="S82">
            <v>0.03</v>
          </cell>
          <cell r="T82">
            <v>184</v>
          </cell>
        </row>
        <row r="83">
          <cell r="A83" t="str">
            <v>Solaredge - SE3000H</v>
          </cell>
          <cell r="B83" t="str">
            <v>-</v>
          </cell>
          <cell r="C83">
            <v>1.05</v>
          </cell>
          <cell r="D83">
            <v>1</v>
          </cell>
          <cell r="E83">
            <v>2</v>
          </cell>
          <cell r="G83">
            <v>3600</v>
          </cell>
          <cell r="H83">
            <v>3888.0000000000005</v>
          </cell>
          <cell r="I83">
            <v>3000</v>
          </cell>
          <cell r="J83">
            <v>4400</v>
          </cell>
          <cell r="K83">
            <v>6000</v>
          </cell>
          <cell r="L83">
            <v>0.39661890683519996</v>
          </cell>
          <cell r="M83">
            <v>480</v>
          </cell>
          <cell r="N83">
            <v>14</v>
          </cell>
          <cell r="O83">
            <v>12</v>
          </cell>
          <cell r="Q83">
            <v>9</v>
          </cell>
          <cell r="R83" t="str">
            <v>184-264,5</v>
          </cell>
          <cell r="S83">
            <v>0.03</v>
          </cell>
          <cell r="T83">
            <v>184</v>
          </cell>
        </row>
        <row r="84">
          <cell r="A84" t="str">
            <v>Solaredge - SE3500H</v>
          </cell>
          <cell r="B84" t="str">
            <v>-</v>
          </cell>
          <cell r="C84">
            <v>0.97599999999999998</v>
          </cell>
          <cell r="D84">
            <v>1</v>
          </cell>
          <cell r="E84">
            <v>2</v>
          </cell>
          <cell r="G84">
            <v>4150</v>
          </cell>
          <cell r="H84">
            <v>4482</v>
          </cell>
          <cell r="I84">
            <v>3500</v>
          </cell>
          <cell r="J84">
            <v>3000</v>
          </cell>
          <cell r="K84">
            <v>7000</v>
          </cell>
          <cell r="L84">
            <v>0.33051575569599995</v>
          </cell>
          <cell r="M84">
            <v>480</v>
          </cell>
          <cell r="N84">
            <v>16</v>
          </cell>
          <cell r="O84">
            <v>12</v>
          </cell>
          <cell r="Q84">
            <v>10</v>
          </cell>
          <cell r="R84" t="str">
            <v>184-264,5</v>
          </cell>
          <cell r="S84">
            <v>0.03</v>
          </cell>
          <cell r="T84">
            <v>184</v>
          </cell>
        </row>
        <row r="85">
          <cell r="A85" t="str">
            <v>Solaredge - SE3680H</v>
          </cell>
          <cell r="B85" t="str">
            <v>-</v>
          </cell>
          <cell r="C85">
            <v>0.97699999999999998</v>
          </cell>
          <cell r="D85">
            <v>1</v>
          </cell>
          <cell r="E85">
            <v>2</v>
          </cell>
          <cell r="G85">
            <v>4200</v>
          </cell>
          <cell r="H85">
            <v>4536</v>
          </cell>
          <cell r="I85">
            <v>3680</v>
          </cell>
          <cell r="J85">
            <v>3500</v>
          </cell>
          <cell r="K85">
            <v>7360</v>
          </cell>
          <cell r="L85">
            <v>0.30985852096499999</v>
          </cell>
          <cell r="M85">
            <v>480</v>
          </cell>
          <cell r="N85">
            <v>16</v>
          </cell>
          <cell r="O85">
            <v>12</v>
          </cell>
          <cell r="Q85">
            <v>10.5</v>
          </cell>
          <cell r="R85" t="str">
            <v>184-264,5</v>
          </cell>
          <cell r="S85">
            <v>0.03</v>
          </cell>
          <cell r="T85">
            <v>184</v>
          </cell>
        </row>
        <row r="86">
          <cell r="A86" t="str">
            <v>Solaredge - SE3K</v>
          </cell>
          <cell r="B86" t="str">
            <v>-</v>
          </cell>
          <cell r="C86">
            <v>0.98</v>
          </cell>
          <cell r="D86">
            <v>3</v>
          </cell>
          <cell r="E86">
            <v>2</v>
          </cell>
          <cell r="G86">
            <v>5600</v>
          </cell>
          <cell r="H86">
            <v>6048</v>
          </cell>
          <cell r="I86">
            <v>3000</v>
          </cell>
          <cell r="J86">
            <v>2000</v>
          </cell>
          <cell r="K86">
            <v>4050</v>
          </cell>
          <cell r="L86">
            <v>0.2916315491435294</v>
          </cell>
          <cell r="M86">
            <v>900</v>
          </cell>
          <cell r="N86">
            <v>5</v>
          </cell>
          <cell r="O86">
            <v>12</v>
          </cell>
          <cell r="Q86">
            <v>5</v>
          </cell>
          <cell r="R86" t="str">
            <v>184-264,5</v>
          </cell>
          <cell r="S86">
            <v>0.03</v>
          </cell>
          <cell r="T86">
            <v>184</v>
          </cell>
        </row>
        <row r="87">
          <cell r="A87" t="str">
            <v>Solaredge - SE4K</v>
          </cell>
          <cell r="B87" t="str">
            <v>-</v>
          </cell>
          <cell r="C87">
            <v>0.98</v>
          </cell>
          <cell r="D87">
            <v>3</v>
          </cell>
          <cell r="E87">
            <v>2</v>
          </cell>
          <cell r="G87">
            <v>4250</v>
          </cell>
          <cell r="H87">
            <v>4590</v>
          </cell>
          <cell r="I87">
            <v>4000</v>
          </cell>
          <cell r="J87">
            <v>3000</v>
          </cell>
          <cell r="K87">
            <v>5400</v>
          </cell>
          <cell r="L87">
            <v>0.1458157745717647</v>
          </cell>
          <cell r="M87">
            <v>900</v>
          </cell>
          <cell r="N87">
            <v>6.5</v>
          </cell>
          <cell r="O87">
            <v>12</v>
          </cell>
          <cell r="Q87">
            <v>7</v>
          </cell>
          <cell r="R87" t="str">
            <v>184-264,5</v>
          </cell>
          <cell r="S87">
            <v>0.03</v>
          </cell>
          <cell r="T87">
            <v>184</v>
          </cell>
        </row>
        <row r="88">
          <cell r="A88" t="str">
            <v>Solaredge - SE5K</v>
          </cell>
          <cell r="B88" t="str">
            <v>-</v>
          </cell>
          <cell r="C88">
            <v>0.98</v>
          </cell>
          <cell r="D88">
            <v>3</v>
          </cell>
          <cell r="E88">
            <v>2</v>
          </cell>
          <cell r="G88">
            <v>5600</v>
          </cell>
          <cell r="H88">
            <v>6048</v>
          </cell>
          <cell r="I88">
            <v>5000</v>
          </cell>
          <cell r="J88">
            <v>4000</v>
          </cell>
          <cell r="K88">
            <v>6750</v>
          </cell>
          <cell r="L88">
            <v>2.2535165161090909</v>
          </cell>
          <cell r="M88">
            <v>900</v>
          </cell>
          <cell r="N88">
            <v>8</v>
          </cell>
          <cell r="O88">
            <v>12</v>
          </cell>
          <cell r="Q88">
            <v>8.5</v>
          </cell>
          <cell r="R88" t="str">
            <v>184-264,5</v>
          </cell>
          <cell r="S88">
            <v>0.03</v>
          </cell>
          <cell r="T88">
            <v>184</v>
          </cell>
        </row>
        <row r="89">
          <cell r="A89" t="str">
            <v>Solaredge - SE6K</v>
          </cell>
          <cell r="B89" t="str">
            <v>-</v>
          </cell>
          <cell r="C89">
            <v>0.98</v>
          </cell>
          <cell r="D89">
            <v>3</v>
          </cell>
          <cell r="E89">
            <v>2</v>
          </cell>
          <cell r="G89">
            <v>6050</v>
          </cell>
          <cell r="H89">
            <v>6534</v>
          </cell>
          <cell r="I89">
            <v>6000</v>
          </cell>
          <cell r="J89">
            <v>5000</v>
          </cell>
          <cell r="K89">
            <v>8100</v>
          </cell>
          <cell r="L89">
            <v>0.19830945341759998</v>
          </cell>
          <cell r="M89">
            <v>900</v>
          </cell>
          <cell r="N89">
            <v>10</v>
          </cell>
          <cell r="O89">
            <v>12</v>
          </cell>
          <cell r="Q89">
            <v>10</v>
          </cell>
          <cell r="R89" t="str">
            <v>184-264,5</v>
          </cell>
          <cell r="S89">
            <v>0.03</v>
          </cell>
          <cell r="T89">
            <v>184</v>
          </cell>
        </row>
        <row r="90">
          <cell r="A90" t="str">
            <v>Solaredge - SE7K</v>
          </cell>
          <cell r="B90" t="str">
            <v>-</v>
          </cell>
          <cell r="C90">
            <v>0.98</v>
          </cell>
          <cell r="D90">
            <v>3</v>
          </cell>
          <cell r="E90">
            <v>2</v>
          </cell>
          <cell r="G90">
            <v>6300</v>
          </cell>
          <cell r="H90">
            <v>6804</v>
          </cell>
          <cell r="I90">
            <v>7000</v>
          </cell>
          <cell r="J90">
            <v>6000</v>
          </cell>
          <cell r="K90">
            <v>9450</v>
          </cell>
          <cell r="L90">
            <v>0.18361986427555554</v>
          </cell>
          <cell r="M90">
            <v>900</v>
          </cell>
          <cell r="N90">
            <v>11.5</v>
          </cell>
          <cell r="O90">
            <v>12</v>
          </cell>
          <cell r="Q90">
            <v>12</v>
          </cell>
          <cell r="R90" t="str">
            <v>184-264,5</v>
          </cell>
          <cell r="S90">
            <v>0.03</v>
          </cell>
          <cell r="T90">
            <v>184</v>
          </cell>
        </row>
        <row r="91">
          <cell r="A91" t="str">
            <v>Solaredge - SE8K</v>
          </cell>
          <cell r="B91" t="str">
            <v>-</v>
          </cell>
          <cell r="C91">
            <v>0.98</v>
          </cell>
          <cell r="D91">
            <v>3</v>
          </cell>
          <cell r="E91">
            <v>2</v>
          </cell>
          <cell r="G91">
            <v>7000</v>
          </cell>
          <cell r="H91">
            <v>7560.0000000000009</v>
          </cell>
          <cell r="I91">
            <v>8000</v>
          </cell>
          <cell r="J91">
            <v>7000</v>
          </cell>
          <cell r="K91">
            <v>10800</v>
          </cell>
          <cell r="L91">
            <v>1.6525787784799999</v>
          </cell>
          <cell r="M91">
            <v>900</v>
          </cell>
          <cell r="N91">
            <v>13</v>
          </cell>
          <cell r="O91">
            <v>12</v>
          </cell>
          <cell r="Q91">
            <v>13.5</v>
          </cell>
          <cell r="R91" t="str">
            <v>184-264,5</v>
          </cell>
          <cell r="S91">
            <v>0.03</v>
          </cell>
          <cell r="T91">
            <v>184</v>
          </cell>
        </row>
        <row r="92">
          <cell r="A92" t="str">
            <v>Solaredge - SE9K</v>
          </cell>
          <cell r="B92" t="str">
            <v>-</v>
          </cell>
          <cell r="C92">
            <v>0.98</v>
          </cell>
          <cell r="D92">
            <v>3</v>
          </cell>
          <cell r="E92">
            <v>2</v>
          </cell>
          <cell r="G92">
            <v>7250</v>
          </cell>
          <cell r="H92">
            <v>7830.0000000000009</v>
          </cell>
          <cell r="I92">
            <v>9000</v>
          </cell>
          <cell r="J92">
            <v>8000</v>
          </cell>
          <cell r="K92">
            <v>12150</v>
          </cell>
          <cell r="M92">
            <v>900</v>
          </cell>
          <cell r="N92">
            <v>14.5</v>
          </cell>
          <cell r="O92">
            <v>12</v>
          </cell>
          <cell r="Q92">
            <v>15</v>
          </cell>
          <cell r="R92" t="str">
            <v>184-264,5</v>
          </cell>
          <cell r="S92">
            <v>0.03</v>
          </cell>
          <cell r="T92">
            <v>184</v>
          </cell>
        </row>
        <row r="93">
          <cell r="A93" t="str">
            <v>Solaredge - SE10K</v>
          </cell>
          <cell r="B93" t="str">
            <v>-</v>
          </cell>
          <cell r="C93">
            <v>0.98</v>
          </cell>
          <cell r="D93">
            <v>3</v>
          </cell>
          <cell r="E93">
            <v>2</v>
          </cell>
          <cell r="G93">
            <v>7550</v>
          </cell>
          <cell r="H93">
            <v>8154.0000000000009</v>
          </cell>
          <cell r="I93">
            <v>10000</v>
          </cell>
          <cell r="J93">
            <v>9000</v>
          </cell>
          <cell r="K93">
            <v>13500</v>
          </cell>
          <cell r="L93">
            <v>0.15023443440727272</v>
          </cell>
          <cell r="M93">
            <v>900</v>
          </cell>
          <cell r="N93">
            <v>16</v>
          </cell>
          <cell r="O93">
            <v>12</v>
          </cell>
          <cell r="Q93">
            <v>16.5</v>
          </cell>
          <cell r="R93" t="str">
            <v>184-264,5</v>
          </cell>
          <cell r="S93">
            <v>0.03</v>
          </cell>
          <cell r="T93">
            <v>184</v>
          </cell>
        </row>
        <row r="94">
          <cell r="A94" t="str">
            <v>Solaredge - SE12.5K</v>
          </cell>
          <cell r="B94" t="str">
            <v>-</v>
          </cell>
          <cell r="C94">
            <v>0.98</v>
          </cell>
          <cell r="D94">
            <v>3</v>
          </cell>
          <cell r="E94">
            <v>2</v>
          </cell>
          <cell r="G94">
            <v>7850</v>
          </cell>
          <cell r="H94">
            <v>8478</v>
          </cell>
          <cell r="I94">
            <v>12500</v>
          </cell>
          <cell r="J94">
            <v>10000</v>
          </cell>
          <cell r="K94">
            <v>16850</v>
          </cell>
          <cell r="L94">
            <v>1.4164960958399999</v>
          </cell>
          <cell r="M94">
            <v>1000</v>
          </cell>
          <cell r="N94">
            <v>20</v>
          </cell>
          <cell r="O94">
            <v>12</v>
          </cell>
          <cell r="Q94">
            <v>21</v>
          </cell>
          <cell r="R94" t="str">
            <v>184-264,5</v>
          </cell>
          <cell r="S94">
            <v>0.03</v>
          </cell>
          <cell r="T94">
            <v>184</v>
          </cell>
        </row>
        <row r="95">
          <cell r="A95" t="str">
            <v>Solaredge - SE16K</v>
          </cell>
          <cell r="B95" t="str">
            <v>-</v>
          </cell>
          <cell r="C95">
            <v>0.98</v>
          </cell>
          <cell r="D95">
            <v>3</v>
          </cell>
          <cell r="E95">
            <v>2</v>
          </cell>
          <cell r="G95">
            <v>6650</v>
          </cell>
          <cell r="H95">
            <v>7182.0000000000009</v>
          </cell>
          <cell r="I95">
            <v>16000</v>
          </cell>
          <cell r="J95">
            <v>12500</v>
          </cell>
          <cell r="K95">
            <v>21600</v>
          </cell>
          <cell r="L95">
            <v>1.6525787784799999</v>
          </cell>
          <cell r="M95">
            <v>1000</v>
          </cell>
          <cell r="N95">
            <v>25.5</v>
          </cell>
          <cell r="O95">
            <v>12</v>
          </cell>
          <cell r="Q95">
            <v>23</v>
          </cell>
          <cell r="R95" t="str">
            <v>184-264,5</v>
          </cell>
          <cell r="S95">
            <v>0.03</v>
          </cell>
          <cell r="T95">
            <v>184</v>
          </cell>
        </row>
        <row r="96">
          <cell r="A96" t="str">
            <v>Solaredge - SE17K</v>
          </cell>
          <cell r="B96" t="str">
            <v>-</v>
          </cell>
          <cell r="C96">
            <v>0.98</v>
          </cell>
          <cell r="D96">
            <v>3</v>
          </cell>
          <cell r="E96">
            <v>2</v>
          </cell>
          <cell r="G96">
            <v>6750</v>
          </cell>
          <cell r="H96">
            <v>7290.0000000000009</v>
          </cell>
          <cell r="I96">
            <v>17000</v>
          </cell>
          <cell r="J96">
            <v>16000</v>
          </cell>
          <cell r="K96">
            <v>22950</v>
          </cell>
          <cell r="L96">
            <v>1.23943408386</v>
          </cell>
          <cell r="M96">
            <v>1000</v>
          </cell>
          <cell r="N96">
            <v>26</v>
          </cell>
          <cell r="O96">
            <v>12</v>
          </cell>
          <cell r="Q96">
            <v>23</v>
          </cell>
          <cell r="R96" t="str">
            <v>184-264,5</v>
          </cell>
          <cell r="S96">
            <v>0.03</v>
          </cell>
          <cell r="T96">
            <v>184</v>
          </cell>
        </row>
        <row r="97">
          <cell r="A97" t="str">
            <v>Solaredge - SE25K</v>
          </cell>
          <cell r="B97" t="str">
            <v>-</v>
          </cell>
          <cell r="C97">
            <v>0.98</v>
          </cell>
          <cell r="D97">
            <v>3</v>
          </cell>
          <cell r="E97">
            <v>4</v>
          </cell>
          <cell r="G97">
            <v>8650</v>
          </cell>
          <cell r="H97">
            <v>9342</v>
          </cell>
          <cell r="I97">
            <v>25000</v>
          </cell>
          <cell r="J97">
            <v>17000</v>
          </cell>
          <cell r="K97">
            <v>37500</v>
          </cell>
          <cell r="L97">
            <v>1.23943408386</v>
          </cell>
          <cell r="M97">
            <v>1000</v>
          </cell>
          <cell r="N97">
            <v>36.25</v>
          </cell>
          <cell r="O97">
            <v>12</v>
          </cell>
          <cell r="Q97">
            <v>36.25</v>
          </cell>
          <cell r="R97" t="str">
            <v>184-264,5</v>
          </cell>
          <cell r="S97">
            <v>0.03</v>
          </cell>
          <cell r="T97">
            <v>184</v>
          </cell>
        </row>
        <row r="98">
          <cell r="A98" t="str">
            <v>Solaredge - SE30K</v>
          </cell>
          <cell r="B98" t="str">
            <v>-</v>
          </cell>
          <cell r="C98">
            <v>0.98</v>
          </cell>
          <cell r="D98">
            <v>3</v>
          </cell>
          <cell r="E98">
            <v>4</v>
          </cell>
          <cell r="G98">
            <v>8750</v>
          </cell>
          <cell r="H98">
            <v>9450</v>
          </cell>
          <cell r="I98">
            <v>29990</v>
          </cell>
          <cell r="J98">
            <v>25000</v>
          </cell>
          <cell r="K98">
            <v>45000</v>
          </cell>
          <cell r="L98">
            <v>0.9915472670879999</v>
          </cell>
          <cell r="M98">
            <v>1000</v>
          </cell>
          <cell r="N98">
            <v>43.5</v>
          </cell>
          <cell r="O98">
            <v>12</v>
          </cell>
          <cell r="Q98">
            <v>43.5</v>
          </cell>
          <cell r="R98" t="str">
            <v>184-264,5</v>
          </cell>
          <cell r="S98">
            <v>0.03</v>
          </cell>
          <cell r="T98">
            <v>184</v>
          </cell>
        </row>
        <row r="99">
          <cell r="A99" t="str">
            <v>Solaredge - SE33.3K</v>
          </cell>
          <cell r="B99" t="str">
            <v>-</v>
          </cell>
          <cell r="C99">
            <v>0.98</v>
          </cell>
          <cell r="D99">
            <v>3</v>
          </cell>
          <cell r="E99">
            <v>4</v>
          </cell>
          <cell r="G99">
            <v>8800</v>
          </cell>
          <cell r="H99">
            <v>9504</v>
          </cell>
          <cell r="I99">
            <v>33300</v>
          </cell>
          <cell r="J99">
            <v>29990</v>
          </cell>
          <cell r="K99">
            <v>50000</v>
          </cell>
          <cell r="L99">
            <v>0.9915472670879999</v>
          </cell>
          <cell r="M99">
            <v>1000</v>
          </cell>
          <cell r="N99">
            <v>48.25</v>
          </cell>
          <cell r="O99">
            <v>12</v>
          </cell>
          <cell r="Q99">
            <v>48.25</v>
          </cell>
          <cell r="R99" t="str">
            <v>184-264,5</v>
          </cell>
          <cell r="S99">
            <v>0.03</v>
          </cell>
          <cell r="T99">
            <v>184</v>
          </cell>
        </row>
        <row r="100">
          <cell r="A100" t="str">
            <v>Solaredge - SE50K</v>
          </cell>
          <cell r="B100" t="str">
            <v>+jedn. Pomocnicze'</v>
          </cell>
          <cell r="C100">
            <v>0.98</v>
          </cell>
          <cell r="D100">
            <v>3</v>
          </cell>
          <cell r="E100">
            <v>8</v>
          </cell>
          <cell r="G100">
            <v>15950</v>
          </cell>
          <cell r="H100">
            <v>17226</v>
          </cell>
          <cell r="I100">
            <v>50000</v>
          </cell>
          <cell r="J100">
            <v>33300</v>
          </cell>
          <cell r="K100">
            <v>75000</v>
          </cell>
          <cell r="M100">
            <v>1000</v>
          </cell>
          <cell r="N100">
            <v>72.5</v>
          </cell>
          <cell r="O100">
            <v>12</v>
          </cell>
          <cell r="Q100" t="str">
            <v>2x36,25</v>
          </cell>
          <cell r="R100" t="str">
            <v>184-264,5</v>
          </cell>
          <cell r="S100">
            <v>0.03</v>
          </cell>
          <cell r="T100">
            <v>184</v>
          </cell>
        </row>
        <row r="101">
          <cell r="A101" t="str">
            <v>Solaredge - SE66.6K</v>
          </cell>
          <cell r="B101" t="str">
            <v>+jedn. Pomocnicze'</v>
          </cell>
          <cell r="C101">
            <v>0.98</v>
          </cell>
          <cell r="D101">
            <v>3</v>
          </cell>
          <cell r="E101">
            <v>8</v>
          </cell>
          <cell r="G101">
            <v>0</v>
          </cell>
          <cell r="H101">
            <v>0</v>
          </cell>
          <cell r="I101">
            <v>66600</v>
          </cell>
          <cell r="J101">
            <v>50000</v>
          </cell>
          <cell r="K101">
            <v>100000</v>
          </cell>
          <cell r="L101">
            <v>0.82628938923999995</v>
          </cell>
          <cell r="M101">
            <v>1000</v>
          </cell>
          <cell r="N101">
            <v>96.5</v>
          </cell>
          <cell r="O101">
            <v>12</v>
          </cell>
          <cell r="Q101" t="str">
            <v>2x48,25</v>
          </cell>
          <cell r="R101" t="str">
            <v>184-264,5</v>
          </cell>
          <cell r="S101">
            <v>0.03</v>
          </cell>
          <cell r="T101">
            <v>184</v>
          </cell>
        </row>
        <row r="102">
          <cell r="A102" t="str">
            <v>Solaredge - SE90K</v>
          </cell>
          <cell r="B102" t="str">
            <v>+jedn. Pomocnicze'</v>
          </cell>
          <cell r="C102">
            <v>0.98</v>
          </cell>
          <cell r="D102">
            <v>3</v>
          </cell>
          <cell r="E102">
            <v>12</v>
          </cell>
          <cell r="G102">
            <v>23900</v>
          </cell>
          <cell r="H102">
            <v>25812</v>
          </cell>
          <cell r="I102">
            <v>90000</v>
          </cell>
          <cell r="J102">
            <v>66600</v>
          </cell>
          <cell r="K102">
            <v>135000</v>
          </cell>
          <cell r="L102">
            <v>0.70824804791999996</v>
          </cell>
          <cell r="M102">
            <v>1000</v>
          </cell>
          <cell r="N102">
            <v>130.5</v>
          </cell>
          <cell r="O102">
            <v>12</v>
          </cell>
          <cell r="Q102" t="str">
            <v>3x43,5</v>
          </cell>
          <cell r="R102" t="str">
            <v>184-264,5</v>
          </cell>
          <cell r="S102">
            <v>0.03</v>
          </cell>
          <cell r="T102">
            <v>184</v>
          </cell>
        </row>
        <row r="103">
          <cell r="A103" t="str">
            <v>Solaredge - SE120K</v>
          </cell>
          <cell r="B103" t="str">
            <v>+jedn. Pomocnicze'</v>
          </cell>
          <cell r="C103">
            <v>0.98</v>
          </cell>
          <cell r="D103">
            <v>3</v>
          </cell>
          <cell r="E103">
            <v>12</v>
          </cell>
          <cell r="G103">
            <v>0</v>
          </cell>
          <cell r="H103">
            <v>0</v>
          </cell>
          <cell r="I103">
            <v>100000</v>
          </cell>
          <cell r="J103">
            <v>90000</v>
          </cell>
          <cell r="K103">
            <v>150000</v>
          </cell>
          <cell r="L103">
            <v>0.61971704192999999</v>
          </cell>
          <cell r="M103">
            <v>1000</v>
          </cell>
          <cell r="N103">
            <v>145</v>
          </cell>
          <cell r="O103">
            <v>12</v>
          </cell>
          <cell r="Q103" t="str">
            <v>3x48,25</v>
          </cell>
          <cell r="R103" t="str">
            <v>184-264,5</v>
          </cell>
          <cell r="S103">
            <v>0.03</v>
          </cell>
          <cell r="T103">
            <v>184</v>
          </cell>
        </row>
        <row r="104">
          <cell r="A104" t="str">
            <v>Solaredge - SE120K</v>
          </cell>
          <cell r="B104" t="str">
            <v>+jedn. Pomocnicze'</v>
          </cell>
          <cell r="C104">
            <v>0.98</v>
          </cell>
          <cell r="D104">
            <v>3</v>
          </cell>
          <cell r="E104">
            <v>12</v>
          </cell>
          <cell r="G104">
            <v>0</v>
          </cell>
          <cell r="H104">
            <v>0</v>
          </cell>
          <cell r="I104">
            <v>120000</v>
          </cell>
          <cell r="J104">
            <v>100000</v>
          </cell>
          <cell r="K104">
            <v>180000</v>
          </cell>
          <cell r="L104">
            <v>0.55085959282666663</v>
          </cell>
          <cell r="M104">
            <v>1000</v>
          </cell>
          <cell r="N104">
            <v>145</v>
          </cell>
          <cell r="O104">
            <v>12</v>
          </cell>
          <cell r="Q104" t="str">
            <v>3x48,25</v>
          </cell>
          <cell r="R104" t="str">
            <v>184-264,5</v>
          </cell>
          <cell r="S104">
            <v>0.03</v>
          </cell>
          <cell r="T104">
            <v>184</v>
          </cell>
        </row>
      </sheetData>
      <sheetData sheetId="2"/>
      <sheetData sheetId="3">
        <row r="2">
          <cell r="U2">
            <v>-90</v>
          </cell>
          <cell r="V2">
            <v>-85</v>
          </cell>
          <cell r="W2">
            <v>-80</v>
          </cell>
          <cell r="X2">
            <v>-75</v>
          </cell>
          <cell r="Y2">
            <v>-70</v>
          </cell>
          <cell r="Z2">
            <v>-65</v>
          </cell>
          <cell r="AA2">
            <v>-60</v>
          </cell>
          <cell r="AB2">
            <v>-55</v>
          </cell>
          <cell r="AC2">
            <v>-50</v>
          </cell>
          <cell r="AD2">
            <v>-45</v>
          </cell>
          <cell r="AE2">
            <v>-40</v>
          </cell>
          <cell r="AF2">
            <v>-35</v>
          </cell>
          <cell r="AG2">
            <v>-30</v>
          </cell>
          <cell r="AH2">
            <v>-25</v>
          </cell>
          <cell r="AI2">
            <v>-20</v>
          </cell>
          <cell r="AJ2">
            <v>-15</v>
          </cell>
          <cell r="AK2">
            <v>-10</v>
          </cell>
          <cell r="AL2">
            <v>-5</v>
          </cell>
          <cell r="AM2">
            <v>0</v>
          </cell>
        </row>
        <row r="3">
          <cell r="D3" t="str">
            <v>Złączki szeregowe</v>
          </cell>
          <cell r="T3">
            <v>0</v>
          </cell>
          <cell r="U3">
            <v>1</v>
          </cell>
          <cell r="V3">
            <v>1</v>
          </cell>
          <cell r="W3">
            <v>1</v>
          </cell>
          <cell r="X3">
            <v>1</v>
          </cell>
          <cell r="Y3">
            <v>1</v>
          </cell>
          <cell r="Z3">
            <v>1</v>
          </cell>
          <cell r="AA3">
            <v>1</v>
          </cell>
          <cell r="AB3">
            <v>1</v>
          </cell>
          <cell r="AC3">
            <v>1</v>
          </cell>
          <cell r="AD3">
            <v>1</v>
          </cell>
          <cell r="AE3">
            <v>1</v>
          </cell>
          <cell r="AF3">
            <v>1</v>
          </cell>
          <cell r="AG3">
            <v>1</v>
          </cell>
          <cell r="AH3">
            <v>1</v>
          </cell>
          <cell r="AI3">
            <v>1</v>
          </cell>
          <cell r="AJ3">
            <v>1</v>
          </cell>
          <cell r="AK3">
            <v>1</v>
          </cell>
          <cell r="AL3">
            <v>1</v>
          </cell>
          <cell r="AM3">
            <v>1</v>
          </cell>
        </row>
        <row r="4">
          <cell r="D4" t="str">
            <v>robocizna</v>
          </cell>
          <cell r="T4">
            <v>5</v>
          </cell>
          <cell r="U4">
            <v>1</v>
          </cell>
          <cell r="V4">
            <v>1</v>
          </cell>
          <cell r="W4">
            <v>1</v>
          </cell>
          <cell r="X4">
            <v>1.01</v>
          </cell>
          <cell r="Y4">
            <v>1.01</v>
          </cell>
          <cell r="Z4">
            <v>1.01</v>
          </cell>
          <cell r="AA4">
            <v>1.02</v>
          </cell>
          <cell r="AB4">
            <v>1.02</v>
          </cell>
          <cell r="AC4">
            <v>1.02</v>
          </cell>
          <cell r="AD4">
            <v>1.03</v>
          </cell>
          <cell r="AE4">
            <v>1.03</v>
          </cell>
          <cell r="AF4">
            <v>1.03</v>
          </cell>
          <cell r="AG4">
            <v>1.03</v>
          </cell>
          <cell r="AH4">
            <v>1.03</v>
          </cell>
          <cell r="AI4">
            <v>1.03</v>
          </cell>
          <cell r="AJ4">
            <v>1.03</v>
          </cell>
          <cell r="AK4">
            <v>1.04</v>
          </cell>
          <cell r="AL4">
            <v>1.04</v>
          </cell>
          <cell r="AM4">
            <v>1.04</v>
          </cell>
        </row>
        <row r="5">
          <cell r="D5" t="str">
            <v>Transport</v>
          </cell>
          <cell r="T5">
            <v>10</v>
          </cell>
          <cell r="U5">
            <v>0.99</v>
          </cell>
          <cell r="V5">
            <v>1</v>
          </cell>
          <cell r="W5">
            <v>1.01</v>
          </cell>
          <cell r="X5">
            <v>1.01</v>
          </cell>
          <cell r="Y5">
            <v>1.02</v>
          </cell>
          <cell r="Z5">
            <v>1.02</v>
          </cell>
          <cell r="AA5">
            <v>1.03</v>
          </cell>
          <cell r="AB5">
            <v>1.04</v>
          </cell>
          <cell r="AC5">
            <v>1.04</v>
          </cell>
          <cell r="AD5">
            <v>1.05</v>
          </cell>
          <cell r="AE5">
            <v>1.05</v>
          </cell>
          <cell r="AF5">
            <v>1.05</v>
          </cell>
          <cell r="AG5">
            <v>1.06</v>
          </cell>
          <cell r="AH5">
            <v>1.06</v>
          </cell>
          <cell r="AI5">
            <v>1.06</v>
          </cell>
          <cell r="AJ5">
            <v>1.06</v>
          </cell>
          <cell r="AK5">
            <v>1.07</v>
          </cell>
          <cell r="AL5">
            <v>1.07</v>
          </cell>
          <cell r="AM5">
            <v>1.07</v>
          </cell>
        </row>
        <row r="6">
          <cell r="D6" t="str">
            <v>koszt pracownika</v>
          </cell>
          <cell r="T6">
            <v>15</v>
          </cell>
          <cell r="U6">
            <v>0.98</v>
          </cell>
          <cell r="V6">
            <v>0.99</v>
          </cell>
          <cell r="W6">
            <v>1</v>
          </cell>
          <cell r="X6">
            <v>1.01</v>
          </cell>
          <cell r="Y6">
            <v>1.02</v>
          </cell>
          <cell r="Z6">
            <v>1.03</v>
          </cell>
          <cell r="AA6">
            <v>1.04</v>
          </cell>
          <cell r="AB6">
            <v>1.05</v>
          </cell>
          <cell r="AC6">
            <v>1.05</v>
          </cell>
          <cell r="AD6">
            <v>1.06</v>
          </cell>
          <cell r="AE6">
            <v>1.07</v>
          </cell>
          <cell r="AF6">
            <v>1.07</v>
          </cell>
          <cell r="AG6">
            <v>1.08</v>
          </cell>
          <cell r="AH6">
            <v>1.08</v>
          </cell>
          <cell r="AI6">
            <v>1.0900000000000001</v>
          </cell>
          <cell r="AJ6">
            <v>1.0900000000000001</v>
          </cell>
          <cell r="AK6">
            <v>1.0900000000000001</v>
          </cell>
          <cell r="AL6">
            <v>1.0900000000000001</v>
          </cell>
          <cell r="AM6">
            <v>1.1000000000000001</v>
          </cell>
        </row>
        <row r="7">
          <cell r="T7">
            <v>20</v>
          </cell>
          <cell r="U7">
            <v>0.97</v>
          </cell>
          <cell r="V7">
            <v>0.98</v>
          </cell>
          <cell r="W7">
            <v>1</v>
          </cell>
          <cell r="X7">
            <v>1.01</v>
          </cell>
          <cell r="Y7">
            <v>1.02</v>
          </cell>
          <cell r="Z7">
            <v>1.03</v>
          </cell>
          <cell r="AA7">
            <v>1.04</v>
          </cell>
          <cell r="AB7">
            <v>1.05</v>
          </cell>
          <cell r="AC7">
            <v>1.06</v>
          </cell>
          <cell r="AD7">
            <v>1.07</v>
          </cell>
          <cell r="AE7">
            <v>1.08</v>
          </cell>
          <cell r="AF7">
            <v>1.0900000000000001</v>
          </cell>
          <cell r="AG7">
            <v>1.0900000000000001</v>
          </cell>
          <cell r="AH7">
            <v>1.1000000000000001</v>
          </cell>
          <cell r="AI7">
            <v>1.1000000000000001</v>
          </cell>
          <cell r="AJ7">
            <v>1.1100000000000001</v>
          </cell>
          <cell r="AK7">
            <v>1.1100000000000001</v>
          </cell>
          <cell r="AL7">
            <v>1.1100000000000001</v>
          </cell>
          <cell r="AM7">
            <v>1.1100000000000001</v>
          </cell>
        </row>
        <row r="8">
          <cell r="T8">
            <v>25</v>
          </cell>
          <cell r="U8">
            <v>0.96</v>
          </cell>
          <cell r="V8">
            <v>0.97</v>
          </cell>
          <cell r="W8">
            <v>0.99</v>
          </cell>
          <cell r="X8">
            <v>1</v>
          </cell>
          <cell r="Y8">
            <v>1.02</v>
          </cell>
          <cell r="Z8">
            <v>1.03</v>
          </cell>
          <cell r="AA8">
            <v>1.05</v>
          </cell>
          <cell r="AB8">
            <v>1.06</v>
          </cell>
          <cell r="AC8">
            <v>1.07</v>
          </cell>
          <cell r="AD8">
            <v>1.08</v>
          </cell>
          <cell r="AE8">
            <v>1.0900000000000001</v>
          </cell>
          <cell r="AF8">
            <v>1.1000000000000001</v>
          </cell>
          <cell r="AG8">
            <v>1.1000000000000001</v>
          </cell>
          <cell r="AH8">
            <v>1.1100000000000001</v>
          </cell>
          <cell r="AI8">
            <v>1.1200000000000001</v>
          </cell>
          <cell r="AJ8">
            <v>1.1200000000000001</v>
          </cell>
          <cell r="AK8">
            <v>1.1200000000000001</v>
          </cell>
          <cell r="AL8">
            <v>1.1200000000000001</v>
          </cell>
          <cell r="AM8">
            <v>1.1200000000000001</v>
          </cell>
        </row>
        <row r="9">
          <cell r="T9">
            <v>30</v>
          </cell>
          <cell r="U9">
            <v>0.94</v>
          </cell>
          <cell r="V9">
            <v>0.96</v>
          </cell>
          <cell r="W9">
            <v>0.98</v>
          </cell>
          <cell r="X9">
            <v>1</v>
          </cell>
          <cell r="Y9">
            <v>1.01</v>
          </cell>
          <cell r="Z9">
            <v>1.03</v>
          </cell>
          <cell r="AA9">
            <v>1.04</v>
          </cell>
          <cell r="AB9">
            <v>1.06</v>
          </cell>
          <cell r="AC9">
            <v>1.07</v>
          </cell>
          <cell r="AD9">
            <v>1.08</v>
          </cell>
          <cell r="AE9">
            <v>1.0900000000000001</v>
          </cell>
          <cell r="AF9">
            <v>1.1000000000000001</v>
          </cell>
          <cell r="AG9">
            <v>1.1100000000000001</v>
          </cell>
          <cell r="AH9">
            <v>1.1200000000000001</v>
          </cell>
          <cell r="AI9">
            <v>1.1200000000000001</v>
          </cell>
          <cell r="AJ9">
            <v>1.1299999999999999</v>
          </cell>
          <cell r="AK9">
            <v>1.1299999999999999</v>
          </cell>
          <cell r="AL9">
            <v>1.1299999999999999</v>
          </cell>
          <cell r="AM9">
            <v>1.1399999999999999</v>
          </cell>
        </row>
        <row r="10">
          <cell r="T10">
            <v>35</v>
          </cell>
          <cell r="U10">
            <v>0.93</v>
          </cell>
          <cell r="V10">
            <v>0.95</v>
          </cell>
          <cell r="W10">
            <v>0.97</v>
          </cell>
          <cell r="X10">
            <v>0.99</v>
          </cell>
          <cell r="Y10">
            <v>1</v>
          </cell>
          <cell r="Z10">
            <v>1.02</v>
          </cell>
          <cell r="AA10">
            <v>1.04</v>
          </cell>
          <cell r="AB10">
            <v>1.05</v>
          </cell>
          <cell r="AC10">
            <v>1.07</v>
          </cell>
          <cell r="AD10">
            <v>1.08</v>
          </cell>
          <cell r="AE10">
            <v>1.0900000000000001</v>
          </cell>
          <cell r="AF10">
            <v>1.1000000000000001</v>
          </cell>
          <cell r="AG10">
            <v>1.1100000000000001</v>
          </cell>
          <cell r="AH10">
            <v>1.1200000000000001</v>
          </cell>
          <cell r="AI10">
            <v>1.1200000000000001</v>
          </cell>
          <cell r="AJ10">
            <v>1.1299999999999999</v>
          </cell>
          <cell r="AK10">
            <v>1.1299999999999999</v>
          </cell>
          <cell r="AL10">
            <v>1.1399999999999999</v>
          </cell>
          <cell r="AM10">
            <v>1.1499999999999999</v>
          </cell>
        </row>
        <row r="11">
          <cell r="T11">
            <v>40</v>
          </cell>
          <cell r="U11">
            <v>0.91</v>
          </cell>
          <cell r="V11">
            <v>0.93</v>
          </cell>
          <cell r="W11">
            <v>0.95</v>
          </cell>
          <cell r="X11">
            <v>0.97</v>
          </cell>
          <cell r="Y11">
            <v>0.99</v>
          </cell>
          <cell r="Z11">
            <v>1.01</v>
          </cell>
          <cell r="AA11">
            <v>1.03</v>
          </cell>
          <cell r="AB11">
            <v>1.04</v>
          </cell>
          <cell r="AC11">
            <v>1.06</v>
          </cell>
          <cell r="AD11">
            <v>1.07</v>
          </cell>
          <cell r="AE11">
            <v>1.0900000000000001</v>
          </cell>
          <cell r="AF11">
            <v>1.1000000000000001</v>
          </cell>
          <cell r="AG11">
            <v>1.1000000000000001</v>
          </cell>
          <cell r="AH11">
            <v>1.1100000000000001</v>
          </cell>
          <cell r="AI11">
            <v>1.1200000000000001</v>
          </cell>
          <cell r="AJ11">
            <v>1.1200000000000001</v>
          </cell>
          <cell r="AK11">
            <v>1.1299999999999999</v>
          </cell>
          <cell r="AL11">
            <v>1.1299999999999999</v>
          </cell>
          <cell r="AM11">
            <v>1.1399999999999999</v>
          </cell>
        </row>
        <row r="12">
          <cell r="T12">
            <v>45</v>
          </cell>
          <cell r="U12">
            <v>0.88</v>
          </cell>
          <cell r="V12">
            <v>0.91</v>
          </cell>
          <cell r="W12">
            <v>0.93</v>
          </cell>
          <cell r="X12">
            <v>0.96</v>
          </cell>
          <cell r="Y12">
            <v>0.98</v>
          </cell>
          <cell r="Z12">
            <v>1</v>
          </cell>
          <cell r="AA12">
            <v>1.01</v>
          </cell>
          <cell r="AB12">
            <v>1.03</v>
          </cell>
          <cell r="AC12">
            <v>1.05</v>
          </cell>
          <cell r="AD12">
            <v>1.06</v>
          </cell>
          <cell r="AE12">
            <v>1.07</v>
          </cell>
          <cell r="AF12">
            <v>1.0900000000000001</v>
          </cell>
          <cell r="AG12">
            <v>1.1000000000000001</v>
          </cell>
          <cell r="AH12">
            <v>1.1000000000000001</v>
          </cell>
          <cell r="AI12">
            <v>1.1100000000000001</v>
          </cell>
          <cell r="AJ12">
            <v>1.1100000000000001</v>
          </cell>
          <cell r="AK12">
            <v>1.1200000000000001</v>
          </cell>
          <cell r="AL12">
            <v>1.1200000000000001</v>
          </cell>
          <cell r="AM12">
            <v>1.1200000000000001</v>
          </cell>
        </row>
        <row r="13">
          <cell r="T13">
            <v>50</v>
          </cell>
          <cell r="U13">
            <v>0.87</v>
          </cell>
          <cell r="V13">
            <v>0.89</v>
          </cell>
          <cell r="W13">
            <v>0.92</v>
          </cell>
          <cell r="X13">
            <v>0.94</v>
          </cell>
          <cell r="Y13">
            <v>0.96</v>
          </cell>
          <cell r="Z13">
            <v>0.98</v>
          </cell>
          <cell r="AA13">
            <v>1</v>
          </cell>
          <cell r="AB13">
            <v>1.01</v>
          </cell>
          <cell r="AC13">
            <v>1.03</v>
          </cell>
          <cell r="AD13">
            <v>1.04</v>
          </cell>
          <cell r="AE13">
            <v>1.06</v>
          </cell>
          <cell r="AF13">
            <v>1.07</v>
          </cell>
          <cell r="AG13">
            <v>1.08</v>
          </cell>
          <cell r="AH13">
            <v>1.0900000000000001</v>
          </cell>
          <cell r="AI13">
            <v>1.0900000000000001</v>
          </cell>
          <cell r="AJ13">
            <v>1.1000000000000001</v>
          </cell>
          <cell r="AK13">
            <v>1.1000000000000001</v>
          </cell>
          <cell r="AL13">
            <v>1.1000000000000001</v>
          </cell>
          <cell r="AM13">
            <v>1.1100000000000001</v>
          </cell>
        </row>
        <row r="14">
          <cell r="T14">
            <v>55</v>
          </cell>
          <cell r="U14">
            <v>0.85</v>
          </cell>
          <cell r="V14">
            <v>0.87</v>
          </cell>
          <cell r="W14">
            <v>0.89</v>
          </cell>
          <cell r="X14">
            <v>0.92</v>
          </cell>
          <cell r="Y14">
            <v>0.94</v>
          </cell>
          <cell r="Z14">
            <v>0.96</v>
          </cell>
          <cell r="AA14">
            <v>0.97</v>
          </cell>
          <cell r="AB14">
            <v>0.99</v>
          </cell>
          <cell r="AC14">
            <v>1.01</v>
          </cell>
          <cell r="AD14">
            <v>1.02</v>
          </cell>
          <cell r="AE14">
            <v>1.04</v>
          </cell>
          <cell r="AF14">
            <v>1.05</v>
          </cell>
          <cell r="AG14">
            <v>1.06</v>
          </cell>
          <cell r="AH14">
            <v>1.07</v>
          </cell>
          <cell r="AI14">
            <v>1.07</v>
          </cell>
          <cell r="AJ14">
            <v>1.08</v>
          </cell>
          <cell r="AK14">
            <v>1.08</v>
          </cell>
          <cell r="AL14">
            <v>1.08</v>
          </cell>
          <cell r="AM14">
            <v>1.08</v>
          </cell>
        </row>
        <row r="15">
          <cell r="T15">
            <v>60</v>
          </cell>
          <cell r="U15">
            <v>0.82</v>
          </cell>
          <cell r="V15">
            <v>0.85</v>
          </cell>
          <cell r="W15">
            <v>0.87</v>
          </cell>
          <cell r="X15">
            <v>0.89</v>
          </cell>
          <cell r="Y15">
            <v>0.91</v>
          </cell>
          <cell r="Z15">
            <v>0.93</v>
          </cell>
          <cell r="AA15">
            <v>0.95</v>
          </cell>
          <cell r="AB15">
            <v>1</v>
          </cell>
          <cell r="AC15">
            <v>0.98</v>
          </cell>
          <cell r="AD15">
            <v>1</v>
          </cell>
          <cell r="AE15">
            <v>1.01</v>
          </cell>
          <cell r="AF15">
            <v>1.02</v>
          </cell>
          <cell r="AG15">
            <v>1.03</v>
          </cell>
          <cell r="AH15">
            <v>1.04</v>
          </cell>
          <cell r="AI15">
            <v>1.05</v>
          </cell>
          <cell r="AJ15">
            <v>1.05</v>
          </cell>
          <cell r="AK15">
            <v>1.05</v>
          </cell>
          <cell r="AL15">
            <v>1.06</v>
          </cell>
          <cell r="AM15">
            <v>1.06</v>
          </cell>
        </row>
        <row r="16">
          <cell r="T16">
            <v>65</v>
          </cell>
          <cell r="U16">
            <v>0.8</v>
          </cell>
          <cell r="V16">
            <v>0.82</v>
          </cell>
          <cell r="W16">
            <v>0.84</v>
          </cell>
          <cell r="X16">
            <v>0.86</v>
          </cell>
          <cell r="Y16">
            <v>0.88</v>
          </cell>
          <cell r="Z16">
            <v>0.9</v>
          </cell>
          <cell r="AA16">
            <v>0.92</v>
          </cell>
          <cell r="AB16">
            <v>0.94</v>
          </cell>
          <cell r="AC16">
            <v>0.95</v>
          </cell>
          <cell r="AD16">
            <v>0.97</v>
          </cell>
          <cell r="AE16">
            <v>0.98</v>
          </cell>
          <cell r="AF16">
            <v>0.99</v>
          </cell>
          <cell r="AG16">
            <v>1</v>
          </cell>
          <cell r="AH16">
            <v>1.01</v>
          </cell>
          <cell r="AI16">
            <v>1.02</v>
          </cell>
          <cell r="AJ16">
            <v>1.02</v>
          </cell>
          <cell r="AK16">
            <v>1.02</v>
          </cell>
          <cell r="AL16">
            <v>1.02</v>
          </cell>
          <cell r="AM16">
            <v>1.02</v>
          </cell>
        </row>
        <row r="17">
          <cell r="I17" t="str">
            <v>Skrzynka przepięciowa 2 łańcuchy DC 1000V</v>
          </cell>
          <cell r="T17">
            <v>70</v>
          </cell>
          <cell r="U17">
            <v>0.77</v>
          </cell>
          <cell r="V17">
            <v>0.79</v>
          </cell>
          <cell r="W17">
            <v>0.81</v>
          </cell>
          <cell r="X17">
            <v>0.83</v>
          </cell>
          <cell r="Y17">
            <v>0.85</v>
          </cell>
          <cell r="Z17">
            <v>0.87</v>
          </cell>
          <cell r="AA17">
            <v>0.89</v>
          </cell>
          <cell r="AB17">
            <v>0.91</v>
          </cell>
          <cell r="AC17">
            <v>0.92</v>
          </cell>
          <cell r="AD17">
            <v>0.93</v>
          </cell>
          <cell r="AE17">
            <v>0.95</v>
          </cell>
          <cell r="AF17">
            <v>0.96</v>
          </cell>
          <cell r="AG17">
            <v>0.97</v>
          </cell>
          <cell r="AH17">
            <v>0.97</v>
          </cell>
          <cell r="AI17">
            <v>0.98</v>
          </cell>
          <cell r="AJ17">
            <v>0.98</v>
          </cell>
          <cell r="AK17">
            <v>0.99</v>
          </cell>
          <cell r="AL17">
            <v>0.99</v>
          </cell>
          <cell r="AM17">
            <v>0.99</v>
          </cell>
        </row>
        <row r="18">
          <cell r="I18" t="str">
            <v>Skrzynka przepięciowa 1 łańcuch DC 1000V</v>
          </cell>
          <cell r="T18">
            <v>75</v>
          </cell>
          <cell r="U18">
            <v>0.74</v>
          </cell>
          <cell r="V18">
            <v>0.76</v>
          </cell>
          <cell r="W18">
            <v>0.78</v>
          </cell>
          <cell r="X18">
            <v>0.8</v>
          </cell>
          <cell r="Y18">
            <v>0.82</v>
          </cell>
          <cell r="Z18">
            <v>0.84</v>
          </cell>
          <cell r="AA18">
            <v>0.86</v>
          </cell>
          <cell r="AB18">
            <v>0.87</v>
          </cell>
          <cell r="AC18">
            <v>0.89</v>
          </cell>
          <cell r="AD18">
            <v>0.9</v>
          </cell>
          <cell r="AE18">
            <v>0.91</v>
          </cell>
          <cell r="AF18">
            <v>0.92</v>
          </cell>
          <cell r="AG18">
            <v>0.93</v>
          </cell>
          <cell r="AH18">
            <v>0.93</v>
          </cell>
          <cell r="AI18">
            <v>0.94</v>
          </cell>
          <cell r="AJ18">
            <v>0.94</v>
          </cell>
          <cell r="AK18">
            <v>0.94</v>
          </cell>
          <cell r="AL18">
            <v>0.95</v>
          </cell>
          <cell r="AM18">
            <v>0.95</v>
          </cell>
        </row>
        <row r="19">
          <cell r="I19" t="str">
            <v>Skrzynka z ogranicznikiem przepięć AC 3-F typu T1+T2</v>
          </cell>
          <cell r="T19">
            <v>80</v>
          </cell>
          <cell r="U19">
            <v>0.71</v>
          </cell>
          <cell r="V19">
            <v>0.73</v>
          </cell>
          <cell r="W19">
            <v>0.75</v>
          </cell>
          <cell r="X19">
            <v>0.77</v>
          </cell>
          <cell r="Y19">
            <v>0.79</v>
          </cell>
          <cell r="Z19">
            <v>0.8</v>
          </cell>
          <cell r="AA19">
            <v>0.82</v>
          </cell>
          <cell r="AB19">
            <v>0.83</v>
          </cell>
          <cell r="AC19">
            <v>0.85</v>
          </cell>
          <cell r="AD19">
            <v>0.86</v>
          </cell>
          <cell r="AE19">
            <v>0.87</v>
          </cell>
          <cell r="AF19">
            <v>0.88</v>
          </cell>
          <cell r="AG19">
            <v>0.89</v>
          </cell>
          <cell r="AH19">
            <v>0.89</v>
          </cell>
          <cell r="AI19">
            <v>0.89</v>
          </cell>
          <cell r="AJ19">
            <v>0.9</v>
          </cell>
          <cell r="AK19">
            <v>0.9</v>
          </cell>
          <cell r="AL19">
            <v>0.9</v>
          </cell>
          <cell r="AM19">
            <v>0.9</v>
          </cell>
        </row>
        <row r="20">
          <cell r="I20" t="str">
            <v>Skrzynka z ogranicznikiem przepięć AC 1-F typu 2</v>
          </cell>
          <cell r="T20">
            <v>85</v>
          </cell>
          <cell r="U20">
            <v>0.67</v>
          </cell>
          <cell r="V20">
            <v>0.69</v>
          </cell>
          <cell r="W20">
            <v>0.71</v>
          </cell>
          <cell r="X20">
            <v>0.73</v>
          </cell>
          <cell r="Y20">
            <v>0.75</v>
          </cell>
          <cell r="Z20">
            <v>0.77</v>
          </cell>
          <cell r="AA20">
            <v>0.78</v>
          </cell>
          <cell r="AB20">
            <v>0.79</v>
          </cell>
          <cell r="AC20">
            <v>0.81</v>
          </cell>
          <cell r="AD20">
            <v>0.82</v>
          </cell>
          <cell r="AE20">
            <v>0.83</v>
          </cell>
          <cell r="AF20">
            <v>0.83</v>
          </cell>
          <cell r="AG20">
            <v>0.84</v>
          </cell>
          <cell r="AH20">
            <v>0.84</v>
          </cell>
          <cell r="AI20">
            <v>0.85</v>
          </cell>
          <cell r="AJ20">
            <v>0.85</v>
          </cell>
          <cell r="AK20">
            <v>0.85</v>
          </cell>
          <cell r="AL20">
            <v>0.85</v>
          </cell>
          <cell r="AM20">
            <v>0.85</v>
          </cell>
        </row>
        <row r="21">
          <cell r="T21">
            <v>90</v>
          </cell>
          <cell r="U21">
            <v>0.64</v>
          </cell>
          <cell r="V21">
            <v>0.66</v>
          </cell>
          <cell r="W21">
            <v>0.68</v>
          </cell>
          <cell r="X21">
            <v>0.69</v>
          </cell>
          <cell r="Y21">
            <v>0.71</v>
          </cell>
          <cell r="Z21">
            <v>0.72</v>
          </cell>
          <cell r="AA21">
            <v>0.74</v>
          </cell>
          <cell r="AB21">
            <v>0.75</v>
          </cell>
          <cell r="AC21">
            <v>0.76</v>
          </cell>
          <cell r="AD21">
            <v>0.77</v>
          </cell>
          <cell r="AE21">
            <v>0.78</v>
          </cell>
          <cell r="AF21">
            <v>0.79</v>
          </cell>
          <cell r="AG21">
            <v>0.97</v>
          </cell>
          <cell r="AH21">
            <v>0.79</v>
          </cell>
          <cell r="AI21">
            <v>0.8</v>
          </cell>
          <cell r="AJ21">
            <v>0.8</v>
          </cell>
          <cell r="AK21">
            <v>0.8</v>
          </cell>
          <cell r="AL21">
            <v>0.8</v>
          </cell>
          <cell r="AM21">
            <v>0.8</v>
          </cell>
        </row>
        <row r="23">
          <cell r="I23" t="str">
            <v>Kolumna1</v>
          </cell>
        </row>
        <row r="24">
          <cell r="I24" t="str">
            <v>Blacha na rąbek</v>
          </cell>
        </row>
        <row r="25">
          <cell r="I25" t="str">
            <v>Blacha trapezowa</v>
          </cell>
        </row>
        <row r="26">
          <cell r="I26" t="str">
            <v>Blachodachówka</v>
          </cell>
        </row>
        <row r="27">
          <cell r="I27" t="str">
            <v>Dach płaski betonowy</v>
          </cell>
        </row>
        <row r="28">
          <cell r="I28" t="str">
            <v>Dach płaski drewniany</v>
          </cell>
        </row>
        <row r="29">
          <cell r="I29" t="str">
            <v>Dach skośny papa/gont</v>
          </cell>
        </row>
        <row r="30">
          <cell r="I30" t="str">
            <v>Dachówka</v>
          </cell>
        </row>
        <row r="31">
          <cell r="I31" t="str">
            <v>Konstrukcja balastowa</v>
          </cell>
        </row>
        <row r="32">
          <cell r="I32" t="str">
            <v>Konstrukcja naziemna</v>
          </cell>
        </row>
        <row r="35">
          <cell r="I35" t="str">
            <v>Kolumna1</v>
          </cell>
        </row>
        <row r="36">
          <cell r="I36" t="str">
            <v>Rozłącznik ppoż FoxESS 2-stringi</v>
          </cell>
        </row>
        <row r="37">
          <cell r="I37" t="str">
            <v>Rozłącznik ppoż PROJOY 2-stringi</v>
          </cell>
        </row>
        <row r="55">
          <cell r="I55" t="str">
            <v>Optymalizator Solaredge P505</v>
          </cell>
        </row>
        <row r="57">
          <cell r="I57" t="str">
            <v>Optymalizator Solaredge P601</v>
          </cell>
        </row>
        <row r="58">
          <cell r="I58" t="str">
            <v>Optymalizator Solaredge P850</v>
          </cell>
        </row>
        <row r="59">
          <cell r="I59" t="str">
            <v>Optymalizator Solaredge P950</v>
          </cell>
        </row>
        <row r="60">
          <cell r="I60" t="str">
            <v>Optymalizator Solaredge P1100</v>
          </cell>
        </row>
        <row r="61">
          <cell r="I61" t="str">
            <v>Optymializator TIGO TS4-A-O</v>
          </cell>
        </row>
        <row r="62">
          <cell r="I62" t="str">
            <v>Uzgodnienia ppoż instalacja powyżej 6.5kWp</v>
          </cell>
        </row>
        <row r="63">
          <cell r="I63" t="str">
            <v>Licznik energii 1F</v>
          </cell>
        </row>
        <row r="64">
          <cell r="I64" t="str">
            <v>Licznik energii 3F</v>
          </cell>
        </row>
        <row r="67">
          <cell r="I67" t="str">
            <v>-------</v>
          </cell>
        </row>
      </sheetData>
      <sheetData sheetId="4">
        <row r="2">
          <cell r="H2">
            <v>516</v>
          </cell>
          <cell r="N2" t="str">
            <v>Tak</v>
          </cell>
        </row>
        <row r="3">
          <cell r="H3">
            <v>4716</v>
          </cell>
        </row>
        <row r="4">
          <cell r="H4">
            <v>13.44</v>
          </cell>
        </row>
        <row r="5">
          <cell r="H5">
            <v>4.2</v>
          </cell>
        </row>
        <row r="6">
          <cell r="H6">
            <v>14.399999999999999</v>
          </cell>
        </row>
        <row r="7">
          <cell r="H7">
            <v>600</v>
          </cell>
        </row>
        <row r="8">
          <cell r="H8">
            <v>912</v>
          </cell>
        </row>
        <row r="9">
          <cell r="H9">
            <v>148.79999999999998</v>
          </cell>
        </row>
        <row r="10">
          <cell r="H10">
            <v>600</v>
          </cell>
        </row>
        <row r="11">
          <cell r="H11">
            <v>900</v>
          </cell>
        </row>
        <row r="12">
          <cell r="H12" t="e">
            <v>#N/A</v>
          </cell>
        </row>
        <row r="13">
          <cell r="H13" t="e">
            <v>#N/A</v>
          </cell>
        </row>
        <row r="14">
          <cell r="H14" t="e">
            <v>#N/A</v>
          </cell>
        </row>
        <row r="15">
          <cell r="H15">
            <v>816</v>
          </cell>
        </row>
        <row r="16">
          <cell r="H16">
            <v>12</v>
          </cell>
        </row>
        <row r="21">
          <cell r="N21" t="str">
            <v>Nie</v>
          </cell>
        </row>
        <row r="24">
          <cell r="D24">
            <v>-4852.1027410509632</v>
          </cell>
        </row>
        <row r="36">
          <cell r="N36" t="str">
            <v>TAK1</v>
          </cell>
        </row>
      </sheetData>
      <sheetData sheetId="5">
        <row r="4">
          <cell r="L4">
            <v>0</v>
          </cell>
        </row>
        <row r="5">
          <cell r="L5">
            <v>0</v>
          </cell>
        </row>
        <row r="6">
          <cell r="L6">
            <v>75.599999999999994</v>
          </cell>
        </row>
        <row r="7">
          <cell r="L7">
            <v>14.399999999999999</v>
          </cell>
        </row>
        <row r="8">
          <cell r="L8">
            <v>4.2</v>
          </cell>
        </row>
        <row r="9">
          <cell r="L9">
            <v>600</v>
          </cell>
        </row>
        <row r="10">
          <cell r="L10">
            <v>912</v>
          </cell>
        </row>
        <row r="11">
          <cell r="L11">
            <v>900</v>
          </cell>
        </row>
        <row r="12">
          <cell r="L12">
            <v>13.44</v>
          </cell>
        </row>
        <row r="13">
          <cell r="L13">
            <v>0</v>
          </cell>
        </row>
        <row r="14">
          <cell r="L14">
            <v>0</v>
          </cell>
        </row>
        <row r="15">
          <cell r="L15">
            <v>0</v>
          </cell>
        </row>
        <row r="16">
          <cell r="L16">
            <v>0</v>
          </cell>
        </row>
        <row r="17">
          <cell r="L17">
            <v>0</v>
          </cell>
        </row>
        <row r="18">
          <cell r="L18">
            <v>600</v>
          </cell>
        </row>
        <row r="19">
          <cell r="L19">
            <v>816</v>
          </cell>
        </row>
        <row r="20">
          <cell r="L20">
            <v>12</v>
          </cell>
        </row>
      </sheetData>
      <sheetData sheetId="6"/>
      <sheetData sheetId="7">
        <row r="1">
          <cell r="C1">
            <v>-20</v>
          </cell>
          <cell r="D1">
            <v>-17</v>
          </cell>
          <cell r="E1">
            <v>-16</v>
          </cell>
          <cell r="F1">
            <v>-15</v>
          </cell>
          <cell r="G1">
            <v>-14</v>
          </cell>
          <cell r="H1">
            <v>-13</v>
          </cell>
          <cell r="I1">
            <v>-12</v>
          </cell>
          <cell r="J1">
            <v>-11</v>
          </cell>
          <cell r="K1">
            <v>-10</v>
          </cell>
          <cell r="L1">
            <v>-9</v>
          </cell>
          <cell r="M1">
            <v>-8</v>
          </cell>
          <cell r="N1">
            <v>-7</v>
          </cell>
          <cell r="O1">
            <v>-6</v>
          </cell>
          <cell r="P1">
            <v>-5</v>
          </cell>
          <cell r="Q1">
            <v>-4</v>
          </cell>
          <cell r="R1">
            <v>-3</v>
          </cell>
          <cell r="S1">
            <v>-2</v>
          </cell>
          <cell r="T1">
            <v>-1</v>
          </cell>
          <cell r="U1">
            <v>0</v>
          </cell>
          <cell r="V1">
            <v>1</v>
          </cell>
          <cell r="W1">
            <v>2</v>
          </cell>
          <cell r="X1">
            <v>3</v>
          </cell>
          <cell r="Y1">
            <v>4</v>
          </cell>
          <cell r="Z1">
            <v>5</v>
          </cell>
          <cell r="AA1">
            <v>6</v>
          </cell>
          <cell r="AB1">
            <v>7</v>
          </cell>
          <cell r="AC1">
            <v>8</v>
          </cell>
          <cell r="AD1">
            <v>9</v>
          </cell>
          <cell r="AE1">
            <v>10</v>
          </cell>
          <cell r="AF1">
            <v>11</v>
          </cell>
          <cell r="AG1">
            <v>12</v>
          </cell>
          <cell r="AH1">
            <v>13</v>
          </cell>
          <cell r="AI1">
            <v>14</v>
          </cell>
          <cell r="AJ1">
            <v>15</v>
          </cell>
          <cell r="AK1">
            <v>16</v>
          </cell>
          <cell r="AL1">
            <v>17</v>
          </cell>
          <cell r="AM1">
            <v>18</v>
          </cell>
          <cell r="AN1">
            <v>19</v>
          </cell>
          <cell r="AO1">
            <v>20</v>
          </cell>
          <cell r="AP1">
            <v>21</v>
          </cell>
          <cell r="AQ1">
            <v>22</v>
          </cell>
          <cell r="AR1">
            <v>23</v>
          </cell>
          <cell r="AS1">
            <v>24</v>
          </cell>
          <cell r="AT1">
            <v>25</v>
          </cell>
          <cell r="AU1">
            <v>26</v>
          </cell>
          <cell r="AV1">
            <v>27</v>
          </cell>
          <cell r="AW1">
            <v>28</v>
          </cell>
          <cell r="AX1">
            <v>29</v>
          </cell>
          <cell r="AY1">
            <v>30</v>
          </cell>
        </row>
        <row r="2">
          <cell r="B2" t="str">
            <v>Katowice</v>
          </cell>
          <cell r="C2">
            <v>0</v>
          </cell>
          <cell r="D2">
            <v>2</v>
          </cell>
          <cell r="E2">
            <v>1</v>
          </cell>
          <cell r="F2">
            <v>2</v>
          </cell>
          <cell r="G2">
            <v>7</v>
          </cell>
          <cell r="H2">
            <v>8</v>
          </cell>
          <cell r="I2">
            <v>8</v>
          </cell>
          <cell r="J2">
            <v>10</v>
          </cell>
          <cell r="K2">
            <v>37</v>
          </cell>
          <cell r="L2">
            <v>51</v>
          </cell>
          <cell r="M2">
            <v>51</v>
          </cell>
          <cell r="N2">
            <v>59</v>
          </cell>
          <cell r="O2">
            <v>61</v>
          </cell>
          <cell r="P2">
            <v>111</v>
          </cell>
          <cell r="Q2">
            <v>144</v>
          </cell>
          <cell r="R2">
            <v>223</v>
          </cell>
          <cell r="S2">
            <v>210</v>
          </cell>
          <cell r="T2">
            <v>162</v>
          </cell>
          <cell r="U2">
            <v>254</v>
          </cell>
          <cell r="V2">
            <v>159</v>
          </cell>
          <cell r="W2">
            <v>250</v>
          </cell>
          <cell r="X2">
            <v>242</v>
          </cell>
          <cell r="Y2">
            <v>191</v>
          </cell>
          <cell r="Z2">
            <v>183</v>
          </cell>
          <cell r="AA2">
            <v>161</v>
          </cell>
          <cell r="AB2">
            <v>176</v>
          </cell>
          <cell r="AC2">
            <v>166</v>
          </cell>
          <cell r="AD2">
            <v>176</v>
          </cell>
          <cell r="AE2">
            <v>164</v>
          </cell>
          <cell r="AF2">
            <v>193</v>
          </cell>
          <cell r="AG2">
            <v>187</v>
          </cell>
          <cell r="AH2">
            <v>200</v>
          </cell>
          <cell r="AI2">
            <v>217</v>
          </cell>
          <cell r="AJ2">
            <v>250</v>
          </cell>
          <cell r="AK2">
            <v>248</v>
          </cell>
          <cell r="AL2">
            <v>246</v>
          </cell>
          <cell r="AM2">
            <v>190</v>
          </cell>
          <cell r="AN2">
            <v>184</v>
          </cell>
          <cell r="AO2">
            <v>165</v>
          </cell>
          <cell r="AP2">
            <v>123</v>
          </cell>
          <cell r="AQ2">
            <v>109</v>
          </cell>
          <cell r="AR2">
            <v>81</v>
          </cell>
          <cell r="AS2">
            <v>71</v>
          </cell>
          <cell r="AT2">
            <v>40</v>
          </cell>
          <cell r="AU2">
            <v>18</v>
          </cell>
          <cell r="AV2">
            <v>10</v>
          </cell>
          <cell r="AW2">
            <v>20</v>
          </cell>
          <cell r="AX2">
            <v>0</v>
          </cell>
          <cell r="AY2">
            <v>0</v>
          </cell>
        </row>
        <row r="3">
          <cell r="B3" t="str">
            <v>Samsung 12kW</v>
          </cell>
          <cell r="C3">
            <v>8.19</v>
          </cell>
          <cell r="D3">
            <v>8.6760000000000002</v>
          </cell>
          <cell r="E3">
            <v>8.8379999999999992</v>
          </cell>
          <cell r="F3">
            <v>9</v>
          </cell>
          <cell r="G3">
            <v>9.1624999999999996</v>
          </cell>
          <cell r="H3">
            <v>9.3249999999999993</v>
          </cell>
          <cell r="I3">
            <v>9.4875000000000007</v>
          </cell>
          <cell r="J3">
            <v>9.65</v>
          </cell>
          <cell r="K3">
            <v>9.8125</v>
          </cell>
          <cell r="L3">
            <v>9.9750000000000014</v>
          </cell>
          <cell r="M3">
            <v>10.137500000000001</v>
          </cell>
          <cell r="N3">
            <v>10.3</v>
          </cell>
          <cell r="O3">
            <v>10.25</v>
          </cell>
          <cell r="P3">
            <v>10.200000000000001</v>
          </cell>
          <cell r="Q3">
            <v>10.15</v>
          </cell>
          <cell r="R3">
            <v>10.100000000000001</v>
          </cell>
          <cell r="S3">
            <v>10.050000000000001</v>
          </cell>
          <cell r="T3">
            <v>9.9875000000000007</v>
          </cell>
          <cell r="U3">
            <v>9.9250000000000007</v>
          </cell>
          <cell r="V3">
            <v>9.8625000000000007</v>
          </cell>
          <cell r="W3">
            <v>9.8000000000000007</v>
          </cell>
          <cell r="X3">
            <v>10.24</v>
          </cell>
          <cell r="Y3">
            <v>10.68</v>
          </cell>
          <cell r="Z3">
            <v>11.120000000000001</v>
          </cell>
          <cell r="AA3">
            <v>11.56</v>
          </cell>
          <cell r="AB3">
            <v>12</v>
          </cell>
          <cell r="AC3">
            <v>12.116</v>
          </cell>
          <cell r="AD3">
            <v>12.231999999999999</v>
          </cell>
          <cell r="AE3">
            <v>12.348000000000001</v>
          </cell>
          <cell r="AF3">
            <v>12.464</v>
          </cell>
          <cell r="AG3">
            <v>12.58</v>
          </cell>
          <cell r="AH3">
            <v>12.9</v>
          </cell>
          <cell r="AI3">
            <v>13.219999999999999</v>
          </cell>
          <cell r="AJ3">
            <v>13.54</v>
          </cell>
          <cell r="AK3">
            <v>13.731999999999999</v>
          </cell>
          <cell r="AL3">
            <v>13.923999999999999</v>
          </cell>
          <cell r="AM3">
            <v>14.116</v>
          </cell>
          <cell r="AN3">
            <v>14.308</v>
          </cell>
          <cell r="AO3">
            <v>14.5</v>
          </cell>
          <cell r="AP3">
            <v>14.5</v>
          </cell>
          <cell r="AQ3">
            <v>14.5</v>
          </cell>
          <cell r="AR3">
            <v>14.5</v>
          </cell>
          <cell r="AS3">
            <v>14.5</v>
          </cell>
          <cell r="AT3">
            <v>14.5</v>
          </cell>
          <cell r="AU3">
            <v>14.5</v>
          </cell>
          <cell r="AV3">
            <v>14.5</v>
          </cell>
          <cell r="AW3">
            <v>14.5</v>
          </cell>
          <cell r="AX3">
            <v>14.5</v>
          </cell>
          <cell r="AY3">
            <v>14.5</v>
          </cell>
        </row>
        <row r="4">
          <cell r="B4" t="str">
            <v>Grzałka 6kW</v>
          </cell>
          <cell r="C4">
            <v>14.09</v>
          </cell>
          <cell r="D4">
            <v>14.576000000000001</v>
          </cell>
          <cell r="E4">
            <v>14.738</v>
          </cell>
          <cell r="F4">
            <v>14.9</v>
          </cell>
          <cell r="G4">
            <v>15.0625</v>
          </cell>
          <cell r="H4">
            <v>15.225</v>
          </cell>
          <cell r="I4">
            <v>15.387500000000001</v>
          </cell>
          <cell r="J4">
            <v>15.55</v>
          </cell>
          <cell r="K4">
            <v>15.7125</v>
          </cell>
          <cell r="L4">
            <v>15.875000000000002</v>
          </cell>
          <cell r="M4">
            <v>16.037500000000001</v>
          </cell>
          <cell r="N4">
            <v>16.200000000000003</v>
          </cell>
          <cell r="O4">
            <v>16.149999999999999</v>
          </cell>
          <cell r="P4">
            <v>16.100000000000001</v>
          </cell>
          <cell r="Q4">
            <v>16.05</v>
          </cell>
          <cell r="R4">
            <v>16</v>
          </cell>
          <cell r="S4">
            <v>15.950000000000001</v>
          </cell>
          <cell r="T4">
            <v>15.887500000000001</v>
          </cell>
          <cell r="U4">
            <v>15.825000000000001</v>
          </cell>
          <cell r="V4">
            <v>15.762500000000001</v>
          </cell>
          <cell r="W4">
            <v>15.700000000000001</v>
          </cell>
          <cell r="X4">
            <v>16.14</v>
          </cell>
          <cell r="Y4">
            <v>16.579999999999998</v>
          </cell>
          <cell r="Z4">
            <v>17.020000000000003</v>
          </cell>
          <cell r="AA4">
            <v>17.46</v>
          </cell>
          <cell r="AB4">
            <v>17.899999999999999</v>
          </cell>
          <cell r="AC4">
            <v>18.015999999999998</v>
          </cell>
          <cell r="AD4">
            <v>18.131999999999998</v>
          </cell>
          <cell r="AE4">
            <v>18.248000000000001</v>
          </cell>
          <cell r="AF4">
            <v>18.364000000000001</v>
          </cell>
          <cell r="AG4">
            <v>18.48</v>
          </cell>
          <cell r="AH4">
            <v>18.8</v>
          </cell>
          <cell r="AI4">
            <v>19.119999999999997</v>
          </cell>
          <cell r="AJ4">
            <v>19.439999999999998</v>
          </cell>
          <cell r="AK4">
            <v>19.631999999999998</v>
          </cell>
          <cell r="AL4">
            <v>19.823999999999998</v>
          </cell>
          <cell r="AM4">
            <v>20.015999999999998</v>
          </cell>
          <cell r="AN4">
            <v>20.207999999999998</v>
          </cell>
          <cell r="AO4">
            <v>20.399999999999999</v>
          </cell>
          <cell r="AP4">
            <v>20.399999999999999</v>
          </cell>
          <cell r="AQ4">
            <v>20.399999999999999</v>
          </cell>
          <cell r="AR4">
            <v>20.399999999999999</v>
          </cell>
          <cell r="AS4">
            <v>20.399999999999999</v>
          </cell>
          <cell r="AT4">
            <v>20.399999999999999</v>
          </cell>
          <cell r="AU4">
            <v>20.399999999999999</v>
          </cell>
          <cell r="AV4">
            <v>20.399999999999999</v>
          </cell>
          <cell r="AW4">
            <v>20.399999999999999</v>
          </cell>
          <cell r="AX4">
            <v>20.399999999999999</v>
          </cell>
          <cell r="AY4">
            <v>20.399999999999999</v>
          </cell>
        </row>
        <row r="5">
          <cell r="B5" t="str">
            <v xml:space="preserve">grzanie </v>
          </cell>
          <cell r="C5">
            <v>8.5470085470085468</v>
          </cell>
          <cell r="D5">
            <v>8.5470085470085468</v>
          </cell>
          <cell r="E5">
            <v>8.288008288008287</v>
          </cell>
          <cell r="F5">
            <v>8.029008029008029</v>
          </cell>
          <cell r="G5">
            <v>7.7700077700077701</v>
          </cell>
          <cell r="H5">
            <v>7.5110075110075112</v>
          </cell>
          <cell r="I5">
            <v>7.2520072520072523</v>
          </cell>
          <cell r="J5">
            <v>6.9930069930069934</v>
          </cell>
          <cell r="K5">
            <v>6.7340067340067336</v>
          </cell>
          <cell r="L5">
            <v>6.4750064750064755</v>
          </cell>
          <cell r="M5">
            <v>6.2160062160062157</v>
          </cell>
          <cell r="N5">
            <v>5.9570059570059577</v>
          </cell>
          <cell r="O5">
            <v>5.6980056980056979</v>
          </cell>
          <cell r="P5">
            <v>5.439005439005439</v>
          </cell>
          <cell r="Q5">
            <v>5.1800051800051801</v>
          </cell>
          <cell r="R5">
            <v>4.9210049210049212</v>
          </cell>
          <cell r="S5">
            <v>4.6620046620046622</v>
          </cell>
          <cell r="T5">
            <v>4.4030044030044033</v>
          </cell>
          <cell r="U5">
            <v>4.1440041440041444</v>
          </cell>
          <cell r="V5">
            <v>3.8850038850038855</v>
          </cell>
          <cell r="W5">
            <v>3.6260036260036266</v>
          </cell>
          <cell r="X5">
            <v>3.3670033670033677</v>
          </cell>
          <cell r="Y5">
            <v>3.1080031080031087</v>
          </cell>
          <cell r="Z5">
            <v>2.8490028490028498</v>
          </cell>
          <cell r="AA5">
            <v>2.5900025900025909</v>
          </cell>
          <cell r="AB5">
            <v>2.3310023310023311</v>
          </cell>
          <cell r="AC5">
            <v>2.0720020720020722</v>
          </cell>
          <cell r="AD5">
            <v>1.8130018130018133</v>
          </cell>
          <cell r="AE5">
            <v>1.5540015540015544</v>
          </cell>
          <cell r="AF5">
            <v>1.2950012950012955</v>
          </cell>
          <cell r="AG5">
            <v>1.0360010360010365</v>
          </cell>
          <cell r="AH5">
            <v>0.77700077700077763</v>
          </cell>
          <cell r="AI5">
            <v>0.51800051800051961</v>
          </cell>
          <cell r="AJ5">
            <v>0.2590002590002598</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row>
        <row r="6">
          <cell r="B6" t="str">
            <v>chłodzenie</v>
          </cell>
          <cell r="AM6">
            <v>0</v>
          </cell>
          <cell r="AN6">
            <v>0</v>
          </cell>
          <cell r="AO6">
            <v>0</v>
          </cell>
          <cell r="AP6">
            <v>0</v>
          </cell>
          <cell r="AQ6">
            <v>0</v>
          </cell>
          <cell r="AR6">
            <v>0</v>
          </cell>
          <cell r="AS6">
            <v>0</v>
          </cell>
          <cell r="AT6">
            <v>0</v>
          </cell>
          <cell r="AU6">
            <v>0</v>
          </cell>
          <cell r="AV6">
            <v>0</v>
          </cell>
          <cell r="AW6">
            <v>0</v>
          </cell>
          <cell r="AX6">
            <v>0</v>
          </cell>
          <cell r="AY6">
            <v>0</v>
          </cell>
        </row>
        <row r="7">
          <cell r="B7" t="str">
            <v>zużycie pompy</v>
          </cell>
          <cell r="C7">
            <v>4.12</v>
          </cell>
          <cell r="D7">
            <v>4.12</v>
          </cell>
          <cell r="E7">
            <v>4.12</v>
          </cell>
          <cell r="F7">
            <v>4.12</v>
          </cell>
          <cell r="G7">
            <v>4.1059727626459148</v>
          </cell>
          <cell r="H7">
            <v>4.0919455252918286</v>
          </cell>
          <cell r="I7">
            <v>4.0779182879377434</v>
          </cell>
          <cell r="J7">
            <v>4.0638910505836581</v>
          </cell>
          <cell r="K7">
            <v>4.0498638132295728</v>
          </cell>
          <cell r="L7">
            <v>4.0358365758754875</v>
          </cell>
          <cell r="M7">
            <v>4.0218093385214013</v>
          </cell>
          <cell r="N7">
            <v>4.007782101167316</v>
          </cell>
          <cell r="O7">
            <v>3.9062256809338529</v>
          </cell>
          <cell r="P7">
            <v>3.8046692607003898</v>
          </cell>
          <cell r="Q7">
            <v>3.7031128404669262</v>
          </cell>
          <cell r="R7">
            <v>3.6015564202334631</v>
          </cell>
          <cell r="S7">
            <v>3.5</v>
          </cell>
          <cell r="T7">
            <v>3.3719512195121952</v>
          </cell>
          <cell r="U7">
            <v>3.2439024390243905</v>
          </cell>
          <cell r="V7">
            <v>3.1158536585365857</v>
          </cell>
          <cell r="W7">
            <v>2.9878048780487809</v>
          </cell>
          <cell r="X7">
            <v>2.9082439024390245</v>
          </cell>
          <cell r="Y7">
            <v>2.8286829268292686</v>
          </cell>
          <cell r="Z7">
            <v>2.7491219512195122</v>
          </cell>
          <cell r="AA7">
            <v>2.6695609756097562</v>
          </cell>
          <cell r="AB7">
            <v>2.59</v>
          </cell>
          <cell r="AC7">
            <v>2.5939999999999999</v>
          </cell>
          <cell r="AD7">
            <v>2.5979999999999999</v>
          </cell>
          <cell r="AE7">
            <v>2.6019999999999999</v>
          </cell>
          <cell r="AF7">
            <v>2.6059999999999999</v>
          </cell>
          <cell r="AG7">
            <v>2.61</v>
          </cell>
          <cell r="AH7">
            <v>2.62</v>
          </cell>
          <cell r="AI7">
            <v>2.63</v>
          </cell>
          <cell r="AJ7">
            <v>2.64</v>
          </cell>
          <cell r="AK7">
            <v>2.6480000000000001</v>
          </cell>
          <cell r="AL7">
            <v>2.6560000000000001</v>
          </cell>
          <cell r="AM7">
            <v>2.6640000000000001</v>
          </cell>
          <cell r="AN7">
            <v>2.6720000000000002</v>
          </cell>
          <cell r="AO7">
            <v>2.68</v>
          </cell>
          <cell r="AP7">
            <v>2.68</v>
          </cell>
          <cell r="AQ7">
            <v>2.68</v>
          </cell>
          <cell r="AR7">
            <v>2.68</v>
          </cell>
          <cell r="AS7">
            <v>2.68</v>
          </cell>
          <cell r="AT7">
            <v>2.68</v>
          </cell>
          <cell r="AU7">
            <v>2.68</v>
          </cell>
          <cell r="AV7">
            <v>2.68</v>
          </cell>
          <cell r="AW7">
            <v>2.68</v>
          </cell>
          <cell r="AX7">
            <v>2.68</v>
          </cell>
          <cell r="AY7">
            <v>2.68</v>
          </cell>
        </row>
        <row r="51">
          <cell r="C51" t="str">
            <v>Pompa Ciepła</v>
          </cell>
          <cell r="H51">
            <v>0</v>
          </cell>
          <cell r="I51">
            <v>1967.2103015434561</v>
          </cell>
        </row>
        <row r="52">
          <cell r="C52" t="str">
            <v>Drewno</v>
          </cell>
          <cell r="F52">
            <v>12</v>
          </cell>
          <cell r="G52">
            <v>240</v>
          </cell>
          <cell r="H52">
            <v>2820.5128205128203</v>
          </cell>
          <cell r="I52">
            <v>2181.818181818182</v>
          </cell>
        </row>
        <row r="53">
          <cell r="C53" t="str">
            <v>Węgiel</v>
          </cell>
          <cell r="F53">
            <v>20</v>
          </cell>
          <cell r="G53">
            <v>800</v>
          </cell>
          <cell r="H53">
            <v>8.5470085470085468</v>
          </cell>
          <cell r="I53">
            <v>2400</v>
          </cell>
        </row>
        <row r="54">
          <cell r="C54" t="str">
            <v>Pellet</v>
          </cell>
          <cell r="F54">
            <v>19</v>
          </cell>
          <cell r="G54">
            <v>800</v>
          </cell>
          <cell r="H54">
            <v>8.1196581196581192</v>
          </cell>
          <cell r="I54">
            <v>2526.3157894736837</v>
          </cell>
        </row>
        <row r="55">
          <cell r="C55" t="str">
            <v>Olej opałowy</v>
          </cell>
          <cell r="F55">
            <v>43</v>
          </cell>
          <cell r="G55">
            <v>2.9</v>
          </cell>
          <cell r="H55">
            <v>18.376068376068375</v>
          </cell>
          <cell r="I55">
            <v>4046.5116279069771</v>
          </cell>
        </row>
        <row r="56">
          <cell r="C56" t="str">
            <v>Gaz</v>
          </cell>
          <cell r="F56">
            <v>34</v>
          </cell>
          <cell r="G56">
            <v>2.5</v>
          </cell>
          <cell r="H56">
            <v>14.52991452991453</v>
          </cell>
          <cell r="I56">
            <v>4411.7647058823532</v>
          </cell>
        </row>
        <row r="57">
          <cell r="C57" t="str">
            <v>Elektryczność</v>
          </cell>
          <cell r="F57">
            <v>1</v>
          </cell>
          <cell r="G57">
            <v>0.6</v>
          </cell>
          <cell r="H57">
            <v>1.5384615384615385</v>
          </cell>
          <cell r="I57">
            <v>10000</v>
          </cell>
        </row>
      </sheetData>
      <sheetData sheetId="8">
        <row r="20">
          <cell r="N20" t="str">
            <v>Tak</v>
          </cell>
        </row>
        <row r="33">
          <cell r="N33" t="str">
            <v>Nie</v>
          </cell>
        </row>
      </sheetData>
      <sheetData sheetId="9">
        <row r="2">
          <cell r="A2" t="str">
            <v>C.O. jeden obieg</v>
          </cell>
          <cell r="B2">
            <v>1</v>
          </cell>
        </row>
        <row r="18">
          <cell r="A18" t="str">
            <v>C.O. dwa obiegi</v>
          </cell>
          <cell r="B18">
            <v>2</v>
          </cell>
        </row>
        <row r="34">
          <cell r="A34" t="str">
            <v>C.O. dwa obiegi bez bufora+ C.W.U.</v>
          </cell>
          <cell r="B34">
            <v>3</v>
          </cell>
        </row>
        <row r="50">
          <cell r="A50" t="str">
            <v>C.O. jeden obieg + C.W.U.</v>
          </cell>
          <cell r="B50">
            <v>4</v>
          </cell>
        </row>
        <row r="66">
          <cell r="A66" t="str">
            <v>C.O. dwa obiegi + C.W.U.</v>
          </cell>
          <cell r="B66">
            <v>5</v>
          </cell>
        </row>
        <row r="82">
          <cell r="A82" t="str">
            <v>biwalentny 2 układy + CWU</v>
          </cell>
          <cell r="B82">
            <v>6</v>
          </cell>
        </row>
        <row r="98">
          <cell r="A98" t="str">
            <v>biwalentny 1 układy + CWU</v>
          </cell>
          <cell r="B98">
            <v>7</v>
          </cell>
        </row>
        <row r="114">
          <cell r="A114" t="str">
            <v>biwalentny kombinowany + CWU</v>
          </cell>
          <cell r="B114">
            <v>8</v>
          </cell>
        </row>
        <row r="130">
          <cell r="A130" t="str">
            <v>Inny</v>
          </cell>
        </row>
      </sheetData>
      <sheetData sheetId="10"/>
      <sheetData sheetId="11"/>
      <sheetData sheetId="12">
        <row r="2">
          <cell r="E2">
            <v>2</v>
          </cell>
          <cell r="F2">
            <v>1</v>
          </cell>
          <cell r="G2">
            <v>2</v>
          </cell>
          <cell r="H2">
            <v>7</v>
          </cell>
          <cell r="I2">
            <v>8</v>
          </cell>
          <cell r="J2">
            <v>8</v>
          </cell>
          <cell r="K2">
            <v>10</v>
          </cell>
          <cell r="L2">
            <v>37</v>
          </cell>
          <cell r="M2">
            <v>51</v>
          </cell>
          <cell r="N2">
            <v>51</v>
          </cell>
          <cell r="O2">
            <v>59</v>
          </cell>
          <cell r="P2">
            <v>61</v>
          </cell>
          <cell r="Q2">
            <v>111</v>
          </cell>
          <cell r="R2">
            <v>144</v>
          </cell>
          <cell r="S2">
            <v>223</v>
          </cell>
          <cell r="T2">
            <v>210</v>
          </cell>
          <cell r="U2">
            <v>162</v>
          </cell>
          <cell r="V2">
            <v>254</v>
          </cell>
          <cell r="W2">
            <v>159</v>
          </cell>
          <cell r="X2">
            <v>250</v>
          </cell>
          <cell r="Y2">
            <v>242</v>
          </cell>
          <cell r="Z2">
            <v>191</v>
          </cell>
          <cell r="AA2">
            <v>183</v>
          </cell>
          <cell r="AB2">
            <v>161</v>
          </cell>
          <cell r="AC2">
            <v>176</v>
          </cell>
          <cell r="AD2">
            <v>166</v>
          </cell>
          <cell r="AE2">
            <v>176</v>
          </cell>
          <cell r="AF2">
            <v>164</v>
          </cell>
          <cell r="AG2">
            <v>193</v>
          </cell>
          <cell r="AH2">
            <v>187</v>
          </cell>
          <cell r="AI2">
            <v>200</v>
          </cell>
          <cell r="AJ2">
            <v>217</v>
          </cell>
          <cell r="AK2">
            <v>250</v>
          </cell>
          <cell r="AL2">
            <v>248</v>
          </cell>
          <cell r="AM2">
            <v>246</v>
          </cell>
          <cell r="AN2">
            <v>190</v>
          </cell>
          <cell r="AO2">
            <v>184</v>
          </cell>
          <cell r="AP2">
            <v>165</v>
          </cell>
          <cell r="AQ2">
            <v>123</v>
          </cell>
          <cell r="AR2">
            <v>109</v>
          </cell>
          <cell r="AS2">
            <v>81</v>
          </cell>
          <cell r="AT2">
            <v>71</v>
          </cell>
          <cell r="AU2">
            <v>40</v>
          </cell>
          <cell r="AV2">
            <v>18</v>
          </cell>
          <cell r="AW2">
            <v>10</v>
          </cell>
          <cell r="AX2">
            <v>20</v>
          </cell>
          <cell r="AY2">
            <v>0</v>
          </cell>
          <cell r="AZ2">
            <v>0</v>
          </cell>
        </row>
        <row r="3">
          <cell r="E3">
            <v>2</v>
          </cell>
          <cell r="F3">
            <v>1</v>
          </cell>
          <cell r="G3">
            <v>2</v>
          </cell>
          <cell r="H3">
            <v>7</v>
          </cell>
          <cell r="I3">
            <v>8</v>
          </cell>
          <cell r="J3">
            <v>8</v>
          </cell>
          <cell r="K3">
            <v>10</v>
          </cell>
          <cell r="L3">
            <v>37</v>
          </cell>
          <cell r="M3">
            <v>51</v>
          </cell>
          <cell r="N3">
            <v>51</v>
          </cell>
          <cell r="O3">
            <v>59</v>
          </cell>
          <cell r="P3">
            <v>61</v>
          </cell>
          <cell r="Q3">
            <v>111</v>
          </cell>
          <cell r="R3">
            <v>144</v>
          </cell>
          <cell r="S3">
            <v>223</v>
          </cell>
          <cell r="T3">
            <v>210</v>
          </cell>
          <cell r="U3">
            <v>162</v>
          </cell>
          <cell r="V3">
            <v>254</v>
          </cell>
          <cell r="W3">
            <v>159</v>
          </cell>
          <cell r="X3">
            <v>250</v>
          </cell>
          <cell r="Y3">
            <v>242</v>
          </cell>
          <cell r="Z3">
            <v>191</v>
          </cell>
          <cell r="AA3">
            <v>183</v>
          </cell>
          <cell r="AB3">
            <v>161</v>
          </cell>
          <cell r="AC3">
            <v>176</v>
          </cell>
          <cell r="AD3">
            <v>166</v>
          </cell>
          <cell r="AE3">
            <v>176</v>
          </cell>
          <cell r="AF3">
            <v>164</v>
          </cell>
          <cell r="AG3">
            <v>193</v>
          </cell>
          <cell r="AH3">
            <v>187</v>
          </cell>
          <cell r="AI3">
            <v>200</v>
          </cell>
          <cell r="AJ3">
            <v>217</v>
          </cell>
          <cell r="AK3">
            <v>250</v>
          </cell>
          <cell r="AL3">
            <v>248</v>
          </cell>
          <cell r="AM3">
            <v>246</v>
          </cell>
          <cell r="AN3">
            <v>190</v>
          </cell>
          <cell r="AO3">
            <v>184</v>
          </cell>
          <cell r="AP3">
            <v>165</v>
          </cell>
          <cell r="AQ3">
            <v>123</v>
          </cell>
          <cell r="AR3">
            <v>109</v>
          </cell>
          <cell r="AS3">
            <v>81</v>
          </cell>
          <cell r="AT3">
            <v>71</v>
          </cell>
          <cell r="AU3">
            <v>40</v>
          </cell>
          <cell r="AV3">
            <v>18</v>
          </cell>
          <cell r="AW3">
            <v>10</v>
          </cell>
          <cell r="AX3">
            <v>20</v>
          </cell>
          <cell r="AY3">
            <v>0</v>
          </cell>
          <cell r="AZ3">
            <v>0</v>
          </cell>
        </row>
        <row r="4">
          <cell r="E4">
            <v>-17</v>
          </cell>
          <cell r="F4">
            <v>-16</v>
          </cell>
          <cell r="G4">
            <v>-15</v>
          </cell>
          <cell r="H4">
            <v>-14</v>
          </cell>
          <cell r="I4">
            <v>-13</v>
          </cell>
          <cell r="J4">
            <v>-12</v>
          </cell>
          <cell r="K4">
            <v>-11</v>
          </cell>
          <cell r="L4">
            <v>-10</v>
          </cell>
          <cell r="M4">
            <v>-9</v>
          </cell>
          <cell r="N4">
            <v>-8</v>
          </cell>
          <cell r="O4">
            <v>-7</v>
          </cell>
          <cell r="P4">
            <v>-6</v>
          </cell>
          <cell r="Q4">
            <v>-5</v>
          </cell>
          <cell r="R4">
            <v>-4</v>
          </cell>
          <cell r="S4">
            <v>-3</v>
          </cell>
          <cell r="T4">
            <v>-2</v>
          </cell>
          <cell r="U4">
            <v>-1</v>
          </cell>
          <cell r="V4">
            <v>0</v>
          </cell>
          <cell r="W4">
            <v>1</v>
          </cell>
          <cell r="X4">
            <v>2</v>
          </cell>
          <cell r="Y4">
            <v>3</v>
          </cell>
          <cell r="Z4">
            <v>4</v>
          </cell>
          <cell r="AA4">
            <v>5</v>
          </cell>
          <cell r="AB4">
            <v>6</v>
          </cell>
          <cell r="AC4">
            <v>7</v>
          </cell>
          <cell r="AD4">
            <v>8</v>
          </cell>
          <cell r="AE4">
            <v>9</v>
          </cell>
          <cell r="AF4">
            <v>10</v>
          </cell>
          <cell r="AG4">
            <v>11</v>
          </cell>
          <cell r="AH4">
            <v>12</v>
          </cell>
          <cell r="AI4">
            <v>13</v>
          </cell>
          <cell r="AJ4">
            <v>14</v>
          </cell>
          <cell r="AK4">
            <v>15</v>
          </cell>
          <cell r="AL4">
            <v>16</v>
          </cell>
          <cell r="AM4">
            <v>17</v>
          </cell>
          <cell r="AN4">
            <v>18</v>
          </cell>
          <cell r="AO4">
            <v>19</v>
          </cell>
          <cell r="AP4">
            <v>20</v>
          </cell>
          <cell r="AQ4">
            <v>21</v>
          </cell>
          <cell r="AR4">
            <v>22</v>
          </cell>
          <cell r="AS4">
            <v>23</v>
          </cell>
          <cell r="AT4">
            <v>24</v>
          </cell>
          <cell r="AU4">
            <v>25</v>
          </cell>
          <cell r="AV4">
            <v>26</v>
          </cell>
          <cell r="AW4">
            <v>27</v>
          </cell>
          <cell r="AX4">
            <v>28</v>
          </cell>
          <cell r="AY4">
            <v>29</v>
          </cell>
          <cell r="AZ4">
            <v>30</v>
          </cell>
        </row>
      </sheetData>
      <sheetData sheetId="13">
        <row r="15">
          <cell r="M15">
            <v>-20</v>
          </cell>
          <cell r="N15">
            <v>15</v>
          </cell>
        </row>
        <row r="16">
          <cell r="M16">
            <v>19.943019943019944</v>
          </cell>
          <cell r="N16">
            <v>0</v>
          </cell>
        </row>
        <row r="17">
          <cell r="M17">
            <v>10</v>
          </cell>
          <cell r="N17">
            <v>10</v>
          </cell>
        </row>
      </sheetData>
      <sheetData sheetId="14"/>
      <sheetData sheetId="15"/>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7" xr16:uid="{DAB7724F-BD1A-4013-B18E-3FFCD5EEAAAD}" autoFormatId="16" applyNumberFormats="0" applyBorderFormats="0" applyFontFormats="0" applyPatternFormats="0" applyAlignmentFormats="0" applyWidthHeightFormats="0">
  <queryTableRefresh nextId="3">
    <queryTableFields count="2">
      <queryTableField id="1" name="Indeks" tableColumnId="3"/>
      <queryTableField id="2" name="Nazwa"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neZewnętrzne_2" connectionId="12" xr16:uid="{37194412-740C-41A4-B273-F65E4403933C}" autoFormatId="16" applyNumberFormats="0" applyBorderFormats="0" applyFontFormats="0" applyPatternFormats="0" applyAlignmentFormats="0" applyWidthHeightFormats="0">
  <queryTableRefresh nextId="2">
    <queryTableFields count="1">
      <queryTableField id="1" name="Panel_Nazwa"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neZewnętrzne_3" connectionId="10" xr16:uid="{DA8551DC-C310-4573-8A1B-05DBA7716E6A}" autoFormatId="16" applyNumberFormats="0" applyBorderFormats="0" applyFontFormats="0" applyPatternFormats="0" applyAlignmentFormats="0" applyWidthHeightFormats="0">
  <queryTableRefresh nextId="2">
    <queryTableFields count="1">
      <queryTableField id="1" name="konstrukcja"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neZewnętrzne_4" connectionId="8" xr16:uid="{0864728E-04AB-41F4-B05C-3983704D5F7F}" autoFormatId="16" applyNumberFormats="0" applyBorderFormats="0" applyFontFormats="0" applyPatternFormats="0" applyAlignmentFormats="0" applyWidthHeightFormats="0">
  <queryTableRefresh nextId="2">
    <queryTableFields count="1">
      <queryTableField id="1" name="Przewody"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neZewnętrzne_5" connectionId="13" xr16:uid="{A33ED5DA-3117-4EA9-8755-13EDB496569C}" autoFormatId="16" applyNumberFormats="0" applyBorderFormats="0" applyFontFormats="0" applyPatternFormats="0" applyAlignmentFormats="0" applyWidthHeightFormats="0">
  <queryTableRefresh nextId="2">
    <queryTableFields count="1">
      <queryTableField id="1" name="Skrzynka"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neZewnętrzne_6" connectionId="6" xr16:uid="{8693F4D9-9F37-4CEA-849B-615D129B8ED6}" autoFormatId="16" applyNumberFormats="0" applyBorderFormats="0" applyFontFormats="0" applyPatternFormats="0" applyAlignmentFormats="0" applyWidthHeightFormats="0">
  <queryTableRefresh nextId="3">
    <queryTableFields count="1">
      <queryTableField id="2" name="inn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neZewnętrzne_7" connectionId="14" xr16:uid="{C86D17BD-9EC6-4FAC-B2C0-EBCE634010A0}" autoFormatId="16" applyNumberFormats="0" applyBorderFormats="0" applyFontFormats="0" applyPatternFormats="0" applyAlignmentFormats="0" applyWidthHeightFormats="0">
  <queryTableRefresh nextId="2">
    <queryTableFields count="1">
      <queryTableField id="1" name="inne2" tableColumnId="2"/>
    </queryTableFields>
  </queryTableRefresh>
</queryTable>
</file>

<file path=xl/tables/_rels/table1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FCAFE2E-5E8A-4BE6-A875-509E4C2C581E}" name="Tabela13" displayName="Tabela13" ref="AE3:AH7" totalsRowShown="0" headerRowDxfId="107" dataDxfId="105" headerRowBorderDxfId="106" tableBorderDxfId="104" totalsRowBorderDxfId="103">
  <autoFilter ref="AE3:AH7" xr:uid="{AFCAFE2E-5E8A-4BE6-A875-509E4C2C581E}"/>
  <tableColumns count="4">
    <tableColumn id="1" xr3:uid="{B8A84C80-330D-402C-8EE8-0691D771EB88}" name="Nazwa" dataDxfId="102"/>
    <tableColumn id="2" xr3:uid="{6404E89A-AB9F-46C1-9BF7-314AA9B0D34F}" name="NIP" dataDxfId="101"/>
    <tableColumn id="3" xr3:uid="{5ACA9F2C-5325-40BE-B798-07852E864DA4}" name="Adres" dataDxfId="100"/>
    <tableColumn id="4" xr3:uid="{004D71D1-776A-4ABE-9028-D4B2F473D21A}" name="Adres cd." dataDxfId="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DBE26C2-284A-49D1-B351-6D0093D15D47}" name="Tabela17" displayName="Tabela17" ref="AE10:AG16" totalsRowShown="0" headerRowDxfId="98" dataDxfId="97">
  <autoFilter ref="AE10:AG16" xr:uid="{DDBE26C2-284A-49D1-B351-6D0093D15D47}"/>
  <tableColumns count="3">
    <tableColumn id="1" xr3:uid="{3964699F-15B1-4BA5-AD27-4C249A42092D}" name="Imię i nazwisko" dataDxfId="96"/>
    <tableColumn id="2" xr3:uid="{E0AC687F-D1F5-468B-B5C4-A5ED688D6A07}" name="numer telefonu" dataDxfId="95"/>
    <tableColumn id="3" xr3:uid="{C248E2C0-54E8-4342-A74D-5E6F34C6AD93}" name="adres email" dataDxfId="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9F71B0E-346E-44E5-901C-CAB43929FCE8}" name="Tabela22" displayName="Tabela22" ref="AE19:AF21" totalsRowShown="0" headerRowDxfId="93" dataDxfId="92">
  <autoFilter ref="AE19:AF21" xr:uid="{C9F71B0E-346E-44E5-901C-CAB43929FCE8}"/>
  <tableColumns count="2">
    <tableColumn id="1" xr3:uid="{9A79E834-B531-41C2-A516-BF9567924FFC}" name="Inwestor" dataDxfId="91"/>
    <tableColumn id="2" xr3:uid="{9C77A098-11AD-4D33-9422-F074152DD823}" name="Stawka VAT" dataDxfId="9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43CCC66-9CC7-40AC-86DB-3302018C4F2A}" name="Tabela23" displayName="Tabela23" ref="AE23:AF25" totalsRowShown="0" headerRowDxfId="89" dataDxfId="88">
  <autoFilter ref="AE23:AF25" xr:uid="{543CCC66-9CC7-40AC-86DB-3302018C4F2A}"/>
  <tableColumns count="2">
    <tableColumn id="1" xr3:uid="{F1BC5C20-612D-48FE-B565-E9D78E1D7F5F}" name="Rodzaj sieci" dataDxfId="87"/>
    <tableColumn id="2" xr3:uid="{4D9278C7-D8D5-4C89-9163-785916DD3AF4}" name="Kolumna1" dataDxfId="86"/>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15E404E9-B8BE-460B-B188-F13A7C1C019A}" name="Tabela25" displayName="Tabela25" ref="AJ3:AK16" totalsRowShown="0" headerRowDxfId="85" dataDxfId="84">
  <autoFilter ref="AJ3:AK16" xr:uid="{15E404E9-B8BE-460B-B188-F13A7C1C019A}"/>
  <tableColumns count="2">
    <tableColumn id="1" xr3:uid="{BBB15D08-ED93-45B1-B1D0-D05E0458533A}" name="Konstrukcja " dataDxfId="83"/>
    <tableColumn id="2" xr3:uid="{012353A9-015E-4FBD-837A-E9DF1523EDC1}" name="Magazyn energii" dataDxfId="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91AFE173-E35A-4ADA-A8C3-6EF4FE4D1443}" name="Tabela27" displayName="Tabela27" ref="AE27:AF30" totalsRowShown="0" headerRowDxfId="81" dataDxfId="80">
  <autoFilter ref="AE27:AF30" xr:uid="{91AFE173-E35A-4ADA-A8C3-6EF4FE4D1443}"/>
  <tableColumns count="2">
    <tableColumn id="1" xr3:uid="{E7A0F4F6-D321-479F-BB47-CDB5CBDAFE42}" name="Rodzaj instalacji fotowoltaicznej" dataDxfId="79"/>
    <tableColumn id="2" xr3:uid="{9A0BBC50-3C45-4FDA-BA96-7E861A29D2E8}" name="autokonsumpcja" dataDxfId="7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581E39F-61F3-438C-8B66-41818B444B28}" name="Tabela28" displayName="Tabela28" ref="AH20:AH22" totalsRowShown="0" headerRowDxfId="77" dataDxfId="76">
  <autoFilter ref="AH20:AH22" xr:uid="{B581E39F-61F3-438C-8B66-41818B444B28}"/>
  <tableColumns count="1">
    <tableColumn id="1" xr3:uid="{17944585-61A7-434B-83C4-90835E789981}" name="Kolumna1" dataDxfId="7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5EE657F-278E-4749-977E-8B84F120E249}" name="Tabela30" displayName="Tabela30" ref="AL3:AL24" totalsRowShown="0" headerRowDxfId="74" dataDxfId="73">
  <autoFilter ref="AL3:AL24" xr:uid="{F5EE657F-278E-4749-977E-8B84F120E249}"/>
  <tableColumns count="1">
    <tableColumn id="1" xr3:uid="{1919E6B5-AC44-4425-ACF0-A2825AAE623A}" name="Elementy dodatkowe" dataDxfId="7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ABB696-49F1-46F2-A587-0F9978818F3C}" name="Tabela24" displayName="Tabela24" ref="AJ24:AK31" totalsRowShown="0">
  <autoFilter ref="AJ24:AK31" xr:uid="{74ABB696-49F1-46F2-A587-0F9978818F3C}"/>
  <tableColumns count="2">
    <tableColumn id="1" xr3:uid="{4C014A0D-1AE8-4A5B-BBBE-15096D9A27F1}" name="Dofinansowania" dataDxfId="71"/>
    <tableColumn id="2" xr3:uid="{08465F44-7A4D-4929-99F1-05F17E750A42}" name="stawka" dataDxfId="7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BA842B0-2444-4DCE-93AD-CFB7EA50CC24}" name="Tabela29" displayName="Tabela29" ref="AJ33:AJ36" totalsRowShown="0" headerRowDxfId="69" dataDxfId="67" headerRowBorderDxfId="68" tableBorderDxfId="66">
  <autoFilter ref="AJ33:AJ36" xr:uid="{BBA842B0-2444-4DCE-93AD-CFB7EA50CC24}"/>
  <tableColumns count="1">
    <tableColumn id="1" xr3:uid="{CE64B47B-8623-4535-8EEE-09E2F4F5480B}" name="Ulga termomodernizacyjna" dataDxfId="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F0F796-BD4B-4F0B-B354-4870BC6FD0A3}" name="Inwerter" displayName="Inwerter" ref="AX6:AY138" tableType="queryTable" totalsRowShown="0" headerRowDxfId="64" dataDxfId="63">
  <autoFilter ref="AX6:AY138" xr:uid="{DC299B97-C935-4F19-AE6F-AE7023E83BF2}">
    <filterColumn colId="0" hiddenButton="1"/>
    <filterColumn colId="1" hiddenButton="1"/>
  </autoFilter>
  <tableColumns count="2">
    <tableColumn id="3" xr3:uid="{C9A6E0A5-FA92-4156-86FE-089F48DE2502}" uniqueName="3" name="Indeks" queryTableFieldId="1" dataDxfId="62"/>
    <tableColumn id="2" xr3:uid="{276A3B2F-0727-4493-8CFD-019B640FAB46}" uniqueName="2" name="Nazwa" queryTableFieldId="2" dataDxfId="61"/>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54EBAF-F1D2-4B9B-B497-D3203CF9B73A}" name="Panele" displayName="Panele_1" ref="AZ6:AZ94" tableType="queryTable" totalsRowShown="0" headerRowDxfId="60" dataDxfId="59">
  <autoFilter ref="AZ6:AZ94" xr:uid="{61315689-60DF-4F2F-85ED-42B48F671A4A}">
    <filterColumn colId="0" hiddenButton="1"/>
  </autoFilter>
  <tableColumns count="1">
    <tableColumn id="2" xr3:uid="{566FBF9B-E964-440E-B001-EAB820CA17AF}" uniqueName="2" name="Panel_Nazwa" queryTableFieldId="1" dataDxfId="58"/>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7429E40-97B1-4596-9435-A784F11DA171}" name="konstrukcje" displayName="konstrukcje" ref="BA6:BA20" tableType="queryTable" totalsRowShown="0" headerRowDxfId="57" dataDxfId="56">
  <autoFilter ref="BA6:BA20" xr:uid="{1CBD5A77-4888-4568-A0BD-E4509814AF5C}">
    <filterColumn colId="0" hiddenButton="1"/>
  </autoFilter>
  <tableColumns count="1">
    <tableColumn id="2" xr3:uid="{C49DDC0C-8989-4691-8A7D-925040362224}" uniqueName="2" name="konstrukcja" queryTableFieldId="1" dataDxfId="55"/>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041625-B28D-4BC1-9816-49A4A9E4D9D9}" name="kable" displayName="kable" ref="BB6:BB17" tableType="queryTable" totalsRowShown="0" headerRowDxfId="54" dataDxfId="53">
  <autoFilter ref="BB6:BB17" xr:uid="{E57091B0-431B-4803-BAE2-61BA5284EC73}">
    <filterColumn colId="0" hiddenButton="1"/>
  </autoFilter>
  <tableColumns count="1">
    <tableColumn id="2" xr3:uid="{7D8AECEF-CA79-41CC-92E9-EDEBC6EFD499}" uniqueName="2" name="Przewody" queryTableFieldId="1" dataDxfId="5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2359A3-4CC6-49AB-8FAD-4442FB86EFEF}" name="skrzynki" displayName="skrzynki" ref="BC6:BC15" tableType="queryTable" totalsRowShown="0" headerRowDxfId="51" dataDxfId="50">
  <autoFilter ref="BC6:BC15" xr:uid="{D6E2F852-7A32-441C-9E27-ABEFE57B1B3F}">
    <filterColumn colId="0" hiddenButton="1"/>
  </autoFilter>
  <tableColumns count="1">
    <tableColumn id="2" xr3:uid="{0D61A624-D22B-4523-8127-CDC9F8210981}" uniqueName="2" name="Skrzynka" queryTableFieldId="1" dataDxfId="4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4E8083F-C7A8-4CB4-B085-925A6D8806C8}" name="inne" displayName="inne" ref="BD6:BD31" tableType="queryTable" totalsRowShown="0" headerRowDxfId="48" dataDxfId="47">
  <autoFilter ref="BD6:BD31" xr:uid="{EA40EAF5-0300-4420-B3EB-A66B7C1E1F53}"/>
  <tableColumns count="1">
    <tableColumn id="3" xr3:uid="{CD910EC4-07C1-47E2-B8A8-7F1EC21A8CD7}" uniqueName="3" name="inne" queryTableFieldId="2" dataDxfId="46"/>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70CA0E-72A3-4F07-8044-9BFB9AF1D136}" name="Tabela9" displayName="Tabela9" ref="BE6:BE10" tableType="queryTable" totalsRowShown="0" headerRowDxfId="45" dataDxfId="44">
  <autoFilter ref="BE6:BE10" xr:uid="{44A7C6AB-718C-463C-A473-2056233570D6}"/>
  <tableColumns count="1">
    <tableColumn id="2" xr3:uid="{99A6C455-599B-4FFC-A3C8-9315724B6FD7}" uniqueName="2" name="inne2" queryTableFieldId="1" dataDxfId="4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FAE2B56-76E4-4336-A81B-4F52062D24CF}" name="Tabela14" displayName="Tabela14" ref="AQ71:AQ72" totalsRowShown="0" headerRowDxfId="42" dataDxfId="41">
  <autoFilter ref="AQ71:AQ72" xr:uid="{F554ED6D-5503-4232-ABEB-97CDD4C4C41B}"/>
  <tableColumns count="1">
    <tableColumn id="1" xr3:uid="{07E18E6A-0BFF-46B8-B89B-823EE55BE405}" name="Kolumna1" dataDxfId="40">
      <calculatedColumnFormula>P72</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70D370E-0100-497E-94D6-32453DBD9E16}" name="Tabela15" displayName="Tabela15" ref="AS71:AS72" totalsRowShown="0" headerRowDxfId="39" dataDxfId="38">
  <autoFilter ref="AS71:AS72" xr:uid="{586D74E2-F175-4A80-813B-50C5F3376002}"/>
  <tableColumns count="1">
    <tableColumn id="1" xr3:uid="{4E1D4254-1B47-4383-9D32-DADCBB9851B2}" name="Kolumna1" dataDxfId="37">
      <calculatedColumnFormula>P73</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22D99005-25CF-4A17-B885-C72E6C46DF64}" name="Tabela131819" displayName="Tabela131819" ref="AQ61:AR64" totalsRowShown="0" headerRowDxfId="36" dataDxfId="35">
  <autoFilter ref="AQ61:AR64" xr:uid="{22D99005-25CF-4A17-B885-C72E6C46DF64}"/>
  <tableColumns count="2">
    <tableColumn id="1" xr3:uid="{90A775A8-938D-4487-96E5-FA1F48238133}" name="Wykonawca" dataDxfId="34"/>
    <tableColumn id="3" xr3:uid="{15ADBE51-735C-455A-83B8-41532846EA39}" name="Numer" dataDxfId="33"/>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EAA7A1D-2556-4DB3-B895-D3C95E48F235}" name="Tabela19" displayName="Tabela19" ref="AO241:AP247" totalsRowShown="0">
  <autoFilter ref="AO241:AP247" xr:uid="{AEAA7A1D-2556-4DB3-B895-D3C95E48F235}"/>
  <tableColumns count="2">
    <tableColumn id="1" xr3:uid="{3E1784DE-B013-4A32-84ED-762CBDB21E43}" name="Rodzaj dofinansowania" dataDxfId="32"/>
    <tableColumn id="3" xr3:uid="{0784C7D9-8723-42D2-99C8-E1358CD4B2B4}" name="kwota" dataDxfId="31"/>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90A99F1-6E0D-4030-ADF2-9A65DB7621AF}" name="Tabela21" displayName="Tabela21" ref="AO249:AP252" totalsRowShown="0">
  <autoFilter ref="AO249:AP252" xr:uid="{590A99F1-6E0D-4030-ADF2-9A65DB7621AF}"/>
  <tableColumns count="2">
    <tableColumn id="1" xr3:uid="{49F4AC71-DDE6-41A8-90AF-3036250BB18F}" name="Kolumna1" dataDxfId="30"/>
    <tableColumn id="3" xr3:uid="{A81CFE89-D3CC-43C3-95C2-B50FAD12EBCF}" name="Kolumna3" dataDxfId="29" dataCellStyle="Procentowy"/>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AB1CEAA-3A02-4901-8249-704230BA34E3}" name="Tabela26" displayName="Tabela26" ref="AG46:AI48" totalsRowShown="0">
  <autoFilter ref="AG46:AI48" xr:uid="{5AB1CEAA-3A02-4901-8249-704230BA34E3}"/>
  <tableColumns count="3">
    <tableColumn id="1" xr3:uid="{93094640-4B09-4F7F-A9A9-4998BADC67FC}" name="Kolumna1" dataDxfId="28"/>
    <tableColumn id="2" xr3:uid="{C94B6FC7-5332-4DAA-B11F-08910BC55E4F}" name="Kolumna2"/>
    <tableColumn id="3" xr3:uid="{C23B8185-ECC8-48B6-9B59-9D6A9D5B294E}" name="Kolumna3" dataCellStyle="Hiperłącze"/>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D5CAC82-63D1-4393-B802-C7F15EFCBFA8}" name="Tabela32" displayName="Tabela32" ref="AU1:AW5" totalsRowShown="0">
  <autoFilter ref="AU1:AW5" xr:uid="{C644C10C-1A67-4FF1-ACEA-6282B38E1557}"/>
  <tableColumns count="3">
    <tableColumn id="1" xr3:uid="{3D6FE71F-5DD6-4FF6-A262-F1B93B820C06}" name="Kolumna1"/>
    <tableColumn id="2" xr3:uid="{2B2BCD0F-EBA8-4C6A-8C10-3BD8A7142A69}" name="Kolumna2" dataDxfId="27"/>
    <tableColumn id="3" xr3:uid="{50F0B5F9-6295-4BBE-8A19-1BB16F3E4AC4}" name="Kolumna3" dataDxfId="26"/>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EDE365-73B3-4B1F-BBA0-87DD97036541}" name="pokrycie3" displayName="pokrycie3" ref="AI1:AM16" totalsRowShown="0">
  <autoFilter ref="AI1:AM16" xr:uid="{7181A48B-6E88-4A25-AC7F-7F35A4B6B387}"/>
  <tableColumns count="5">
    <tableColumn id="5" xr3:uid="{FC9CD4C9-CA5F-48EB-A0BC-02370C3AB857}" name="dach płaski betonowy"/>
    <tableColumn id="6" xr3:uid="{55FCCBAB-2140-4C56-941C-1EECED7E2977}" name="dach płaski drewniany"/>
    <tableColumn id="7" xr3:uid="{564EE328-E9A7-4255-B208-0500F09CDB9F}" name="dach płaski Console"/>
    <tableColumn id="1" xr3:uid="{545A107E-8100-4630-ADBF-84949085B440}" name="konstukcja naziemna"/>
    <tableColumn id="2" xr3:uid="{37367855-C481-4ED5-9F93-1363729EA260}" name="dach płaski obciążeniowo"/>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F65C03-0F39-41AC-B6E4-BFAF4085F2E9}" name="Tabela3" displayName="Tabela3" ref="AV1:AX5" totalsRowShown="0">
  <autoFilter ref="AV1:AX5" xr:uid="{9C93E0A3-87E6-446C-B283-3C253AB6D2F1}"/>
  <tableColumns count="3">
    <tableColumn id="1" xr3:uid="{DBB6D88A-8E5A-49C1-A8EA-0DD41948D0E4}" name="Kolumna1"/>
    <tableColumn id="2" xr3:uid="{D447EFA4-48BE-42AD-A97E-8A436D552522}" name="Kolumna2" dataDxfId="25"/>
    <tableColumn id="3" xr3:uid="{525605E5-B0C6-4A2F-B724-8D383B133032}" name="Kolumna3" dataDxfId="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D632AF-BFCC-4D78-81C7-A497CC0B84F6}" name="pokrycie" displayName="pokrycie" ref="AI1:AL9" totalsRowShown="0">
  <autoFilter ref="AI1:AL9" xr:uid="{25EA7F61-A88A-4D4E-A8B7-F8865ED66FAD}"/>
  <tableColumns count="4">
    <tableColumn id="1" xr3:uid="{E69E0483-52BA-406D-9655-1B197F8B4708}" name="Dachówka"/>
    <tableColumn id="2" xr3:uid="{C865871D-FDDF-4BEB-8655-819D245EC62C}" name="Blacho-dachówka"/>
    <tableColumn id="3" xr3:uid="{4E614327-05DC-4619-B98D-7C6C4C527DC9}" name="Papa"/>
    <tableColumn id="4" xr3:uid="{7B6B8DC4-9A5A-40D4-896D-4A0080D2D2D5}" name="mostki trapezowe"/>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1E9D3E2-58FA-48D2-A0BD-DF2B9A933932}" name="Tabela11" displayName="Tabela11" ref="A108:C109" totalsRowShown="0">
  <autoFilter ref="A108:C109" xr:uid="{F1E9D3E2-58FA-48D2-A0BD-DF2B9A933932}"/>
  <tableColumns count="3">
    <tableColumn id="1" xr3:uid="{31EC120B-DA3F-4FEF-BC8A-D33154177013}" name="Firma"/>
    <tableColumn id="2" xr3:uid="{197C8AE4-624E-4306-96B9-999FB520476D}" name="Rodo" dataDxfId="23"/>
    <tableColumn id="3" xr3:uid="{278094EA-D4B6-4844-943E-B60F7487B003}" name="Kolumna1"/>
  </tableColumns>
  <tableStyleInfo name="TableStyleMedium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CF4C547-41D9-4464-955D-13033BFAED27}" name="Tabela16" displayName="Tabela16" ref="P1:T38" totalsRowShown="0" headerRowDxfId="22" tableBorderDxfId="21">
  <autoFilter ref="P1:T38" xr:uid="{9CF4C547-41D9-4464-955D-13033BFAED27}"/>
  <sortState xmlns:xlrd2="http://schemas.microsoft.com/office/spreadsheetml/2017/richdata2" ref="P2:T38">
    <sortCondition ref="P25:P38"/>
  </sortState>
  <tableColumns count="5">
    <tableColumn id="1" xr3:uid="{2B72A3A0-16E2-4802-B563-084CE9530516}" name="Panel"/>
    <tableColumn id="2" xr3:uid="{E1CD0D66-D8C4-440E-8993-F24D41BDF04D}" name="Isc"/>
    <tableColumn id="3" xr3:uid="{25BD16BA-4854-4B45-84CE-79A4D5AEFC6A}" name="TVoc"/>
    <tableColumn id="4" xr3:uid="{6E7E0801-0A22-43A3-973B-F14CD42DFBEC}" name="Voc"/>
    <tableColumn id="5" xr3:uid="{C52FC45E-A82E-4E43-9C39-68E29AB8A21F}" name="Pmax"/>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FFCDDB02-9045-4021-BE54-0F57E4B82B8E}" name="Tabela20" displayName="Tabela20" ref="W1:AE132" totalsRowShown="0">
  <autoFilter ref="W1:AE132" xr:uid="{FFCDDB02-9045-4021-BE54-0F57E4B82B8E}"/>
  <tableColumns count="9">
    <tableColumn id="1" xr3:uid="{6460B691-6AE6-4842-B293-1EFF1186235D}" name="Rodzaj"/>
    <tableColumn id="2" xr3:uid="{D3AC77F2-986B-43F0-AA7B-1BA9A5916B17}" name="zabezpieczenie"/>
    <tableColumn id="3" xr3:uid="{44782FFA-58DB-48C0-8216-48B7830D2F11}" name="Zwłoka (S)"/>
    <tableColumn id="4" xr3:uid="{ADCE985A-3985-4867-8516-4C5DE40B9D90}" name="Prąd (A)"/>
    <tableColumn id="5" xr3:uid="{62FBCBE4-72B9-4B45-BFE3-2886DEA928D6}" name="I"/>
    <tableColumn id="6" xr3:uid="{902453CE-8D4C-401B-9DAF-047108BBEDF7}" name="Kolumna1"/>
    <tableColumn id="7" xr3:uid="{3DCE2E04-13D0-4E97-92CA-A4B274FB9136}" name="Zs dop"/>
    <tableColumn id="8" xr3:uid="{E054A35A-5279-4103-A6BD-770A9355E1CD}" name="Kolumna2"/>
    <tableColumn id="9" xr3:uid="{3A33351E-0DE7-4797-9991-0775CA597E38}" name="Zsz"/>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4.xml"/><Relationship Id="rId13" Type="http://schemas.openxmlformats.org/officeDocument/2006/relationships/table" Target="../tables/table9.xml"/><Relationship Id="rId3" Type="http://schemas.openxmlformats.org/officeDocument/2006/relationships/printerSettings" Target="../printerSettings/printerSettings1.bin"/><Relationship Id="rId7" Type="http://schemas.openxmlformats.org/officeDocument/2006/relationships/table" Target="../tables/table3.xml"/><Relationship Id="rId12" Type="http://schemas.openxmlformats.org/officeDocument/2006/relationships/table" Target="../tables/table8.xml"/><Relationship Id="rId2" Type="http://schemas.openxmlformats.org/officeDocument/2006/relationships/hyperlink" Target="mailto:rafal.krakowczyk@ampere-solar.pl" TargetMode="External"/><Relationship Id="rId1" Type="http://schemas.openxmlformats.org/officeDocument/2006/relationships/hyperlink" Target="mailto:patrycja.krakowczyk@ampere-solar.pl" TargetMode="External"/><Relationship Id="rId6" Type="http://schemas.openxmlformats.org/officeDocument/2006/relationships/table" Target="../tables/table2.xml"/><Relationship Id="rId11" Type="http://schemas.openxmlformats.org/officeDocument/2006/relationships/table" Target="../tables/table7.xml"/><Relationship Id="rId5" Type="http://schemas.openxmlformats.org/officeDocument/2006/relationships/table" Target="../tables/table1.xml"/><Relationship Id="rId10" Type="http://schemas.openxmlformats.org/officeDocument/2006/relationships/table" Target="../tables/table6.xml"/><Relationship Id="rId4" Type="http://schemas.openxmlformats.org/officeDocument/2006/relationships/drawing" Target="../drawings/drawing1.xml"/><Relationship Id="rId9" Type="http://schemas.openxmlformats.org/officeDocument/2006/relationships/table" Target="../tables/table5.xml"/><Relationship Id="rId14" Type="http://schemas.openxmlformats.org/officeDocument/2006/relationships/table" Target="../tables/table10.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18" Type="http://schemas.openxmlformats.org/officeDocument/2006/relationships/table" Target="../tables/table22.xml"/><Relationship Id="rId3" Type="http://schemas.openxmlformats.org/officeDocument/2006/relationships/printerSettings" Target="../printerSettings/printerSettings2.bin"/><Relationship Id="rId7" Type="http://schemas.openxmlformats.org/officeDocument/2006/relationships/table" Target="../tables/table11.xml"/><Relationship Id="rId12" Type="http://schemas.openxmlformats.org/officeDocument/2006/relationships/table" Target="../tables/table16.xml"/><Relationship Id="rId17" Type="http://schemas.openxmlformats.org/officeDocument/2006/relationships/table" Target="../tables/table21.xml"/><Relationship Id="rId2" Type="http://schemas.openxmlformats.org/officeDocument/2006/relationships/hyperlink" Target="mailto:rafal.krakowczyk@ampere-solar.pl" TargetMode="External"/><Relationship Id="rId16" Type="http://schemas.openxmlformats.org/officeDocument/2006/relationships/table" Target="../tables/table20.xml"/><Relationship Id="rId1" Type="http://schemas.openxmlformats.org/officeDocument/2006/relationships/hyperlink" Target="mailto:patrycja.krakowczyk@ampere-solar.pl" TargetMode="External"/><Relationship Id="rId6" Type="http://schemas.openxmlformats.org/officeDocument/2006/relationships/vmlDrawing" Target="../drawings/vmlDrawing2.vml"/><Relationship Id="rId11" Type="http://schemas.openxmlformats.org/officeDocument/2006/relationships/table" Target="../tables/table15.xml"/><Relationship Id="rId5" Type="http://schemas.openxmlformats.org/officeDocument/2006/relationships/vmlDrawing" Target="../drawings/vmlDrawing1.vml"/><Relationship Id="rId15" Type="http://schemas.openxmlformats.org/officeDocument/2006/relationships/table" Target="../tables/table19.xml"/><Relationship Id="rId10" Type="http://schemas.openxmlformats.org/officeDocument/2006/relationships/table" Target="../tables/table14.xml"/><Relationship Id="rId19" Type="http://schemas.openxmlformats.org/officeDocument/2006/relationships/table" Target="../tables/table23.xml"/><Relationship Id="rId4" Type="http://schemas.openxmlformats.org/officeDocument/2006/relationships/drawing" Target="../drawings/drawing2.xml"/><Relationship Id="rId9" Type="http://schemas.openxmlformats.org/officeDocument/2006/relationships/table" Target="../tables/table13.xml"/><Relationship Id="rId14" Type="http://schemas.openxmlformats.org/officeDocument/2006/relationships/table" Target="../tables/table18.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smartekodom.pl/" TargetMode="External"/><Relationship Id="rId1" Type="http://schemas.openxmlformats.org/officeDocument/2006/relationships/hyperlink" Target="mailto:biuro@ampere-solar.pl" TargetMode="Externa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table" Target="../tables/table2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vmlDrawing" Target="../drawings/vmlDrawing4.vml"/><Relationship Id="rId1" Type="http://schemas.openxmlformats.org/officeDocument/2006/relationships/printerSettings" Target="../printerSettings/printerSettings11.bin"/><Relationship Id="rId5" Type="http://schemas.openxmlformats.org/officeDocument/2006/relationships/comments" Target="../comments1.xml"/><Relationship Id="rId4" Type="http://schemas.openxmlformats.org/officeDocument/2006/relationships/table" Target="../tables/table3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53DC8-27A5-4E27-B306-AEA88C961902}">
  <dimension ref="A1:AL161"/>
  <sheetViews>
    <sheetView showGridLines="0" topLeftCell="A76" zoomScaleNormal="100" workbookViewId="0">
      <selection activeCell="J12" sqref="J12:N12"/>
    </sheetView>
  </sheetViews>
  <sheetFormatPr defaultRowHeight="24.95" customHeight="1"/>
  <cols>
    <col min="1" max="1" width="3.85546875" style="465" bestFit="1" customWidth="1"/>
    <col min="2" max="12" width="12.28515625" style="465" customWidth="1"/>
    <col min="13" max="13" width="12.140625" style="465" bestFit="1" customWidth="1"/>
    <col min="14" max="15" width="9.7109375" style="465" customWidth="1"/>
    <col min="16" max="16" width="9.140625" style="465"/>
    <col min="17" max="17" width="31.5703125" style="466" customWidth="1"/>
    <col min="18" max="18" width="17.5703125" style="466" bestFit="1" customWidth="1"/>
    <col min="19" max="19" width="35.5703125" style="466" bestFit="1" customWidth="1"/>
    <col min="20" max="20" width="12" style="466" customWidth="1"/>
    <col min="21" max="21" width="9.140625" style="466"/>
    <col min="22" max="22" width="21.7109375" style="466" bestFit="1" customWidth="1"/>
    <col min="23" max="23" width="9.140625" style="465"/>
    <col min="24" max="24" width="39.140625" style="465" bestFit="1" customWidth="1"/>
    <col min="25" max="25" width="28.5703125" style="465" customWidth="1"/>
    <col min="26" max="28" width="9.140625" style="465"/>
    <col min="29" max="29" width="5.5703125" style="465" bestFit="1" customWidth="1"/>
    <col min="30" max="30" width="9.140625" style="465" bestFit="1" customWidth="1"/>
    <col min="31" max="31" width="43.7109375" style="465" bestFit="1" customWidth="1"/>
    <col min="32" max="32" width="25.85546875" style="465" bestFit="1" customWidth="1"/>
    <col min="33" max="33" width="40.85546875" style="465" bestFit="1" customWidth="1"/>
    <col min="34" max="34" width="18.42578125" style="465" bestFit="1" customWidth="1"/>
    <col min="35" max="35" width="9.140625" style="465"/>
    <col min="36" max="36" width="27.7109375" style="465" customWidth="1"/>
    <col min="37" max="37" width="25.85546875" style="465" bestFit="1" customWidth="1"/>
    <col min="38" max="38" width="50.140625" style="465" bestFit="1" customWidth="1"/>
    <col min="39" max="39" width="22.140625" style="465" bestFit="1" customWidth="1"/>
    <col min="40" max="16384" width="9.140625" style="465"/>
  </cols>
  <sheetData>
    <row r="1" spans="1:38" ht="13.5" customHeight="1">
      <c r="B1" s="579" t="s">
        <v>1191</v>
      </c>
      <c r="C1" s="579"/>
      <c r="D1" s="465">
        <v>20</v>
      </c>
      <c r="E1" s="465" t="s">
        <v>1192</v>
      </c>
      <c r="J1" s="600" t="s">
        <v>1193</v>
      </c>
      <c r="K1" s="600"/>
      <c r="L1" s="600"/>
      <c r="M1" s="603">
        <f ca="1">TODAY()</f>
        <v>45306</v>
      </c>
      <c r="N1" s="579"/>
      <c r="O1" s="464"/>
      <c r="P1" s="464"/>
      <c r="Q1" s="465"/>
      <c r="R1" s="465"/>
      <c r="S1" s="465"/>
      <c r="T1" s="465"/>
      <c r="U1" s="465"/>
      <c r="V1" s="465"/>
      <c r="AF1" s="466"/>
      <c r="AG1" s="466"/>
      <c r="AH1" s="466"/>
      <c r="AI1" s="466"/>
      <c r="AJ1" s="466"/>
    </row>
    <row r="2" spans="1:38" ht="13.5" customHeight="1">
      <c r="A2" s="562" t="s">
        <v>1179</v>
      </c>
      <c r="B2" s="562"/>
      <c r="C2" s="562"/>
      <c r="D2" s="562"/>
      <c r="E2" s="562"/>
      <c r="F2" s="562"/>
      <c r="G2" s="562"/>
      <c r="H2" s="562"/>
      <c r="I2" s="562"/>
      <c r="J2" s="562"/>
      <c r="K2" s="562"/>
      <c r="L2" s="562"/>
      <c r="M2" s="562"/>
      <c r="N2" s="562"/>
      <c r="O2" s="562"/>
      <c r="P2" s="487"/>
      <c r="Q2" s="465"/>
      <c r="R2" s="465"/>
      <c r="S2" s="465"/>
      <c r="T2" s="465"/>
      <c r="U2" s="465"/>
      <c r="V2" s="465"/>
      <c r="AE2" s="467" t="s">
        <v>1186</v>
      </c>
      <c r="AF2" s="466"/>
      <c r="AG2" s="466"/>
      <c r="AH2" s="466"/>
      <c r="AI2" s="466"/>
      <c r="AJ2" s="466"/>
    </row>
    <row r="3" spans="1:38" ht="24.95" customHeight="1">
      <c r="A3" s="562"/>
      <c r="B3" s="562"/>
      <c r="C3" s="562"/>
      <c r="D3" s="562"/>
      <c r="E3" s="562"/>
      <c r="F3" s="562"/>
      <c r="G3" s="562"/>
      <c r="H3" s="562"/>
      <c r="I3" s="562"/>
      <c r="J3" s="562"/>
      <c r="K3" s="562"/>
      <c r="L3" s="562"/>
      <c r="M3" s="562"/>
      <c r="N3" s="562"/>
      <c r="O3" s="562"/>
      <c r="P3" s="487"/>
      <c r="Q3" s="465"/>
      <c r="R3" s="465"/>
      <c r="S3" s="465"/>
      <c r="T3" s="465"/>
      <c r="U3" s="465"/>
      <c r="V3" s="465"/>
      <c r="AE3" s="468" t="s">
        <v>213</v>
      </c>
      <c r="AF3" s="469" t="s">
        <v>823</v>
      </c>
      <c r="AG3" s="470" t="s">
        <v>1184</v>
      </c>
      <c r="AH3" s="470" t="s">
        <v>1190</v>
      </c>
      <c r="AI3" s="466"/>
      <c r="AJ3" s="466" t="s">
        <v>1205</v>
      </c>
      <c r="AK3" s="466" t="s">
        <v>1215</v>
      </c>
      <c r="AL3" s="465" t="s">
        <v>219</v>
      </c>
    </row>
    <row r="4" spans="1:38" ht="24.95" customHeight="1">
      <c r="A4" s="562"/>
      <c r="B4" s="562"/>
      <c r="C4" s="562"/>
      <c r="D4" s="562"/>
      <c r="E4" s="562"/>
      <c r="F4" s="562"/>
      <c r="G4" s="562"/>
      <c r="H4" s="562"/>
      <c r="I4" s="562"/>
      <c r="J4" s="562"/>
      <c r="K4" s="562"/>
      <c r="L4" s="562"/>
      <c r="M4" s="562"/>
      <c r="N4" s="562"/>
      <c r="O4" s="562"/>
      <c r="P4" s="487"/>
      <c r="Q4" s="465"/>
      <c r="R4" s="465"/>
      <c r="S4" s="465"/>
      <c r="T4" s="465"/>
      <c r="U4" s="465"/>
      <c r="V4" s="465"/>
      <c r="AE4" s="471" t="s">
        <v>1181</v>
      </c>
      <c r="AF4" s="471">
        <v>6472602198</v>
      </c>
      <c r="AG4" s="471" t="s">
        <v>1182</v>
      </c>
      <c r="AH4" s="472" t="s">
        <v>1183</v>
      </c>
      <c r="AI4" s="466"/>
      <c r="AJ4" s="466" t="s">
        <v>1140</v>
      </c>
      <c r="AK4" t="s">
        <v>1255</v>
      </c>
      <c r="AL4" s="465" t="s">
        <v>1112</v>
      </c>
    </row>
    <row r="5" spans="1:38" ht="24.95" customHeight="1">
      <c r="A5" s="488"/>
      <c r="B5" s="488"/>
      <c r="C5" s="488"/>
      <c r="D5" s="488"/>
      <c r="E5" s="488"/>
      <c r="F5" s="488"/>
      <c r="G5" s="488"/>
      <c r="H5" s="488"/>
      <c r="I5" s="488"/>
      <c r="J5" s="488"/>
      <c r="K5" s="488"/>
      <c r="L5" s="488"/>
      <c r="M5" s="488"/>
      <c r="N5" s="488"/>
      <c r="O5" s="488"/>
      <c r="P5" s="488"/>
      <c r="Q5" s="465"/>
      <c r="R5" s="465"/>
      <c r="S5" s="465"/>
      <c r="T5" s="465"/>
      <c r="U5" s="465"/>
      <c r="V5" s="465"/>
      <c r="AE5" s="463" t="s">
        <v>1038</v>
      </c>
      <c r="AF5" s="471">
        <v>6472586708</v>
      </c>
      <c r="AG5" s="471" t="s">
        <v>1182</v>
      </c>
      <c r="AH5" s="472" t="s">
        <v>1183</v>
      </c>
      <c r="AI5" s="466"/>
      <c r="AJ5" s="466" t="s">
        <v>1141</v>
      </c>
      <c r="AK5" t="s">
        <v>1256</v>
      </c>
      <c r="AL5" s="465" t="s">
        <v>1113</v>
      </c>
    </row>
    <row r="6" spans="1:38" ht="24.95" customHeight="1">
      <c r="Q6" s="465"/>
      <c r="R6" s="465"/>
      <c r="S6" s="465"/>
      <c r="T6" s="465"/>
      <c r="U6" s="465"/>
      <c r="V6" s="465"/>
      <c r="AE6" s="463"/>
      <c r="AF6" s="471"/>
      <c r="AG6" s="466"/>
      <c r="AH6" s="466"/>
      <c r="AI6" s="466"/>
      <c r="AJ6" s="466" t="s">
        <v>1142</v>
      </c>
      <c r="AK6" t="s">
        <v>1257</v>
      </c>
      <c r="AL6" s="465" t="s">
        <v>1114</v>
      </c>
    </row>
    <row r="7" spans="1:38" ht="24.95" customHeight="1">
      <c r="Q7" s="465"/>
      <c r="R7" s="465"/>
      <c r="S7" s="465"/>
      <c r="T7" s="465"/>
      <c r="U7" s="465"/>
      <c r="V7" s="465"/>
      <c r="AE7" s="463"/>
      <c r="AF7" s="472"/>
      <c r="AG7" s="466"/>
      <c r="AH7" s="466"/>
      <c r="AI7" s="466"/>
      <c r="AJ7" s="466" t="s">
        <v>1143</v>
      </c>
      <c r="AK7" t="s">
        <v>1258</v>
      </c>
      <c r="AL7" s="465" t="s">
        <v>1115</v>
      </c>
    </row>
    <row r="8" spans="1:38" ht="24.95" customHeight="1">
      <c r="B8" s="563" t="s">
        <v>1180</v>
      </c>
      <c r="C8" s="563"/>
      <c r="D8" s="563"/>
      <c r="E8" s="563"/>
      <c r="F8" s="563"/>
      <c r="J8" s="563" t="s">
        <v>605</v>
      </c>
      <c r="K8" s="563"/>
      <c r="L8" s="563"/>
      <c r="M8" s="563"/>
      <c r="N8" s="563"/>
      <c r="Q8" s="465"/>
      <c r="R8" s="465"/>
      <c r="S8" s="465"/>
      <c r="T8" s="465"/>
      <c r="U8" s="465"/>
      <c r="V8" s="465"/>
      <c r="AE8" s="466"/>
      <c r="AF8" s="466"/>
      <c r="AG8" s="466"/>
      <c r="AH8" s="466"/>
      <c r="AI8" s="466"/>
      <c r="AJ8" s="466" t="s">
        <v>1144</v>
      </c>
      <c r="AK8" s="475" t="s">
        <v>1247</v>
      </c>
      <c r="AL8" s="465" t="s">
        <v>1116</v>
      </c>
    </row>
    <row r="9" spans="1:38" ht="24.95" customHeight="1">
      <c r="B9" s="552" t="s">
        <v>1037</v>
      </c>
      <c r="C9" s="552"/>
      <c r="D9" s="552"/>
      <c r="E9" s="552"/>
      <c r="F9" s="552"/>
      <c r="J9" s="552"/>
      <c r="K9" s="552"/>
      <c r="L9" s="552"/>
      <c r="M9" s="552"/>
      <c r="N9" s="552"/>
      <c r="Q9" s="465"/>
      <c r="R9" s="465"/>
      <c r="S9" s="465"/>
      <c r="T9" s="465"/>
      <c r="U9" s="465"/>
      <c r="V9" s="465"/>
      <c r="AE9" s="467" t="s">
        <v>1185</v>
      </c>
      <c r="AF9" s="466"/>
      <c r="AG9" s="466"/>
      <c r="AH9" s="466"/>
      <c r="AI9" s="466"/>
      <c r="AJ9" s="466" t="s">
        <v>1145</v>
      </c>
      <c r="AK9" s="475" t="s">
        <v>1247</v>
      </c>
      <c r="AL9" s="465" t="s">
        <v>1117</v>
      </c>
    </row>
    <row r="10" spans="1:38" ht="24.95" customHeight="1">
      <c r="B10" s="570">
        <f>VLOOKUP(B9,Tabela17[#All],2,FALSE)</f>
        <v>530830107</v>
      </c>
      <c r="C10" s="570"/>
      <c r="D10" s="570"/>
      <c r="E10" s="570"/>
      <c r="F10" s="570"/>
      <c r="J10" s="564"/>
      <c r="K10" s="564"/>
      <c r="L10" s="564"/>
      <c r="M10" s="564"/>
      <c r="N10" s="564"/>
      <c r="Q10" s="465"/>
      <c r="R10" s="465"/>
      <c r="S10" s="465"/>
      <c r="T10" s="465"/>
      <c r="U10" s="465"/>
      <c r="V10" s="465"/>
      <c r="AE10" s="466" t="s">
        <v>1187</v>
      </c>
      <c r="AF10" s="466" t="s">
        <v>1188</v>
      </c>
      <c r="AG10" s="466" t="s">
        <v>1189</v>
      </c>
      <c r="AH10" s="466"/>
      <c r="AI10" s="466"/>
      <c r="AJ10" s="466" t="s">
        <v>415</v>
      </c>
      <c r="AK10" s="475" t="s">
        <v>1247</v>
      </c>
      <c r="AL10" t="s">
        <v>1267</v>
      </c>
    </row>
    <row r="11" spans="1:38" ht="24.95" customHeight="1">
      <c r="B11" s="570" t="str">
        <f>VLOOKUP(B9,Tabela17[#All],3,FALSE)</f>
        <v>rafal.krakowczyk@ampere-solar.pl</v>
      </c>
      <c r="C11" s="570"/>
      <c r="D11" s="570"/>
      <c r="E11" s="570"/>
      <c r="F11" s="570"/>
      <c r="J11" s="565"/>
      <c r="K11" s="561"/>
      <c r="L11" s="561"/>
      <c r="M11" s="561"/>
      <c r="N11" s="561"/>
      <c r="Q11" s="465"/>
      <c r="R11" s="465"/>
      <c r="S11" s="465"/>
      <c r="T11" s="465"/>
      <c r="U11" s="465"/>
      <c r="V11" s="465"/>
      <c r="AE11" s="466" t="s">
        <v>1106</v>
      </c>
      <c r="AF11" s="473">
        <v>530830907</v>
      </c>
      <c r="AG11" s="474" t="s">
        <v>1170</v>
      </c>
      <c r="AH11" s="466"/>
      <c r="AI11" s="466"/>
      <c r="AJ11" s="466" t="s">
        <v>1146</v>
      </c>
      <c r="AK11" s="475" t="s">
        <v>1247</v>
      </c>
      <c r="AL11" t="s">
        <v>1268</v>
      </c>
    </row>
    <row r="12" spans="1:38" ht="24.95" customHeight="1">
      <c r="J12" s="552"/>
      <c r="K12" s="552"/>
      <c r="L12" s="552"/>
      <c r="M12" s="552"/>
      <c r="N12" s="552"/>
      <c r="Q12" s="465"/>
      <c r="R12" s="465"/>
      <c r="S12" s="465"/>
      <c r="T12" s="465"/>
      <c r="U12" s="465"/>
      <c r="V12" s="465"/>
      <c r="AE12" s="466" t="s">
        <v>1037</v>
      </c>
      <c r="AF12" s="473">
        <v>530830107</v>
      </c>
      <c r="AG12" s="474" t="s">
        <v>1171</v>
      </c>
      <c r="AH12" s="466"/>
      <c r="AI12" s="466"/>
      <c r="AJ12" s="466" t="s">
        <v>100</v>
      </c>
      <c r="AK12" s="475" t="s">
        <v>1247</v>
      </c>
      <c r="AL12" t="s">
        <v>1269</v>
      </c>
    </row>
    <row r="13" spans="1:38" ht="24.95" customHeight="1">
      <c r="B13" s="571" t="s">
        <v>115</v>
      </c>
      <c r="C13" s="572"/>
      <c r="D13" s="572"/>
      <c r="E13" s="572"/>
      <c r="F13" s="573"/>
      <c r="J13" s="552"/>
      <c r="K13" s="552"/>
      <c r="L13" s="552"/>
      <c r="M13" s="552"/>
      <c r="N13" s="552"/>
      <c r="Q13" s="465"/>
      <c r="R13" s="465"/>
      <c r="S13" s="465"/>
      <c r="T13" s="465"/>
      <c r="U13" s="465"/>
      <c r="V13" s="465"/>
      <c r="AE13" s="466"/>
      <c r="AF13" s="466"/>
      <c r="AG13" s="466"/>
      <c r="AH13" s="466"/>
      <c r="AI13" s="466"/>
      <c r="AJ13" s="466" t="s">
        <v>1148</v>
      </c>
      <c r="AK13" s="475" t="s">
        <v>1247</v>
      </c>
      <c r="AL13" t="s">
        <v>1270</v>
      </c>
    </row>
    <row r="14" spans="1:38" ht="24.95" customHeight="1">
      <c r="B14" s="566" t="s">
        <v>1181</v>
      </c>
      <c r="C14" s="567"/>
      <c r="D14" s="567"/>
      <c r="E14" s="567"/>
      <c r="F14" s="568"/>
      <c r="I14" s="574"/>
      <c r="J14" s="574"/>
      <c r="K14" s="574"/>
      <c r="L14" s="574"/>
      <c r="M14" s="574"/>
      <c r="Q14" s="465"/>
      <c r="R14" s="465"/>
      <c r="S14" s="465"/>
      <c r="T14" s="465"/>
      <c r="U14" s="465"/>
      <c r="V14" s="465"/>
      <c r="AE14" s="466"/>
      <c r="AF14" s="466"/>
      <c r="AG14" s="466"/>
      <c r="AH14" s="466"/>
      <c r="AI14" s="466"/>
      <c r="AJ14" s="466"/>
      <c r="AK14" s="475" t="s">
        <v>1247</v>
      </c>
      <c r="AL14" s="465" t="s">
        <v>1118</v>
      </c>
    </row>
    <row r="15" spans="1:38" ht="24.95" customHeight="1">
      <c r="B15" s="566">
        <f>VLOOKUP(B14,Tabela13[#All],2,FALSE)</f>
        <v>6472602198</v>
      </c>
      <c r="C15" s="567"/>
      <c r="D15" s="567"/>
      <c r="E15" s="567"/>
      <c r="F15" s="568"/>
      <c r="I15" s="574"/>
      <c r="J15" s="574"/>
      <c r="K15" s="574"/>
      <c r="L15" s="574"/>
      <c r="M15" s="574"/>
      <c r="Q15" s="465"/>
      <c r="R15" s="465"/>
      <c r="S15" s="465"/>
      <c r="T15" s="465"/>
      <c r="U15" s="465"/>
      <c r="V15" s="465"/>
      <c r="AE15" s="466"/>
      <c r="AF15" s="466"/>
      <c r="AG15" s="466"/>
      <c r="AH15" s="466"/>
      <c r="AI15" s="466"/>
      <c r="AJ15" s="466"/>
      <c r="AK15" s="475" t="s">
        <v>1247</v>
      </c>
      <c r="AL15" s="465" t="s">
        <v>1119</v>
      </c>
    </row>
    <row r="16" spans="1:38" ht="24.95" customHeight="1">
      <c r="B16" s="566" t="str">
        <f>VLOOKUP(B14,Tabela13[#All],3,FALSE)</f>
        <v>44-313 Wodzisław Śląski</v>
      </c>
      <c r="C16" s="567"/>
      <c r="D16" s="567"/>
      <c r="E16" s="567"/>
      <c r="F16" s="568"/>
      <c r="I16" s="574"/>
      <c r="J16" s="574"/>
      <c r="K16" s="574"/>
      <c r="L16" s="574"/>
      <c r="M16" s="574"/>
      <c r="Q16" s="465"/>
      <c r="R16" s="465"/>
      <c r="S16" s="465"/>
      <c r="T16" s="465"/>
      <c r="U16" s="465"/>
      <c r="V16" s="465"/>
      <c r="AE16" s="466"/>
      <c r="AF16" s="466"/>
      <c r="AG16" s="466"/>
      <c r="AH16" s="466"/>
      <c r="AI16" s="466"/>
      <c r="AJ16" s="466"/>
      <c r="AK16" s="475" t="s">
        <v>1247</v>
      </c>
      <c r="AL16" s="465" t="s">
        <v>1120</v>
      </c>
    </row>
    <row r="17" spans="1:38" ht="24.95" customHeight="1">
      <c r="B17" s="566" t="str">
        <f>VLOOKUP(B14,Tabela13[#All],4,FALSE)</f>
        <v>Letnia 212</v>
      </c>
      <c r="C17" s="567"/>
      <c r="D17" s="567"/>
      <c r="E17" s="567"/>
      <c r="F17" s="568"/>
      <c r="Q17" s="465"/>
      <c r="R17" s="465"/>
      <c r="S17" s="465"/>
      <c r="T17" s="465"/>
      <c r="U17" s="465"/>
      <c r="V17" s="465"/>
      <c r="AE17" s="466"/>
      <c r="AF17" s="466"/>
      <c r="AG17" s="466"/>
      <c r="AH17" s="466"/>
      <c r="AI17" s="466"/>
      <c r="AJ17" s="466"/>
      <c r="AL17" s="475" t="s">
        <v>1134</v>
      </c>
    </row>
    <row r="18" spans="1:38" ht="24.95" customHeight="1">
      <c r="B18" s="466"/>
      <c r="C18" s="466"/>
      <c r="D18" s="466"/>
      <c r="E18" s="466"/>
      <c r="F18" s="466"/>
      <c r="Q18" s="465"/>
      <c r="R18" s="465"/>
      <c r="S18" s="465"/>
      <c r="T18" s="465"/>
      <c r="U18" s="465"/>
      <c r="V18" s="465"/>
      <c r="AE18" s="466"/>
      <c r="AF18" s="466"/>
      <c r="AG18" s="466"/>
      <c r="AH18" s="466"/>
      <c r="AI18" s="466"/>
      <c r="AJ18" s="466"/>
      <c r="AL18" s="475" t="s">
        <v>1135</v>
      </c>
    </row>
    <row r="19" spans="1:38" ht="24.95" customHeight="1">
      <c r="Q19" s="465"/>
      <c r="R19" s="465"/>
      <c r="S19" s="465"/>
      <c r="T19" s="465"/>
      <c r="U19" s="465"/>
      <c r="V19" s="465"/>
      <c r="AE19" s="466" t="s">
        <v>116</v>
      </c>
      <c r="AF19" s="476" t="s">
        <v>1195</v>
      </c>
      <c r="AG19" s="466"/>
      <c r="AH19" s="466"/>
      <c r="AI19" s="466"/>
      <c r="AJ19" s="466"/>
      <c r="AL19" s="475" t="s">
        <v>1136</v>
      </c>
    </row>
    <row r="20" spans="1:38" ht="24.95" customHeight="1">
      <c r="Q20" s="465"/>
      <c r="R20" s="465"/>
      <c r="S20" s="465"/>
      <c r="T20" s="465"/>
      <c r="U20" s="465"/>
      <c r="V20" s="465"/>
      <c r="AE20" s="466" t="s">
        <v>1194</v>
      </c>
      <c r="AF20" s="476">
        <v>0.08</v>
      </c>
      <c r="AG20" s="466"/>
      <c r="AH20" s="466" t="s">
        <v>378</v>
      </c>
      <c r="AI20" s="466"/>
      <c r="AJ20" s="466"/>
      <c r="AL20" s="465" t="s">
        <v>1137</v>
      </c>
    </row>
    <row r="21" spans="1:38" ht="24.95" customHeight="1">
      <c r="A21" s="558" t="s">
        <v>1242</v>
      </c>
      <c r="B21" s="558"/>
      <c r="C21" s="558"/>
      <c r="D21" s="558"/>
      <c r="E21" s="558"/>
      <c r="F21" s="558"/>
      <c r="G21" s="558"/>
      <c r="H21" s="558"/>
      <c r="I21" s="558"/>
      <c r="J21" s="558"/>
      <c r="K21" s="558"/>
      <c r="L21" s="558"/>
      <c r="M21" s="558"/>
      <c r="N21" s="558"/>
      <c r="O21" s="558"/>
      <c r="P21" s="491"/>
      <c r="Q21" s="465"/>
      <c r="R21" s="465"/>
      <c r="S21" s="465"/>
      <c r="T21" s="465"/>
      <c r="U21" s="465"/>
      <c r="V21" s="465"/>
      <c r="AE21" s="466" t="s">
        <v>115</v>
      </c>
      <c r="AF21" s="476">
        <v>0.23</v>
      </c>
      <c r="AG21" s="466"/>
      <c r="AH21" s="466" t="s">
        <v>324</v>
      </c>
      <c r="AI21" s="466"/>
      <c r="AJ21" s="466"/>
      <c r="AL21" t="s">
        <v>1271</v>
      </c>
    </row>
    <row r="22" spans="1:38" ht="24.95" customHeight="1">
      <c r="A22" s="558"/>
      <c r="B22" s="558"/>
      <c r="C22" s="558"/>
      <c r="D22" s="558"/>
      <c r="E22" s="558"/>
      <c r="F22" s="558"/>
      <c r="G22" s="558"/>
      <c r="H22" s="558"/>
      <c r="I22" s="558"/>
      <c r="J22" s="558"/>
      <c r="K22" s="558"/>
      <c r="L22" s="558"/>
      <c r="M22" s="558"/>
      <c r="N22" s="558"/>
      <c r="O22" s="558"/>
      <c r="P22" s="491"/>
      <c r="Q22" s="465"/>
      <c r="R22" s="465"/>
      <c r="S22" s="465"/>
      <c r="T22" s="465"/>
      <c r="U22" s="465"/>
      <c r="V22" s="465"/>
      <c r="AE22" s="466"/>
      <c r="AF22" s="466"/>
      <c r="AG22" s="466"/>
      <c r="AH22" s="466" t="s">
        <v>325</v>
      </c>
      <c r="AI22" s="466"/>
      <c r="AJ22" s="466"/>
      <c r="AL22" s="475" t="s">
        <v>1247</v>
      </c>
    </row>
    <row r="23" spans="1:38" ht="24.95" customHeight="1">
      <c r="A23" s="558"/>
      <c r="B23" s="558"/>
      <c r="C23" s="558"/>
      <c r="D23" s="558"/>
      <c r="E23" s="558"/>
      <c r="F23" s="558"/>
      <c r="G23" s="558"/>
      <c r="H23" s="558"/>
      <c r="I23" s="558"/>
      <c r="J23" s="558"/>
      <c r="K23" s="558"/>
      <c r="L23" s="558"/>
      <c r="M23" s="558"/>
      <c r="N23" s="558"/>
      <c r="O23" s="558"/>
      <c r="P23" s="491"/>
      <c r="Q23" s="465"/>
      <c r="R23" s="465"/>
      <c r="S23" s="465"/>
      <c r="T23" s="465"/>
      <c r="U23" s="465"/>
      <c r="V23" s="465"/>
      <c r="AE23" s="466" t="s">
        <v>1202</v>
      </c>
      <c r="AF23" s="466" t="s">
        <v>378</v>
      </c>
      <c r="AG23" s="466"/>
      <c r="AH23" s="466"/>
      <c r="AI23" s="466"/>
      <c r="AJ23" s="466"/>
    </row>
    <row r="24" spans="1:38" ht="24.95" customHeight="1">
      <c r="Q24" s="465"/>
      <c r="R24" s="465"/>
      <c r="S24" s="465"/>
      <c r="T24" s="465"/>
      <c r="U24" s="465"/>
      <c r="V24" s="465"/>
      <c r="AE24" s="466">
        <v>1</v>
      </c>
      <c r="AF24" s="466" t="s">
        <v>1203</v>
      </c>
      <c r="AG24" s="466"/>
      <c r="AH24" s="466"/>
      <c r="AI24" s="466"/>
      <c r="AJ24" s="466" t="s">
        <v>1259</v>
      </c>
      <c r="AK24" s="465" t="s">
        <v>1260</v>
      </c>
    </row>
    <row r="25" spans="1:38" ht="24.95" customHeight="1">
      <c r="Q25" s="465"/>
      <c r="R25" s="465"/>
      <c r="S25" s="465"/>
      <c r="T25" s="465"/>
      <c r="U25" s="465"/>
      <c r="V25" s="465"/>
      <c r="AE25" s="466">
        <v>3</v>
      </c>
      <c r="AF25" s="466" t="s">
        <v>1203</v>
      </c>
      <c r="AG25" s="466"/>
      <c r="AH25" s="466"/>
      <c r="AI25" s="466"/>
      <c r="AJ25" s="466" t="s">
        <v>1261</v>
      </c>
      <c r="AK25" s="465">
        <v>6000</v>
      </c>
    </row>
    <row r="26" spans="1:38" ht="24.95" customHeight="1">
      <c r="Q26" s="465"/>
      <c r="R26" s="465"/>
      <c r="S26" s="465"/>
      <c r="T26" s="465"/>
      <c r="U26" s="465"/>
      <c r="V26" s="465"/>
      <c r="AE26" s="466"/>
      <c r="AF26" s="466"/>
      <c r="AG26" s="466"/>
      <c r="AH26" s="466"/>
      <c r="AI26" s="466"/>
      <c r="AJ26" s="466" t="s">
        <v>1262</v>
      </c>
      <c r="AK26" s="465">
        <v>10000</v>
      </c>
    </row>
    <row r="27" spans="1:38" ht="24.95" customHeight="1">
      <c r="B27" s="557" t="s">
        <v>188</v>
      </c>
      <c r="C27" s="557"/>
      <c r="D27" s="557"/>
      <c r="E27" s="557"/>
      <c r="F27" s="557"/>
      <c r="G27" s="557"/>
      <c r="H27" s="569" t="s">
        <v>98</v>
      </c>
      <c r="I27" s="569"/>
      <c r="J27" s="569"/>
      <c r="K27" s="569"/>
      <c r="L27" s="569"/>
      <c r="M27" s="569"/>
      <c r="Q27" s="465"/>
      <c r="R27" s="465"/>
      <c r="S27" s="465"/>
      <c r="T27" s="465"/>
      <c r="U27" s="465"/>
      <c r="V27" s="465"/>
      <c r="AE27" s="466" t="s">
        <v>1208</v>
      </c>
      <c r="AF27" s="466" t="s">
        <v>1212</v>
      </c>
      <c r="AG27" s="466"/>
      <c r="AH27" s="466"/>
      <c r="AI27" s="466"/>
      <c r="AJ27" s="466" t="s">
        <v>1263</v>
      </c>
      <c r="AK27" s="465">
        <v>26000</v>
      </c>
    </row>
    <row r="28" spans="1:38" ht="24.95" customHeight="1">
      <c r="B28" s="557" t="s">
        <v>116</v>
      </c>
      <c r="C28" s="557"/>
      <c r="D28" s="557"/>
      <c r="E28" s="557"/>
      <c r="F28" s="557"/>
      <c r="G28" s="557"/>
      <c r="H28" s="569" t="s">
        <v>1194</v>
      </c>
      <c r="I28" s="569"/>
      <c r="J28" s="569"/>
      <c r="K28" s="569"/>
      <c r="L28" s="569"/>
      <c r="M28" s="569"/>
      <c r="Q28" s="465"/>
      <c r="R28" s="465"/>
      <c r="S28" s="465"/>
      <c r="T28" s="465"/>
      <c r="U28" s="465"/>
      <c r="V28" s="465"/>
      <c r="AC28" s="477" t="s">
        <v>183</v>
      </c>
      <c r="AD28" s="478">
        <f>VLOOKUP(H28,Tabela22[#All],2,FALSE)</f>
        <v>0.08</v>
      </c>
      <c r="AE28" s="466" t="s">
        <v>1209</v>
      </c>
      <c r="AF28" s="466">
        <v>30</v>
      </c>
      <c r="AG28" s="466"/>
      <c r="AH28" s="466"/>
      <c r="AI28" s="466"/>
      <c r="AJ28" s="466" t="s">
        <v>1167</v>
      </c>
      <c r="AK28" s="465">
        <v>6000</v>
      </c>
    </row>
    <row r="29" spans="1:38" ht="24.95" customHeight="1">
      <c r="B29" s="585" t="s">
        <v>1208</v>
      </c>
      <c r="C29" s="585"/>
      <c r="D29" s="585"/>
      <c r="E29" s="585"/>
      <c r="F29" s="585"/>
      <c r="G29" s="585"/>
      <c r="H29" s="569" t="s">
        <v>1209</v>
      </c>
      <c r="I29" s="569"/>
      <c r="J29" s="569"/>
      <c r="K29" s="569"/>
      <c r="L29" s="569"/>
      <c r="M29" s="569"/>
      <c r="Q29" s="465"/>
      <c r="R29" s="465"/>
      <c r="S29" s="465"/>
      <c r="T29" s="465"/>
      <c r="U29" s="465"/>
      <c r="V29" s="465"/>
      <c r="AE29" s="466" t="s">
        <v>1210</v>
      </c>
      <c r="AF29" s="466">
        <v>55</v>
      </c>
      <c r="AG29" s="466"/>
      <c r="AH29" s="466"/>
      <c r="AI29" s="466"/>
      <c r="AJ29" s="466" t="s">
        <v>1168</v>
      </c>
      <c r="AK29" s="465">
        <v>9000</v>
      </c>
    </row>
    <row r="30" spans="1:38" ht="24.95" customHeight="1">
      <c r="B30" s="557" t="s">
        <v>1196</v>
      </c>
      <c r="C30" s="557"/>
      <c r="D30" s="557"/>
      <c r="E30" s="557"/>
      <c r="F30" s="557"/>
      <c r="G30" s="557"/>
      <c r="H30" s="594">
        <v>13320</v>
      </c>
      <c r="I30" s="594"/>
      <c r="J30" s="595"/>
      <c r="K30" s="588" t="s">
        <v>40</v>
      </c>
      <c r="L30" s="589"/>
      <c r="M30" s="589"/>
      <c r="Q30" s="465"/>
      <c r="R30" s="465"/>
      <c r="S30" s="465"/>
      <c r="T30" s="465"/>
      <c r="U30" s="465"/>
      <c r="V30" s="465"/>
      <c r="AE30" s="466" t="s">
        <v>1211</v>
      </c>
      <c r="AF30" s="466">
        <v>90</v>
      </c>
      <c r="AG30" s="466"/>
      <c r="AH30" s="466"/>
      <c r="AI30" s="466"/>
      <c r="AJ30" s="466" t="s">
        <v>1169</v>
      </c>
      <c r="AK30" s="465">
        <v>15000</v>
      </c>
    </row>
    <row r="31" spans="1:38" ht="24.95" customHeight="1">
      <c r="B31" s="557" t="s">
        <v>1197</v>
      </c>
      <c r="C31" s="557"/>
      <c r="D31" s="557"/>
      <c r="E31" s="557"/>
      <c r="F31" s="557"/>
      <c r="G31" s="557"/>
      <c r="H31" s="596">
        <f>AF33</f>
        <v>1.0951363725335668</v>
      </c>
      <c r="I31" s="596"/>
      <c r="J31" s="597"/>
      <c r="K31" s="588" t="s">
        <v>1204</v>
      </c>
      <c r="L31" s="589"/>
      <c r="M31" s="589"/>
      <c r="Q31" s="465"/>
      <c r="R31" s="465"/>
      <c r="S31" s="465"/>
      <c r="T31" s="465"/>
      <c r="U31" s="465"/>
      <c r="V31" s="465"/>
      <c r="AE31" s="466"/>
      <c r="AF31" s="466"/>
      <c r="AG31" s="466"/>
      <c r="AH31" s="466"/>
      <c r="AI31" s="466"/>
      <c r="AJ31" s="495" t="s">
        <v>1265</v>
      </c>
      <c r="AK31" s="465">
        <v>0</v>
      </c>
    </row>
    <row r="32" spans="1:38" ht="24.95" customHeight="1">
      <c r="B32" s="557" t="s">
        <v>1198</v>
      </c>
      <c r="C32" s="557"/>
      <c r="D32" s="557"/>
      <c r="E32" s="557"/>
      <c r="F32" s="557"/>
      <c r="G32" s="557"/>
      <c r="H32" s="596">
        <f>AF34</f>
        <v>0.6</v>
      </c>
      <c r="I32" s="596"/>
      <c r="J32" s="597"/>
      <c r="K32" s="588" t="s">
        <v>1204</v>
      </c>
      <c r="L32" s="589"/>
      <c r="M32" s="589"/>
      <c r="Q32" s="465"/>
      <c r="R32" s="465"/>
      <c r="S32" s="465"/>
      <c r="T32" s="465"/>
      <c r="U32" s="465"/>
      <c r="V32" s="465"/>
      <c r="AE32" s="466"/>
      <c r="AF32" s="466"/>
      <c r="AG32" s="466"/>
      <c r="AH32" s="466"/>
      <c r="AI32" s="466"/>
      <c r="AJ32" s="466"/>
    </row>
    <row r="33" spans="2:36" ht="24.95" customHeight="1">
      <c r="B33" s="557" t="s">
        <v>1199</v>
      </c>
      <c r="C33" s="557"/>
      <c r="D33" s="557"/>
      <c r="E33" s="557"/>
      <c r="F33" s="557"/>
      <c r="G33" s="557"/>
      <c r="H33" s="592">
        <v>2</v>
      </c>
      <c r="I33" s="592"/>
      <c r="J33" s="593"/>
      <c r="K33" s="590" t="s">
        <v>6</v>
      </c>
      <c r="L33" s="591"/>
      <c r="M33" s="591"/>
      <c r="Q33" s="465"/>
      <c r="R33" s="465"/>
      <c r="S33" s="465"/>
      <c r="T33" s="465"/>
      <c r="U33" s="465"/>
      <c r="V33" s="465"/>
      <c r="AE33" s="466" t="s">
        <v>1213</v>
      </c>
      <c r="AF33" s="479">
        <f>Opłacalność!E28</f>
        <v>1.0951363725335668</v>
      </c>
      <c r="AG33" s="466"/>
      <c r="AH33" s="466"/>
      <c r="AI33" s="466"/>
      <c r="AJ33" s="494" t="s">
        <v>1108</v>
      </c>
    </row>
    <row r="34" spans="2:36" ht="24.95" customHeight="1">
      <c r="B34" s="557" t="s">
        <v>1200</v>
      </c>
      <c r="C34" s="557"/>
      <c r="D34" s="557"/>
      <c r="E34" s="557"/>
      <c r="F34" s="557"/>
      <c r="G34" s="557"/>
      <c r="H34" s="592">
        <v>50</v>
      </c>
      <c r="I34" s="592"/>
      <c r="J34" s="593"/>
      <c r="K34" s="590" t="s">
        <v>6</v>
      </c>
      <c r="L34" s="591"/>
      <c r="M34" s="591"/>
      <c r="Q34" s="465"/>
      <c r="R34" s="465"/>
      <c r="S34" s="465"/>
      <c r="T34" s="465"/>
      <c r="U34" s="465"/>
      <c r="V34" s="465"/>
      <c r="AE34" s="466" t="s">
        <v>1198</v>
      </c>
      <c r="AF34" s="479">
        <f>Opłacalność!D22</f>
        <v>0.6</v>
      </c>
      <c r="AG34" s="466"/>
      <c r="AH34" s="466"/>
      <c r="AI34" s="466"/>
      <c r="AJ34" s="495" t="s">
        <v>1265</v>
      </c>
    </row>
    <row r="35" spans="2:36" ht="24.95" customHeight="1">
      <c r="B35" s="557" t="s">
        <v>1201</v>
      </c>
      <c r="C35" s="557"/>
      <c r="D35" s="557"/>
      <c r="E35" s="557"/>
      <c r="F35" s="557"/>
      <c r="G35" s="557"/>
      <c r="H35" s="594">
        <v>3</v>
      </c>
      <c r="I35" s="594"/>
      <c r="J35" s="595"/>
      <c r="K35" s="588" t="s">
        <v>1203</v>
      </c>
      <c r="L35" s="589"/>
      <c r="M35" s="589"/>
      <c r="Q35" s="465"/>
      <c r="R35" s="465"/>
      <c r="S35" s="465"/>
      <c r="T35" s="465"/>
      <c r="U35" s="465"/>
      <c r="V35" s="465"/>
      <c r="AE35" s="466"/>
      <c r="AF35" s="466"/>
      <c r="AG35" s="466"/>
      <c r="AH35" s="466"/>
      <c r="AI35" s="466"/>
      <c r="AJ35" s="476">
        <v>0.12</v>
      </c>
    </row>
    <row r="36" spans="2:36" ht="24.95" customHeight="1">
      <c r="B36" s="557" t="s">
        <v>1154</v>
      </c>
      <c r="C36" s="557"/>
      <c r="D36" s="557"/>
      <c r="E36" s="557"/>
      <c r="F36" s="557"/>
      <c r="G36" s="557"/>
      <c r="H36" s="569" t="s">
        <v>1141</v>
      </c>
      <c r="I36" s="569"/>
      <c r="J36" s="569"/>
      <c r="K36" s="569"/>
      <c r="L36" s="569"/>
      <c r="M36" s="569"/>
      <c r="Q36" s="465"/>
      <c r="R36" s="465"/>
      <c r="W36" s="466"/>
      <c r="X36" s="466"/>
      <c r="AJ36" s="476">
        <v>0.32</v>
      </c>
    </row>
    <row r="37" spans="2:36" ht="24.95" customHeight="1">
      <c r="B37" s="557" t="s">
        <v>1206</v>
      </c>
      <c r="C37" s="557"/>
      <c r="D37" s="557"/>
      <c r="E37" s="557"/>
      <c r="F37" s="557"/>
      <c r="G37" s="557"/>
      <c r="H37" s="594">
        <v>0</v>
      </c>
      <c r="I37" s="594"/>
      <c r="J37" s="595"/>
      <c r="K37" s="588" t="s">
        <v>1207</v>
      </c>
      <c r="L37" s="589"/>
      <c r="M37" s="589"/>
      <c r="Q37" s="465"/>
      <c r="R37" s="465"/>
      <c r="W37" s="466"/>
      <c r="X37" s="466"/>
      <c r="AJ37" s="466"/>
    </row>
    <row r="38" spans="2:36" ht="24.95" customHeight="1">
      <c r="B38" s="557" t="s">
        <v>322</v>
      </c>
      <c r="C38" s="557"/>
      <c r="D38" s="557"/>
      <c r="E38" s="557"/>
      <c r="F38" s="557"/>
      <c r="G38" s="557"/>
      <c r="H38" s="594">
        <v>-20</v>
      </c>
      <c r="I38" s="594"/>
      <c r="J38" s="595"/>
      <c r="K38" s="588" t="s">
        <v>1207</v>
      </c>
      <c r="L38" s="589"/>
      <c r="M38" s="589"/>
      <c r="Q38" s="465"/>
      <c r="R38" s="465"/>
      <c r="W38" s="466"/>
      <c r="X38" s="466"/>
      <c r="AJ38" s="466"/>
    </row>
    <row r="39" spans="2:36" ht="24.95" customHeight="1">
      <c r="Q39" s="465"/>
      <c r="R39" s="465"/>
      <c r="W39" s="466"/>
      <c r="X39" s="466"/>
    </row>
    <row r="40" spans="2:36" ht="24.95" customHeight="1">
      <c r="Q40" s="465"/>
      <c r="R40" s="465"/>
      <c r="W40" s="466"/>
      <c r="X40" s="466"/>
    </row>
    <row r="41" spans="2:36" ht="24.95" customHeight="1">
      <c r="Q41" s="465"/>
      <c r="R41" s="465"/>
      <c r="W41" s="466"/>
      <c r="X41" s="466"/>
    </row>
    <row r="42" spans="2:36" ht="24.95" customHeight="1">
      <c r="B42" s="557" t="s">
        <v>1153</v>
      </c>
      <c r="C42" s="557"/>
      <c r="D42" s="557"/>
      <c r="E42" s="557"/>
      <c r="F42" s="557"/>
      <c r="G42" s="557">
        <f>MROUND(H30,50)/1000</f>
        <v>13.3</v>
      </c>
      <c r="H42" s="557"/>
      <c r="I42" s="557"/>
      <c r="J42" s="599"/>
      <c r="K42" s="556" t="s">
        <v>4</v>
      </c>
      <c r="L42" s="557"/>
      <c r="M42" s="557"/>
      <c r="N42" s="557"/>
      <c r="O42" s="480" t="s">
        <v>1162</v>
      </c>
    </row>
    <row r="43" spans="2:36" ht="24.95" customHeight="1">
      <c r="B43" s="557" t="s">
        <v>1163</v>
      </c>
      <c r="C43" s="557"/>
      <c r="D43" s="557"/>
      <c r="E43" s="557"/>
      <c r="F43" s="557"/>
      <c r="G43" s="555" t="s">
        <v>1275</v>
      </c>
      <c r="H43" s="555"/>
      <c r="I43" s="555"/>
      <c r="J43" s="555"/>
      <c r="K43" s="555"/>
      <c r="L43" s="555"/>
      <c r="M43" s="555"/>
      <c r="N43" s="555"/>
      <c r="O43" s="482">
        <f>ROUNDUP(G42*1000/G61,0)</f>
        <v>24</v>
      </c>
    </row>
    <row r="44" spans="2:36" ht="24.95" customHeight="1">
      <c r="B44" s="557" t="s">
        <v>1214</v>
      </c>
      <c r="C44" s="557"/>
      <c r="D44" s="557"/>
      <c r="E44" s="557"/>
      <c r="F44" s="557"/>
      <c r="G44" s="555" t="s">
        <v>1276</v>
      </c>
      <c r="H44" s="555"/>
      <c r="I44" s="555"/>
      <c r="J44" s="555"/>
      <c r="K44" s="555"/>
      <c r="L44" s="555"/>
      <c r="M44" s="555"/>
      <c r="N44" s="555"/>
      <c r="O44" s="481">
        <v>1</v>
      </c>
    </row>
    <row r="45" spans="2:36" ht="24.95" customHeight="1">
      <c r="B45" s="557" t="s">
        <v>1215</v>
      </c>
      <c r="C45" s="557"/>
      <c r="D45" s="557"/>
      <c r="E45" s="557"/>
      <c r="F45" s="557"/>
      <c r="G45" s="555" t="s">
        <v>1247</v>
      </c>
      <c r="H45" s="555"/>
      <c r="I45" s="555"/>
      <c r="J45" s="555"/>
      <c r="K45" s="555"/>
      <c r="L45" s="555"/>
      <c r="M45" s="555"/>
      <c r="N45" s="555"/>
      <c r="O45" s="481">
        <v>0</v>
      </c>
    </row>
    <row r="46" spans="2:36" ht="24.95" customHeight="1">
      <c r="B46" s="557" t="s">
        <v>1216</v>
      </c>
      <c r="C46" s="557"/>
      <c r="D46" s="557"/>
      <c r="E46" s="557"/>
      <c r="F46" s="557"/>
      <c r="G46" s="555" t="s">
        <v>1247</v>
      </c>
      <c r="H46" s="555"/>
      <c r="I46" s="555"/>
      <c r="J46" s="555"/>
      <c r="K46" s="555"/>
      <c r="L46" s="555"/>
      <c r="M46" s="555"/>
      <c r="N46" s="555"/>
      <c r="O46" s="481">
        <v>0</v>
      </c>
    </row>
    <row r="47" spans="2:36" ht="24.95" customHeight="1">
      <c r="B47" s="557" t="s">
        <v>1217</v>
      </c>
      <c r="C47" s="557"/>
      <c r="D47" s="557"/>
      <c r="E47" s="557"/>
      <c r="F47" s="557"/>
      <c r="G47" s="555" t="s">
        <v>1113</v>
      </c>
      <c r="H47" s="555"/>
      <c r="I47" s="555"/>
      <c r="J47" s="555"/>
      <c r="K47" s="555"/>
      <c r="L47" s="555"/>
      <c r="M47" s="555"/>
      <c r="N47" s="555"/>
      <c r="O47" s="481">
        <v>1</v>
      </c>
    </row>
    <row r="48" spans="2:36" ht="24.95" customHeight="1">
      <c r="B48" s="557" t="s">
        <v>1218</v>
      </c>
      <c r="C48" s="557"/>
      <c r="D48" s="557"/>
      <c r="E48" s="557"/>
      <c r="F48" s="557"/>
      <c r="G48" s="555" t="s">
        <v>468</v>
      </c>
      <c r="H48" s="555"/>
      <c r="I48" s="555"/>
      <c r="J48" s="555"/>
      <c r="K48" s="555"/>
      <c r="L48" s="555"/>
      <c r="M48" s="555"/>
      <c r="N48" s="555"/>
      <c r="O48" s="481">
        <v>10</v>
      </c>
    </row>
    <row r="49" spans="1:17" ht="24.95" customHeight="1">
      <c r="B49" s="557" t="s">
        <v>1219</v>
      </c>
      <c r="C49" s="557"/>
      <c r="D49" s="557"/>
      <c r="E49" s="557"/>
      <c r="F49" s="557"/>
      <c r="G49" s="555" t="s">
        <v>320</v>
      </c>
      <c r="H49" s="555"/>
      <c r="I49" s="555"/>
      <c r="J49" s="555"/>
      <c r="K49" s="555"/>
      <c r="L49" s="555"/>
      <c r="M49" s="555"/>
      <c r="N49" s="555"/>
      <c r="O49" s="481">
        <v>150</v>
      </c>
    </row>
    <row r="50" spans="1:17" ht="24.95" customHeight="1">
      <c r="B50" s="557" t="s">
        <v>1006</v>
      </c>
      <c r="C50" s="557"/>
      <c r="D50" s="557"/>
      <c r="E50" s="557"/>
      <c r="F50" s="557"/>
      <c r="G50" s="555" t="s">
        <v>1138</v>
      </c>
      <c r="H50" s="555"/>
      <c r="I50" s="555"/>
      <c r="J50" s="555"/>
      <c r="K50" s="555"/>
      <c r="L50" s="555"/>
      <c r="M50" s="555"/>
      <c r="N50" s="555"/>
      <c r="O50" s="481">
        <v>1</v>
      </c>
    </row>
    <row r="51" spans="1:17" ht="24.95" customHeight="1">
      <c r="A51" s="464"/>
      <c r="B51" s="557" t="s">
        <v>1220</v>
      </c>
      <c r="C51" s="557"/>
      <c r="D51" s="557"/>
      <c r="E51" s="557"/>
      <c r="F51" s="557"/>
      <c r="G51" s="555" t="s">
        <v>476</v>
      </c>
      <c r="H51" s="555"/>
      <c r="I51" s="555"/>
      <c r="J51" s="555"/>
      <c r="K51" s="555"/>
      <c r="L51" s="555"/>
      <c r="M51" s="555"/>
      <c r="N51" s="555"/>
      <c r="O51" s="481">
        <v>1</v>
      </c>
    </row>
    <row r="52" spans="1:17" ht="24.95" customHeight="1">
      <c r="A52" s="464"/>
      <c r="B52" s="557" t="s">
        <v>1221</v>
      </c>
      <c r="C52" s="557"/>
      <c r="D52" s="557"/>
      <c r="E52" s="557"/>
      <c r="F52" s="557"/>
      <c r="G52" s="555" t="s">
        <v>324</v>
      </c>
      <c r="H52" s="555"/>
      <c r="I52" s="555"/>
      <c r="J52" s="555"/>
      <c r="K52" s="555"/>
      <c r="L52" s="555"/>
      <c r="M52" s="555"/>
      <c r="N52" s="555"/>
      <c r="O52" s="481">
        <v>1</v>
      </c>
    </row>
    <row r="53" spans="1:17" ht="24.95" customHeight="1">
      <c r="B53" s="557" t="s">
        <v>1232</v>
      </c>
      <c r="C53" s="557"/>
      <c r="D53" s="557"/>
      <c r="E53" s="557"/>
      <c r="F53" s="557"/>
      <c r="G53" s="555" t="s">
        <v>1233</v>
      </c>
      <c r="H53" s="555"/>
      <c r="I53" s="555"/>
      <c r="J53" s="555"/>
      <c r="K53" s="555"/>
      <c r="L53" s="555"/>
      <c r="M53" s="555"/>
      <c r="N53" s="555"/>
      <c r="O53" s="481">
        <v>10</v>
      </c>
    </row>
    <row r="56" spans="1:17" ht="24.95" customHeight="1">
      <c r="A56" s="558" t="s">
        <v>1222</v>
      </c>
      <c r="B56" s="558"/>
      <c r="C56" s="558"/>
      <c r="D56" s="558"/>
      <c r="E56" s="558"/>
      <c r="F56" s="558"/>
      <c r="G56" s="558"/>
      <c r="H56" s="558"/>
      <c r="I56" s="558"/>
      <c r="J56" s="558"/>
      <c r="K56" s="558"/>
      <c r="L56" s="558"/>
      <c r="M56" s="558"/>
      <c r="N56" s="558"/>
      <c r="O56" s="558"/>
    </row>
    <row r="57" spans="1:17" ht="24.95" customHeight="1">
      <c r="A57" s="558"/>
      <c r="B57" s="558"/>
      <c r="C57" s="558"/>
      <c r="D57" s="558"/>
      <c r="E57" s="558"/>
      <c r="F57" s="558"/>
      <c r="G57" s="558"/>
      <c r="H57" s="558"/>
      <c r="I57" s="558"/>
      <c r="J57" s="558"/>
      <c r="K57" s="558"/>
      <c r="L57" s="558"/>
      <c r="M57" s="558"/>
      <c r="N57" s="558"/>
      <c r="O57" s="558"/>
    </row>
    <row r="58" spans="1:17" ht="24.95" customHeight="1">
      <c r="A58" s="558"/>
      <c r="B58" s="558"/>
      <c r="C58" s="558"/>
      <c r="D58" s="558"/>
      <c r="E58" s="558"/>
      <c r="F58" s="558"/>
      <c r="G58" s="558"/>
      <c r="H58" s="558"/>
      <c r="I58" s="558"/>
      <c r="J58" s="558"/>
      <c r="K58" s="558"/>
      <c r="L58" s="558"/>
      <c r="M58" s="558"/>
      <c r="N58" s="558"/>
      <c r="O58" s="558"/>
    </row>
    <row r="59" spans="1:17" ht="24.95" customHeight="1">
      <c r="A59" s="464"/>
      <c r="B59" s="464"/>
      <c r="C59" s="464"/>
      <c r="D59" s="464"/>
      <c r="E59" s="464"/>
      <c r="F59" s="464"/>
      <c r="G59" s="464"/>
      <c r="H59" s="464"/>
      <c r="I59" s="464"/>
      <c r="J59" s="464"/>
      <c r="K59" s="464"/>
      <c r="L59" s="464"/>
      <c r="M59" s="464"/>
      <c r="N59" s="464"/>
    </row>
    <row r="60" spans="1:17" ht="24.95" customHeight="1">
      <c r="B60" s="557" t="s">
        <v>1223</v>
      </c>
      <c r="C60" s="557"/>
      <c r="D60" s="557"/>
      <c r="E60" s="557"/>
      <c r="F60" s="557"/>
      <c r="G60" s="555" t="str">
        <f>G43</f>
        <v>TW Solar TW555-MAP M10-144-H</v>
      </c>
      <c r="H60" s="555"/>
      <c r="I60" s="555"/>
      <c r="J60" s="555"/>
      <c r="K60" s="555"/>
      <c r="L60" s="555"/>
      <c r="M60" s="555"/>
      <c r="N60" s="555"/>
      <c r="O60" s="555"/>
    </row>
    <row r="61" spans="1:17" ht="24.95" customHeight="1">
      <c r="B61" s="557" t="s">
        <v>83</v>
      </c>
      <c r="C61" s="557"/>
      <c r="D61" s="557"/>
      <c r="E61" s="557"/>
      <c r="F61" s="557"/>
      <c r="G61" s="561">
        <f>VLOOKUP($G$60,[1]Panele!$A$1:$O$91,3,FALSE)</f>
        <v>555</v>
      </c>
      <c r="H61" s="561"/>
      <c r="I61" s="561"/>
      <c r="J61" s="584"/>
      <c r="K61" s="561" t="s">
        <v>79</v>
      </c>
      <c r="L61" s="561"/>
      <c r="M61" s="561"/>
      <c r="N61" s="561"/>
      <c r="O61" s="561"/>
    </row>
    <row r="62" spans="1:17" ht="24.95" customHeight="1">
      <c r="B62" s="557" t="s">
        <v>257</v>
      </c>
      <c r="C62" s="557"/>
      <c r="D62" s="557"/>
      <c r="E62" s="557"/>
      <c r="F62" s="557"/>
      <c r="G62" s="561">
        <f>VLOOKUP($G$60,[1]Panele!$A$1:$O$91,9,FALSE)</f>
        <v>21.5</v>
      </c>
      <c r="H62" s="561"/>
      <c r="I62" s="561"/>
      <c r="J62" s="584"/>
      <c r="K62" s="561" t="s">
        <v>6</v>
      </c>
      <c r="L62" s="561"/>
      <c r="M62" s="561"/>
      <c r="N62" s="561"/>
      <c r="O62" s="561"/>
    </row>
    <row r="63" spans="1:17" ht="24.95" customHeight="1">
      <c r="B63" s="557" t="s">
        <v>1159</v>
      </c>
      <c r="C63" s="557"/>
      <c r="D63" s="557"/>
      <c r="E63" s="557"/>
      <c r="F63" s="557"/>
      <c r="G63" s="561">
        <f>VLOOKUP($G$60,[1]Panele!$A$1:$O$91,4,FALSE)</f>
        <v>12</v>
      </c>
      <c r="H63" s="561"/>
      <c r="I63" s="561"/>
      <c r="J63" s="584"/>
      <c r="K63" s="561" t="s">
        <v>295</v>
      </c>
      <c r="L63" s="561"/>
      <c r="M63" s="561"/>
      <c r="N63" s="561"/>
      <c r="O63" s="561"/>
      <c r="P63" s="477"/>
      <c r="Q63" s="465"/>
    </row>
    <row r="64" spans="1:17" ht="24.95" customHeight="1">
      <c r="B64" s="557" t="s">
        <v>1224</v>
      </c>
      <c r="C64" s="557"/>
      <c r="D64" s="557"/>
      <c r="E64" s="557"/>
      <c r="F64" s="557"/>
      <c r="G64" s="561">
        <v>30</v>
      </c>
      <c r="H64" s="561"/>
      <c r="I64" s="561"/>
      <c r="J64" s="584"/>
      <c r="K64" s="561" t="s">
        <v>295</v>
      </c>
      <c r="L64" s="561"/>
      <c r="M64" s="561"/>
      <c r="N64" s="561"/>
      <c r="O64" s="561"/>
    </row>
    <row r="65" spans="1:15" ht="24.95" customHeight="1">
      <c r="B65" s="557" t="s">
        <v>1225</v>
      </c>
      <c r="C65" s="557"/>
      <c r="D65" s="557"/>
      <c r="E65" s="557"/>
      <c r="F65" s="557"/>
      <c r="G65" s="561">
        <f>VLOOKUP($G$60,[1]Panele!$A$1:$O$91,5,FALSE)</f>
        <v>0.55000000000000004</v>
      </c>
      <c r="H65" s="561"/>
      <c r="I65" s="561"/>
      <c r="J65" s="584"/>
      <c r="K65" s="561" t="s">
        <v>8</v>
      </c>
      <c r="L65" s="561"/>
      <c r="M65" s="561"/>
      <c r="N65" s="561"/>
      <c r="O65" s="561"/>
    </row>
    <row r="66" spans="1:15" ht="24.95" customHeight="1">
      <c r="B66" s="556"/>
      <c r="C66" s="557"/>
      <c r="D66" s="557"/>
      <c r="E66" s="557"/>
      <c r="F66" s="599"/>
      <c r="G66" s="484"/>
      <c r="H66" s="484"/>
      <c r="I66" s="485"/>
      <c r="J66" s="485"/>
      <c r="K66" s="586"/>
      <c r="L66" s="586"/>
      <c r="M66" s="586"/>
      <c r="N66" s="586"/>
    </row>
    <row r="67" spans="1:15" ht="24.95" customHeight="1">
      <c r="B67" s="557" t="s">
        <v>1227</v>
      </c>
      <c r="C67" s="557"/>
      <c r="D67" s="557"/>
      <c r="E67" s="557"/>
      <c r="F67" s="557"/>
      <c r="G67" s="601">
        <f>G61*O43/1000</f>
        <v>13.32</v>
      </c>
      <c r="H67" s="602"/>
      <c r="I67" s="602"/>
      <c r="J67" s="602"/>
      <c r="K67" s="561" t="s">
        <v>4</v>
      </c>
      <c r="L67" s="561"/>
      <c r="M67" s="561"/>
      <c r="N67" s="561"/>
      <c r="O67" s="561"/>
    </row>
    <row r="70" spans="1:15" ht="24.95" customHeight="1">
      <c r="A70" s="558" t="s">
        <v>1226</v>
      </c>
      <c r="B70" s="558"/>
      <c r="C70" s="558"/>
      <c r="D70" s="558"/>
      <c r="E70" s="558"/>
      <c r="F70" s="558"/>
      <c r="G70" s="558"/>
      <c r="H70" s="558"/>
      <c r="I70" s="558"/>
      <c r="J70" s="558"/>
      <c r="K70" s="558"/>
      <c r="L70" s="558"/>
      <c r="M70" s="558"/>
      <c r="N70" s="558"/>
      <c r="O70" s="558"/>
    </row>
    <row r="71" spans="1:15" ht="24.95" customHeight="1">
      <c r="A71" s="558"/>
      <c r="B71" s="558"/>
      <c r="C71" s="558"/>
      <c r="D71" s="558"/>
      <c r="E71" s="558"/>
      <c r="F71" s="558"/>
      <c r="G71" s="558"/>
      <c r="H71" s="558"/>
      <c r="I71" s="558"/>
      <c r="J71" s="558"/>
      <c r="K71" s="558"/>
      <c r="L71" s="558"/>
      <c r="M71" s="558"/>
      <c r="N71" s="558"/>
      <c r="O71" s="558"/>
    </row>
    <row r="72" spans="1:15" ht="24.95" customHeight="1">
      <c r="A72" s="558"/>
      <c r="B72" s="558"/>
      <c r="C72" s="558"/>
      <c r="D72" s="558"/>
      <c r="E72" s="558"/>
      <c r="F72" s="558"/>
      <c r="G72" s="558"/>
      <c r="H72" s="558"/>
      <c r="I72" s="558"/>
      <c r="J72" s="558"/>
      <c r="K72" s="558"/>
      <c r="L72" s="558"/>
      <c r="M72" s="558"/>
      <c r="N72" s="558"/>
      <c r="O72" s="558"/>
    </row>
    <row r="73" spans="1:15" ht="24.95" customHeight="1">
      <c r="B73" s="464"/>
      <c r="C73" s="464"/>
      <c r="D73" s="464"/>
    </row>
    <row r="74" spans="1:15" ht="24.95" customHeight="1">
      <c r="B74" s="585" t="s">
        <v>1223</v>
      </c>
      <c r="C74" s="585"/>
      <c r="D74" s="585"/>
      <c r="E74" s="585"/>
      <c r="F74" s="585"/>
      <c r="G74" s="555" t="str">
        <f>$G$44</f>
        <v>Sofar 12KTLX-G3</v>
      </c>
      <c r="H74" s="555"/>
      <c r="I74" s="555"/>
      <c r="J74" s="555"/>
      <c r="K74" s="555"/>
      <c r="L74" s="555"/>
      <c r="M74" s="555"/>
      <c r="N74" s="555"/>
      <c r="O74" s="483"/>
    </row>
    <row r="75" spans="1:15" ht="24.95" customHeight="1">
      <c r="B75" s="585" t="s">
        <v>1228</v>
      </c>
      <c r="C75" s="585"/>
      <c r="D75" s="585"/>
      <c r="E75" s="585"/>
      <c r="F75" s="585"/>
      <c r="G75" s="561">
        <f>VLOOKUP($G$74,[1]Inwerter!$A$2:$T$90,15,FALSE)</f>
        <v>12</v>
      </c>
      <c r="H75" s="561"/>
      <c r="I75" s="561"/>
      <c r="J75" s="584"/>
      <c r="K75" s="568" t="s">
        <v>295</v>
      </c>
      <c r="L75" s="552"/>
      <c r="M75" s="552"/>
      <c r="N75" s="552"/>
      <c r="O75" s="483"/>
    </row>
    <row r="76" spans="1:15" ht="24.95" customHeight="1">
      <c r="B76" s="585" t="s">
        <v>257</v>
      </c>
      <c r="C76" s="585"/>
      <c r="D76" s="585"/>
      <c r="E76" s="585"/>
      <c r="F76" s="585"/>
      <c r="G76" s="561">
        <f>VLOOKUP($G$74,[1]Inwerter!$A$2:$X$105,3,FALSE)</f>
        <v>0</v>
      </c>
      <c r="H76" s="561"/>
      <c r="I76" s="561"/>
      <c r="J76" s="584"/>
      <c r="K76" s="587" t="s">
        <v>6</v>
      </c>
      <c r="L76" s="561"/>
      <c r="M76" s="561"/>
      <c r="N76" s="561"/>
      <c r="O76" s="483"/>
    </row>
    <row r="77" spans="1:15" ht="24.95" customHeight="1">
      <c r="B77" s="585" t="s">
        <v>1229</v>
      </c>
      <c r="C77" s="585"/>
      <c r="D77" s="585"/>
      <c r="E77" s="585"/>
      <c r="F77" s="585"/>
      <c r="G77" s="561">
        <f>VLOOKUP($G$74,[1]Inwerter!$A$2:$X$105,11,FALSE)</f>
        <v>18000</v>
      </c>
      <c r="H77" s="561"/>
      <c r="I77" s="561"/>
      <c r="J77" s="584"/>
      <c r="K77" s="587" t="s">
        <v>79</v>
      </c>
      <c r="L77" s="561"/>
      <c r="M77" s="561"/>
      <c r="N77" s="561"/>
      <c r="O77" s="483"/>
    </row>
    <row r="78" spans="1:15" ht="24.95" customHeight="1">
      <c r="B78" s="585" t="s">
        <v>1230</v>
      </c>
      <c r="C78" s="585"/>
      <c r="D78" s="585"/>
      <c r="E78" s="585"/>
      <c r="F78" s="585"/>
      <c r="G78" s="561">
        <f>VLOOKUP($G$74,[1]Inwerter!$A$2:$X$88,20,FALSE)</f>
        <v>160</v>
      </c>
      <c r="H78" s="561"/>
      <c r="I78" s="561"/>
      <c r="J78" s="584"/>
      <c r="K78" s="587" t="s">
        <v>233</v>
      </c>
      <c r="L78" s="561"/>
      <c r="M78" s="561"/>
      <c r="N78" s="561"/>
      <c r="O78" s="483"/>
    </row>
    <row r="79" spans="1:15" ht="24.95" customHeight="1">
      <c r="B79" s="585" t="s">
        <v>1231</v>
      </c>
      <c r="C79" s="585"/>
      <c r="D79" s="585"/>
      <c r="E79" s="585"/>
      <c r="F79" s="585"/>
      <c r="G79" s="561">
        <f>VLOOKUP(G74,[1]Inwerter!$A$2:$X$88,14,FALSE)</f>
        <v>20</v>
      </c>
      <c r="H79" s="561"/>
      <c r="I79" s="561"/>
      <c r="J79" s="584"/>
      <c r="K79" s="568" t="s">
        <v>275</v>
      </c>
      <c r="L79" s="552"/>
      <c r="M79" s="552"/>
      <c r="N79" s="552"/>
      <c r="O79" s="483"/>
    </row>
    <row r="82" spans="1:15" ht="24.95" customHeight="1">
      <c r="A82" s="558" t="s">
        <v>1234</v>
      </c>
      <c r="B82" s="558"/>
      <c r="C82" s="558"/>
      <c r="D82" s="558"/>
      <c r="E82" s="558"/>
      <c r="F82" s="558"/>
      <c r="G82" s="558"/>
      <c r="H82" s="558"/>
      <c r="I82" s="558"/>
      <c r="J82" s="558"/>
      <c r="K82" s="558"/>
      <c r="L82" s="558"/>
      <c r="M82" s="558"/>
      <c r="N82" s="558"/>
      <c r="O82" s="558"/>
    </row>
    <row r="83" spans="1:15" ht="24.95" customHeight="1">
      <c r="A83" s="558"/>
      <c r="B83" s="558"/>
      <c r="C83" s="558"/>
      <c r="D83" s="558"/>
      <c r="E83" s="558"/>
      <c r="F83" s="558"/>
      <c r="G83" s="558"/>
      <c r="H83" s="558"/>
      <c r="I83" s="558"/>
      <c r="J83" s="558"/>
      <c r="K83" s="558"/>
      <c r="L83" s="558"/>
      <c r="M83" s="558"/>
      <c r="N83" s="558"/>
      <c r="O83" s="558"/>
    </row>
    <row r="84" spans="1:15" ht="24.95" customHeight="1">
      <c r="A84" s="558"/>
      <c r="B84" s="558"/>
      <c r="C84" s="558"/>
      <c r="D84" s="558"/>
      <c r="E84" s="558"/>
      <c r="F84" s="558"/>
      <c r="G84" s="558"/>
      <c r="H84" s="558"/>
      <c r="I84" s="558"/>
      <c r="J84" s="558"/>
      <c r="K84" s="558"/>
      <c r="L84" s="558"/>
      <c r="M84" s="558"/>
      <c r="N84" s="558"/>
      <c r="O84" s="558"/>
    </row>
    <row r="85" spans="1:15" ht="24.75" customHeight="1"/>
    <row r="86" spans="1:15" ht="34.5" customHeight="1">
      <c r="A86" s="481" t="s">
        <v>1243</v>
      </c>
      <c r="B86" s="555" t="s">
        <v>213</v>
      </c>
      <c r="C86" s="555"/>
      <c r="D86" s="555"/>
      <c r="E86" s="555"/>
      <c r="F86" s="555"/>
      <c r="G86" s="555"/>
      <c r="H86" s="555"/>
      <c r="I86" s="555"/>
      <c r="J86" s="555"/>
      <c r="K86" s="481" t="s">
        <v>1244</v>
      </c>
      <c r="L86" s="598" t="s">
        <v>1245</v>
      </c>
      <c r="M86" s="598"/>
      <c r="N86" s="555" t="s">
        <v>1246</v>
      </c>
      <c r="O86" s="555"/>
    </row>
    <row r="87" spans="1:15" ht="24.95" customHeight="1">
      <c r="A87" s="481">
        <v>1</v>
      </c>
      <c r="B87" s="552" t="s">
        <v>1163</v>
      </c>
      <c r="C87" s="552"/>
      <c r="D87" s="552"/>
      <c r="E87" s="555" t="str">
        <f>G43</f>
        <v>TW Solar TW555-MAP M10-144-H</v>
      </c>
      <c r="F87" s="555"/>
      <c r="G87" s="555"/>
      <c r="H87" s="555"/>
      <c r="I87" s="555"/>
      <c r="J87" s="555"/>
      <c r="K87" s="482">
        <f>O43</f>
        <v>24</v>
      </c>
      <c r="L87" s="559">
        <f>'[1]wycena PV'!$H$2</f>
        <v>516</v>
      </c>
      <c r="M87" s="560"/>
      <c r="N87" s="559">
        <f>K87*L87</f>
        <v>12384</v>
      </c>
      <c r="O87" s="560"/>
    </row>
    <row r="88" spans="1:15" ht="24.95" customHeight="1">
      <c r="A88" s="481">
        <v>2</v>
      </c>
      <c r="B88" s="552" t="s">
        <v>198</v>
      </c>
      <c r="C88" s="552"/>
      <c r="D88" s="552"/>
      <c r="E88" s="555" t="str">
        <f>$G$44</f>
        <v>Sofar 12KTLX-G3</v>
      </c>
      <c r="F88" s="555"/>
      <c r="G88" s="555"/>
      <c r="H88" s="555"/>
      <c r="I88" s="555"/>
      <c r="J88" s="555"/>
      <c r="K88" s="481">
        <f>O44</f>
        <v>1</v>
      </c>
      <c r="L88" s="559">
        <f>'[1]wycena PV'!$H$3</f>
        <v>4716</v>
      </c>
      <c r="M88" s="560"/>
      <c r="N88" s="559">
        <f t="shared" ref="N88:N105" si="0">K88*L88</f>
        <v>4716</v>
      </c>
      <c r="O88" s="560"/>
    </row>
    <row r="89" spans="1:15" ht="24.95" customHeight="1">
      <c r="A89" s="481">
        <v>3</v>
      </c>
      <c r="B89" s="552" t="s">
        <v>1215</v>
      </c>
      <c r="C89" s="552"/>
      <c r="D89" s="552"/>
      <c r="E89" s="555" t="str">
        <f>G45</f>
        <v>---------</v>
      </c>
      <c r="F89" s="555"/>
      <c r="G89" s="555"/>
      <c r="H89" s="555"/>
      <c r="I89" s="555"/>
      <c r="J89" s="555"/>
      <c r="K89" s="481">
        <f>O45</f>
        <v>0</v>
      </c>
      <c r="L89" s="559">
        <f>[1]Arkusz1!$L$4</f>
        <v>0</v>
      </c>
      <c r="M89" s="560"/>
      <c r="N89" s="559">
        <f t="shared" si="0"/>
        <v>0</v>
      </c>
      <c r="O89" s="560"/>
    </row>
    <row r="90" spans="1:15" ht="24.95" customHeight="1">
      <c r="A90" s="481">
        <v>4</v>
      </c>
      <c r="B90" s="552" t="s">
        <v>1216</v>
      </c>
      <c r="C90" s="552"/>
      <c r="D90" s="552"/>
      <c r="E90" s="555" t="str">
        <f>$G$46</f>
        <v>---------</v>
      </c>
      <c r="F90" s="555"/>
      <c r="G90" s="555"/>
      <c r="H90" s="555"/>
      <c r="I90" s="555"/>
      <c r="J90" s="555"/>
      <c r="K90" s="481">
        <f>O46</f>
        <v>0</v>
      </c>
      <c r="L90" s="559">
        <f>[1]Arkusz1!$L$5</f>
        <v>0</v>
      </c>
      <c r="M90" s="560"/>
      <c r="N90" s="559">
        <f t="shared" si="0"/>
        <v>0</v>
      </c>
      <c r="O90" s="560"/>
    </row>
    <row r="91" spans="1:15" ht="24.95" customHeight="1">
      <c r="A91" s="481">
        <v>5</v>
      </c>
      <c r="B91" s="552" t="s">
        <v>201</v>
      </c>
      <c r="C91" s="552"/>
      <c r="D91" s="552"/>
      <c r="E91" s="555" t="str">
        <f>$H$36</f>
        <v>Blacha trapezowa</v>
      </c>
      <c r="F91" s="555"/>
      <c r="G91" s="555"/>
      <c r="H91" s="555"/>
      <c r="I91" s="555"/>
      <c r="J91" s="555"/>
      <c r="K91" s="482">
        <f>O43</f>
        <v>24</v>
      </c>
      <c r="L91" s="559">
        <f>[1]Arkusz1!$L$6</f>
        <v>75.599999999999994</v>
      </c>
      <c r="M91" s="560"/>
      <c r="N91" s="559">
        <f t="shared" si="0"/>
        <v>1814.3999999999999</v>
      </c>
      <c r="O91" s="560"/>
    </row>
    <row r="92" spans="1:15" ht="24.95" customHeight="1">
      <c r="A92" s="481">
        <v>6</v>
      </c>
      <c r="B92" s="552" t="s">
        <v>1237</v>
      </c>
      <c r="C92" s="552"/>
      <c r="D92" s="552"/>
      <c r="E92" s="555" t="str">
        <f>$G$48</f>
        <v>Przewód AC 5x4mm2</v>
      </c>
      <c r="F92" s="555"/>
      <c r="G92" s="555"/>
      <c r="H92" s="555"/>
      <c r="I92" s="555"/>
      <c r="J92" s="555"/>
      <c r="K92" s="481">
        <f>O48</f>
        <v>10</v>
      </c>
      <c r="L92" s="559">
        <f>[1]Arkusz1!$L$7</f>
        <v>14.399999999999999</v>
      </c>
      <c r="M92" s="560"/>
      <c r="N92" s="559">
        <f t="shared" si="0"/>
        <v>144</v>
      </c>
      <c r="O92" s="560"/>
    </row>
    <row r="93" spans="1:15" ht="24.95" customHeight="1">
      <c r="A93" s="481">
        <v>7</v>
      </c>
      <c r="B93" s="552" t="s">
        <v>1219</v>
      </c>
      <c r="C93" s="552"/>
      <c r="D93" s="552"/>
      <c r="E93" s="555" t="str">
        <f>$G$49</f>
        <v>Przewód DC 4mm2</v>
      </c>
      <c r="F93" s="555"/>
      <c r="G93" s="555"/>
      <c r="H93" s="555"/>
      <c r="I93" s="555"/>
      <c r="J93" s="555"/>
      <c r="K93" s="481">
        <f>O49</f>
        <v>150</v>
      </c>
      <c r="L93" s="559">
        <f>[1]Arkusz1!$L$8</f>
        <v>4.2</v>
      </c>
      <c r="M93" s="560"/>
      <c r="N93" s="559">
        <f t="shared" si="0"/>
        <v>630</v>
      </c>
      <c r="O93" s="560"/>
    </row>
    <row r="94" spans="1:15" ht="24.95" customHeight="1">
      <c r="A94" s="481">
        <v>8</v>
      </c>
      <c r="B94" s="552" t="s">
        <v>1235</v>
      </c>
      <c r="C94" s="552"/>
      <c r="D94" s="552"/>
      <c r="E94" s="555" t="str">
        <f>$G$50</f>
        <v>Skrzynka z ogranicznikiem przepięć AC 3-F typu T1+T2</v>
      </c>
      <c r="F94" s="555"/>
      <c r="G94" s="555"/>
      <c r="H94" s="555"/>
      <c r="I94" s="555"/>
      <c r="J94" s="555"/>
      <c r="K94" s="481">
        <f>O50</f>
        <v>1</v>
      </c>
      <c r="L94" s="559">
        <f>[1]Arkusz1!$L$9</f>
        <v>600</v>
      </c>
      <c r="M94" s="560"/>
      <c r="N94" s="559">
        <f t="shared" si="0"/>
        <v>600</v>
      </c>
      <c r="O94" s="560"/>
    </row>
    <row r="95" spans="1:15" ht="24.95" customHeight="1">
      <c r="A95" s="481">
        <v>9</v>
      </c>
      <c r="B95" s="552" t="s">
        <v>1236</v>
      </c>
      <c r="C95" s="552"/>
      <c r="D95" s="552"/>
      <c r="E95" s="555" t="str">
        <f>$G$51</f>
        <v>Skrzynka przepięciowa 2 łańcuchy DC 1000V</v>
      </c>
      <c r="F95" s="555"/>
      <c r="G95" s="555"/>
      <c r="H95" s="555"/>
      <c r="I95" s="555"/>
      <c r="J95" s="555"/>
      <c r="K95" s="481">
        <f>O51</f>
        <v>1</v>
      </c>
      <c r="L95" s="559">
        <f>[1]Arkusz1!$L$10</f>
        <v>912</v>
      </c>
      <c r="M95" s="560"/>
      <c r="N95" s="559">
        <f t="shared" si="0"/>
        <v>912</v>
      </c>
      <c r="O95" s="560"/>
    </row>
    <row r="96" spans="1:15" ht="24.95" customHeight="1">
      <c r="A96" s="481">
        <v>10</v>
      </c>
      <c r="B96" s="552" t="s">
        <v>1239</v>
      </c>
      <c r="C96" s="552"/>
      <c r="D96" s="552"/>
      <c r="E96" s="555" t="str">
        <f>IF($O$47=0,"----------",$G$47)</f>
        <v>Rozłącznik ppoż PROJOY 2-stringi</v>
      </c>
      <c r="F96" s="555"/>
      <c r="G96" s="555"/>
      <c r="H96" s="555"/>
      <c r="I96" s="555"/>
      <c r="J96" s="555"/>
      <c r="K96" s="481">
        <f>O47</f>
        <v>1</v>
      </c>
      <c r="L96" s="559">
        <f>IF($O$47=0,0,[1]Arkusz1!$L$11)</f>
        <v>900</v>
      </c>
      <c r="M96" s="560"/>
      <c r="N96" s="559">
        <f t="shared" si="0"/>
        <v>900</v>
      </c>
      <c r="O96" s="560"/>
    </row>
    <row r="97" spans="1:25" ht="24.95" customHeight="1">
      <c r="A97" s="481">
        <v>12</v>
      </c>
      <c r="B97" s="552" t="s">
        <v>1232</v>
      </c>
      <c r="C97" s="552"/>
      <c r="D97" s="552"/>
      <c r="E97" s="555" t="str">
        <f>G53</f>
        <v>MC4+/MC4-</v>
      </c>
      <c r="F97" s="555"/>
      <c r="G97" s="555"/>
      <c r="H97" s="555"/>
      <c r="I97" s="555"/>
      <c r="J97" s="555"/>
      <c r="K97" s="481">
        <f>O53</f>
        <v>10</v>
      </c>
      <c r="L97" s="559">
        <f>[1]Arkusz1!$L$12</f>
        <v>13.44</v>
      </c>
      <c r="M97" s="560"/>
      <c r="N97" s="559">
        <f t="shared" si="0"/>
        <v>134.4</v>
      </c>
      <c r="O97" s="560"/>
    </row>
    <row r="98" spans="1:25" ht="24.95" customHeight="1">
      <c r="A98" s="481">
        <v>13</v>
      </c>
      <c r="B98" s="575" t="s">
        <v>219</v>
      </c>
      <c r="C98" s="576"/>
      <c r="D98" s="577"/>
      <c r="E98" s="555" t="s">
        <v>1247</v>
      </c>
      <c r="F98" s="555"/>
      <c r="G98" s="555"/>
      <c r="H98" s="555"/>
      <c r="I98" s="555"/>
      <c r="J98" s="555"/>
      <c r="K98" s="481">
        <v>0</v>
      </c>
      <c r="L98" s="559">
        <f>IF(K98&gt;0,[1]Arkusz1!L13,0)</f>
        <v>0</v>
      </c>
      <c r="M98" s="560"/>
      <c r="N98" s="559">
        <f t="shared" si="0"/>
        <v>0</v>
      </c>
      <c r="O98" s="560"/>
    </row>
    <row r="99" spans="1:25" ht="24.95" customHeight="1">
      <c r="A99" s="481">
        <v>14</v>
      </c>
      <c r="B99" s="578"/>
      <c r="C99" s="579"/>
      <c r="D99" s="580"/>
      <c r="E99" s="555" t="s">
        <v>1247</v>
      </c>
      <c r="F99" s="555"/>
      <c r="G99" s="555"/>
      <c r="H99" s="555"/>
      <c r="I99" s="555"/>
      <c r="J99" s="555"/>
      <c r="K99" s="481">
        <v>0</v>
      </c>
      <c r="L99" s="559">
        <f>IF(K99&gt;0,[1]Arkusz1!L14,0)</f>
        <v>0</v>
      </c>
      <c r="M99" s="560"/>
      <c r="N99" s="559">
        <f t="shared" si="0"/>
        <v>0</v>
      </c>
      <c r="O99" s="560"/>
    </row>
    <row r="100" spans="1:25" ht="24.95" customHeight="1">
      <c r="A100" s="481">
        <v>15</v>
      </c>
      <c r="B100" s="578"/>
      <c r="C100" s="579"/>
      <c r="D100" s="580"/>
      <c r="E100" s="555" t="s">
        <v>1247</v>
      </c>
      <c r="F100" s="555"/>
      <c r="G100" s="555"/>
      <c r="H100" s="555"/>
      <c r="I100" s="555"/>
      <c r="J100" s="555"/>
      <c r="K100" s="481">
        <v>0</v>
      </c>
      <c r="L100" s="559">
        <f>IF(K100&gt;0,[1]Arkusz1!L15,0)</f>
        <v>0</v>
      </c>
      <c r="M100" s="560"/>
      <c r="N100" s="559">
        <f t="shared" si="0"/>
        <v>0</v>
      </c>
      <c r="O100" s="560"/>
    </row>
    <row r="101" spans="1:25" ht="24.95" customHeight="1">
      <c r="A101" s="481">
        <v>16</v>
      </c>
      <c r="B101" s="578"/>
      <c r="C101" s="579"/>
      <c r="D101" s="580"/>
      <c r="E101" s="555" t="s">
        <v>1247</v>
      </c>
      <c r="F101" s="555"/>
      <c r="G101" s="555"/>
      <c r="H101" s="555"/>
      <c r="I101" s="555"/>
      <c r="J101" s="555"/>
      <c r="K101" s="481">
        <v>0</v>
      </c>
      <c r="L101" s="559">
        <f>IF(K101&gt;0,[1]Arkusz1!L16,0)</f>
        <v>0</v>
      </c>
      <c r="M101" s="560"/>
      <c r="N101" s="559">
        <f t="shared" si="0"/>
        <v>0</v>
      </c>
      <c r="O101" s="560"/>
    </row>
    <row r="102" spans="1:25" ht="24.95" customHeight="1">
      <c r="A102" s="481">
        <v>17</v>
      </c>
      <c r="B102" s="581"/>
      <c r="C102" s="582"/>
      <c r="D102" s="583"/>
      <c r="E102" s="555" t="s">
        <v>1248</v>
      </c>
      <c r="F102" s="555"/>
      <c r="G102" s="555"/>
      <c r="H102" s="555"/>
      <c r="I102" s="555"/>
      <c r="J102" s="555"/>
      <c r="K102" s="481">
        <v>0</v>
      </c>
      <c r="L102" s="559">
        <f>IF(K102&gt;0,[1]Arkusz1!L17,0)</f>
        <v>0</v>
      </c>
      <c r="M102" s="560"/>
      <c r="N102" s="559">
        <f t="shared" si="0"/>
        <v>0</v>
      </c>
      <c r="O102" s="560"/>
    </row>
    <row r="103" spans="1:25" ht="24.95" customHeight="1">
      <c r="A103" s="481">
        <v>11</v>
      </c>
      <c r="B103" s="549" t="s">
        <v>1240</v>
      </c>
      <c r="C103" s="550"/>
      <c r="D103" s="550"/>
      <c r="E103" s="550"/>
      <c r="F103" s="550"/>
      <c r="G103" s="550"/>
      <c r="H103" s="550"/>
      <c r="I103" s="550"/>
      <c r="J103" s="551"/>
      <c r="K103" s="481">
        <f>O52</f>
        <v>1</v>
      </c>
      <c r="L103" s="559">
        <f>[1]Arkusz1!$L$18</f>
        <v>600</v>
      </c>
      <c r="M103" s="560"/>
      <c r="N103" s="559">
        <f t="shared" si="0"/>
        <v>600</v>
      </c>
      <c r="O103" s="560"/>
    </row>
    <row r="104" spans="1:25" ht="24.95" customHeight="1">
      <c r="A104" s="481">
        <v>18</v>
      </c>
      <c r="B104" s="555" t="s">
        <v>1238</v>
      </c>
      <c r="C104" s="555"/>
      <c r="D104" s="555"/>
      <c r="E104" s="555"/>
      <c r="F104" s="555"/>
      <c r="G104" s="555"/>
      <c r="H104" s="555"/>
      <c r="I104" s="555"/>
      <c r="J104" s="555"/>
      <c r="K104" s="490">
        <f>G67</f>
        <v>13.32</v>
      </c>
      <c r="L104" s="559">
        <f>[1]Arkusz1!$L$19</f>
        <v>816</v>
      </c>
      <c r="M104" s="560"/>
      <c r="N104" s="559">
        <f t="shared" si="0"/>
        <v>10869.12</v>
      </c>
      <c r="O104" s="560"/>
    </row>
    <row r="105" spans="1:25" ht="24.95" customHeight="1">
      <c r="A105" s="481">
        <v>19</v>
      </c>
      <c r="B105" s="555" t="s">
        <v>208</v>
      </c>
      <c r="C105" s="555"/>
      <c r="D105" s="555"/>
      <c r="E105" s="555"/>
      <c r="F105" s="555"/>
      <c r="G105" s="555"/>
      <c r="H105" s="555"/>
      <c r="I105" s="555"/>
      <c r="J105" s="555"/>
      <c r="K105" s="481"/>
      <c r="L105" s="559">
        <f>[1]Arkusz1!$L$20</f>
        <v>12</v>
      </c>
      <c r="M105" s="560"/>
      <c r="N105" s="559">
        <f t="shared" si="0"/>
        <v>0</v>
      </c>
      <c r="O105" s="560"/>
    </row>
    <row r="106" spans="1:25" ht="24.95" customHeight="1">
      <c r="A106" s="481">
        <v>20</v>
      </c>
      <c r="B106" s="555" t="s">
        <v>1241</v>
      </c>
      <c r="C106" s="555"/>
      <c r="D106" s="555"/>
      <c r="E106" s="555"/>
      <c r="F106" s="555"/>
      <c r="G106" s="555"/>
      <c r="H106" s="555"/>
      <c r="I106" s="555"/>
      <c r="J106" s="555"/>
      <c r="K106" s="481"/>
      <c r="L106" s="553"/>
      <c r="M106" s="553"/>
      <c r="N106" s="559">
        <v>0.22</v>
      </c>
      <c r="O106" s="560"/>
    </row>
    <row r="107" spans="1:25" ht="24.95" customHeight="1">
      <c r="J107" s="555" t="s">
        <v>1249</v>
      </c>
      <c r="K107" s="555"/>
      <c r="L107" s="555"/>
      <c r="M107" s="555"/>
      <c r="N107" s="553">
        <f>SUM(N87:O105)-N106</f>
        <v>33703.700000000004</v>
      </c>
      <c r="O107" s="553"/>
    </row>
    <row r="108" spans="1:25" ht="24.95" customHeight="1">
      <c r="J108" s="555" t="s">
        <v>1195</v>
      </c>
      <c r="K108" s="555"/>
      <c r="L108" s="554">
        <f>$AD$28</f>
        <v>0.08</v>
      </c>
      <c r="M108" s="554"/>
      <c r="N108" s="553">
        <f>N107*L108</f>
        <v>2696.2960000000003</v>
      </c>
      <c r="O108" s="553"/>
      <c r="X108" s="492" t="s">
        <v>1251</v>
      </c>
      <c r="Y108" s="486" t="s">
        <v>1252</v>
      </c>
    </row>
    <row r="109" spans="1:25" ht="24.95" customHeight="1">
      <c r="J109" s="549" t="s">
        <v>1250</v>
      </c>
      <c r="K109" s="550"/>
      <c r="L109" s="550"/>
      <c r="M109" s="551"/>
      <c r="N109" s="553">
        <f>N107+N108</f>
        <v>36399.996000000006</v>
      </c>
      <c r="O109" s="553"/>
      <c r="X109" s="493">
        <f>VLOOKUP('Dane wejściowe'!$H$37,[1]inne!$T$3:$AM$21,MATCH('Dane wejściowe'!$H$38,[1]inne!$T$2:$AM$2,0),FALSE)</f>
        <v>1</v>
      </c>
      <c r="Y109" s="486">
        <f>(0.9+'Dane wejściowe'!$G$62/950)</f>
        <v>0.92263157894736847</v>
      </c>
    </row>
    <row r="110" spans="1:25" ht="36.75" customHeight="1">
      <c r="J110" s="555" t="s">
        <v>21</v>
      </c>
      <c r="K110" s="555"/>
      <c r="L110" s="598" t="s">
        <v>1265</v>
      </c>
      <c r="M110" s="598"/>
      <c r="N110" s="559">
        <f>VLOOKUP($L$110,$AJ$25:$AK$31,2,FALSE)</f>
        <v>0</v>
      </c>
      <c r="O110" s="560"/>
    </row>
    <row r="111" spans="1:25" ht="35.25" customHeight="1">
      <c r="J111" s="598" t="s">
        <v>1108</v>
      </c>
      <c r="K111" s="598"/>
      <c r="L111" s="605" t="s">
        <v>1265</v>
      </c>
      <c r="M111" s="605"/>
      <c r="N111" s="559">
        <f>IF($L$111="----------",0,($N$109-$N$110)*$L$111)</f>
        <v>0</v>
      </c>
      <c r="O111" s="560"/>
      <c r="Q111" s="466" t="e">
        <f>$N$109-$N$110*$L$111</f>
        <v>#VALUE!</v>
      </c>
    </row>
    <row r="112" spans="1:25" ht="24.95" customHeight="1">
      <c r="J112" s="549" t="s">
        <v>1264</v>
      </c>
      <c r="K112" s="550"/>
      <c r="L112" s="550"/>
      <c r="M112" s="551"/>
      <c r="N112" s="559">
        <f>IF($H$28="firma",N107-N110,N109-N110-N111)</f>
        <v>36399.996000000006</v>
      </c>
      <c r="O112" s="560"/>
    </row>
    <row r="113" spans="2:22" ht="24.95" customHeight="1">
      <c r="J113" s="576" t="s">
        <v>1266</v>
      </c>
      <c r="K113" s="576"/>
      <c r="L113" s="576"/>
      <c r="M113" s="576"/>
      <c r="N113" s="604">
        <f>$N$112/$G$67</f>
        <v>2732.7324324324327</v>
      </c>
      <c r="O113" s="576"/>
    </row>
    <row r="127" spans="2:22" ht="24.95" customHeight="1">
      <c r="Q127" s="465"/>
      <c r="R127" s="465"/>
      <c r="S127" s="465"/>
      <c r="T127" s="465"/>
      <c r="U127" s="465"/>
      <c r="V127" s="465"/>
    </row>
    <row r="128" spans="2:22" ht="171.75" customHeight="1">
      <c r="B128" s="525" t="s">
        <v>7</v>
      </c>
      <c r="C128" s="525" t="s">
        <v>23</v>
      </c>
      <c r="D128" s="525" t="s">
        <v>41</v>
      </c>
      <c r="E128" s="526" t="s">
        <v>24</v>
      </c>
      <c r="F128" s="525" t="s">
        <v>1174</v>
      </c>
      <c r="G128" s="526" t="s">
        <v>1102</v>
      </c>
      <c r="H128" s="525" t="s">
        <v>1103</v>
      </c>
      <c r="I128" s="526" t="s">
        <v>1104</v>
      </c>
      <c r="J128" s="525" t="s">
        <v>1253</v>
      </c>
      <c r="K128" s="525" t="s">
        <v>1254</v>
      </c>
      <c r="L128" s="525" t="s">
        <v>187</v>
      </c>
      <c r="M128" s="525" t="s">
        <v>22</v>
      </c>
      <c r="Q128" s="465"/>
      <c r="R128" s="465"/>
      <c r="S128" s="465"/>
      <c r="T128" s="465"/>
      <c r="U128" s="465"/>
      <c r="V128" s="465"/>
    </row>
    <row r="129" spans="2:22" ht="30" customHeight="1">
      <c r="B129" s="528">
        <v>0</v>
      </c>
      <c r="C129" s="528" t="s">
        <v>40</v>
      </c>
      <c r="D129" s="528" t="s">
        <v>40</v>
      </c>
      <c r="E129" s="529" t="s">
        <v>40</v>
      </c>
      <c r="F129" s="528" t="s">
        <v>2</v>
      </c>
      <c r="G129" s="529" t="s">
        <v>2</v>
      </c>
      <c r="H129" s="528" t="s">
        <v>40</v>
      </c>
      <c r="I129" s="529" t="s">
        <v>2</v>
      </c>
      <c r="J129" s="528" t="s">
        <v>2</v>
      </c>
      <c r="K129" s="528" t="s">
        <v>2</v>
      </c>
      <c r="L129" s="528" t="s">
        <v>2</v>
      </c>
      <c r="M129" s="527">
        <f>IF($H$28="firma",$N$107*-1,IF($N$112&lt;$N$109,$N$112*-1,$N$109*-1))</f>
        <v>-36399.996000000006</v>
      </c>
      <c r="Q129" s="465"/>
      <c r="R129" s="465"/>
      <c r="S129" s="465"/>
      <c r="T129" s="465"/>
      <c r="U129" s="465"/>
      <c r="V129" s="465"/>
    </row>
    <row r="130" spans="2:22" ht="30" customHeight="1">
      <c r="B130" s="528">
        <v>1</v>
      </c>
      <c r="C130" s="530">
        <f>'Dane wejściowe'!$G$67*1030*0.95*'Dane wejściowe'!X109*'Dane wejściowe'!Y109</f>
        <v>12025.2294</v>
      </c>
      <c r="D130" s="530">
        <f>'Dane wejściowe'!$C$130*('Dane wejściowe'!$H$34/100)</f>
        <v>6012.6147000000001</v>
      </c>
      <c r="E130" s="531">
        <f>$C$130-$D$130</f>
        <v>6012.6147000000001</v>
      </c>
      <c r="F130" s="530">
        <f>$D$130*J130</f>
        <v>6584.6330520000001</v>
      </c>
      <c r="G130" s="531">
        <f>E130*K130</f>
        <v>3607.56882</v>
      </c>
      <c r="H130" s="530">
        <f t="shared" ref="H130:H159" si="1">C130-D130</f>
        <v>6012.6147000000001</v>
      </c>
      <c r="I130" s="531">
        <f t="shared" ref="I130:I159" si="2">H130*J130</f>
        <v>6584.6330520000001</v>
      </c>
      <c r="J130" s="532">
        <f>IF($H$28="firma",'Dane wejściowe'!$H$31/1.23,'Dane wejściowe'!$H$31)</f>
        <v>1.0951363725335668</v>
      </c>
      <c r="K130" s="532">
        <f>IF($H$28="firma",AF34/1.23,AF34)</f>
        <v>0.6</v>
      </c>
      <c r="L130" s="530">
        <f t="shared" ref="L130:L159" si="3">G130+F130</f>
        <v>10192.201872</v>
      </c>
      <c r="M130" s="527">
        <f>M129+L130</f>
        <v>-26207.794128000009</v>
      </c>
      <c r="Q130" s="465"/>
      <c r="R130" s="465"/>
      <c r="S130" s="465"/>
      <c r="T130" s="465"/>
      <c r="U130" s="465"/>
      <c r="V130" s="465"/>
    </row>
    <row r="131" spans="2:22" ht="30" customHeight="1">
      <c r="B131" s="528">
        <v>2</v>
      </c>
      <c r="C131" s="530">
        <f>C130*(1-'Dane wejściowe'!$G$65/100)</f>
        <v>11959.0906383</v>
      </c>
      <c r="D131" s="530">
        <f>C131*('Dane wejściowe'!$H$34/100)</f>
        <v>5979.5453191500001</v>
      </c>
      <c r="E131" s="531">
        <f t="shared" ref="E131:E159" si="4">C131-D131</f>
        <v>5979.5453191500001</v>
      </c>
      <c r="F131" s="530">
        <f t="shared" ref="F131:F159" si="5">D131*J131</f>
        <v>6679.38592161828</v>
      </c>
      <c r="G131" s="531">
        <f>E131*K131</f>
        <v>3659.4817353198</v>
      </c>
      <c r="H131" s="530">
        <f t="shared" si="1"/>
        <v>5979.5453191500001</v>
      </c>
      <c r="I131" s="531">
        <f t="shared" si="2"/>
        <v>6679.38592161828</v>
      </c>
      <c r="J131" s="532">
        <f>J130*(1+'Dane wejściowe'!$H$33/100)</f>
        <v>1.1170390999842381</v>
      </c>
      <c r="K131" s="532">
        <f>K130*(1+'Dane wejściowe'!$H$33/100)</f>
        <v>0.61199999999999999</v>
      </c>
      <c r="L131" s="530">
        <f t="shared" si="3"/>
        <v>10338.86765693808</v>
      </c>
      <c r="M131" s="527">
        <f t="shared" ref="M131:M159" si="6">M129+L130+L131</f>
        <v>-15868.926471061928</v>
      </c>
      <c r="Q131" s="465"/>
      <c r="R131" s="465"/>
      <c r="S131" s="465"/>
      <c r="T131" s="465"/>
      <c r="U131" s="465"/>
      <c r="V131" s="465"/>
    </row>
    <row r="132" spans="2:22" ht="30" customHeight="1">
      <c r="B132" s="528">
        <v>3</v>
      </c>
      <c r="C132" s="530">
        <f>C131*(1-'Dane wejściowe'!$G$65/100)</f>
        <v>11893.315639789351</v>
      </c>
      <c r="D132" s="530">
        <f>C132*('Dane wejściowe'!$H$34/100)</f>
        <v>5946.6578198946754</v>
      </c>
      <c r="E132" s="531">
        <f t="shared" si="4"/>
        <v>5946.6578198946754</v>
      </c>
      <c r="F132" s="530">
        <f t="shared" si="5"/>
        <v>6775.5022850303676</v>
      </c>
      <c r="G132" s="531">
        <f t="shared" ref="G132:G159" si="7">E132*K132</f>
        <v>3712.1416774910522</v>
      </c>
      <c r="H132" s="530">
        <f t="shared" si="1"/>
        <v>5946.6578198946754</v>
      </c>
      <c r="I132" s="531">
        <f t="shared" si="2"/>
        <v>6775.5022850303676</v>
      </c>
      <c r="J132" s="532">
        <f>J131*(1+'Dane wejściowe'!$H$33/100)</f>
        <v>1.1393798819839229</v>
      </c>
      <c r="K132" s="532">
        <f>K131*(1+'Dane wejściowe'!$H$33/100)</f>
        <v>0.62424000000000002</v>
      </c>
      <c r="L132" s="530">
        <f t="shared" si="3"/>
        <v>10487.643962521419</v>
      </c>
      <c r="M132" s="527">
        <f t="shared" si="6"/>
        <v>-5381.2825085405093</v>
      </c>
      <c r="Q132" s="465"/>
      <c r="R132" s="465"/>
      <c r="S132" s="465"/>
      <c r="T132" s="465"/>
      <c r="U132" s="465"/>
      <c r="V132" s="465"/>
    </row>
    <row r="133" spans="2:22" ht="30" customHeight="1">
      <c r="B133" s="528">
        <v>4</v>
      </c>
      <c r="C133" s="530">
        <f>C132*(1-'Dane wejściowe'!$G$65/100)</f>
        <v>11827.902403770509</v>
      </c>
      <c r="D133" s="530">
        <f>C133*('Dane wejściowe'!$H$34/100)</f>
        <v>5913.9512018852547</v>
      </c>
      <c r="E133" s="531">
        <f t="shared" si="4"/>
        <v>5913.9512018852547</v>
      </c>
      <c r="F133" s="530">
        <f t="shared" si="5"/>
        <v>6873.0017629119548</v>
      </c>
      <c r="G133" s="531">
        <f t="shared" si="7"/>
        <v>3765.5593962301482</v>
      </c>
      <c r="H133" s="530">
        <f t="shared" si="1"/>
        <v>5913.9512018852547</v>
      </c>
      <c r="I133" s="531">
        <f t="shared" si="2"/>
        <v>6873.0017629119548</v>
      </c>
      <c r="J133" s="532">
        <f>J132*(1+'Dane wejściowe'!$H$33/100)</f>
        <v>1.1621674796236015</v>
      </c>
      <c r="K133" s="532">
        <f>K132*(1+'Dane wejściowe'!$H$33/100)</f>
        <v>0.63672479999999998</v>
      </c>
      <c r="L133" s="530">
        <f t="shared" si="3"/>
        <v>10638.561159142104</v>
      </c>
      <c r="M133" s="527">
        <f t="shared" si="6"/>
        <v>5257.2786506015946</v>
      </c>
      <c r="Q133" s="465"/>
      <c r="R133" s="465"/>
      <c r="S133" s="465"/>
      <c r="T133" s="465"/>
      <c r="U133" s="465"/>
      <c r="V133" s="465"/>
    </row>
    <row r="134" spans="2:22" ht="30" customHeight="1">
      <c r="B134" s="528">
        <v>5</v>
      </c>
      <c r="C134" s="530">
        <f>C133*(1-'Dane wejściowe'!$G$65/100)</f>
        <v>11762.848940549773</v>
      </c>
      <c r="D134" s="530">
        <f>C134*('Dane wejściowe'!$H$34/100)</f>
        <v>5881.4244702748865</v>
      </c>
      <c r="E134" s="531">
        <f t="shared" si="4"/>
        <v>5881.4244702748865</v>
      </c>
      <c r="F134" s="530">
        <f t="shared" si="5"/>
        <v>6971.9042582802585</v>
      </c>
      <c r="G134" s="531">
        <f t="shared" si="7"/>
        <v>3819.7457959419007</v>
      </c>
      <c r="H134" s="530">
        <f t="shared" si="1"/>
        <v>5881.4244702748865</v>
      </c>
      <c r="I134" s="531">
        <f t="shared" si="2"/>
        <v>6971.9042582802585</v>
      </c>
      <c r="J134" s="532">
        <f>J133*(1+'Dane wejściowe'!$H$33/100)</f>
        <v>1.1854108292160734</v>
      </c>
      <c r="K134" s="532">
        <f>K133*(1+'Dane wejściowe'!$H$33/100)</f>
        <v>0.64945929599999996</v>
      </c>
      <c r="L134" s="530">
        <f t="shared" si="3"/>
        <v>10791.650054222158</v>
      </c>
      <c r="M134" s="527">
        <f t="shared" si="6"/>
        <v>16048.928704823753</v>
      </c>
      <c r="Q134" s="465"/>
      <c r="R134" s="465"/>
      <c r="S134" s="465"/>
      <c r="T134" s="465"/>
      <c r="U134" s="465"/>
      <c r="V134" s="465"/>
    </row>
    <row r="135" spans="2:22" ht="30" customHeight="1">
      <c r="B135" s="528">
        <v>6</v>
      </c>
      <c r="C135" s="530">
        <f>C134*(1-'Dane wejściowe'!$G$65/100)</f>
        <v>11698.15327137675</v>
      </c>
      <c r="D135" s="530">
        <f>C135*('Dane wejściowe'!$H$34/100)</f>
        <v>5849.0766356883751</v>
      </c>
      <c r="E135" s="531">
        <f t="shared" si="4"/>
        <v>5849.0766356883751</v>
      </c>
      <c r="F135" s="530">
        <f t="shared" si="5"/>
        <v>7072.2299605569115</v>
      </c>
      <c r="G135" s="531">
        <f t="shared" si="7"/>
        <v>3874.7119379455048</v>
      </c>
      <c r="H135" s="530">
        <f t="shared" si="1"/>
        <v>5849.0766356883751</v>
      </c>
      <c r="I135" s="531">
        <f t="shared" si="2"/>
        <v>7072.2299605569115</v>
      </c>
      <c r="J135" s="532">
        <f>J134*(1+'Dane wejściowe'!$H$33/100)</f>
        <v>1.2091190458003949</v>
      </c>
      <c r="K135" s="532">
        <f>K134*(1+'Dane wejściowe'!$H$33/100)</f>
        <v>0.66244848191999994</v>
      </c>
      <c r="L135" s="530">
        <f t="shared" si="3"/>
        <v>10946.941898502417</v>
      </c>
      <c r="M135" s="527">
        <f t="shared" si="6"/>
        <v>26995.87060332617</v>
      </c>
      <c r="Q135" s="465"/>
      <c r="R135" s="465"/>
      <c r="S135" s="465"/>
      <c r="T135" s="465"/>
      <c r="U135" s="465"/>
      <c r="V135" s="465"/>
    </row>
    <row r="136" spans="2:22" ht="30" customHeight="1">
      <c r="B136" s="528">
        <v>7</v>
      </c>
      <c r="C136" s="530">
        <f>C135*(1-'Dane wejściowe'!$G$65/100)</f>
        <v>11633.813428384179</v>
      </c>
      <c r="D136" s="530">
        <f>C136*('Dane wejściowe'!$H$34/100)</f>
        <v>5816.9067141920896</v>
      </c>
      <c r="E136" s="531">
        <f t="shared" si="4"/>
        <v>5816.9067141920896</v>
      </c>
      <c r="F136" s="530">
        <f t="shared" si="5"/>
        <v>7173.9993496893267</v>
      </c>
      <c r="G136" s="531">
        <f t="shared" si="7"/>
        <v>3930.4690427325413</v>
      </c>
      <c r="H136" s="530">
        <f t="shared" si="1"/>
        <v>5816.9067141920896</v>
      </c>
      <c r="I136" s="531">
        <f t="shared" si="2"/>
        <v>7173.9993496893267</v>
      </c>
      <c r="J136" s="532">
        <f>J135*(1+'Dane wejściowe'!$H$33/100)</f>
        <v>1.2333014267164029</v>
      </c>
      <c r="K136" s="532">
        <f>K135*(1+'Dane wejściowe'!$H$33/100)</f>
        <v>0.6756974515584</v>
      </c>
      <c r="L136" s="530">
        <f t="shared" si="3"/>
        <v>11104.468392421868</v>
      </c>
      <c r="M136" s="527">
        <f t="shared" si="6"/>
        <v>38100.338995748039</v>
      </c>
      <c r="Q136" s="465"/>
      <c r="R136" s="465"/>
      <c r="S136" s="465"/>
      <c r="T136" s="465"/>
      <c r="U136" s="465"/>
      <c r="V136" s="465"/>
    </row>
    <row r="137" spans="2:22" ht="30" customHeight="1">
      <c r="B137" s="528">
        <v>8</v>
      </c>
      <c r="C137" s="530">
        <f>C136*(1-'Dane wejściowe'!$G$65/100)</f>
        <v>11569.827454528067</v>
      </c>
      <c r="D137" s="530">
        <f>C137*('Dane wejściowe'!$H$34/100)</f>
        <v>5784.9137272640337</v>
      </c>
      <c r="E137" s="531">
        <f t="shared" si="4"/>
        <v>5784.9137272640337</v>
      </c>
      <c r="F137" s="530">
        <f t="shared" si="5"/>
        <v>7277.2332003313577</v>
      </c>
      <c r="G137" s="531">
        <f t="shared" si="7"/>
        <v>3987.0284922574629</v>
      </c>
      <c r="H137" s="530">
        <f t="shared" si="1"/>
        <v>5784.9137272640337</v>
      </c>
      <c r="I137" s="531">
        <f t="shared" si="2"/>
        <v>7277.2332003313577</v>
      </c>
      <c r="J137" s="532">
        <f>J136*(1+'Dane wejściowe'!$H$33/100)</f>
        <v>1.2579674552507309</v>
      </c>
      <c r="K137" s="532">
        <f>K136*(1+'Dane wejściowe'!$H$33/100)</f>
        <v>0.68921140058956798</v>
      </c>
      <c r="L137" s="530">
        <f t="shared" si="3"/>
        <v>11264.261692588821</v>
      </c>
      <c r="M137" s="527">
        <f t="shared" si="6"/>
        <v>49364.600688336861</v>
      </c>
      <c r="Q137" s="465"/>
      <c r="R137" s="465"/>
      <c r="S137" s="465"/>
      <c r="T137" s="465"/>
      <c r="U137" s="465"/>
      <c r="V137" s="465"/>
    </row>
    <row r="138" spans="2:22" ht="30" customHeight="1">
      <c r="B138" s="528">
        <v>9</v>
      </c>
      <c r="C138" s="530">
        <f>C137*(1-'Dane wejściowe'!$G$65/100)</f>
        <v>11506.193403528163</v>
      </c>
      <c r="D138" s="530">
        <f>C138*('Dane wejściowe'!$H$34/100)</f>
        <v>5753.0967017640814</v>
      </c>
      <c r="E138" s="531">
        <f t="shared" si="4"/>
        <v>5753.0967017640814</v>
      </c>
      <c r="F138" s="530">
        <f t="shared" si="5"/>
        <v>7381.9525860841259</v>
      </c>
      <c r="G138" s="531">
        <f t="shared" si="7"/>
        <v>4044.4018322610477</v>
      </c>
      <c r="H138" s="530">
        <f t="shared" si="1"/>
        <v>5753.0967017640814</v>
      </c>
      <c r="I138" s="531">
        <f t="shared" si="2"/>
        <v>7381.9525860841259</v>
      </c>
      <c r="J138" s="532">
        <f>J137*(1+'Dane wejściowe'!$H$33/100)</f>
        <v>1.2831268043557456</v>
      </c>
      <c r="K138" s="532">
        <f>K137*(1+'Dane wejściowe'!$H$33/100)</f>
        <v>0.70299562860135933</v>
      </c>
      <c r="L138" s="530">
        <f t="shared" si="3"/>
        <v>11426.354418345174</v>
      </c>
      <c r="M138" s="527">
        <f t="shared" si="6"/>
        <v>60790.955106682035</v>
      </c>
      <c r="Q138" s="465"/>
      <c r="R138" s="465"/>
      <c r="S138" s="465"/>
      <c r="T138" s="465"/>
      <c r="U138" s="465"/>
      <c r="V138" s="465"/>
    </row>
    <row r="139" spans="2:22" ht="30" customHeight="1">
      <c r="B139" s="528">
        <v>10</v>
      </c>
      <c r="C139" s="530">
        <f>C138*(1-'Dane wejściowe'!$G$65/100)</f>
        <v>11442.909339808759</v>
      </c>
      <c r="D139" s="530">
        <f>C139*('Dane wejściowe'!$H$34/100)</f>
        <v>5721.4546699043794</v>
      </c>
      <c r="E139" s="531">
        <f t="shared" si="4"/>
        <v>5721.4546699043794</v>
      </c>
      <c r="F139" s="530">
        <f t="shared" si="5"/>
        <v>7488.1788837978775</v>
      </c>
      <c r="G139" s="531">
        <f t="shared" si="7"/>
        <v>4102.6007746272844</v>
      </c>
      <c r="H139" s="530">
        <f t="shared" si="1"/>
        <v>5721.4546699043794</v>
      </c>
      <c r="I139" s="531">
        <f t="shared" si="2"/>
        <v>7488.1788837978775</v>
      </c>
      <c r="J139" s="532">
        <f>J138*(1+'Dane wejściowe'!$H$33/100)</f>
        <v>1.3087893404428605</v>
      </c>
      <c r="K139" s="532">
        <f>K138*(1+'Dane wejściowe'!$H$33/100)</f>
        <v>0.71705554117338655</v>
      </c>
      <c r="L139" s="530">
        <f t="shared" si="3"/>
        <v>11590.779658425163</v>
      </c>
      <c r="M139" s="527">
        <f t="shared" si="6"/>
        <v>72381.73476510719</v>
      </c>
      <c r="Q139" s="465"/>
      <c r="R139" s="465"/>
      <c r="S139" s="465"/>
      <c r="T139" s="465"/>
      <c r="U139" s="465"/>
      <c r="V139" s="465"/>
    </row>
    <row r="140" spans="2:22" ht="30" customHeight="1">
      <c r="B140" s="528">
        <v>11</v>
      </c>
      <c r="C140" s="530">
        <f>C139*(1-'Dane wejściowe'!$G$65/100)</f>
        <v>11379.973338439811</v>
      </c>
      <c r="D140" s="530">
        <f>C140*('Dane wejściowe'!$H$34/100)</f>
        <v>5689.9866692199057</v>
      </c>
      <c r="E140" s="531">
        <f t="shared" si="4"/>
        <v>5689.9866692199057</v>
      </c>
      <c r="F140" s="530">
        <f t="shared" si="5"/>
        <v>7595.9337779357293</v>
      </c>
      <c r="G140" s="531">
        <f t="shared" si="7"/>
        <v>4161.6371997741717</v>
      </c>
      <c r="H140" s="530">
        <f t="shared" si="1"/>
        <v>5689.9866692199057</v>
      </c>
      <c r="I140" s="531">
        <f t="shared" si="2"/>
        <v>7595.9337779357293</v>
      </c>
      <c r="J140" s="532">
        <f>J139*(1+'Dane wejściowe'!$H$33/100)</f>
        <v>1.3349651272517178</v>
      </c>
      <c r="K140" s="532">
        <f>K139*(1+'Dane wejściowe'!$H$33/100)</f>
        <v>0.73139665199685433</v>
      </c>
      <c r="L140" s="530">
        <f t="shared" si="3"/>
        <v>11757.5709777099</v>
      </c>
      <c r="M140" s="527">
        <f t="shared" si="6"/>
        <v>84139.305742817087</v>
      </c>
      <c r="Q140" s="465"/>
      <c r="R140" s="465"/>
      <c r="S140" s="465"/>
      <c r="T140" s="465"/>
      <c r="U140" s="465"/>
      <c r="V140" s="465"/>
    </row>
    <row r="141" spans="2:22" ht="30" customHeight="1">
      <c r="B141" s="528">
        <v>12</v>
      </c>
      <c r="C141" s="530">
        <f>C140*(1-'Dane wejściowe'!$G$65/100)</f>
        <v>11317.383485078393</v>
      </c>
      <c r="D141" s="530">
        <f>C141*('Dane wejściowe'!$H$34/100)</f>
        <v>5658.6917425391966</v>
      </c>
      <c r="E141" s="531">
        <f t="shared" si="4"/>
        <v>5658.6917425391966</v>
      </c>
      <c r="F141" s="530">
        <f t="shared" si="5"/>
        <v>7705.2392650002248</v>
      </c>
      <c r="G141" s="531">
        <f t="shared" si="7"/>
        <v>4221.5231590789226</v>
      </c>
      <c r="H141" s="530">
        <f t="shared" si="1"/>
        <v>5658.6917425391966</v>
      </c>
      <c r="I141" s="531">
        <f t="shared" si="2"/>
        <v>7705.2392650002248</v>
      </c>
      <c r="J141" s="532">
        <f>J140*(1+'Dane wejściowe'!$H$33/100)</f>
        <v>1.3616644297967522</v>
      </c>
      <c r="K141" s="532">
        <f>K140*(1+'Dane wejściowe'!$H$33/100)</f>
        <v>0.74602458503679148</v>
      </c>
      <c r="L141" s="530">
        <f t="shared" si="3"/>
        <v>11926.762424079148</v>
      </c>
      <c r="M141" s="527">
        <f t="shared" si="6"/>
        <v>96066.068166896235</v>
      </c>
      <c r="Q141" s="465"/>
      <c r="R141" s="465"/>
      <c r="S141" s="465"/>
      <c r="T141" s="465"/>
      <c r="U141" s="465"/>
      <c r="V141" s="465"/>
    </row>
    <row r="142" spans="2:22" ht="30" customHeight="1">
      <c r="B142" s="528">
        <v>13</v>
      </c>
      <c r="C142" s="530">
        <f>C141*(1-'Dane wejściowe'!$G$65/100)</f>
        <v>11255.137875910463</v>
      </c>
      <c r="D142" s="530">
        <f>C142*('Dane wejściowe'!$H$34/100)</f>
        <v>5627.5689379552314</v>
      </c>
      <c r="E142" s="531">
        <f t="shared" si="4"/>
        <v>5627.5689379552314</v>
      </c>
      <c r="F142" s="530">
        <f t="shared" si="5"/>
        <v>7816.1176580235788</v>
      </c>
      <c r="G142" s="531">
        <f t="shared" si="7"/>
        <v>4282.2708773380682</v>
      </c>
      <c r="H142" s="530">
        <f t="shared" si="1"/>
        <v>5627.5689379552314</v>
      </c>
      <c r="I142" s="531">
        <f t="shared" si="2"/>
        <v>7816.1176580235788</v>
      </c>
      <c r="J142" s="532">
        <f>J141*(1+'Dane wejściowe'!$H$33/100)</f>
        <v>1.3888977183926872</v>
      </c>
      <c r="K142" s="532">
        <f>K141*(1+'Dane wejściowe'!$H$33/100)</f>
        <v>0.76094507673752732</v>
      </c>
      <c r="L142" s="530">
        <f t="shared" si="3"/>
        <v>12098.388535361646</v>
      </c>
      <c r="M142" s="527">
        <f t="shared" si="6"/>
        <v>108164.45670225788</v>
      </c>
      <c r="Q142" s="465"/>
      <c r="R142" s="465"/>
      <c r="S142" s="465"/>
      <c r="T142" s="465"/>
      <c r="U142" s="465"/>
      <c r="V142" s="465"/>
    </row>
    <row r="143" spans="2:22" ht="30" customHeight="1">
      <c r="B143" s="528">
        <v>14</v>
      </c>
      <c r="C143" s="530">
        <f>C142*(1-'Dane wejściowe'!$G$65/100)</f>
        <v>11193.234617592956</v>
      </c>
      <c r="D143" s="530">
        <f>C143*('Dane wejściowe'!$H$34/100)</f>
        <v>5596.617308796478</v>
      </c>
      <c r="E143" s="531">
        <f t="shared" si="4"/>
        <v>5596.617308796478</v>
      </c>
      <c r="F143" s="530">
        <f t="shared" si="5"/>
        <v>7928.5915911225384</v>
      </c>
      <c r="G143" s="531">
        <f t="shared" si="7"/>
        <v>4343.8927552629639</v>
      </c>
      <c r="H143" s="530">
        <f t="shared" si="1"/>
        <v>5596.617308796478</v>
      </c>
      <c r="I143" s="531">
        <f t="shared" si="2"/>
        <v>7928.5915911225384</v>
      </c>
      <c r="J143" s="532">
        <f>J142*(1+'Dane wejściowe'!$H$33/100)</f>
        <v>1.416675672760541</v>
      </c>
      <c r="K143" s="532">
        <f>K142*(1+'Dane wejściowe'!$H$33/100)</f>
        <v>0.7761639782722779</v>
      </c>
      <c r="L143" s="530">
        <f t="shared" si="3"/>
        <v>12272.484346385503</v>
      </c>
      <c r="M143" s="527">
        <f t="shared" si="6"/>
        <v>120436.94104864339</v>
      </c>
      <c r="Q143" s="465"/>
      <c r="R143" s="465"/>
      <c r="S143" s="465"/>
      <c r="T143" s="465"/>
      <c r="U143" s="465"/>
      <c r="V143" s="465"/>
    </row>
    <row r="144" spans="2:22" ht="30" customHeight="1">
      <c r="B144" s="528">
        <v>15</v>
      </c>
      <c r="C144" s="530">
        <f>C143*(1-'Dane wejściowe'!$G$65/100)</f>
        <v>11131.671827196194</v>
      </c>
      <c r="D144" s="530">
        <f>C144*('Dane wejściowe'!$H$34/100)</f>
        <v>5565.8359135980972</v>
      </c>
      <c r="E144" s="531">
        <f t="shared" si="4"/>
        <v>5565.8359135980972</v>
      </c>
      <c r="F144" s="530">
        <f t="shared" si="5"/>
        <v>8042.6840241187911</v>
      </c>
      <c r="G144" s="531">
        <f t="shared" si="7"/>
        <v>4406.401372011198</v>
      </c>
      <c r="H144" s="530">
        <f t="shared" si="1"/>
        <v>5565.8359135980972</v>
      </c>
      <c r="I144" s="531">
        <f t="shared" si="2"/>
        <v>8042.6840241187911</v>
      </c>
      <c r="J144" s="532">
        <f>J143*(1+'Dane wejściowe'!$H$33/100)</f>
        <v>1.4450091862157517</v>
      </c>
      <c r="K144" s="532">
        <f>K143*(1+'Dane wejściowe'!$H$33/100)</f>
        <v>0.79168725783772342</v>
      </c>
      <c r="L144" s="530">
        <f t="shared" si="3"/>
        <v>12449.085396129989</v>
      </c>
      <c r="M144" s="527">
        <f t="shared" si="6"/>
        <v>132886.02644477339</v>
      </c>
      <c r="Q144" s="465"/>
      <c r="R144" s="465"/>
      <c r="S144" s="465"/>
      <c r="T144" s="465"/>
      <c r="U144" s="465"/>
      <c r="V144" s="465"/>
    </row>
    <row r="145" spans="2:22" ht="30" customHeight="1">
      <c r="B145" s="528">
        <v>16</v>
      </c>
      <c r="C145" s="530">
        <f>C144*(1-'Dane wejściowe'!$G$65/100)</f>
        <v>11070.447632146615</v>
      </c>
      <c r="D145" s="530">
        <f>C145*('Dane wejściowe'!$H$34/100)</f>
        <v>5535.2238160733077</v>
      </c>
      <c r="E145" s="531">
        <f t="shared" si="4"/>
        <v>5535.2238160733077</v>
      </c>
      <c r="F145" s="530">
        <f t="shared" si="5"/>
        <v>8158.4182472258608</v>
      </c>
      <c r="G145" s="531">
        <f t="shared" si="7"/>
        <v>4469.809487754439</v>
      </c>
      <c r="H145" s="530">
        <f t="shared" si="1"/>
        <v>5535.2238160733077</v>
      </c>
      <c r="I145" s="531">
        <f t="shared" si="2"/>
        <v>8158.4182472258608</v>
      </c>
      <c r="J145" s="532">
        <f>J144*(1+'Dane wejściowe'!$H$33/100)</f>
        <v>1.4739093699400667</v>
      </c>
      <c r="K145" s="532">
        <f>K144*(1+'Dane wejściowe'!$H$33/100)</f>
        <v>0.80752100299447793</v>
      </c>
      <c r="L145" s="530">
        <f t="shared" si="3"/>
        <v>12628.227734980301</v>
      </c>
      <c r="M145" s="527">
        <f t="shared" si="6"/>
        <v>145514.25417975368</v>
      </c>
      <c r="Q145" s="465"/>
      <c r="R145" s="465"/>
      <c r="S145" s="465"/>
      <c r="T145" s="465"/>
      <c r="U145" s="465"/>
      <c r="V145" s="465"/>
    </row>
    <row r="146" spans="2:22" ht="30" customHeight="1">
      <c r="B146" s="528">
        <v>17</v>
      </c>
      <c r="C146" s="530">
        <f>C145*(1-'Dane wejściowe'!$G$65/100)</f>
        <v>11009.560170169809</v>
      </c>
      <c r="D146" s="530">
        <f>C146*('Dane wejściowe'!$H$34/100)</f>
        <v>5504.7800850849044</v>
      </c>
      <c r="E146" s="531">
        <f t="shared" si="4"/>
        <v>5504.7800850849044</v>
      </c>
      <c r="F146" s="530">
        <f t="shared" si="5"/>
        <v>8275.8178858034407</v>
      </c>
      <c r="G146" s="531">
        <f t="shared" si="7"/>
        <v>4534.1300462832251</v>
      </c>
      <c r="H146" s="530">
        <f t="shared" si="1"/>
        <v>5504.7800850849044</v>
      </c>
      <c r="I146" s="531">
        <f t="shared" si="2"/>
        <v>8275.8178858034407</v>
      </c>
      <c r="J146" s="532">
        <f>J145*(1+'Dane wejściowe'!$H$33/100)</f>
        <v>1.503387557338868</v>
      </c>
      <c r="K146" s="532">
        <f>K145*(1+'Dane wejściowe'!$H$33/100)</f>
        <v>0.82367142305436747</v>
      </c>
      <c r="L146" s="530">
        <f t="shared" si="3"/>
        <v>12809.947932086667</v>
      </c>
      <c r="M146" s="527">
        <f t="shared" si="6"/>
        <v>158324.20211184036</v>
      </c>
      <c r="Q146" s="465"/>
      <c r="R146" s="465"/>
      <c r="S146" s="465"/>
      <c r="T146" s="465"/>
      <c r="U146" s="465"/>
      <c r="V146" s="465"/>
    </row>
    <row r="147" spans="2:22" ht="30" customHeight="1">
      <c r="B147" s="528">
        <v>18</v>
      </c>
      <c r="C147" s="530">
        <f>C146*(1-'Dane wejściowe'!$G$65/100)</f>
        <v>10949.007589233875</v>
      </c>
      <c r="D147" s="530">
        <f>C147*('Dane wejściowe'!$H$34/100)</f>
        <v>5474.5037946169377</v>
      </c>
      <c r="E147" s="531">
        <f t="shared" si="4"/>
        <v>5474.5037946169377</v>
      </c>
      <c r="F147" s="530">
        <f t="shared" si="5"/>
        <v>8394.9069051801525</v>
      </c>
      <c r="G147" s="531">
        <f t="shared" si="7"/>
        <v>4599.3761776492411</v>
      </c>
      <c r="H147" s="530">
        <f t="shared" si="1"/>
        <v>5474.5037946169377</v>
      </c>
      <c r="I147" s="531">
        <f t="shared" si="2"/>
        <v>8394.9069051801525</v>
      </c>
      <c r="J147" s="532">
        <f>J146*(1+'Dane wejściowe'!$H$33/100)</f>
        <v>1.5334553084856453</v>
      </c>
      <c r="K147" s="532">
        <f>K146*(1+'Dane wejściowe'!$H$33/100)</f>
        <v>0.84014485151545482</v>
      </c>
      <c r="L147" s="530">
        <f t="shared" si="3"/>
        <v>12994.283082829394</v>
      </c>
      <c r="M147" s="527">
        <f t="shared" si="6"/>
        <v>171318.48519466975</v>
      </c>
      <c r="Q147" s="465"/>
      <c r="R147" s="465"/>
      <c r="S147" s="465"/>
      <c r="T147" s="465"/>
      <c r="U147" s="465"/>
      <c r="V147" s="465"/>
    </row>
    <row r="148" spans="2:22" ht="30" customHeight="1">
      <c r="B148" s="528">
        <v>19</v>
      </c>
      <c r="C148" s="530">
        <f>C147*(1-'Dane wejściowe'!$G$65/100)</f>
        <v>10888.78804749309</v>
      </c>
      <c r="D148" s="530">
        <f>C148*('Dane wejściowe'!$H$34/100)</f>
        <v>5444.3940237465449</v>
      </c>
      <c r="E148" s="531">
        <f t="shared" si="4"/>
        <v>5444.3940237465449</v>
      </c>
      <c r="F148" s="530">
        <f t="shared" si="5"/>
        <v>8515.7096155456948</v>
      </c>
      <c r="G148" s="531">
        <f t="shared" si="7"/>
        <v>4665.5612008456137</v>
      </c>
      <c r="H148" s="530">
        <f t="shared" si="1"/>
        <v>5444.3940237465449</v>
      </c>
      <c r="I148" s="531">
        <f t="shared" si="2"/>
        <v>8515.7096155456948</v>
      </c>
      <c r="J148" s="532">
        <f>J147*(1+'Dane wejściowe'!$H$33/100)</f>
        <v>1.5641244146553581</v>
      </c>
      <c r="K148" s="532">
        <f>K147*(1+'Dane wejściowe'!$H$33/100)</f>
        <v>0.85694774854576394</v>
      </c>
      <c r="L148" s="530">
        <f t="shared" si="3"/>
        <v>13181.270816391308</v>
      </c>
      <c r="M148" s="527">
        <f t="shared" si="6"/>
        <v>184499.75601106105</v>
      </c>
      <c r="Q148" s="465"/>
      <c r="R148" s="465"/>
      <c r="S148" s="465"/>
      <c r="T148" s="465"/>
      <c r="U148" s="465"/>
      <c r="V148" s="465"/>
    </row>
    <row r="149" spans="2:22" ht="30" customHeight="1">
      <c r="B149" s="528">
        <v>20</v>
      </c>
      <c r="C149" s="530">
        <f>C148*(1-'Dane wejściowe'!$G$65/100)</f>
        <v>10828.899713231878</v>
      </c>
      <c r="D149" s="530">
        <f>C149*('Dane wejściowe'!$H$34/100)</f>
        <v>5414.4498566159391</v>
      </c>
      <c r="E149" s="531">
        <f t="shared" si="4"/>
        <v>5414.4498566159391</v>
      </c>
      <c r="F149" s="530">
        <f t="shared" si="5"/>
        <v>8638.2506769133961</v>
      </c>
      <c r="G149" s="531">
        <f t="shared" si="7"/>
        <v>4732.6986265257829</v>
      </c>
      <c r="H149" s="530">
        <f t="shared" si="1"/>
        <v>5414.4498566159391</v>
      </c>
      <c r="I149" s="531">
        <f t="shared" si="2"/>
        <v>8638.2506769133961</v>
      </c>
      <c r="J149" s="532">
        <f>J148*(1+'Dane wejściowe'!$H$33/100)</f>
        <v>1.5954069029484652</v>
      </c>
      <c r="K149" s="532">
        <f>K148*(1+'Dane wejściowe'!$H$33/100)</f>
        <v>0.87408670351667928</v>
      </c>
      <c r="L149" s="530">
        <f t="shared" si="3"/>
        <v>13370.949303439178</v>
      </c>
      <c r="M149" s="527">
        <f t="shared" si="6"/>
        <v>197870.70531450023</v>
      </c>
      <c r="Q149" s="465"/>
      <c r="R149" s="465"/>
      <c r="S149" s="465"/>
      <c r="T149" s="465"/>
      <c r="U149" s="465"/>
      <c r="V149" s="465"/>
    </row>
    <row r="150" spans="2:22" ht="30" customHeight="1">
      <c r="B150" s="528">
        <v>21</v>
      </c>
      <c r="C150" s="530">
        <f>C149*(1-'Dane wejściowe'!$G$65/100)</f>
        <v>10769.340764809103</v>
      </c>
      <c r="D150" s="530">
        <f>C150*('Dane wejściowe'!$H$34/100)</f>
        <v>5384.6703824045517</v>
      </c>
      <c r="E150" s="531">
        <f t="shared" si="4"/>
        <v>5384.6703824045517</v>
      </c>
      <c r="F150" s="530">
        <f t="shared" si="5"/>
        <v>8762.5551041541821</v>
      </c>
      <c r="G150" s="531">
        <f t="shared" si="7"/>
        <v>4800.8021597614888</v>
      </c>
      <c r="H150" s="530">
        <f t="shared" si="1"/>
        <v>5384.6703824045517</v>
      </c>
      <c r="I150" s="531">
        <f t="shared" si="2"/>
        <v>8762.5551041541821</v>
      </c>
      <c r="J150" s="532">
        <f>J149*(1+'Dane wejściowe'!$H$33/100)</f>
        <v>1.6273150410074346</v>
      </c>
      <c r="K150" s="532">
        <f>K149*(1+'Dane wejściowe'!$H$33/100)</f>
        <v>0.89156843758701287</v>
      </c>
      <c r="L150" s="530">
        <f t="shared" si="3"/>
        <v>13563.35726391567</v>
      </c>
      <c r="M150" s="527">
        <f t="shared" si="6"/>
        <v>211434.06257841591</v>
      </c>
      <c r="Q150" s="465"/>
      <c r="R150" s="465"/>
      <c r="S150" s="465"/>
      <c r="T150" s="465"/>
      <c r="U150" s="465"/>
      <c r="V150" s="465"/>
    </row>
    <row r="151" spans="2:22" ht="30" customHeight="1">
      <c r="B151" s="528">
        <v>22</v>
      </c>
      <c r="C151" s="530">
        <f>C150*(1-'Dane wejściowe'!$G$65/100)</f>
        <v>10710.109390602654</v>
      </c>
      <c r="D151" s="530">
        <f>C151*('Dane wejściowe'!$H$34/100)</f>
        <v>5355.0546953013272</v>
      </c>
      <c r="E151" s="531">
        <f t="shared" si="4"/>
        <v>5355.0546953013272</v>
      </c>
      <c r="F151" s="530">
        <f t="shared" si="5"/>
        <v>8888.6482721029624</v>
      </c>
      <c r="G151" s="531">
        <f t="shared" si="7"/>
        <v>4869.8857028404582</v>
      </c>
      <c r="H151" s="530">
        <f t="shared" si="1"/>
        <v>5355.0546953013272</v>
      </c>
      <c r="I151" s="531">
        <f t="shared" si="2"/>
        <v>8888.6482721029624</v>
      </c>
      <c r="J151" s="532">
        <f>J150*(1+'Dane wejściowe'!$H$33/100)</f>
        <v>1.6598613418275834</v>
      </c>
      <c r="K151" s="532">
        <f>K150*(1+'Dane wejściowe'!$H$33/100)</f>
        <v>0.90939980633875317</v>
      </c>
      <c r="L151" s="530">
        <f t="shared" si="3"/>
        <v>13758.533974943421</v>
      </c>
      <c r="M151" s="527">
        <f t="shared" si="6"/>
        <v>225192.59655335933</v>
      </c>
      <c r="Q151" s="465"/>
      <c r="R151" s="465"/>
      <c r="S151" s="465"/>
      <c r="T151" s="465"/>
      <c r="U151" s="465"/>
      <c r="V151" s="465"/>
    </row>
    <row r="152" spans="2:22" ht="30" customHeight="1">
      <c r="B152" s="528">
        <v>23</v>
      </c>
      <c r="C152" s="530">
        <f>C151*(1-'Dane wejściowe'!$G$65/100)</f>
        <v>10651.203788954341</v>
      </c>
      <c r="D152" s="530">
        <f>C152*('Dane wejściowe'!$H$34/100)</f>
        <v>5325.6018944771704</v>
      </c>
      <c r="E152" s="531">
        <f t="shared" si="4"/>
        <v>5325.6018944771704</v>
      </c>
      <c r="F152" s="530">
        <f t="shared" si="5"/>
        <v>9016.5559207385249</v>
      </c>
      <c r="G152" s="531">
        <f t="shared" si="7"/>
        <v>4939.9633581043327</v>
      </c>
      <c r="H152" s="530">
        <f t="shared" si="1"/>
        <v>5325.6018944771704</v>
      </c>
      <c r="I152" s="531">
        <f t="shared" si="2"/>
        <v>9016.5559207385249</v>
      </c>
      <c r="J152" s="532">
        <f>J151*(1+'Dane wejściowe'!$H$33/100)</f>
        <v>1.6930585686641351</v>
      </c>
      <c r="K152" s="532">
        <f>K151*(1+'Dane wejściowe'!$H$33/100)</f>
        <v>0.9275878024655283</v>
      </c>
      <c r="L152" s="530">
        <f t="shared" si="3"/>
        <v>13956.519278842858</v>
      </c>
      <c r="M152" s="527">
        <f t="shared" si="6"/>
        <v>239149.11583220219</v>
      </c>
      <c r="Q152" s="465"/>
      <c r="R152" s="465"/>
      <c r="S152" s="465"/>
      <c r="T152" s="465"/>
      <c r="U152" s="465"/>
      <c r="V152" s="465"/>
    </row>
    <row r="153" spans="2:22" ht="30" customHeight="1">
      <c r="B153" s="528">
        <v>24</v>
      </c>
      <c r="C153" s="530">
        <f>C152*(1-'Dane wejściowe'!$G$65/100)</f>
        <v>10592.622168115093</v>
      </c>
      <c r="D153" s="530">
        <f>C153*('Dane wejściowe'!$H$34/100)</f>
        <v>5296.3110840575464</v>
      </c>
      <c r="E153" s="531">
        <f t="shared" si="4"/>
        <v>5296.3110840575464</v>
      </c>
      <c r="F153" s="530">
        <f t="shared" si="5"/>
        <v>9146.3041604379523</v>
      </c>
      <c r="G153" s="531">
        <f t="shared" si="7"/>
        <v>5011.0494308274547</v>
      </c>
      <c r="H153" s="530">
        <f t="shared" si="1"/>
        <v>5296.3110840575464</v>
      </c>
      <c r="I153" s="531">
        <f t="shared" si="2"/>
        <v>9146.3041604379523</v>
      </c>
      <c r="J153" s="532">
        <f>J152*(1+'Dane wejściowe'!$H$33/100)</f>
        <v>1.7269197400374179</v>
      </c>
      <c r="K153" s="532">
        <f>K152*(1+'Dane wejściowe'!$H$33/100)</f>
        <v>0.94613955851483889</v>
      </c>
      <c r="L153" s="530">
        <f t="shared" si="3"/>
        <v>14157.353591265408</v>
      </c>
      <c r="M153" s="527">
        <f t="shared" si="6"/>
        <v>253306.46942346761</v>
      </c>
      <c r="Q153" s="465"/>
      <c r="R153" s="465"/>
      <c r="S153" s="465"/>
      <c r="T153" s="465"/>
      <c r="U153" s="465"/>
      <c r="V153" s="465"/>
    </row>
    <row r="154" spans="2:22" ht="30" customHeight="1">
      <c r="B154" s="528">
        <v>25</v>
      </c>
      <c r="C154" s="530">
        <f>C153*(1-'Dane wejściowe'!$G$65/100)</f>
        <v>10534.36274619046</v>
      </c>
      <c r="D154" s="530">
        <f>C154*('Dane wejściowe'!$H$34/100)</f>
        <v>5267.1813730952299</v>
      </c>
      <c r="E154" s="531">
        <f t="shared" si="4"/>
        <v>5267.1813730952299</v>
      </c>
      <c r="F154" s="530">
        <f t="shared" si="5"/>
        <v>9277.9194773066556</v>
      </c>
      <c r="G154" s="531">
        <f t="shared" si="7"/>
        <v>5083.1584321370619</v>
      </c>
      <c r="H154" s="530">
        <f t="shared" si="1"/>
        <v>5267.1813730952299</v>
      </c>
      <c r="I154" s="531">
        <f t="shared" si="2"/>
        <v>9277.9194773066556</v>
      </c>
      <c r="J154" s="532">
        <f>J153*(1+'Dane wejściowe'!$H$33/100)</f>
        <v>1.7614581348381664</v>
      </c>
      <c r="K154" s="532">
        <f>K153*(1+'Dane wejściowe'!$H$33/100)</f>
        <v>0.96506234968513571</v>
      </c>
      <c r="L154" s="530">
        <f t="shared" si="3"/>
        <v>14361.077909443717</v>
      </c>
      <c r="M154" s="527">
        <f t="shared" si="6"/>
        <v>267667.54733291134</v>
      </c>
      <c r="Q154" s="465"/>
      <c r="R154" s="465"/>
      <c r="S154" s="465"/>
      <c r="T154" s="465"/>
      <c r="U154" s="465"/>
      <c r="V154" s="465"/>
    </row>
    <row r="155" spans="2:22" ht="30" customHeight="1">
      <c r="B155" s="528">
        <v>26</v>
      </c>
      <c r="C155" s="530">
        <f>C154*(1-'Dane wejściowe'!$G$65/100)</f>
        <v>10476.423751086413</v>
      </c>
      <c r="D155" s="530">
        <f>C155*('Dane wejściowe'!$H$34/100)</f>
        <v>5238.2118755432066</v>
      </c>
      <c r="E155" s="531">
        <f t="shared" si="4"/>
        <v>5238.2118755432066</v>
      </c>
      <c r="F155" s="530">
        <f t="shared" si="5"/>
        <v>9411.4287385851003</v>
      </c>
      <c r="G155" s="531">
        <f t="shared" si="7"/>
        <v>5156.3050819755144</v>
      </c>
      <c r="H155" s="530">
        <f t="shared" si="1"/>
        <v>5238.2118755432066</v>
      </c>
      <c r="I155" s="531">
        <f t="shared" si="2"/>
        <v>9411.4287385851003</v>
      </c>
      <c r="J155" s="532">
        <f>J154*(1+'Dane wejściowe'!$H$33/100)</f>
        <v>1.7966872975349297</v>
      </c>
      <c r="K155" s="532">
        <f>K154*(1+'Dane wejściowe'!$H$33/100)</f>
        <v>0.98436359667883844</v>
      </c>
      <c r="L155" s="530">
        <f t="shared" si="3"/>
        <v>14567.733820560614</v>
      </c>
      <c r="M155" s="527">
        <f t="shared" si="6"/>
        <v>282235.28115347197</v>
      </c>
      <c r="Q155" s="465"/>
      <c r="R155" s="465"/>
      <c r="S155" s="465"/>
      <c r="T155" s="465"/>
      <c r="U155" s="465"/>
      <c r="V155" s="465"/>
    </row>
    <row r="156" spans="2:22" ht="30" customHeight="1">
      <c r="B156" s="528">
        <v>27</v>
      </c>
      <c r="C156" s="530">
        <f>C155*(1-'Dane wejściowe'!$G$65/100)</f>
        <v>10418.803420455439</v>
      </c>
      <c r="D156" s="530">
        <f>C156*('Dane wejściowe'!$H$34/100)</f>
        <v>5209.4017102277194</v>
      </c>
      <c r="E156" s="531">
        <f t="shared" si="4"/>
        <v>5209.4017102277194</v>
      </c>
      <c r="F156" s="530">
        <f t="shared" si="5"/>
        <v>9546.8591981333393</v>
      </c>
      <c r="G156" s="531">
        <f t="shared" si="7"/>
        <v>5230.5043121051431</v>
      </c>
      <c r="H156" s="530">
        <f t="shared" si="1"/>
        <v>5209.4017102277194</v>
      </c>
      <c r="I156" s="531">
        <f t="shared" si="2"/>
        <v>9546.8591981333393</v>
      </c>
      <c r="J156" s="532">
        <f>J155*(1+'Dane wejściowe'!$H$33/100)</f>
        <v>1.8326210434856283</v>
      </c>
      <c r="K156" s="532">
        <f>K155*(1+'Dane wejściowe'!$H$33/100)</f>
        <v>1.0040508686124152</v>
      </c>
      <c r="L156" s="530">
        <f t="shared" si="3"/>
        <v>14777.363510238483</v>
      </c>
      <c r="M156" s="527">
        <f t="shared" si="6"/>
        <v>297012.64466371044</v>
      </c>
      <c r="Q156" s="465"/>
      <c r="R156" s="465"/>
      <c r="S156" s="465"/>
      <c r="T156" s="465"/>
      <c r="U156" s="465"/>
      <c r="V156" s="465"/>
    </row>
    <row r="157" spans="2:22" ht="30" customHeight="1">
      <c r="B157" s="528">
        <v>28</v>
      </c>
      <c r="C157" s="530">
        <f>C156*(1-'Dane wejściowe'!$G$65/100)</f>
        <v>10361.500001642935</v>
      </c>
      <c r="D157" s="530">
        <f>C157*('Dane wejściowe'!$H$34/100)</f>
        <v>5180.7500008214674</v>
      </c>
      <c r="E157" s="531">
        <f t="shared" si="4"/>
        <v>5180.7500008214674</v>
      </c>
      <c r="F157" s="530">
        <f t="shared" si="5"/>
        <v>9684.2385019944795</v>
      </c>
      <c r="G157" s="531">
        <f t="shared" si="7"/>
        <v>5305.7712691563365</v>
      </c>
      <c r="H157" s="530">
        <f t="shared" si="1"/>
        <v>5180.7500008214674</v>
      </c>
      <c r="I157" s="531">
        <f t="shared" si="2"/>
        <v>9684.2385019944795</v>
      </c>
      <c r="J157" s="532">
        <f>J156*(1+'Dane wejściowe'!$H$33/100)</f>
        <v>1.8692734643553408</v>
      </c>
      <c r="K157" s="532">
        <f>K156*(1+'Dane wejściowe'!$H$33/100)</f>
        <v>1.0241318859846635</v>
      </c>
      <c r="L157" s="530">
        <f t="shared" si="3"/>
        <v>14990.009771150817</v>
      </c>
      <c r="M157" s="527">
        <f t="shared" si="6"/>
        <v>312002.65443486127</v>
      </c>
      <c r="Q157" s="465"/>
      <c r="R157" s="465"/>
      <c r="S157" s="465"/>
      <c r="T157" s="465"/>
      <c r="U157" s="465"/>
      <c r="V157" s="465"/>
    </row>
    <row r="158" spans="2:22" ht="30" customHeight="1">
      <c r="B158" s="528">
        <v>29</v>
      </c>
      <c r="C158" s="530">
        <f>C157*(1-'Dane wejściowe'!$G$65/100)</f>
        <v>10304.5117516339</v>
      </c>
      <c r="D158" s="530">
        <f>C158*('Dane wejściowe'!$H$34/100)</f>
        <v>5152.2558758169498</v>
      </c>
      <c r="E158" s="531">
        <f t="shared" si="4"/>
        <v>5152.2558758169498</v>
      </c>
      <c r="F158" s="530">
        <f t="shared" si="5"/>
        <v>9823.5946940381818</v>
      </c>
      <c r="G158" s="531">
        <f t="shared" si="7"/>
        <v>5382.1213177194977</v>
      </c>
      <c r="H158" s="530">
        <f t="shared" si="1"/>
        <v>5152.2558758169498</v>
      </c>
      <c r="I158" s="531">
        <f t="shared" si="2"/>
        <v>9823.5946940381818</v>
      </c>
      <c r="J158" s="532">
        <f>J157*(1+'Dane wejściowe'!$H$33/100)</f>
        <v>1.9066589336424478</v>
      </c>
      <c r="K158" s="532">
        <f>K157*(1+'Dane wejściowe'!$H$33/100)</f>
        <v>1.0446145237043569</v>
      </c>
      <c r="L158" s="530">
        <f t="shared" si="3"/>
        <v>15205.716011757679</v>
      </c>
      <c r="M158" s="527">
        <f t="shared" si="6"/>
        <v>327208.37044661894</v>
      </c>
      <c r="Q158" s="465"/>
      <c r="R158" s="465"/>
      <c r="S158" s="465"/>
      <c r="T158" s="465"/>
      <c r="U158" s="465"/>
      <c r="V158" s="465"/>
    </row>
    <row r="159" spans="2:22" ht="30" customHeight="1">
      <c r="B159" s="528">
        <v>30</v>
      </c>
      <c r="C159" s="530">
        <f>C158*(1-'Dane wejściowe'!$G$65/100)</f>
        <v>10247.836936999915</v>
      </c>
      <c r="D159" s="530">
        <f>C159*('Dane wejściowe'!$H$34/100)</f>
        <v>5123.9184684999573</v>
      </c>
      <c r="E159" s="531">
        <f t="shared" si="4"/>
        <v>5123.9184684999573</v>
      </c>
      <c r="F159" s="530">
        <f t="shared" si="5"/>
        <v>9964.9562216853919</v>
      </c>
      <c r="G159" s="531">
        <f t="shared" si="7"/>
        <v>5459.5700434814817</v>
      </c>
      <c r="H159" s="530">
        <f t="shared" si="1"/>
        <v>5123.9184684999573</v>
      </c>
      <c r="I159" s="531">
        <f t="shared" si="2"/>
        <v>9964.9562216853919</v>
      </c>
      <c r="J159" s="532">
        <f>J158*(1+'Dane wejściowe'!$H$33/100)</f>
        <v>1.9447921123152967</v>
      </c>
      <c r="K159" s="532">
        <f>K158*(1+'Dane wejściowe'!$H$33/100)</f>
        <v>1.0655068141784441</v>
      </c>
      <c r="L159" s="530">
        <f t="shared" si="3"/>
        <v>15424.526265166875</v>
      </c>
      <c r="M159" s="527">
        <f t="shared" si="6"/>
        <v>342632.89671178581</v>
      </c>
      <c r="Q159" s="465"/>
      <c r="R159" s="465"/>
      <c r="S159" s="465"/>
      <c r="T159" s="465"/>
      <c r="U159" s="465"/>
      <c r="V159" s="465"/>
    </row>
    <row r="160" spans="2:22" ht="24.95" customHeight="1">
      <c r="Q160" s="465"/>
      <c r="R160" s="465"/>
      <c r="S160" s="465"/>
      <c r="T160" s="465"/>
      <c r="U160" s="465"/>
      <c r="V160" s="465"/>
    </row>
    <row r="161" s="465" customFormat="1" ht="24.95" customHeight="1"/>
  </sheetData>
  <mergeCells count="214">
    <mergeCell ref="J113:M113"/>
    <mergeCell ref="N113:O113"/>
    <mergeCell ref="J110:K110"/>
    <mergeCell ref="L110:M110"/>
    <mergeCell ref="J111:K111"/>
    <mergeCell ref="L111:M111"/>
    <mergeCell ref="N110:O110"/>
    <mergeCell ref="N111:O111"/>
    <mergeCell ref="J112:M112"/>
    <mergeCell ref="N112:O112"/>
    <mergeCell ref="B1:C1"/>
    <mergeCell ref="B27:G27"/>
    <mergeCell ref="B28:G28"/>
    <mergeCell ref="B29:G29"/>
    <mergeCell ref="B14:F14"/>
    <mergeCell ref="B15:F15"/>
    <mergeCell ref="B16:F16"/>
    <mergeCell ref="K77:N77"/>
    <mergeCell ref="B63:F63"/>
    <mergeCell ref="B64:F64"/>
    <mergeCell ref="B65:F65"/>
    <mergeCell ref="B66:F66"/>
    <mergeCell ref="G43:N43"/>
    <mergeCell ref="G44:N44"/>
    <mergeCell ref="J1:L1"/>
    <mergeCell ref="G60:O60"/>
    <mergeCell ref="G67:J67"/>
    <mergeCell ref="M1:N1"/>
    <mergeCell ref="B51:F51"/>
    <mergeCell ref="B52:F52"/>
    <mergeCell ref="B53:F53"/>
    <mergeCell ref="G42:J42"/>
    <mergeCell ref="H38:J38"/>
    <mergeCell ref="H32:J32"/>
    <mergeCell ref="B91:D91"/>
    <mergeCell ref="B92:D92"/>
    <mergeCell ref="L86:M86"/>
    <mergeCell ref="N86:O86"/>
    <mergeCell ref="L87:M87"/>
    <mergeCell ref="L88:M88"/>
    <mergeCell ref="B88:D88"/>
    <mergeCell ref="B89:D89"/>
    <mergeCell ref="B90:D90"/>
    <mergeCell ref="E87:J87"/>
    <mergeCell ref="E88:J88"/>
    <mergeCell ref="E89:J89"/>
    <mergeCell ref="E90:J90"/>
    <mergeCell ref="E91:J91"/>
    <mergeCell ref="E92:J92"/>
    <mergeCell ref="N87:O87"/>
    <mergeCell ref="N88:O88"/>
    <mergeCell ref="N89:O89"/>
    <mergeCell ref="N90:O90"/>
    <mergeCell ref="N91:O91"/>
    <mergeCell ref="N92:O92"/>
    <mergeCell ref="L89:M89"/>
    <mergeCell ref="L90:M90"/>
    <mergeCell ref="L91:M91"/>
    <mergeCell ref="B86:J86"/>
    <mergeCell ref="B87:D87"/>
    <mergeCell ref="A82:O84"/>
    <mergeCell ref="B44:F44"/>
    <mergeCell ref="B45:F45"/>
    <mergeCell ref="H31:J31"/>
    <mergeCell ref="B36:G36"/>
    <mergeCell ref="B37:G37"/>
    <mergeCell ref="B38:G38"/>
    <mergeCell ref="B49:F49"/>
    <mergeCell ref="B50:F50"/>
    <mergeCell ref="B74:F74"/>
    <mergeCell ref="B75:F75"/>
    <mergeCell ref="B76:F76"/>
    <mergeCell ref="B77:F77"/>
    <mergeCell ref="G77:J77"/>
    <mergeCell ref="B60:F60"/>
    <mergeCell ref="B46:F46"/>
    <mergeCell ref="A56:O58"/>
    <mergeCell ref="B67:F67"/>
    <mergeCell ref="G61:J61"/>
    <mergeCell ref="G62:J62"/>
    <mergeCell ref="G63:J63"/>
    <mergeCell ref="G64:J64"/>
    <mergeCell ref="I15:M15"/>
    <mergeCell ref="I16:M16"/>
    <mergeCell ref="G45:N45"/>
    <mergeCell ref="B33:G33"/>
    <mergeCell ref="K30:M30"/>
    <mergeCell ref="K31:M31"/>
    <mergeCell ref="K32:M32"/>
    <mergeCell ref="K33:M33"/>
    <mergeCell ref="K34:M34"/>
    <mergeCell ref="K35:M35"/>
    <mergeCell ref="K37:M37"/>
    <mergeCell ref="K38:M38"/>
    <mergeCell ref="B34:G34"/>
    <mergeCell ref="B35:G35"/>
    <mergeCell ref="B42:F42"/>
    <mergeCell ref="B43:F43"/>
    <mergeCell ref="H33:J33"/>
    <mergeCell ref="H34:J34"/>
    <mergeCell ref="H35:J35"/>
    <mergeCell ref="H37:J37"/>
    <mergeCell ref="H36:M36"/>
    <mergeCell ref="H30:J30"/>
    <mergeCell ref="G65:J65"/>
    <mergeCell ref="B61:F61"/>
    <mergeCell ref="B62:F62"/>
    <mergeCell ref="B78:F78"/>
    <mergeCell ref="B79:F79"/>
    <mergeCell ref="K66:N66"/>
    <mergeCell ref="G74:N74"/>
    <mergeCell ref="K75:N75"/>
    <mergeCell ref="K76:N76"/>
    <mergeCell ref="G75:J75"/>
    <mergeCell ref="G76:J76"/>
    <mergeCell ref="K78:N78"/>
    <mergeCell ref="K79:N79"/>
    <mergeCell ref="G78:J78"/>
    <mergeCell ref="G79:J79"/>
    <mergeCell ref="E93:J93"/>
    <mergeCell ref="B96:D96"/>
    <mergeCell ref="B97:D97"/>
    <mergeCell ref="B93:D93"/>
    <mergeCell ref="B94:D94"/>
    <mergeCell ref="B95:D95"/>
    <mergeCell ref="E99:J99"/>
    <mergeCell ref="E100:J100"/>
    <mergeCell ref="E101:J101"/>
    <mergeCell ref="E102:J102"/>
    <mergeCell ref="B105:J105"/>
    <mergeCell ref="B106:J106"/>
    <mergeCell ref="B98:D102"/>
    <mergeCell ref="E94:J94"/>
    <mergeCell ref="E95:J95"/>
    <mergeCell ref="E96:J96"/>
    <mergeCell ref="E97:J97"/>
    <mergeCell ref="E98:J98"/>
    <mergeCell ref="B103:J103"/>
    <mergeCell ref="B104:J104"/>
    <mergeCell ref="L105:M105"/>
    <mergeCell ref="L106:M106"/>
    <mergeCell ref="L95:M95"/>
    <mergeCell ref="L96:M96"/>
    <mergeCell ref="L97:M97"/>
    <mergeCell ref="L98:M98"/>
    <mergeCell ref="L99:M99"/>
    <mergeCell ref="L100:M100"/>
    <mergeCell ref="L101:M101"/>
    <mergeCell ref="L102:M102"/>
    <mergeCell ref="L103:M103"/>
    <mergeCell ref="L92:M92"/>
    <mergeCell ref="L93:M93"/>
    <mergeCell ref="L94:M94"/>
    <mergeCell ref="N99:O99"/>
    <mergeCell ref="N100:O100"/>
    <mergeCell ref="N101:O101"/>
    <mergeCell ref="N102:O102"/>
    <mergeCell ref="N103:O103"/>
    <mergeCell ref="N104:O104"/>
    <mergeCell ref="N93:O93"/>
    <mergeCell ref="N94:O94"/>
    <mergeCell ref="N95:O95"/>
    <mergeCell ref="N96:O96"/>
    <mergeCell ref="N97:O97"/>
    <mergeCell ref="N98:O98"/>
    <mergeCell ref="L104:M104"/>
    <mergeCell ref="A2:O4"/>
    <mergeCell ref="J8:N8"/>
    <mergeCell ref="J9:N9"/>
    <mergeCell ref="J10:N10"/>
    <mergeCell ref="J11:N11"/>
    <mergeCell ref="J12:N12"/>
    <mergeCell ref="G46:N46"/>
    <mergeCell ref="G47:N47"/>
    <mergeCell ref="G48:N48"/>
    <mergeCell ref="B17:F17"/>
    <mergeCell ref="H27:M27"/>
    <mergeCell ref="H28:M28"/>
    <mergeCell ref="H29:M29"/>
    <mergeCell ref="B30:G30"/>
    <mergeCell ref="B31:G31"/>
    <mergeCell ref="B32:G32"/>
    <mergeCell ref="B47:F47"/>
    <mergeCell ref="B48:F48"/>
    <mergeCell ref="B8:F8"/>
    <mergeCell ref="B9:F9"/>
    <mergeCell ref="B10:F10"/>
    <mergeCell ref="B11:F11"/>
    <mergeCell ref="B13:F13"/>
    <mergeCell ref="I14:M14"/>
    <mergeCell ref="J109:M109"/>
    <mergeCell ref="J13:N13"/>
    <mergeCell ref="N107:O107"/>
    <mergeCell ref="N109:O109"/>
    <mergeCell ref="L108:M108"/>
    <mergeCell ref="N108:O108"/>
    <mergeCell ref="J107:M107"/>
    <mergeCell ref="J108:K108"/>
    <mergeCell ref="G52:N52"/>
    <mergeCell ref="G53:N53"/>
    <mergeCell ref="K42:N42"/>
    <mergeCell ref="A21:O23"/>
    <mergeCell ref="G49:N49"/>
    <mergeCell ref="G50:N50"/>
    <mergeCell ref="G51:N51"/>
    <mergeCell ref="N105:O105"/>
    <mergeCell ref="N106:O106"/>
    <mergeCell ref="A70:O72"/>
    <mergeCell ref="K67:O67"/>
    <mergeCell ref="K61:O61"/>
    <mergeCell ref="K62:O62"/>
    <mergeCell ref="K63:O63"/>
    <mergeCell ref="K64:O64"/>
    <mergeCell ref="K65:O65"/>
  </mergeCells>
  <conditionalFormatting sqref="M129:M159">
    <cfRule type="cellIs" dxfId="20" priority="1" operator="greaterThan">
      <formula>1</formula>
    </cfRule>
    <cfRule type="cellIs" dxfId="19" priority="2" operator="lessThan">
      <formula>0</formula>
    </cfRule>
  </conditionalFormatting>
  <dataValidations count="11">
    <dataValidation type="list" allowBlank="1" showInputMessage="1" showErrorMessage="1" sqref="B9" xr:uid="{EB00D83C-0CA7-4E41-AA0C-225863FD6E06}">
      <formula1>$AE$11:$AE$16</formula1>
    </dataValidation>
    <dataValidation type="list" allowBlank="1" showInputMessage="1" showErrorMessage="1" sqref="B14" xr:uid="{A02EFCF0-1198-48A8-84D7-11C0D01679EB}">
      <formula1>$AE$4:$AE$7</formula1>
    </dataValidation>
    <dataValidation type="list" allowBlank="1" showInputMessage="1" showErrorMessage="1" sqref="H28" xr:uid="{3C01F71F-6238-4B42-95B9-C668FD73EA3E}">
      <formula1>$AE$20:$AE$21</formula1>
    </dataValidation>
    <dataValidation type="list" allowBlank="1" showInputMessage="1" showErrorMessage="1" sqref="H29" xr:uid="{230A614F-0E84-4697-A3A7-18F75DB85A3A}">
      <formula1>$AE$28:$AE$30</formula1>
    </dataValidation>
    <dataValidation type="list" allowBlank="1" showInputMessage="1" showErrorMessage="1" sqref="H35" xr:uid="{6A2E99B9-9086-4A0C-9EA4-A26ED3746A0D}">
      <formula1>$AE$24:$AE$25</formula1>
    </dataValidation>
    <dataValidation type="list" allowBlank="1" showInputMessage="1" showErrorMessage="1" sqref="H36" xr:uid="{26B16E95-4939-4F67-AE0E-4B800F3615C3}">
      <formula1>$AJ$4:$AJ$16</formula1>
    </dataValidation>
    <dataValidation type="list" allowBlank="1" showInputMessage="1" showErrorMessage="1" sqref="G52" xr:uid="{43172F86-43BB-4E3C-BBCF-B48F7D608EAA}">
      <formula1>$AH$21:$AH$22</formula1>
    </dataValidation>
    <dataValidation type="list" allowBlank="1" showInputMessage="1" showErrorMessage="1" sqref="E89:J89 G45:N45" xr:uid="{8545AF49-A986-4D11-9334-9092FBA5A782}">
      <formula1>$AK$4:$AK$16</formula1>
    </dataValidation>
    <dataValidation type="list" allowBlank="1" showInputMessage="1" showErrorMessage="1" sqref="L110:M110" xr:uid="{75DBFA5A-BAA7-454F-B4F4-11902BD77E12}">
      <formula1>$AJ$25:$AJ$31</formula1>
    </dataValidation>
    <dataValidation type="list" allowBlank="1" showInputMessage="1" showErrorMessage="1" sqref="L111:M111" xr:uid="{73C079CD-270A-4364-B8CC-DC155398F0C4}">
      <formula1>$AJ$34:$AJ$36</formula1>
    </dataValidation>
    <dataValidation type="list" allowBlank="1" showInputMessage="1" showErrorMessage="1" sqref="E98:J102" xr:uid="{47911706-77B9-4757-AA96-E420E4154458}">
      <formula1>$AL$8:$AL$22</formula1>
    </dataValidation>
  </dataValidations>
  <hyperlinks>
    <hyperlink ref="AG11" r:id="rId1" xr:uid="{DF04D437-9CF0-492E-850B-318753106935}"/>
    <hyperlink ref="AG12" r:id="rId2" xr:uid="{CF8D46B5-9209-4AC0-A23E-4B40FEE5709F}"/>
  </hyperlinks>
  <pageMargins left="0.7" right="0.7" top="0.75" bottom="0.75" header="0.3" footer="0.3"/>
  <pageSetup paperSize="8" orientation="portrait" r:id="rId3"/>
  <drawing r:id="rId4"/>
  <tableParts count="10">
    <tablePart r:id="rId5"/>
    <tablePart r:id="rId6"/>
    <tablePart r:id="rId7"/>
    <tablePart r:id="rId8"/>
    <tablePart r:id="rId9"/>
    <tablePart r:id="rId10"/>
    <tablePart r:id="rId11"/>
    <tablePart r:id="rId12"/>
    <tablePart r:id="rId13"/>
    <tablePart r:id="rId14"/>
  </tableParts>
  <extLst>
    <ext xmlns:x14="http://schemas.microsoft.com/office/spreadsheetml/2009/9/main" uri="{CCE6A557-97BC-4b89-ADB6-D9C93CAAB3DF}">
      <x14:dataValidations xmlns:xm="http://schemas.microsoft.com/office/excel/2006/main" count="10">
        <x14:dataValidation type="list" allowBlank="1" showInputMessage="1" showErrorMessage="1" xr:uid="{B7559ED7-4940-4397-8ED6-DB3ED57CB966}">
          <x14:formula1>
            <xm:f>'BAZA DANYCH'!$B$47:$B$65</xm:f>
          </x14:formula1>
          <xm:sqref>H37</xm:sqref>
        </x14:dataValidation>
        <x14:dataValidation type="list" allowBlank="1" showInputMessage="1" showErrorMessage="1" xr:uid="{DE33E787-2745-41B0-BF68-07542E61E1DA}">
          <x14:formula1>
            <xm:f>'BAZA DANYCH'!$C$47:$C$65</xm:f>
          </x14:formula1>
          <xm:sqref>H38</xm:sqref>
        </x14:dataValidation>
        <x14:dataValidation type="list" allowBlank="1" showInputMessage="1" showErrorMessage="1" xr:uid="{59A71A5D-6080-43A7-A18A-216EEDEC7CB3}">
          <x14:formula1>
            <xm:f>PV!$AY$7:$AY$136</xm:f>
          </x14:formula1>
          <xm:sqref>G44</xm:sqref>
        </x14:dataValidation>
        <x14:dataValidation type="list" allowBlank="1" showInputMessage="1" showErrorMessage="1" xr:uid="{9DD103CD-B5D8-4ADB-9BD0-13330F000DDE}">
          <x14:formula1>
            <xm:f>PV!$BD$7:$BD$10</xm:f>
          </x14:formula1>
          <xm:sqref>G47</xm:sqref>
        </x14:dataValidation>
        <x14:dataValidation type="list" allowBlank="1" showInputMessage="1" showErrorMessage="1" xr:uid="{AB5F0910-32BF-4FC5-86C8-004FF17E9B87}">
          <x14:formula1>
            <xm:f>PV!$BB$10:$BB$17</xm:f>
          </x14:formula1>
          <xm:sqref>G48</xm:sqref>
        </x14:dataValidation>
        <x14:dataValidation type="list" allowBlank="1" showInputMessage="1" showErrorMessage="1" xr:uid="{64DA499D-789C-4CCA-81E2-2DDDD58D42C2}">
          <x14:formula1>
            <xm:f>PV!$BB$7:$BB$9</xm:f>
          </x14:formula1>
          <xm:sqref>G49</xm:sqref>
        </x14:dataValidation>
        <x14:dataValidation type="list" allowBlank="1" showInputMessage="1" showErrorMessage="1" xr:uid="{FB09AE3E-479E-49C5-84BC-13C6E1F69FDA}">
          <x14:formula1>
            <xm:f>PV!$BC$9:$BC$10</xm:f>
          </x14:formula1>
          <xm:sqref>G50</xm:sqref>
        </x14:dataValidation>
        <x14:dataValidation type="list" allowBlank="1" showInputMessage="1" showErrorMessage="1" xr:uid="{76A04E7C-2BED-4962-8BB4-3876D84BAC6A}">
          <x14:formula1>
            <xm:f>PV!$BC$7:$BC$8</xm:f>
          </x14:formula1>
          <xm:sqref>G51</xm:sqref>
        </x14:dataValidation>
        <x14:dataValidation type="list" allowBlank="1" showInputMessage="1" showErrorMessage="1" xr:uid="{46384376-C0F9-426F-A834-B0E0A83BCCE7}">
          <x14:formula1>
            <xm:f>PV!$AZ$7:$AZ$94</xm:f>
          </x14:formula1>
          <xm:sqref>G43</xm:sqref>
        </x14:dataValidation>
        <x14:dataValidation type="list" allowBlank="1" showInputMessage="1" showErrorMessage="1" xr:uid="{C6C1C518-E746-4F9E-BE4B-DD077F2A3DA2}">
          <x14:formula1>
            <xm:f>PV!$BF$7:$BF$20</xm:f>
          </x14:formula1>
          <xm:sqref>G46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usz11">
    <tabColor rgb="FFFF0000"/>
  </sheetPr>
  <dimension ref="A1:BQ312"/>
  <sheetViews>
    <sheetView showGridLines="0" topLeftCell="A46" zoomScale="85" zoomScaleNormal="85" zoomScaleSheetLayoutView="55" zoomScalePageLayoutView="40" workbookViewId="0">
      <selection activeCell="AQ63" sqref="AQ63"/>
    </sheetView>
  </sheetViews>
  <sheetFormatPr defaultColWidth="4.7109375" defaultRowHeight="21" customHeight="1" zeroHeight="1"/>
  <cols>
    <col min="1" max="2" width="4.7109375" style="388" customWidth="1"/>
    <col min="3" max="3" width="4.85546875" style="388" bestFit="1" customWidth="1"/>
    <col min="4" max="7" width="4.7109375" style="388" customWidth="1"/>
    <col min="8" max="8" width="4.85546875" style="388" bestFit="1" customWidth="1"/>
    <col min="9" max="14" width="4.7109375" style="388" customWidth="1"/>
    <col min="15" max="15" width="4.85546875" style="388" bestFit="1" customWidth="1"/>
    <col min="16" max="16" width="4.7109375" style="388" customWidth="1"/>
    <col min="17" max="17" width="4.85546875" style="388" bestFit="1" customWidth="1"/>
    <col min="18" max="31" width="4.7109375" style="388" customWidth="1"/>
    <col min="32" max="32" width="13.28515625" style="388" customWidth="1"/>
    <col min="33" max="34" width="13.7109375" style="388" customWidth="1"/>
    <col min="35" max="35" width="11.5703125" style="388" customWidth="1"/>
    <col min="36" max="38" width="4.7109375" style="388" customWidth="1"/>
    <col min="39" max="39" width="15.7109375" style="388" customWidth="1"/>
    <col min="40" max="40" width="4.7109375" style="388" customWidth="1"/>
    <col min="41" max="41" width="23.85546875" style="388" customWidth="1"/>
    <col min="42" max="43" width="12.42578125" style="388" customWidth="1"/>
    <col min="44" max="44" width="9.85546875" style="388" customWidth="1"/>
    <col min="45" max="45" width="11.5703125" style="388" customWidth="1"/>
    <col min="46" max="46" width="4.7109375" style="388" customWidth="1"/>
    <col min="47" max="47" width="11.5703125" style="388" customWidth="1"/>
    <col min="48" max="49" width="6.42578125" style="388" customWidth="1"/>
    <col min="50" max="50" width="9.85546875" style="389" customWidth="1"/>
    <col min="51" max="51" width="43.28515625" style="389" customWidth="1"/>
    <col min="52" max="52" width="51.140625" style="389" customWidth="1"/>
    <col min="53" max="53" width="23.85546875" style="390" customWidth="1"/>
    <col min="54" max="54" width="20.85546875" style="390" customWidth="1"/>
    <col min="55" max="55" width="47.42578125" style="390" customWidth="1"/>
    <col min="56" max="56" width="47.7109375" style="390" customWidth="1"/>
    <col min="57" max="57" width="16.42578125" style="390" customWidth="1"/>
    <col min="58" max="58" width="30.28515625" style="388" bestFit="1" customWidth="1"/>
    <col min="59" max="62" width="4.7109375" style="388" customWidth="1"/>
    <col min="63" max="63" width="7.5703125" style="388" customWidth="1"/>
    <col min="64" max="64" width="4.7109375" style="388" customWidth="1"/>
    <col min="65" max="65" width="7.42578125" style="388" customWidth="1"/>
    <col min="66" max="66" width="4.85546875" style="388" customWidth="1"/>
    <col min="67" max="16384" width="4.7109375" style="388"/>
  </cols>
  <sheetData>
    <row r="1" spans="1:62" ht="21" customHeight="1"/>
    <row r="2" spans="1:62" ht="21" customHeight="1">
      <c r="AI2" s="388" t="s">
        <v>927</v>
      </c>
    </row>
    <row r="3" spans="1:62" ht="21" customHeight="1">
      <c r="A3" s="608" t="s">
        <v>249</v>
      </c>
      <c r="B3" s="608"/>
      <c r="C3" s="608"/>
      <c r="D3" s="608"/>
      <c r="E3" s="608"/>
      <c r="F3" s="608"/>
      <c r="G3" s="608"/>
      <c r="H3" s="608"/>
      <c r="I3" s="608"/>
      <c r="J3" s="608"/>
      <c r="K3" s="608"/>
      <c r="L3" s="608"/>
      <c r="M3" s="608"/>
      <c r="N3" s="608"/>
      <c r="O3" s="608"/>
      <c r="P3" s="608"/>
      <c r="Q3" s="608"/>
      <c r="R3" s="608"/>
      <c r="S3" s="608"/>
      <c r="T3" s="608"/>
      <c r="U3" s="608"/>
      <c r="V3" s="608"/>
      <c r="W3" s="608"/>
      <c r="X3" s="608"/>
      <c r="Y3" s="608"/>
      <c r="Z3" s="608"/>
      <c r="AA3" s="608"/>
      <c r="AB3" s="608"/>
      <c r="AC3" s="608"/>
      <c r="AD3" s="608"/>
      <c r="AE3" s="608"/>
      <c r="AI3" s="388" t="s">
        <v>928</v>
      </c>
      <c r="AP3" s="391" t="s">
        <v>363</v>
      </c>
    </row>
    <row r="4" spans="1:62" ht="21" customHeight="1">
      <c r="A4" s="608"/>
      <c r="B4" s="608"/>
      <c r="C4" s="608"/>
      <c r="D4" s="608"/>
      <c r="E4" s="608"/>
      <c r="F4" s="608"/>
      <c r="G4" s="608"/>
      <c r="H4" s="608"/>
      <c r="I4" s="608"/>
      <c r="J4" s="608"/>
      <c r="K4" s="608"/>
      <c r="L4" s="608"/>
      <c r="M4" s="608"/>
      <c r="N4" s="608"/>
      <c r="O4" s="608"/>
      <c r="P4" s="608"/>
      <c r="Q4" s="608"/>
      <c r="R4" s="608"/>
      <c r="S4" s="608"/>
      <c r="T4" s="608"/>
      <c r="U4" s="608"/>
      <c r="V4" s="608"/>
      <c r="W4" s="608"/>
      <c r="X4" s="608"/>
      <c r="Y4" s="608"/>
      <c r="Z4" s="608"/>
      <c r="AA4" s="608"/>
      <c r="AB4" s="608"/>
      <c r="AC4" s="608"/>
      <c r="AD4" s="608"/>
      <c r="AE4" s="608"/>
      <c r="AI4" s="388" t="s">
        <v>929</v>
      </c>
      <c r="AP4" s="388" t="s">
        <v>365</v>
      </c>
    </row>
    <row r="5" spans="1:62" ht="21" customHeight="1">
      <c r="A5" s="608"/>
      <c r="B5" s="608"/>
      <c r="C5" s="608"/>
      <c r="D5" s="608"/>
      <c r="E5" s="608"/>
      <c r="F5" s="608"/>
      <c r="G5" s="608"/>
      <c r="H5" s="608"/>
      <c r="I5" s="608"/>
      <c r="J5" s="608"/>
      <c r="K5" s="608"/>
      <c r="L5" s="608"/>
      <c r="M5" s="608"/>
      <c r="N5" s="608"/>
      <c r="O5" s="608"/>
      <c r="P5" s="608"/>
      <c r="Q5" s="608"/>
      <c r="R5" s="608"/>
      <c r="S5" s="608"/>
      <c r="T5" s="608"/>
      <c r="U5" s="608"/>
      <c r="V5" s="608"/>
      <c r="W5" s="608"/>
      <c r="X5" s="608"/>
      <c r="Y5" s="608"/>
      <c r="Z5" s="608"/>
      <c r="AA5" s="608"/>
      <c r="AB5" s="608"/>
      <c r="AC5" s="608"/>
      <c r="AD5" s="608"/>
      <c r="AE5" s="608"/>
      <c r="AI5" s="388" t="s">
        <v>930</v>
      </c>
    </row>
    <row r="6" spans="1:62" ht="20.25" customHeight="1">
      <c r="A6" s="608"/>
      <c r="B6" s="608"/>
      <c r="C6" s="608"/>
      <c r="D6" s="608"/>
      <c r="E6" s="608"/>
      <c r="F6" s="608"/>
      <c r="G6" s="608"/>
      <c r="H6" s="608"/>
      <c r="I6" s="608"/>
      <c r="J6" s="608"/>
      <c r="K6" s="608"/>
      <c r="L6" s="608"/>
      <c r="M6" s="608"/>
      <c r="N6" s="608"/>
      <c r="O6" s="608"/>
      <c r="P6" s="608"/>
      <c r="Q6" s="608"/>
      <c r="R6" s="608"/>
      <c r="S6" s="608"/>
      <c r="T6" s="608"/>
      <c r="U6" s="608"/>
      <c r="V6" s="608"/>
      <c r="W6" s="608"/>
      <c r="X6" s="608"/>
      <c r="Y6" s="608"/>
      <c r="Z6" s="608"/>
      <c r="AA6" s="608"/>
      <c r="AB6" s="608"/>
      <c r="AC6" s="608"/>
      <c r="AD6" s="608"/>
      <c r="AE6" s="608"/>
      <c r="AX6" s="389" t="s">
        <v>462</v>
      </c>
      <c r="AY6" s="389" t="s">
        <v>213</v>
      </c>
      <c r="AZ6" s="389" t="s">
        <v>463</v>
      </c>
      <c r="BA6" s="390" t="s">
        <v>283</v>
      </c>
      <c r="BB6" s="390" t="s">
        <v>465</v>
      </c>
      <c r="BC6" s="390" t="s">
        <v>475</v>
      </c>
      <c r="BD6" s="390" t="s">
        <v>478</v>
      </c>
      <c r="BE6" s="390" t="s">
        <v>479</v>
      </c>
      <c r="BJ6" s="388" t="str">
        <f>[1]!Panele[[#This Row],[Panel_Nazwa]]</f>
        <v>Jinko JKM415N-54HL4-B FB</v>
      </c>
    </row>
    <row r="7" spans="1:62" ht="20.25" customHeight="1">
      <c r="A7" s="608"/>
      <c r="B7" s="608"/>
      <c r="C7" s="608"/>
      <c r="D7" s="608"/>
      <c r="E7" s="608"/>
      <c r="F7" s="608"/>
      <c r="G7" s="608"/>
      <c r="H7" s="608"/>
      <c r="I7" s="608"/>
      <c r="J7" s="608"/>
      <c r="K7" s="608"/>
      <c r="L7" s="608"/>
      <c r="M7" s="608"/>
      <c r="N7" s="608"/>
      <c r="O7" s="608"/>
      <c r="P7" s="608"/>
      <c r="Q7" s="608"/>
      <c r="R7" s="608"/>
      <c r="S7" s="608"/>
      <c r="T7" s="608"/>
      <c r="U7" s="608"/>
      <c r="V7" s="608"/>
      <c r="W7" s="608"/>
      <c r="X7" s="608"/>
      <c r="Y7" s="608"/>
      <c r="Z7" s="608"/>
      <c r="AA7" s="608"/>
      <c r="AB7" s="608"/>
      <c r="AC7" s="608"/>
      <c r="AD7" s="608"/>
      <c r="AE7" s="608"/>
      <c r="AX7" s="389">
        <v>1</v>
      </c>
      <c r="AY7" t="str">
        <f>[1]Inwerter!A3</f>
        <v>Hoymiles HM-600 1F</v>
      </c>
      <c r="AZ7" s="448" t="str">
        <f>[1]Panele!$A$2</f>
        <v>Akcome Chaser-M10/132P 500W BF</v>
      </c>
      <c r="BA7" t="s">
        <v>1140</v>
      </c>
      <c r="BB7" t="s">
        <v>320</v>
      </c>
      <c r="BC7" t="s">
        <v>476</v>
      </c>
      <c r="BD7" t="s">
        <v>1112</v>
      </c>
      <c r="BE7" s="390" t="s">
        <v>200</v>
      </c>
      <c r="BF7" s="489" t="s">
        <v>1247</v>
      </c>
      <c r="BJ7" s="388" t="str">
        <f>[1]!Panele[[#This Row],[Panel_Nazwa]]</f>
        <v>Jinko JKM555N-72HL4-V BIFACIAL</v>
      </c>
    </row>
    <row r="8" spans="1:62" ht="20.25">
      <c r="AX8" s="389">
        <v>2</v>
      </c>
      <c r="AY8" t="str">
        <f>[1]Inwerter!A4</f>
        <v>Hoymiles HM-800 1F</v>
      </c>
      <c r="AZ8" s="448" t="str">
        <f>[1]Panele!$A$3</f>
        <v>Akcome Chaser-M6/120P 380W</v>
      </c>
      <c r="BA8" t="s">
        <v>1141</v>
      </c>
      <c r="BB8" t="s">
        <v>466</v>
      </c>
      <c r="BC8" t="s">
        <v>429</v>
      </c>
      <c r="BD8" t="s">
        <v>1113</v>
      </c>
      <c r="BE8" s="390" t="s">
        <v>480</v>
      </c>
      <c r="BF8" s="461" t="s">
        <v>1121</v>
      </c>
      <c r="BJ8" s="388" t="str">
        <f>[1]!Panele[[#This Row],[Panel_Nazwa]]</f>
        <v>Jolywood JW.-HD120N-345W BIFACIAL</v>
      </c>
    </row>
    <row r="9" spans="1:62" ht="20.25">
      <c r="AX9" s="389">
        <v>3</v>
      </c>
      <c r="AY9" t="str">
        <f>[1]Inwerter!A5</f>
        <v>Hoymiles HM-1200 1F</v>
      </c>
      <c r="AZ9" s="448" t="str">
        <f>[1]Panele!$A$4</f>
        <v>Hyundai HiE-S410VG</v>
      </c>
      <c r="BA9" t="s">
        <v>1142</v>
      </c>
      <c r="BB9" t="s">
        <v>467</v>
      </c>
      <c r="BC9" t="s">
        <v>1138</v>
      </c>
      <c r="BD9" t="s">
        <v>1114</v>
      </c>
      <c r="BE9" s="390" t="s">
        <v>208</v>
      </c>
      <c r="BF9" s="462" t="s">
        <v>1122</v>
      </c>
      <c r="BJ9" s="388" t="str">
        <f>[1]!Panele[[#This Row],[Panel_Nazwa]]</f>
        <v>Jolywood JW.-HD144N-555W BIFACIAL</v>
      </c>
    </row>
    <row r="10" spans="1:62" ht="20.25">
      <c r="AX10" s="389">
        <v>4</v>
      </c>
      <c r="AY10" t="str">
        <f>[1]Inwerter!A6</f>
        <v>Hoymiles HM-1500 1F</v>
      </c>
      <c r="AZ10" s="448" t="str">
        <f>[1]Panele!$A$5</f>
        <v>Hyundai HiE-S485VI</v>
      </c>
      <c r="BA10" t="s">
        <v>1143</v>
      </c>
      <c r="BB10" t="s">
        <v>328</v>
      </c>
      <c r="BC10" t="s">
        <v>477</v>
      </c>
      <c r="BD10" t="s">
        <v>1115</v>
      </c>
      <c r="BE10" s="390" t="s">
        <v>481</v>
      </c>
      <c r="BF10" s="461" t="s">
        <v>1123</v>
      </c>
      <c r="BJ10" s="388" t="str">
        <f>[1]!Panele[[#This Row],[Panel_Nazwa]]</f>
        <v>LONGi LR4-60HPB-360M FULL BLACK</v>
      </c>
    </row>
    <row r="11" spans="1:62" ht="20.25">
      <c r="AP11" s="392" t="s">
        <v>674</v>
      </c>
      <c r="AX11" s="389">
        <v>5</v>
      </c>
      <c r="AY11" t="str">
        <f>[1]Inwerter!A7</f>
        <v>Hoymiles HMS-350-1T 1F</v>
      </c>
      <c r="AZ11" s="448" t="str">
        <f>[1]Panele!$A$6</f>
        <v>Jinko JKM415N-54HL4-B FB</v>
      </c>
      <c r="BA11" s="7" t="s">
        <v>1144</v>
      </c>
      <c r="BB11" t="s">
        <v>468</v>
      </c>
      <c r="BD11" t="s">
        <v>1116</v>
      </c>
      <c r="BF11" s="462" t="s">
        <v>1124</v>
      </c>
      <c r="BJ11" s="388" t="str">
        <f>[1]!Panele[[#This Row],[Panel_Nazwa]]</f>
        <v>LONGi LR4-60HPH-375M 9BB BF</v>
      </c>
    </row>
    <row r="12" spans="1:62" ht="20.25">
      <c r="AP12" s="393" t="s">
        <v>631</v>
      </c>
      <c r="AX12" s="389">
        <v>6</v>
      </c>
      <c r="AY12" t="str">
        <f>[1]Inwerter!A8</f>
        <v>Hoymiles HMS-400-1T 1F</v>
      </c>
      <c r="AZ12" s="448" t="str">
        <f>[1]Panele!$A$7</f>
        <v>Jinko JKM555N-72HL4-V BIFACIAL</v>
      </c>
      <c r="BA12" t="s">
        <v>1145</v>
      </c>
      <c r="BB12" t="s">
        <v>469</v>
      </c>
      <c r="BD12" t="s">
        <v>1117</v>
      </c>
      <c r="BF12" s="461" t="s">
        <v>1125</v>
      </c>
      <c r="BJ12" s="388" t="str">
        <f>[1]!Panele[[#This Row],[Panel_Nazwa]]</f>
        <v>LONGi LR4-72HPH-450M</v>
      </c>
    </row>
    <row r="13" spans="1:62" ht="20.25">
      <c r="AP13" s="393" t="s">
        <v>632</v>
      </c>
      <c r="AX13" s="389">
        <v>7</v>
      </c>
      <c r="AY13" t="str">
        <f>[1]Inwerter!A9</f>
        <v>Hoymiles HMS-450-1T 1F</v>
      </c>
      <c r="AZ13" s="448" t="str">
        <f>[1]Panele!$A$8</f>
        <v>Jolywood JW.-HD120N-345W BIFACIAL</v>
      </c>
      <c r="BA13" t="s">
        <v>415</v>
      </c>
      <c r="BB13" t="s">
        <v>470</v>
      </c>
      <c r="BD13" t="s">
        <v>1118</v>
      </c>
      <c r="BF13" s="462" t="s">
        <v>1126</v>
      </c>
      <c r="BJ13" s="388" t="str">
        <f>[1]!Panele[[#This Row],[Panel_Nazwa]]</f>
        <v>LONGi LR4-72HPH-455M</v>
      </c>
    </row>
    <row r="14" spans="1:62" ht="20.25">
      <c r="AP14" s="393" t="s">
        <v>934</v>
      </c>
      <c r="AX14" s="389">
        <v>8</v>
      </c>
      <c r="AY14" t="str">
        <f>[1]Inwerter!A10</f>
        <v>Hoymiles HMS-500-1T 1F</v>
      </c>
      <c r="AZ14" s="448" t="str">
        <f>[1]Panele!$A$9</f>
        <v>Jolywood JW.-HD144N-555W BIFACIAL</v>
      </c>
      <c r="BA14" t="s">
        <v>1146</v>
      </c>
      <c r="BB14" t="s">
        <v>471</v>
      </c>
      <c r="BD14" t="s">
        <v>1119</v>
      </c>
      <c r="BF14" s="461" t="s">
        <v>1127</v>
      </c>
      <c r="BJ14" s="388" t="str">
        <f>[1]!Panele[[#This Row],[Panel_Nazwa]]</f>
        <v>LONGi LR5-72HPH-540M</v>
      </c>
    </row>
    <row r="15" spans="1:62" ht="20.25">
      <c r="AP15" s="393" t="s">
        <v>644</v>
      </c>
      <c r="AX15" s="389">
        <v>9</v>
      </c>
      <c r="AY15" t="str">
        <f>[1]Inwerter!A11</f>
        <v>Hoymiles HMS-600-2T 1F</v>
      </c>
      <c r="AZ15" s="448" t="str">
        <f>[1]Panele!$A$10</f>
        <v>LONGi LR4-60HPB-360M FULL BLACK</v>
      </c>
      <c r="BA15" t="s">
        <v>1147</v>
      </c>
      <c r="BB15" t="s">
        <v>472</v>
      </c>
      <c r="BD15" t="s">
        <v>1120</v>
      </c>
      <c r="BF15" s="462" t="s">
        <v>1128</v>
      </c>
      <c r="BJ15" s="388" t="str">
        <f>[1]!Panele[[#This Row],[Panel_Nazwa]]</f>
        <v>PhonoSolar PS405M4-22/WH FULL BLACK</v>
      </c>
    </row>
    <row r="16" spans="1:62" ht="20.25">
      <c r="AP16" s="393" t="s">
        <v>1040</v>
      </c>
      <c r="AX16" s="389">
        <v>10</v>
      </c>
      <c r="AY16" t="str">
        <f>[1]Inwerter!A12</f>
        <v>Hoymiles HMS-700-2T 1F</v>
      </c>
      <c r="AZ16" s="448" t="str">
        <f>[1]Panele!$A$11</f>
        <v>LONGi LR4-60HPH-375M 9BB BF</v>
      </c>
      <c r="BA16" t="s">
        <v>1148</v>
      </c>
      <c r="BB16" t="s">
        <v>473</v>
      </c>
      <c r="BD16" s="206" t="s">
        <v>1134</v>
      </c>
      <c r="BF16" s="461" t="s">
        <v>1129</v>
      </c>
      <c r="BJ16" s="388" t="str">
        <f>[1]!Panele[[#This Row],[Panel_Nazwa]]</f>
        <v>PhonoSolar PS380M4-20/UH BLACK FRAME</v>
      </c>
    </row>
    <row r="17" spans="5:62" ht="20.25">
      <c r="AP17" s="393" t="s">
        <v>675</v>
      </c>
      <c r="AX17" s="389">
        <v>11</v>
      </c>
      <c r="AY17" t="str">
        <f>[1]Inwerter!A13</f>
        <v>Hoymiles HMS-800-2T 1F</v>
      </c>
      <c r="AZ17" s="448" t="str">
        <f>[1]Panele!$A$12</f>
        <v>LONGi LR4-72HPH-450M</v>
      </c>
      <c r="BB17" t="s">
        <v>474</v>
      </c>
      <c r="BD17" s="206" t="s">
        <v>1135</v>
      </c>
      <c r="BF17" s="462" t="s">
        <v>1130</v>
      </c>
      <c r="BJ17" s="388" t="str">
        <f>[1]!Panele[[#This Row],[Panel_Nazwa]]</f>
        <v>TW Solar TW555-MAP M10-144-H</v>
      </c>
    </row>
    <row r="18" spans="5:62" ht="20.25">
      <c r="AX18" s="389">
        <v>12</v>
      </c>
      <c r="AY18" t="str">
        <f>[1]Inwerter!A14</f>
        <v>Hoymiles HMS-900-2T 1F</v>
      </c>
      <c r="AZ18" s="448" t="str">
        <f>[1]Panele!$A$13</f>
        <v>LONGi LR4-72HPH-455M</v>
      </c>
      <c r="BD18" s="206" t="s">
        <v>1136</v>
      </c>
      <c r="BF18" s="461" t="s">
        <v>1131</v>
      </c>
      <c r="BJ18" s="388" t="str">
        <f>[1]!Panele[[#This Row],[Panel_Nazwa]]</f>
        <v>TW Solar TW665-MCP-132-H</v>
      </c>
    </row>
    <row r="19" spans="5:62" ht="20.25">
      <c r="AX19" s="389">
        <v>13</v>
      </c>
      <c r="AY19" t="str">
        <f>[1]Inwerter!A15</f>
        <v>Hoymiles HMS-1000-2T 1F</v>
      </c>
      <c r="AZ19" s="448" t="str">
        <f>[1]Panele!$A$14</f>
        <v>LONGi LR5-72HPH-540M</v>
      </c>
      <c r="BD19" t="s">
        <v>1137</v>
      </c>
      <c r="BF19" s="462" t="s">
        <v>1132</v>
      </c>
      <c r="BJ19" s="388" t="str">
        <f>[1]!Panele[[#This Row],[Panel_Nazwa]]</f>
        <v>Sunlink SL5N108 430W</v>
      </c>
    </row>
    <row r="20" spans="5:62" ht="20.25">
      <c r="AX20" s="389">
        <v>14</v>
      </c>
      <c r="AY20" t="str">
        <f>[1]Inwerter!A16</f>
        <v>Hoymiles HMS-1600-4T 1F</v>
      </c>
      <c r="AZ20" s="448" t="str">
        <f>[1]Panele!$A$15</f>
        <v>PhonoSolar PS405M4-22/WH FULL BLACK</v>
      </c>
      <c r="BD20" t="s">
        <v>1271</v>
      </c>
      <c r="BF20" s="461" t="s">
        <v>1133</v>
      </c>
      <c r="BJ20" s="388" t="str">
        <f>[1]!Panele[[#This Row],[Panel_Nazwa]]</f>
        <v>Sunlink SL4M144-BF 455W</v>
      </c>
    </row>
    <row r="21" spans="5:62" ht="20.25">
      <c r="AX21" s="389">
        <v>15</v>
      </c>
      <c r="AY21" t="str">
        <f>[1]Inwerter!A17</f>
        <v>Hoymiles HMS-1800-4T 1F</v>
      </c>
      <c r="AZ21" s="448" t="str">
        <f>[1]Panele!$A$16</f>
        <v>PhonoSolar PS380M4-20/UH BLACK FRAME</v>
      </c>
      <c r="BD21" s="206"/>
      <c r="BJ21" s="388" t="str">
        <f>[1]!Panele[[#This Row],[Panel_Nazwa]]</f>
        <v>LG LG375N1K-E6</v>
      </c>
    </row>
    <row r="22" spans="5:62" ht="20.25">
      <c r="AX22" s="389">
        <v>16</v>
      </c>
      <c r="AY22" t="str">
        <f>[1]Inwerter!A18</f>
        <v>Hoymiles HMS-2000-4T 1F</v>
      </c>
      <c r="AZ22" s="448" t="str">
        <f>[1]Panele!A17</f>
        <v>TW Solar TW555-MAP M10-144-H</v>
      </c>
      <c r="BD22" s="206"/>
      <c r="BJ22" s="388" t="str">
        <f>[1]!Panele[[#This Row],[Panel_Nazwa]]</f>
        <v>Trina TSM-435 NEG9R.2B</v>
      </c>
    </row>
    <row r="23" spans="5:62" ht="20.25">
      <c r="AX23" s="389">
        <v>17</v>
      </c>
      <c r="AY23" t="str">
        <f>[1]Inwerter!A19</f>
        <v>Hoymiles HMS-1800-6T 3F</v>
      </c>
      <c r="AZ23" s="448" t="str">
        <f>[1]Panele!A18</f>
        <v>TW Solar TW665-MCP-132-H</v>
      </c>
      <c r="BD23" s="206"/>
      <c r="BJ23" s="388" t="str">
        <f>[1]!Panele[[#This Row],[Panel_Nazwa]]</f>
        <v>Jinko JKM435N=54HL4R-B</v>
      </c>
    </row>
    <row r="24" spans="5:62" ht="20.25">
      <c r="AX24" s="389">
        <v>18</v>
      </c>
      <c r="AY24" t="str">
        <f>[1]Inwerter!A20</f>
        <v>Hoymiles HMS-2250-6T 3F</v>
      </c>
      <c r="AZ24" s="448" t="str">
        <f>[1]Panele!A19</f>
        <v>Sunlink SL5N108 430W</v>
      </c>
      <c r="BD24" s="206"/>
      <c r="BJ24" s="388" t="str">
        <f>[1]!Panele[[#This Row],[Panel_Nazwa]]</f>
        <v>Vissmann VITOVOLT M400AK</v>
      </c>
    </row>
    <row r="25" spans="5:62" ht="20.25">
      <c r="AX25" s="389">
        <v>19</v>
      </c>
      <c r="AY25" t="str">
        <f>[1]Inwerter!A21</f>
        <v>Sofar 2200TL-G3</v>
      </c>
      <c r="AZ25" s="448" t="str">
        <f>[1]Panele!A20</f>
        <v>Sunlink SL4M144-BF 455W</v>
      </c>
      <c r="BD25"/>
      <c r="BJ25" s="388">
        <f>[1]!Panele[[#This Row],[Panel_Nazwa]]</f>
        <v>0</v>
      </c>
    </row>
    <row r="26" spans="5:62" ht="20.25">
      <c r="AX26" s="389">
        <v>20</v>
      </c>
      <c r="AY26" t="str">
        <f>[1]Inwerter!A22</f>
        <v>Sofar 2700TL-G3</v>
      </c>
      <c r="AZ26" s="448" t="str">
        <f>[1]Panele!A21</f>
        <v>LG LG375N1K-E6</v>
      </c>
      <c r="BJ26" s="388">
        <f>[1]!Panele[[#This Row],[Panel_Nazwa]]</f>
        <v>0</v>
      </c>
    </row>
    <row r="27" spans="5:62" ht="20.25">
      <c r="AX27" s="389">
        <v>21</v>
      </c>
      <c r="AY27" t="str">
        <f>[1]Inwerter!A23</f>
        <v>Sofar 3000TL-G3</v>
      </c>
      <c r="AZ27" s="448" t="str">
        <f>[1]Panele!A22</f>
        <v>Trina TSM-435 NEG9R.2B</v>
      </c>
      <c r="BJ27" s="388">
        <f>[1]!Panele[[#This Row],[Panel_Nazwa]]</f>
        <v>0</v>
      </c>
    </row>
    <row r="28" spans="5:62" ht="20.25">
      <c r="E28" s="734"/>
      <c r="F28" s="734"/>
      <c r="G28" s="734"/>
      <c r="H28" s="734"/>
      <c r="I28" s="734"/>
      <c r="J28" s="734"/>
      <c r="K28" s="734"/>
      <c r="L28" s="734"/>
      <c r="AX28" s="389">
        <v>22</v>
      </c>
      <c r="AY28" t="str">
        <f>[1]Inwerter!A24</f>
        <v>Sofar 3300TL-G3</v>
      </c>
      <c r="AZ28" s="448" t="str">
        <f>[1]Panele!A23</f>
        <v>Jinko JKM435N=54HL4R-B</v>
      </c>
      <c r="BJ28" s="388">
        <f>[1]!Panele[[#This Row],[Panel_Nazwa]]</f>
        <v>0</v>
      </c>
    </row>
    <row r="29" spans="5:62" ht="20.25">
      <c r="E29" s="734"/>
      <c r="F29" s="734"/>
      <c r="G29" s="734"/>
      <c r="H29" s="734"/>
      <c r="I29" s="734"/>
      <c r="J29" s="734"/>
      <c r="K29" s="734"/>
      <c r="L29" s="734"/>
      <c r="AX29" s="389">
        <v>23</v>
      </c>
      <c r="AY29" t="str">
        <f>[1]Inwerter!A25</f>
        <v>Sofar 3KTLM-G3</v>
      </c>
      <c r="AZ29" s="448" t="str">
        <f>[1]Panele!A24</f>
        <v>Vissmann VITOVOLT M400AK</v>
      </c>
    </row>
    <row r="30" spans="5:62" ht="20.25">
      <c r="E30" s="734"/>
      <c r="F30" s="734"/>
      <c r="G30" s="734"/>
      <c r="H30" s="734"/>
      <c r="I30" s="734"/>
      <c r="J30" s="734"/>
      <c r="K30" s="734"/>
      <c r="L30" s="734"/>
      <c r="AX30" s="389">
        <v>24</v>
      </c>
      <c r="AY30" t="str">
        <f>[1]Inwerter!A26</f>
        <v>Sofar 3.6KTLM-G3</v>
      </c>
      <c r="AZ30" s="448">
        <f>[1]Panele!A25</f>
        <v>0</v>
      </c>
    </row>
    <row r="31" spans="5:62" ht="20.25">
      <c r="AX31" s="389">
        <v>25</v>
      </c>
      <c r="AY31" t="str">
        <f>[1]Inwerter!A27</f>
        <v>Sofar 3.3KTLX-G3</v>
      </c>
      <c r="AZ31" s="448"/>
    </row>
    <row r="32" spans="5:62" ht="20.25">
      <c r="AX32" s="389">
        <v>26</v>
      </c>
      <c r="AY32" t="str">
        <f>[1]Inwerter!A28</f>
        <v>Sofar 4.4KTLX-G3</v>
      </c>
      <c r="AZ32" s="448"/>
    </row>
    <row r="33" spans="33:63" ht="20.25">
      <c r="AX33" s="389">
        <v>27</v>
      </c>
      <c r="AY33" t="str">
        <f>[1]Inwerter!A29</f>
        <v>Sofar 5.5KTLX-G3</v>
      </c>
      <c r="AZ33" s="448"/>
    </row>
    <row r="34" spans="33:63" ht="20.25">
      <c r="AX34" s="389">
        <v>28</v>
      </c>
      <c r="AY34" t="str">
        <f>[1]Inwerter!A30</f>
        <v>Sofar 6.6KTLX-G3</v>
      </c>
      <c r="AZ34" s="448"/>
    </row>
    <row r="35" spans="33:63" ht="20.25">
      <c r="AX35" s="389">
        <v>29</v>
      </c>
      <c r="AY35" t="str">
        <f>[1]Inwerter!A31</f>
        <v>Sofar 8.8KTLX-G3</v>
      </c>
      <c r="AZ35" s="448"/>
    </row>
    <row r="36" spans="33:63" ht="20.25">
      <c r="AX36" s="389">
        <v>30</v>
      </c>
      <c r="AY36" t="str">
        <f>[1]Inwerter!A32</f>
        <v>Sofar 11KTL-X G3</v>
      </c>
      <c r="AZ36" s="448"/>
    </row>
    <row r="37" spans="33:63" ht="20.25">
      <c r="AX37" s="389">
        <v>31</v>
      </c>
      <c r="AY37" t="str">
        <f>[1]Inwerter!A33</f>
        <v>Sofar 12KTLX-G3</v>
      </c>
      <c r="AZ37" s="448"/>
    </row>
    <row r="38" spans="33:63" ht="20.25">
      <c r="AX38" s="389">
        <v>32</v>
      </c>
      <c r="AY38" t="str">
        <f>[1]Inwerter!A34</f>
        <v>Sofar 15KTLX-G3</v>
      </c>
      <c r="AZ38" s="448"/>
    </row>
    <row r="39" spans="33:63" ht="20.25">
      <c r="AX39" s="389">
        <v>33</v>
      </c>
      <c r="AY39" t="str">
        <f>[1]Inwerter!A35</f>
        <v>Sofar 17KTLX-G#</v>
      </c>
      <c r="AZ39" s="448"/>
    </row>
    <row r="40" spans="33:63" ht="20.25">
      <c r="AX40" s="389">
        <v>34</v>
      </c>
      <c r="AY40" t="str">
        <f>[1]Inwerter!A36</f>
        <v>Sofar 20KTLX-G3</v>
      </c>
      <c r="AZ40" s="448"/>
    </row>
    <row r="41" spans="33:63" ht="20.25">
      <c r="AX41" s="389">
        <v>35</v>
      </c>
      <c r="AY41" t="str">
        <f>[1]Inwerter!A37</f>
        <v>Sofar 22KTLX-G3</v>
      </c>
      <c r="AZ41" s="448"/>
      <c r="BK41" s="388" t="str">
        <f>[1]!inne[[#This Row],[Kolumna1]]</f>
        <v>Ogranicznik przepięć AC 3F typu T1+T2</v>
      </c>
    </row>
    <row r="42" spans="33:63" ht="20.25">
      <c r="AX42" s="389">
        <v>36</v>
      </c>
      <c r="AY42" t="str">
        <f>[1]Inwerter!A38</f>
        <v>Sofar 24KTLX-G3</v>
      </c>
      <c r="AZ42" s="448"/>
      <c r="BK42" s="388" t="str">
        <f>[1]!inne[[#This Row],[Kolumna1]]</f>
        <v>Moduł Wi-Fi Hoymiles</v>
      </c>
    </row>
    <row r="43" spans="33:63" ht="20.25">
      <c r="AX43" s="389">
        <v>37</v>
      </c>
      <c r="AY43" t="str">
        <f>[1]Inwerter!A39</f>
        <v>Sofar 25KTLX-G3</v>
      </c>
      <c r="AZ43" s="448"/>
      <c r="BK43" s="388" t="str">
        <f>[1]!inne[[#This Row],[Kolumna1]]</f>
        <v>Wtyczka 1F Hoymiles</v>
      </c>
    </row>
    <row r="44" spans="33:63" ht="20.25">
      <c r="AG44" s="638" t="s">
        <v>1004</v>
      </c>
      <c r="AH44" s="638"/>
      <c r="AI44" s="638"/>
      <c r="AJ44" s="638"/>
      <c r="AX44" s="389">
        <v>38</v>
      </c>
      <c r="AY44" t="str">
        <f>[1]Inwerter!A40</f>
        <v>Sofar 30KTL-X G3</v>
      </c>
      <c r="AZ44" s="448"/>
      <c r="BK44" s="388" t="str">
        <f>[1]!inne[[#This Row],[Kolumna1]]</f>
        <v>Trójnik 1F Hoymiles</v>
      </c>
    </row>
    <row r="45" spans="33:63" ht="20.25">
      <c r="AX45" s="389">
        <v>39</v>
      </c>
      <c r="AY45" t="str">
        <f>[1]Inwerter!A41</f>
        <v>Sofar 33KTLX-G3</v>
      </c>
      <c r="AZ45" s="448"/>
      <c r="BK45" s="388" t="str">
        <f>[1]!inne[[#This Row],[Kolumna1]]</f>
        <v>Trójnik 3F Hoymiles</v>
      </c>
    </row>
    <row r="46" spans="33:63" ht="20.25">
      <c r="AG46" s="388" t="s">
        <v>378</v>
      </c>
      <c r="AH46" s="428" t="s">
        <v>379</v>
      </c>
      <c r="AI46" s="429" t="s">
        <v>380</v>
      </c>
      <c r="AX46" s="389">
        <v>40</v>
      </c>
      <c r="AY46" t="str">
        <f>[1]Inwerter!A42</f>
        <v>Sofar 36KTLX-G3</v>
      </c>
      <c r="AZ46" s="448"/>
      <c r="BK46" s="388" t="str">
        <f>[1]!inne[[#This Row],[Kolumna1]]</f>
        <v>Moduł wifi FoxESS</v>
      </c>
    </row>
    <row r="47" spans="33:63" ht="20.25">
      <c r="AG47" s="388" t="s">
        <v>1106</v>
      </c>
      <c r="AH47" s="428">
        <v>530830907</v>
      </c>
      <c r="AI47" s="429" t="s">
        <v>1170</v>
      </c>
      <c r="AX47" s="389">
        <v>41</v>
      </c>
      <c r="AY47" t="str">
        <f>[1]Inwerter!A43</f>
        <v>Sofar 40KTLX-G3</v>
      </c>
      <c r="AZ47" s="448"/>
      <c r="BK47" s="388" t="str">
        <f>[1]!inne[[#This Row],[Kolumna1]]</f>
        <v>Moduł LAN FoxESS</v>
      </c>
    </row>
    <row r="48" spans="33:63" ht="20.25">
      <c r="AG48" s="388" t="s">
        <v>1037</v>
      </c>
      <c r="AH48" s="428">
        <v>530830107</v>
      </c>
      <c r="AI48" s="429" t="s">
        <v>1171</v>
      </c>
      <c r="AX48" s="389">
        <v>42</v>
      </c>
      <c r="AY48" t="str">
        <f>[1]Inwerter!A44</f>
        <v>Sofar 45KTLX-G3</v>
      </c>
      <c r="AZ48" s="448"/>
      <c r="BK48" s="388" t="str">
        <f>[1]!inne[[#This Row],[Kolumna1]]</f>
        <v>Antena wi-fi Solaredge</v>
      </c>
    </row>
    <row r="49" spans="1:63" ht="20.25">
      <c r="AX49" s="389">
        <v>43</v>
      </c>
      <c r="AY49" t="str">
        <f>[1]Inwerter!A45</f>
        <v>Sofar 50KTLX-G3</v>
      </c>
      <c r="AZ49" s="448"/>
      <c r="BK49" s="388" t="str">
        <f>[1]!inne[[#This Row],[Kolumna1]]</f>
        <v>Optymalizator Solaredge S440</v>
      </c>
    </row>
    <row r="50" spans="1:63" ht="20.25">
      <c r="U50" s="737" t="s">
        <v>605</v>
      </c>
      <c r="V50" s="737"/>
      <c r="W50" s="737"/>
      <c r="X50" s="737"/>
      <c r="Y50" s="737"/>
      <c r="Z50" s="737"/>
      <c r="AA50" s="737"/>
      <c r="AB50" s="737"/>
      <c r="AC50" s="743" t="s">
        <v>927</v>
      </c>
      <c r="AD50" s="743"/>
      <c r="AE50" s="743"/>
      <c r="AX50" s="389">
        <v>44</v>
      </c>
      <c r="AY50" t="str">
        <f>[1]Inwerter!A46</f>
        <v>FoxESS F3000</v>
      </c>
      <c r="AZ50" s="448"/>
      <c r="BK50" s="388" t="str">
        <f>[1]!inne[[#This Row],[Kolumna1]]</f>
        <v>Optymalizator Solaredge S500</v>
      </c>
    </row>
    <row r="51" spans="1:63" ht="20.25">
      <c r="N51" s="642" t="s">
        <v>896</v>
      </c>
      <c r="O51" s="642"/>
      <c r="P51" s="642"/>
      <c r="Q51" s="642"/>
      <c r="R51" s="642"/>
      <c r="S51" s="642"/>
      <c r="T51" s="642"/>
      <c r="U51" s="643"/>
      <c r="V51" s="643"/>
      <c r="W51" s="643"/>
      <c r="X51" s="643"/>
      <c r="Y51" s="643"/>
      <c r="Z51" s="643"/>
      <c r="AA51" s="643"/>
      <c r="AB51" s="643"/>
      <c r="AC51" s="743"/>
      <c r="AD51" s="743"/>
      <c r="AE51" s="743"/>
      <c r="AX51" s="389">
        <v>45</v>
      </c>
      <c r="AY51" t="str">
        <f>[1]Inwerter!A47</f>
        <v>FoxESS F3600</v>
      </c>
      <c r="AZ51" s="448"/>
      <c r="BK51" s="388" t="str">
        <f>[1]!inne[[#This Row],[Kolumna1]]</f>
        <v>Optymalizator Solaredge S500B</v>
      </c>
    </row>
    <row r="52" spans="1:63" ht="20.25">
      <c r="N52" s="642" t="s">
        <v>635</v>
      </c>
      <c r="O52" s="642"/>
      <c r="P52" s="642"/>
      <c r="Q52" s="642"/>
      <c r="R52" s="642"/>
      <c r="S52" s="642"/>
      <c r="T52" s="642"/>
      <c r="U52" s="643"/>
      <c r="V52" s="643"/>
      <c r="W52" s="643"/>
      <c r="X52" s="643"/>
      <c r="Y52" s="643"/>
      <c r="Z52" s="643"/>
      <c r="AA52" s="643"/>
      <c r="AB52" s="643"/>
      <c r="AC52" s="743"/>
      <c r="AD52" s="743"/>
      <c r="AE52" s="743"/>
      <c r="AX52" s="389">
        <v>46</v>
      </c>
      <c r="AY52" t="str">
        <f>[1]Inwerter!A48</f>
        <v>FoxESS S2000 G2</v>
      </c>
      <c r="AZ52" s="448"/>
      <c r="BK52" s="388" t="str">
        <f>[1]!inne[[#This Row],[Kolumna1]]</f>
        <v>Optymalizator Solaredge P401</v>
      </c>
    </row>
    <row r="53" spans="1:63" ht="20.25">
      <c r="N53" s="642" t="s">
        <v>634</v>
      </c>
      <c r="O53" s="642"/>
      <c r="P53" s="642"/>
      <c r="Q53" s="642"/>
      <c r="R53" s="642"/>
      <c r="S53" s="642"/>
      <c r="T53" s="642"/>
      <c r="U53" s="738"/>
      <c r="V53" s="739"/>
      <c r="W53" s="739"/>
      <c r="X53" s="739"/>
      <c r="Y53" s="739"/>
      <c r="Z53" s="739"/>
      <c r="AA53" s="739"/>
      <c r="AB53" s="739"/>
      <c r="AX53" s="389">
        <v>47</v>
      </c>
      <c r="AY53" t="str">
        <f>[1]Inwerter!A49</f>
        <v>FoxESS S2500 G2</v>
      </c>
      <c r="AZ53" s="448"/>
      <c r="BK53" s="388" t="str">
        <f>[1]!inne[[#This Row],[Kolumna1]]</f>
        <v>Optymalizator Solaredge P404</v>
      </c>
    </row>
    <row r="54" spans="1:63" ht="20.25">
      <c r="N54" s="642" t="s">
        <v>1151</v>
      </c>
      <c r="O54" s="642"/>
      <c r="P54" s="642"/>
      <c r="Q54" s="642"/>
      <c r="R54" s="642"/>
      <c r="S54" s="642"/>
      <c r="T54" s="642"/>
      <c r="U54" s="769"/>
      <c r="V54" s="769"/>
      <c r="W54" s="769"/>
      <c r="X54" s="769"/>
      <c r="Y54" s="769"/>
      <c r="Z54" s="769"/>
      <c r="AA54" s="769"/>
      <c r="AB54" s="769"/>
      <c r="AX54" s="389">
        <v>48</v>
      </c>
      <c r="AY54" t="str">
        <f>[1]Inwerter!A50</f>
        <v>FoxESS S3000 G2</v>
      </c>
      <c r="AZ54" s="448"/>
      <c r="BK54" s="388" t="str">
        <f>[1]!inne[[#This Row],[Kolumna1]]</f>
        <v>Optymalizator Solaredge P485</v>
      </c>
    </row>
    <row r="55" spans="1:63" ht="20.25">
      <c r="N55" s="642" t="s">
        <v>824</v>
      </c>
      <c r="O55" s="642"/>
      <c r="P55" s="642"/>
      <c r="Q55" s="642"/>
      <c r="R55" s="642"/>
      <c r="S55" s="642"/>
      <c r="T55" s="642"/>
      <c r="U55" s="740"/>
      <c r="V55" s="643"/>
      <c r="W55" s="643"/>
      <c r="X55" s="643"/>
      <c r="Y55" s="643"/>
      <c r="Z55" s="643"/>
      <c r="AA55" s="643"/>
      <c r="AB55" s="643"/>
      <c r="AX55" s="389">
        <v>49</v>
      </c>
      <c r="AY55" t="str">
        <f>[1]Inwerter!A51</f>
        <v>FoxESS T10 G3</v>
      </c>
      <c r="AZ55" s="448"/>
      <c r="BK55" s="388" t="str">
        <f>[1]!inne[[#This Row],[Kolumna1]]</f>
        <v>Optymalizator Solaredge P505</v>
      </c>
    </row>
    <row r="56" spans="1:63" ht="20.25">
      <c r="N56" s="642" t="s">
        <v>825</v>
      </c>
      <c r="O56" s="642"/>
      <c r="P56" s="642"/>
      <c r="Q56" s="642"/>
      <c r="R56" s="642"/>
      <c r="S56" s="642"/>
      <c r="T56" s="642"/>
      <c r="U56" s="741"/>
      <c r="V56" s="643"/>
      <c r="W56" s="643"/>
      <c r="X56" s="643"/>
      <c r="Y56" s="643"/>
      <c r="Z56" s="643"/>
      <c r="AA56" s="643"/>
      <c r="AB56" s="643"/>
      <c r="AX56" s="389">
        <v>50</v>
      </c>
      <c r="AY56" t="str">
        <f>[1]Inwerter!A52</f>
        <v>FoxESS T12 G3</v>
      </c>
      <c r="AZ56" s="448"/>
      <c r="BK56" s="388" t="str">
        <f>[1]!inne[[#This Row],[Kolumna1]]</f>
        <v>Optymalizator Solaredge P600</v>
      </c>
    </row>
    <row r="57" spans="1:63" ht="20.25">
      <c r="N57" s="642" t="s">
        <v>1003</v>
      </c>
      <c r="O57" s="642"/>
      <c r="P57" s="642"/>
      <c r="Q57" s="642"/>
      <c r="R57" s="642"/>
      <c r="S57" s="642"/>
      <c r="T57" s="642"/>
      <c r="U57" s="643" t="s">
        <v>1106</v>
      </c>
      <c r="V57" s="643"/>
      <c r="W57" s="643"/>
      <c r="X57" s="643"/>
      <c r="Y57" s="643"/>
      <c r="Z57" s="643"/>
      <c r="AA57" s="643"/>
      <c r="AB57" s="643"/>
      <c r="AX57" s="389">
        <v>51</v>
      </c>
      <c r="AY57" t="str">
        <f>[1]Inwerter!A53</f>
        <v>FoxESS T15 G3</v>
      </c>
      <c r="AZ57" s="448"/>
      <c r="BK57" s="388" t="str">
        <f>[1]!inne[[#This Row],[Kolumna1]]</f>
        <v>Optymalizator Solaredge P601</v>
      </c>
    </row>
    <row r="58" spans="1:63" ht="20.25">
      <c r="A58" s="396"/>
      <c r="B58" s="396"/>
      <c r="C58" s="396"/>
      <c r="D58" s="396"/>
      <c r="E58" s="396"/>
      <c r="F58" s="396"/>
      <c r="G58" s="396"/>
      <c r="H58" s="396"/>
      <c r="I58" s="396"/>
      <c r="J58" s="396"/>
      <c r="K58" s="396"/>
      <c r="L58" s="396"/>
      <c r="M58" s="396"/>
      <c r="N58" s="396"/>
      <c r="O58" s="396"/>
      <c r="P58" s="396"/>
      <c r="Q58" s="396"/>
      <c r="R58" s="396"/>
      <c r="S58" s="396"/>
      <c r="T58" s="396"/>
      <c r="U58" s="396"/>
      <c r="V58" s="396"/>
      <c r="W58" s="396"/>
      <c r="X58" s="396"/>
      <c r="Y58" s="396"/>
      <c r="Z58" s="396"/>
      <c r="AA58" s="396"/>
      <c r="AB58" s="396"/>
      <c r="AC58" s="396"/>
      <c r="AD58" s="396"/>
      <c r="AE58" s="396"/>
      <c r="AK58" s="388" cm="1">
        <f t="array" ref="AK58:AM58">'Dane wejściowe'!H30:J30</f>
        <v>13320</v>
      </c>
      <c r="AL58" s="388">
        <v>0</v>
      </c>
      <c r="AM58" s="388">
        <v>0</v>
      </c>
      <c r="AP58" s="388" cm="1">
        <f t="array" ref="AP58:AR58">'Dane wejściowe'!H34:J34</f>
        <v>50</v>
      </c>
      <c r="AQ58" s="388">
        <v>0</v>
      </c>
      <c r="AR58" s="388">
        <v>0</v>
      </c>
      <c r="AX58" s="389">
        <v>52</v>
      </c>
      <c r="AY58" t="str">
        <f>[1]Inwerter!A54</f>
        <v>FoxESS T17 G3</v>
      </c>
      <c r="AZ58" s="448"/>
      <c r="BK58" s="388" t="str">
        <f>[1]!inne[[#This Row],[Kolumna1]]</f>
        <v>Optymalizator Solaredge P850</v>
      </c>
    </row>
    <row r="59" spans="1:63" ht="20.25">
      <c r="A59" s="430" t="s">
        <v>250</v>
      </c>
      <c r="B59" s="439" t="s">
        <v>464</v>
      </c>
      <c r="C59" s="440">
        <f>'Dane wejściowe'!D1</f>
        <v>20</v>
      </c>
      <c r="D59" s="430">
        <f>MATCH(panel,Panele_1[Panel_Nazwa],0)</f>
        <v>16</v>
      </c>
      <c r="E59" s="441">
        <f>B84</f>
        <v>24</v>
      </c>
      <c r="F59" s="618">
        <f>MATCH(Inwerter1,Inwerter[Nazwa],0)</f>
        <v>31</v>
      </c>
      <c r="G59" s="618"/>
      <c r="H59" s="430">
        <f>R220</f>
        <v>10</v>
      </c>
      <c r="I59" s="430">
        <f>MATCH(A221,kable[Przewody],0)</f>
        <v>1</v>
      </c>
      <c r="J59" s="736">
        <f>R221</f>
        <v>150</v>
      </c>
      <c r="K59" s="736"/>
      <c r="L59" s="430">
        <f>MATCH(A222,kable[Przewody],0)</f>
        <v>5</v>
      </c>
      <c r="M59" s="430">
        <f>R222</f>
        <v>10</v>
      </c>
      <c r="N59" s="430">
        <f>MATCH(A223,skrzynki[Skrzynka],0)</f>
        <v>3</v>
      </c>
      <c r="O59" s="430">
        <f>R223</f>
        <v>1</v>
      </c>
      <c r="P59" s="430">
        <f>MATCH(A224,skrzynki[Skrzynka],0)</f>
        <v>1</v>
      </c>
      <c r="Q59" s="430">
        <f>R224</f>
        <v>1</v>
      </c>
      <c r="R59" s="430">
        <f>MATCH(G225,konstrukcje[konstrukcja],0)</f>
        <v>7</v>
      </c>
      <c r="S59" s="430">
        <f>MATCH(G226,inne[inne],0)</f>
        <v>10</v>
      </c>
      <c r="T59" s="736">
        <f>K81*1000</f>
        <v>13320</v>
      </c>
      <c r="U59" s="736"/>
      <c r="V59" s="442"/>
      <c r="W59" s="442"/>
      <c r="X59" s="442"/>
      <c r="Y59" s="442"/>
      <c r="Z59" s="442"/>
      <c r="AA59" s="442"/>
      <c r="AB59" s="735">
        <f ca="1">TODAY()</f>
        <v>45306</v>
      </c>
      <c r="AC59" s="735"/>
      <c r="AD59" s="735"/>
      <c r="AE59" s="735"/>
      <c r="AJ59" s="398"/>
      <c r="AK59" s="606">
        <f>'Dane wejściowe'!H33</f>
        <v>2</v>
      </c>
      <c r="AL59" s="606"/>
      <c r="AM59" s="606"/>
      <c r="AN59" s="606"/>
      <c r="AX59" s="389">
        <v>53</v>
      </c>
      <c r="AY59" t="str">
        <f>[1]Inwerter!A55</f>
        <v>FoxESS T20 G3</v>
      </c>
      <c r="AZ59" s="448"/>
    </row>
    <row r="60" spans="1:63" ht="20.25">
      <c r="A60" s="744" t="s">
        <v>290</v>
      </c>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c r="AA60" s="744"/>
      <c r="AB60" s="744"/>
      <c r="AC60" s="744"/>
      <c r="AD60" s="744"/>
      <c r="AE60" s="744"/>
      <c r="AX60" s="389">
        <v>54</v>
      </c>
      <c r="AY60" t="str">
        <f>[1]Inwerter!A56</f>
        <v>FoxESS T23 G3</v>
      </c>
      <c r="AZ60" s="448"/>
    </row>
    <row r="61" spans="1:63" ht="21" customHeight="1">
      <c r="A61" s="690" t="s">
        <v>0</v>
      </c>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Q61" s="399" t="s">
        <v>537</v>
      </c>
      <c r="AR61" s="399" t="s">
        <v>1018</v>
      </c>
      <c r="AX61" s="389">
        <v>55</v>
      </c>
      <c r="AY61" t="str">
        <f>[1]Inwerter!A57</f>
        <v>FoxESS T25 G3</v>
      </c>
      <c r="AZ61" s="448"/>
    </row>
    <row r="62" spans="1:63" ht="20.25">
      <c r="A62" s="416"/>
      <c r="B62" s="416"/>
      <c r="C62" s="416"/>
      <c r="D62" s="416"/>
      <c r="E62" s="416"/>
      <c r="F62" s="607" t="s">
        <v>188</v>
      </c>
      <c r="G62" s="607"/>
      <c r="H62" s="607"/>
      <c r="I62" s="607"/>
      <c r="J62" s="607"/>
      <c r="K62" s="607"/>
      <c r="L62" s="607"/>
      <c r="M62" s="607"/>
      <c r="N62" s="607"/>
      <c r="O62" s="607"/>
      <c r="P62" s="607" t="str">
        <f>AI71</f>
        <v>Katowice</v>
      </c>
      <c r="Q62" s="607"/>
      <c r="R62" s="607"/>
      <c r="S62" s="607"/>
      <c r="T62" s="607"/>
      <c r="U62" s="607"/>
      <c r="V62" s="607"/>
      <c r="W62" s="649"/>
      <c r="X62" s="649"/>
      <c r="AA62" s="416"/>
      <c r="AB62" s="416"/>
      <c r="AC62" s="416"/>
      <c r="AD62" s="416"/>
      <c r="AE62" s="416"/>
      <c r="AI62" s="400">
        <f>'[1]wycena PV'!D24</f>
        <v>-4852.1027410509632</v>
      </c>
      <c r="AQ62" s="401" t="s">
        <v>1038</v>
      </c>
      <c r="AR62" s="402" t="s">
        <v>1039</v>
      </c>
      <c r="AS62" s="399"/>
      <c r="AX62" s="389">
        <v>56</v>
      </c>
      <c r="AY62" t="str">
        <f>[1]Inwerter!A58</f>
        <v>FoxESS T3 G3</v>
      </c>
      <c r="AZ62" s="448"/>
    </row>
    <row r="63" spans="1:63" ht="20.25">
      <c r="A63" s="416"/>
      <c r="B63" s="416"/>
      <c r="C63" s="416"/>
      <c r="D63" s="416"/>
      <c r="E63" s="416"/>
      <c r="F63" s="607" t="s">
        <v>116</v>
      </c>
      <c r="G63" s="607"/>
      <c r="H63" s="607"/>
      <c r="I63" s="607"/>
      <c r="J63" s="607"/>
      <c r="K63" s="607"/>
      <c r="L63" s="607"/>
      <c r="M63" s="607"/>
      <c r="N63" s="607"/>
      <c r="O63" s="607"/>
      <c r="P63" s="607" t="str">
        <f>AI72</f>
        <v>Osoba fizyczna</v>
      </c>
      <c r="Q63" s="607"/>
      <c r="R63" s="607"/>
      <c r="S63" s="607"/>
      <c r="T63" s="607"/>
      <c r="U63" s="607"/>
      <c r="V63" s="607"/>
      <c r="W63" s="722"/>
      <c r="X63" s="722"/>
      <c r="Y63" s="742"/>
      <c r="Z63" s="742"/>
      <c r="AA63" s="742"/>
      <c r="AB63" s="742"/>
      <c r="AC63" s="742"/>
      <c r="AD63" s="742"/>
      <c r="AE63" s="742"/>
      <c r="AG63" s="388" t="s">
        <v>33</v>
      </c>
      <c r="AH63" s="723">
        <v>1.1499999999999999</v>
      </c>
      <c r="AI63" s="723"/>
      <c r="AJ63" s="388">
        <v>-100</v>
      </c>
      <c r="AK63" s="650">
        <f>PV!Y126</f>
        <v>5427.8765885679441</v>
      </c>
      <c r="AL63" s="650"/>
      <c r="AM63" s="403">
        <f>AK63+1</f>
        <v>5428.8765885679441</v>
      </c>
      <c r="AQ63" s="401" t="s">
        <v>1181</v>
      </c>
      <c r="AR63" s="402" t="s">
        <v>1175</v>
      </c>
      <c r="AS63" s="402"/>
      <c r="AX63" s="389">
        <v>57</v>
      </c>
      <c r="AY63" t="str">
        <f>[1]Inwerter!A59</f>
        <v>FoxESS T4 G3</v>
      </c>
      <c r="AZ63" s="448"/>
    </row>
    <row r="64" spans="1:63" ht="20.25">
      <c r="A64" s="416"/>
      <c r="B64" s="416"/>
      <c r="C64" s="416"/>
      <c r="D64" s="416"/>
      <c r="E64" s="416"/>
      <c r="F64" s="607" t="s">
        <v>106</v>
      </c>
      <c r="G64" s="607"/>
      <c r="H64" s="607"/>
      <c r="I64" s="607"/>
      <c r="J64" s="607"/>
      <c r="K64" s="607"/>
      <c r="L64" s="607"/>
      <c r="M64" s="607"/>
      <c r="N64" s="607"/>
      <c r="O64" s="607"/>
      <c r="P64" s="669">
        <f>AK58/1000</f>
        <v>13.32</v>
      </c>
      <c r="Q64" s="669"/>
      <c r="R64" s="669"/>
      <c r="S64" s="669"/>
      <c r="T64" s="607" t="str">
        <f>VLOOKUP(F64,'BAZA DANYCH'!Z47:AA51,2,FALSE)</f>
        <v>kWp</v>
      </c>
      <c r="U64" s="607"/>
      <c r="V64" s="607"/>
      <c r="W64" s="710"/>
      <c r="X64" s="710"/>
      <c r="Y64" s="417"/>
      <c r="Z64" s="418"/>
      <c r="AE64" s="416"/>
      <c r="AJ64" s="388">
        <v>-50</v>
      </c>
      <c r="AQ64" s="401"/>
      <c r="AR64" s="402"/>
      <c r="AS64" s="402"/>
      <c r="AX64" s="389">
        <v>58</v>
      </c>
      <c r="AY64" t="str">
        <f>[1]Inwerter!A60</f>
        <v>FoxESS T5 G3</v>
      </c>
      <c r="AZ64" s="448"/>
    </row>
    <row r="65" spans="1:58" ht="20.25">
      <c r="A65" s="416"/>
      <c r="B65" s="416"/>
      <c r="C65" s="416"/>
      <c r="D65" s="416"/>
      <c r="E65" s="416"/>
      <c r="F65" s="607" t="s">
        <v>25</v>
      </c>
      <c r="G65" s="607"/>
      <c r="H65" s="607"/>
      <c r="I65" s="607"/>
      <c r="J65" s="607"/>
      <c r="K65" s="607"/>
      <c r="L65" s="607"/>
      <c r="M65" s="607"/>
      <c r="N65" s="607"/>
      <c r="O65" s="607"/>
      <c r="P65" s="728">
        <f>IF(AL65=0,IF(P63="firma",Opłacalność!E28,Opłacalność!E28),AL65)</f>
        <v>1.0951363725335668</v>
      </c>
      <c r="Q65" s="728"/>
      <c r="R65" s="728"/>
      <c r="S65" s="728"/>
      <c r="T65" s="607" t="s">
        <v>2</v>
      </c>
      <c r="U65" s="607"/>
      <c r="V65" s="607"/>
      <c r="AA65" s="416"/>
      <c r="AB65" s="416"/>
      <c r="AC65" s="416"/>
      <c r="AD65" s="416"/>
      <c r="AE65" s="416"/>
      <c r="AH65" s="649" t="s">
        <v>260</v>
      </c>
      <c r="AI65" s="649"/>
      <c r="AJ65" s="649"/>
      <c r="AK65" s="649"/>
      <c r="AL65" s="649"/>
      <c r="AM65" s="649"/>
      <c r="AQ65" s="401"/>
      <c r="AR65" s="401"/>
      <c r="AS65" s="402"/>
      <c r="AX65" s="389">
        <v>59</v>
      </c>
      <c r="AY65" t="str">
        <f>[1]Inwerter!A61</f>
        <v>FoxESS T6 G3</v>
      </c>
      <c r="AZ65" s="448"/>
    </row>
    <row r="66" spans="1:58" ht="20.25">
      <c r="A66" s="416"/>
      <c r="B66" s="416"/>
      <c r="C66" s="416"/>
      <c r="D66" s="416"/>
      <c r="E66" s="416"/>
      <c r="F66" s="607" t="s">
        <v>17</v>
      </c>
      <c r="G66" s="607"/>
      <c r="H66" s="607"/>
      <c r="I66" s="607"/>
      <c r="J66" s="607"/>
      <c r="K66" s="607"/>
      <c r="L66" s="607"/>
      <c r="M66" s="607"/>
      <c r="N66" s="607"/>
      <c r="O66" s="607"/>
      <c r="P66" s="647">
        <f>AK59</f>
        <v>2</v>
      </c>
      <c r="Q66" s="647"/>
      <c r="R66" s="647"/>
      <c r="S66" s="647"/>
      <c r="T66" s="607" t="s">
        <v>6</v>
      </c>
      <c r="U66" s="607"/>
      <c r="V66" s="607"/>
      <c r="AC66" s="416"/>
      <c r="AD66" s="416"/>
      <c r="AE66" s="416"/>
      <c r="AX66" s="389">
        <v>60</v>
      </c>
      <c r="AY66" t="str">
        <f>[1]Inwerter!A62</f>
        <v>FoxESS T8 G3</v>
      </c>
      <c r="AZ66" s="448"/>
    </row>
    <row r="67" spans="1:58" ht="20.25">
      <c r="A67" s="416"/>
      <c r="B67" s="416"/>
      <c r="C67" s="416"/>
      <c r="D67" s="416"/>
      <c r="E67" s="416"/>
      <c r="F67" s="607" t="s">
        <v>18</v>
      </c>
      <c r="G67" s="607"/>
      <c r="H67" s="607"/>
      <c r="I67" s="607"/>
      <c r="J67" s="607"/>
      <c r="K67" s="607"/>
      <c r="L67" s="607"/>
      <c r="M67" s="607"/>
      <c r="N67" s="607"/>
      <c r="O67" s="607"/>
      <c r="P67" s="607">
        <f>AP58</f>
        <v>50</v>
      </c>
      <c r="Q67" s="607"/>
      <c r="R67" s="607"/>
      <c r="S67" s="607"/>
      <c r="T67" s="607" t="s">
        <v>6</v>
      </c>
      <c r="U67" s="607"/>
      <c r="V67" s="607"/>
      <c r="AA67" s="416"/>
      <c r="AB67" s="416"/>
      <c r="AC67" s="416"/>
      <c r="AD67" s="416"/>
      <c r="AE67" s="416"/>
      <c r="AH67" s="388" t="s">
        <v>256</v>
      </c>
      <c r="AL67" s="649"/>
      <c r="AM67" s="649"/>
      <c r="AX67" s="389">
        <v>61</v>
      </c>
      <c r="AY67" t="str">
        <f>[1]Inwerter!A63</f>
        <v>Fronius PRIMO 3.0-1</v>
      </c>
      <c r="AZ67" s="448"/>
      <c r="BD67" s="438"/>
    </row>
    <row r="68" spans="1:58" ht="20.25">
      <c r="A68" s="416"/>
      <c r="B68" s="416"/>
      <c r="C68" s="416"/>
      <c r="D68" s="416"/>
      <c r="E68" s="416"/>
      <c r="F68" s="607" t="s">
        <v>363</v>
      </c>
      <c r="G68" s="607"/>
      <c r="H68" s="607"/>
      <c r="I68" s="607"/>
      <c r="J68" s="607"/>
      <c r="K68" s="607"/>
      <c r="L68" s="607"/>
      <c r="M68" s="607"/>
      <c r="N68" s="607"/>
      <c r="O68" s="607"/>
      <c r="P68" s="721" t="s">
        <v>1181</v>
      </c>
      <c r="Q68" s="721"/>
      <c r="R68" s="721"/>
      <c r="S68" s="721"/>
      <c r="T68" s="721"/>
      <c r="U68" s="721"/>
      <c r="V68" s="721"/>
      <c r="W68" s="390"/>
      <c r="AA68" s="416"/>
      <c r="AB68" s="416"/>
      <c r="AC68" s="416"/>
      <c r="AD68" s="416"/>
      <c r="AE68" s="416"/>
      <c r="AX68" s="389">
        <v>62</v>
      </c>
      <c r="AY68" t="str">
        <f>[1]Inwerter!A64</f>
        <v>Fronius PRIMO 3.6-1</v>
      </c>
      <c r="AZ68" s="448"/>
    </row>
    <row r="69" spans="1:58" ht="20.25">
      <c r="A69" s="416"/>
      <c r="B69" s="416"/>
      <c r="C69" s="416"/>
      <c r="D69" s="416"/>
      <c r="E69" s="416"/>
      <c r="F69" s="607" t="s">
        <v>95</v>
      </c>
      <c r="G69" s="607"/>
      <c r="H69" s="607"/>
      <c r="I69" s="607"/>
      <c r="J69" s="607"/>
      <c r="K69" s="607"/>
      <c r="L69" s="607"/>
      <c r="M69" s="607"/>
      <c r="N69" s="607"/>
      <c r="O69" s="607"/>
      <c r="P69" s="442">
        <v>10</v>
      </c>
      <c r="Q69" s="442" t="s">
        <v>92</v>
      </c>
      <c r="R69" s="443" t="s">
        <v>143</v>
      </c>
      <c r="S69" s="442">
        <v>10</v>
      </c>
      <c r="T69" s="442" t="s">
        <v>86</v>
      </c>
      <c r="U69" s="442"/>
      <c r="V69" s="442"/>
      <c r="Z69" s="388" t="s">
        <v>290</v>
      </c>
      <c r="AA69" s="416"/>
      <c r="AB69" s="416"/>
      <c r="AC69" s="416"/>
      <c r="AD69" s="416"/>
      <c r="AE69" s="416"/>
      <c r="AI69" s="388" t="s">
        <v>1105</v>
      </c>
      <c r="AO69" s="388">
        <v>4373</v>
      </c>
      <c r="AX69" s="389">
        <v>63</v>
      </c>
      <c r="AY69" t="str">
        <f>[1]Inwerter!A65</f>
        <v>Fronius PRIMO Light 3.0-1</v>
      </c>
      <c r="AZ69" s="448"/>
    </row>
    <row r="70" spans="1:58" ht="20.25">
      <c r="A70" s="416"/>
      <c r="B70" s="416"/>
      <c r="C70" s="416"/>
      <c r="D70" s="416"/>
      <c r="E70" s="416"/>
      <c r="F70" s="607" t="s">
        <v>87</v>
      </c>
      <c r="G70" s="607"/>
      <c r="H70" s="607"/>
      <c r="I70" s="607"/>
      <c r="J70" s="607"/>
      <c r="K70" s="607"/>
      <c r="L70" s="607"/>
      <c r="M70" s="607"/>
      <c r="N70" s="607"/>
      <c r="O70" s="607"/>
      <c r="P70" s="607" t="s">
        <v>217</v>
      </c>
      <c r="Q70" s="607"/>
      <c r="R70" s="607"/>
      <c r="S70" s="607"/>
      <c r="T70" s="607"/>
      <c r="U70" s="607"/>
      <c r="V70" s="607"/>
      <c r="AA70" s="416"/>
      <c r="AB70" s="416"/>
      <c r="AC70" s="416"/>
      <c r="AD70" s="416"/>
      <c r="AE70" s="416"/>
      <c r="AX70" s="389">
        <v>64</v>
      </c>
      <c r="AY70" t="str">
        <f>[1]Inwerter!A66</f>
        <v>Fronius PRIMO Light 3.6-1</v>
      </c>
      <c r="AZ70" s="448"/>
    </row>
    <row r="71" spans="1:58" ht="20.25">
      <c r="A71" s="416"/>
      <c r="B71" s="416"/>
      <c r="C71" s="416"/>
      <c r="D71" s="416"/>
      <c r="E71" s="416"/>
      <c r="F71" s="607" t="s">
        <v>258</v>
      </c>
      <c r="G71" s="607"/>
      <c r="H71" s="607"/>
      <c r="I71" s="607"/>
      <c r="J71" s="607"/>
      <c r="K71" s="607"/>
      <c r="L71" s="607"/>
      <c r="M71" s="607"/>
      <c r="N71" s="607"/>
      <c r="O71" s="607"/>
      <c r="P71" s="669" t="s">
        <v>415</v>
      </c>
      <c r="Q71" s="669"/>
      <c r="R71" s="669"/>
      <c r="S71" s="669"/>
      <c r="T71" s="669"/>
      <c r="U71" s="669"/>
      <c r="V71" s="669"/>
      <c r="Y71" s="664"/>
      <c r="Z71" s="664"/>
      <c r="AA71" s="664"/>
      <c r="AB71" s="664"/>
      <c r="AC71" s="416"/>
      <c r="AD71" s="416"/>
      <c r="AE71" s="416"/>
      <c r="AI71" s="388" t="str" cm="1">
        <f t="array" ref="AI71:AN71">'Dane wejściowe'!H27:M27</f>
        <v>Katowice</v>
      </c>
      <c r="AJ71" s="388">
        <v>0</v>
      </c>
      <c r="AK71" s="388">
        <v>0</v>
      </c>
      <c r="AL71" s="388">
        <v>0</v>
      </c>
      <c r="AM71" s="388">
        <v>0</v>
      </c>
      <c r="AN71" s="388">
        <v>0</v>
      </c>
      <c r="AQ71" s="388" t="s">
        <v>378</v>
      </c>
      <c r="AS71" s="388" t="s">
        <v>378</v>
      </c>
      <c r="AX71" s="389">
        <v>65</v>
      </c>
      <c r="AY71" t="str">
        <f>[1]Inwerter!A67</f>
        <v>Fronius Symo 10.0-3-M</v>
      </c>
      <c r="AZ71" s="448"/>
    </row>
    <row r="72" spans="1:58" ht="20.25">
      <c r="A72" s="416"/>
      <c r="B72" s="416"/>
      <c r="C72" s="416"/>
      <c r="D72" s="416"/>
      <c r="E72" s="416"/>
      <c r="F72" s="607" t="s">
        <v>16</v>
      </c>
      <c r="G72" s="607"/>
      <c r="H72" s="607"/>
      <c r="I72" s="607"/>
      <c r="J72" s="607"/>
      <c r="K72" s="607"/>
      <c r="L72" s="607"/>
      <c r="M72" s="607"/>
      <c r="N72" s="607"/>
      <c r="O72" s="607"/>
      <c r="P72" s="663">
        <v>35</v>
      </c>
      <c r="Q72" s="663"/>
      <c r="R72" s="663"/>
      <c r="S72" s="663"/>
      <c r="T72" s="662" t="s">
        <v>75</v>
      </c>
      <c r="U72" s="662"/>
      <c r="V72" s="662"/>
      <c r="AA72" s="416"/>
      <c r="AB72" s="416"/>
      <c r="AC72" s="416"/>
      <c r="AD72" s="416"/>
      <c r="AE72" s="416"/>
      <c r="AI72" s="388" t="str" cm="1">
        <f t="array" ref="AI72:AN72">'Dane wejściowe'!H28:M28</f>
        <v>Osoba fizyczna</v>
      </c>
      <c r="AJ72" s="388">
        <v>0</v>
      </c>
      <c r="AK72" s="388">
        <v>0</v>
      </c>
      <c r="AL72" s="388">
        <v>0</v>
      </c>
      <c r="AM72" s="388">
        <v>0</v>
      </c>
      <c r="AN72" s="388">
        <v>0</v>
      </c>
      <c r="AQ72" s="388">
        <f>P72</f>
        <v>35</v>
      </c>
      <c r="AS72" s="388">
        <f>P73</f>
        <v>-90</v>
      </c>
      <c r="AX72" s="389">
        <v>66</v>
      </c>
      <c r="AY72" t="str">
        <f>[1]Inwerter!A68</f>
        <v>Fronius Symo 12.5-3-M</v>
      </c>
      <c r="AZ72" s="448"/>
    </row>
    <row r="73" spans="1:58" ht="20.25">
      <c r="A73" s="416"/>
      <c r="B73" s="416"/>
      <c r="C73" s="416"/>
      <c r="D73" s="416"/>
      <c r="E73" s="416"/>
      <c r="F73" s="607" t="s">
        <v>322</v>
      </c>
      <c r="G73" s="607"/>
      <c r="H73" s="607"/>
      <c r="I73" s="607"/>
      <c r="J73" s="607"/>
      <c r="K73" s="607"/>
      <c r="L73" s="607"/>
      <c r="M73" s="607"/>
      <c r="N73" s="607"/>
      <c r="O73" s="607"/>
      <c r="P73" s="730">
        <v>-90</v>
      </c>
      <c r="Q73" s="730"/>
      <c r="R73" s="730"/>
      <c r="S73" s="730"/>
      <c r="T73" s="662" t="s">
        <v>75</v>
      </c>
      <c r="U73" s="662"/>
      <c r="V73" s="662"/>
      <c r="W73" s="390"/>
      <c r="AA73" s="416"/>
      <c r="AB73" s="416"/>
      <c r="AC73" s="416"/>
      <c r="AD73" s="416"/>
      <c r="AE73" s="416"/>
      <c r="AX73" s="389">
        <v>67</v>
      </c>
      <c r="AY73" t="str">
        <f>[1]Inwerter!A69</f>
        <v>Fronius Symo 15.0-3-M</v>
      </c>
      <c r="AZ73" s="448"/>
    </row>
    <row r="74" spans="1:58" ht="20.25">
      <c r="A74" s="404"/>
      <c r="B74" s="404"/>
      <c r="C74" s="404"/>
      <c r="D74" s="404"/>
      <c r="E74" s="404"/>
      <c r="F74" s="646" t="s">
        <v>668</v>
      </c>
      <c r="G74" s="646"/>
      <c r="H74" s="646"/>
      <c r="I74" s="646"/>
      <c r="J74" s="646"/>
      <c r="K74" s="646"/>
      <c r="L74" s="646"/>
      <c r="M74" s="646"/>
      <c r="N74" s="646"/>
      <c r="O74" s="646"/>
      <c r="P74" s="644"/>
      <c r="Q74" s="644"/>
      <c r="R74" s="644"/>
      <c r="S74" s="644"/>
      <c r="T74" s="644"/>
      <c r="U74" s="644"/>
      <c r="V74" s="444" t="s">
        <v>2</v>
      </c>
      <c r="W74" s="390"/>
      <c r="AA74" s="404"/>
      <c r="AB74" s="404"/>
      <c r="AC74" s="404"/>
      <c r="AD74" s="404"/>
      <c r="AE74" s="404"/>
      <c r="AX74" s="389">
        <v>68</v>
      </c>
      <c r="AY74" t="str">
        <f>[1]Inwerter!A70</f>
        <v>Fronius Symo 17.5-3-M</v>
      </c>
      <c r="AZ74" s="448"/>
    </row>
    <row r="75" spans="1:58" ht="20.25">
      <c r="F75" s="646" t="s">
        <v>85</v>
      </c>
      <c r="G75" s="646"/>
      <c r="H75" s="646"/>
      <c r="I75" s="646"/>
      <c r="J75" s="646"/>
      <c r="K75" s="646"/>
      <c r="L75" s="646"/>
      <c r="M75" s="646"/>
      <c r="N75" s="646"/>
      <c r="O75" s="646"/>
      <c r="P75" s="645">
        <v>3</v>
      </c>
      <c r="Q75" s="645"/>
      <c r="R75" s="645"/>
      <c r="S75" s="645"/>
      <c r="T75" s="645"/>
      <c r="U75" s="645"/>
      <c r="V75" s="444" t="s">
        <v>287</v>
      </c>
      <c r="W75" s="390"/>
      <c r="AQ75" s="405" t="s">
        <v>642</v>
      </c>
      <c r="AS75" s="406" t="s">
        <v>643</v>
      </c>
      <c r="AX75" s="389">
        <v>69</v>
      </c>
      <c r="AY75" t="str">
        <f>[1]Inwerter!A71</f>
        <v>Fronius Symo 20.0-3-M</v>
      </c>
      <c r="AZ75" s="448"/>
    </row>
    <row r="76" spans="1:58" ht="20.25">
      <c r="F76" s="646" t="s">
        <v>640</v>
      </c>
      <c r="G76" s="646"/>
      <c r="H76" s="646"/>
      <c r="I76" s="646"/>
      <c r="J76" s="646"/>
      <c r="K76" s="646"/>
      <c r="L76" s="646"/>
      <c r="M76" s="646"/>
      <c r="N76" s="646"/>
      <c r="O76" s="646"/>
      <c r="P76" s="646" t="s">
        <v>586</v>
      </c>
      <c r="Q76" s="646"/>
      <c r="R76" s="646"/>
      <c r="S76" s="646"/>
      <c r="T76" s="646"/>
      <c r="U76" s="646"/>
      <c r="V76" s="445"/>
      <c r="W76" s="390"/>
      <c r="AQ76" s="395" t="s">
        <v>586</v>
      </c>
      <c r="AS76" s="407">
        <v>1</v>
      </c>
      <c r="AX76" s="389">
        <v>70</v>
      </c>
      <c r="AY76" t="str">
        <f>[1]Inwerter!A72</f>
        <v>Fronius Symo 3.0-3-M</v>
      </c>
      <c r="AZ76" s="448"/>
    </row>
    <row r="77" spans="1:58" ht="20.25">
      <c r="F77" s="646" t="s">
        <v>639</v>
      </c>
      <c r="G77" s="646"/>
      <c r="H77" s="646"/>
      <c r="I77" s="646"/>
      <c r="J77" s="646"/>
      <c r="K77" s="646"/>
      <c r="L77" s="646"/>
      <c r="M77" s="646"/>
      <c r="N77" s="646"/>
      <c r="O77" s="646"/>
      <c r="P77" s="724"/>
      <c r="Q77" s="724"/>
      <c r="R77" s="724"/>
      <c r="S77" s="724"/>
      <c r="T77" s="724"/>
      <c r="U77" s="724"/>
      <c r="V77" s="445"/>
      <c r="W77" s="390"/>
      <c r="AQ77" s="395" t="s">
        <v>641</v>
      </c>
      <c r="AS77" s="407">
        <v>3</v>
      </c>
      <c r="AX77" s="389">
        <v>71</v>
      </c>
      <c r="AY77" t="str">
        <f>[1]Inwerter!A73</f>
        <v>Fronius Symo 3.0-3-S</v>
      </c>
      <c r="AZ77" s="448"/>
    </row>
    <row r="78" spans="1:58" ht="20.25">
      <c r="F78" s="746" t="s">
        <v>823</v>
      </c>
      <c r="G78" s="746"/>
      <c r="H78" s="746"/>
      <c r="I78" s="746"/>
      <c r="J78" s="746"/>
      <c r="K78" s="746"/>
      <c r="L78" s="746"/>
      <c r="M78" s="746"/>
      <c r="N78" s="746"/>
      <c r="O78" s="746"/>
      <c r="P78" s="667" t="str">
        <f>VLOOKUP(P68,Tabela131819[#All],2,0)</f>
        <v>NIP: 6472602198</v>
      </c>
      <c r="Q78" s="667"/>
      <c r="R78" s="667"/>
      <c r="S78" s="667"/>
      <c r="T78" s="667"/>
      <c r="U78" s="667"/>
      <c r="V78" s="667"/>
      <c r="AX78" s="389">
        <v>72</v>
      </c>
      <c r="AY78" t="str">
        <f>[1]Inwerter!A74</f>
        <v>Fronius Symo 3.7-3-M</v>
      </c>
      <c r="AZ78" s="448"/>
    </row>
    <row r="79" spans="1:58" ht="20.25">
      <c r="F79" s="726" t="str">
        <f>IF(P75="kredyt WFOŚ","umożenie w połowie okresu","")</f>
        <v/>
      </c>
      <c r="G79" s="726"/>
      <c r="H79" s="726"/>
      <c r="I79" s="726"/>
      <c r="J79" s="726"/>
      <c r="K79" s="726"/>
      <c r="L79" s="726"/>
      <c r="M79" s="726"/>
      <c r="N79" s="726"/>
      <c r="O79" s="726"/>
      <c r="P79" s="726"/>
      <c r="Q79" s="726"/>
      <c r="R79" s="727"/>
      <c r="S79" s="727"/>
      <c r="T79" s="446" t="str">
        <f>IF(P75="kredyt WFOŚ","%","")</f>
        <v/>
      </c>
      <c r="U79" s="447"/>
      <c r="V79" s="447"/>
      <c r="AX79" s="389">
        <v>73</v>
      </c>
      <c r="AY79" t="str">
        <f>[1]Inwerter!A75</f>
        <v>Fronius Symo 3.7-3-S</v>
      </c>
      <c r="AZ79" s="449"/>
    </row>
    <row r="80" spans="1:58" s="386" customFormat="1" ht="20.25">
      <c r="A80" s="731" t="s">
        <v>55</v>
      </c>
      <c r="B80" s="731"/>
      <c r="C80" s="731"/>
      <c r="D80" s="731"/>
      <c r="E80" s="731"/>
      <c r="F80" s="732"/>
      <c r="G80" s="732"/>
      <c r="H80" s="732"/>
      <c r="I80" s="732"/>
      <c r="J80" s="732"/>
      <c r="K80" s="732"/>
      <c r="L80" s="732"/>
      <c r="M80" s="732"/>
      <c r="N80" s="732"/>
      <c r="O80" s="732"/>
      <c r="P80" s="732"/>
      <c r="Q80" s="732"/>
      <c r="R80" s="732"/>
      <c r="S80" s="732"/>
      <c r="T80" s="732"/>
      <c r="U80" s="732"/>
      <c r="V80" s="732"/>
      <c r="W80" s="731"/>
      <c r="X80" s="731"/>
      <c r="Y80" s="731"/>
      <c r="Z80" s="731"/>
      <c r="AA80" s="731"/>
      <c r="AB80" s="731"/>
      <c r="AC80" s="731"/>
      <c r="AD80" s="731"/>
      <c r="AE80" s="731"/>
      <c r="AX80" s="437">
        <v>74</v>
      </c>
      <c r="AY80" t="str">
        <f>[1]Inwerter!A76</f>
        <v>Fronius Symo 4.5-3-M</v>
      </c>
      <c r="AZ80" s="450"/>
      <c r="BA80" s="438"/>
      <c r="BB80" s="438"/>
      <c r="BC80" s="438"/>
      <c r="BD80" s="390"/>
      <c r="BE80" s="438"/>
      <c r="BF80" s="388"/>
    </row>
    <row r="81" spans="1:58" ht="20.25">
      <c r="A81" s="729" t="s">
        <v>3</v>
      </c>
      <c r="B81" s="729"/>
      <c r="C81" s="729"/>
      <c r="D81" s="729"/>
      <c r="E81" s="729"/>
      <c r="F81" s="729"/>
      <c r="G81" s="729"/>
      <c r="H81" s="729"/>
      <c r="I81" s="729"/>
      <c r="J81" s="729"/>
      <c r="K81" s="665">
        <f>B84*H87/1000</f>
        <v>13.32</v>
      </c>
      <c r="L81" s="665"/>
      <c r="M81" s="665"/>
      <c r="N81" s="665"/>
      <c r="O81" s="690" t="s">
        <v>4</v>
      </c>
      <c r="P81" s="690"/>
      <c r="Q81" s="668" t="str">
        <f>IF(Y126&gt;PV!AM63,"aby rachunki wynosiły 0zł zwiększ przewymiarowanie instalacji",IF(Y126&lt;PV!AJ63,"aby rachunki wynosiły 0zł zmniejsz przewymiarowanie instalacji"," "))</f>
        <v xml:space="preserve"> </v>
      </c>
      <c r="R81" s="668"/>
      <c r="S81" s="668"/>
      <c r="T81" s="668"/>
      <c r="U81" s="668"/>
      <c r="V81" s="668"/>
      <c r="W81" s="668"/>
      <c r="X81" s="668"/>
      <c r="Y81" s="668"/>
      <c r="Z81" s="668"/>
      <c r="AA81" s="668"/>
      <c r="AB81" s="668"/>
      <c r="AC81" s="668"/>
      <c r="AD81" s="668"/>
      <c r="AE81" s="668"/>
      <c r="AM81" s="649"/>
      <c r="AN81" s="649"/>
      <c r="AO81" s="649"/>
      <c r="AX81" s="389">
        <v>75</v>
      </c>
      <c r="AY81" t="str">
        <f>[1]Inwerter!A77</f>
        <v>Fronius Symo 4.5-3-S</v>
      </c>
      <c r="AZ81" s="449"/>
      <c r="BF81" s="386"/>
    </row>
    <row r="82" spans="1:58" ht="20.25">
      <c r="A82" s="729"/>
      <c r="B82" s="729"/>
      <c r="C82" s="729"/>
      <c r="D82" s="729"/>
      <c r="E82" s="729"/>
      <c r="F82" s="729"/>
      <c r="G82" s="729"/>
      <c r="H82" s="729"/>
      <c r="I82" s="729"/>
      <c r="J82" s="729"/>
      <c r="K82" s="665"/>
      <c r="L82" s="665"/>
      <c r="M82" s="665"/>
      <c r="N82" s="665"/>
      <c r="O82" s="690"/>
      <c r="P82" s="690"/>
      <c r="Q82" s="668"/>
      <c r="R82" s="668"/>
      <c r="S82" s="668"/>
      <c r="T82" s="668"/>
      <c r="U82" s="668"/>
      <c r="V82" s="668"/>
      <c r="W82" s="668"/>
      <c r="X82" s="668"/>
      <c r="Y82" s="668"/>
      <c r="Z82" s="668"/>
      <c r="AA82" s="668"/>
      <c r="AB82" s="668"/>
      <c r="AC82" s="668"/>
      <c r="AD82" s="668"/>
      <c r="AE82" s="668"/>
      <c r="AX82" s="389">
        <v>76</v>
      </c>
      <c r="AY82" t="str">
        <f>[1]Inwerter!A78</f>
        <v>Fronius Symo 5.0-3-M</v>
      </c>
      <c r="AZ82" s="448"/>
    </row>
    <row r="83" spans="1:58" ht="20.25">
      <c r="A83" s="636" t="s">
        <v>80</v>
      </c>
      <c r="B83" s="636"/>
      <c r="C83" s="636"/>
      <c r="D83" s="636"/>
      <c r="E83" s="636"/>
      <c r="F83" s="636"/>
      <c r="G83" s="636"/>
      <c r="H83" s="636"/>
      <c r="I83" s="636"/>
      <c r="J83" s="636"/>
      <c r="K83" s="636"/>
      <c r="L83" s="636"/>
      <c r="M83" s="636"/>
      <c r="N83" s="636"/>
      <c r="O83" s="636"/>
      <c r="P83" s="636"/>
      <c r="Q83" s="636"/>
      <c r="R83" s="636"/>
      <c r="S83" s="636"/>
      <c r="T83" s="636"/>
      <c r="U83" s="636"/>
      <c r="V83" s="636"/>
      <c r="W83" s="636"/>
      <c r="X83" s="636"/>
      <c r="Y83" s="636"/>
      <c r="Z83" s="636"/>
      <c r="AA83" s="636"/>
      <c r="AB83" s="636"/>
      <c r="AC83" s="636"/>
      <c r="AD83" s="636"/>
      <c r="AE83" s="636"/>
      <c r="AI83" s="388" t="str" cm="1">
        <f t="array" ref="AI83:AO83">'Dane wejściowe'!G43:M43</f>
        <v>TW Solar TW555-MAP M10-144-H</v>
      </c>
      <c r="AJ83" s="388">
        <v>0</v>
      </c>
      <c r="AK83" s="388">
        <v>0</v>
      </c>
      <c r="AL83" s="388">
        <v>0</v>
      </c>
      <c r="AM83" s="388">
        <v>0</v>
      </c>
      <c r="AN83" s="388">
        <v>0</v>
      </c>
      <c r="AO83" s="388">
        <v>0</v>
      </c>
      <c r="AX83" s="389">
        <v>77</v>
      </c>
      <c r="AY83" t="str">
        <f>[1]Inwerter!A79</f>
        <v>Fronius Symo 6.0-3-M</v>
      </c>
      <c r="AZ83" s="448"/>
    </row>
    <row r="84" spans="1:58" ht="20.25">
      <c r="A84" s="404"/>
      <c r="B84" s="733">
        <f>ROUNDUP(VLOOKUP(PV!$F$64,'BAZA DANYCH'!$Z$46:$AB$51,3,FALSE)/$H$87,0)</f>
        <v>24</v>
      </c>
      <c r="C84" s="733"/>
      <c r="D84" s="404" t="s">
        <v>60</v>
      </c>
      <c r="F84" s="636">
        <f>$B$84*1.67</f>
        <v>40.08</v>
      </c>
      <c r="G84" s="636"/>
      <c r="H84" s="404" t="s">
        <v>56</v>
      </c>
      <c r="J84" s="666" t="str">
        <f>AI83</f>
        <v>TW Solar TW555-MAP M10-144-H</v>
      </c>
      <c r="K84" s="666"/>
      <c r="L84" s="666"/>
      <c r="M84" s="666"/>
      <c r="N84" s="666"/>
      <c r="O84" s="666"/>
      <c r="P84" s="666"/>
      <c r="Q84" s="666"/>
      <c r="R84" s="666"/>
      <c r="S84" s="666"/>
      <c r="T84" s="666"/>
      <c r="AE84" s="419"/>
      <c r="AI84" s="388" t="str" cm="1">
        <f t="array" ref="AI84:AO84">'Dane wejściowe'!G44:M44</f>
        <v>Sofar 12KTLX-G3</v>
      </c>
      <c r="AJ84" s="388">
        <v>0</v>
      </c>
      <c r="AK84" s="388">
        <v>0</v>
      </c>
      <c r="AL84" s="388">
        <v>0</v>
      </c>
      <c r="AM84" s="388">
        <v>0</v>
      </c>
      <c r="AN84" s="388">
        <v>0</v>
      </c>
      <c r="AO84" s="388">
        <v>0</v>
      </c>
      <c r="AX84" s="389">
        <v>78</v>
      </c>
      <c r="AY84" t="str">
        <f>[1]Inwerter!A80</f>
        <v>Fronius Symo 7.0-3-M</v>
      </c>
      <c r="AZ84" s="448"/>
    </row>
    <row r="85" spans="1:58" ht="20.25">
      <c r="C85" s="404">
        <f>VLOOKUP(panel,[1]!Panele[#All],MATCH("gwarancja",[1]!Panele[#Headers],0),FALSE)</f>
        <v>12</v>
      </c>
      <c r="D85" s="404" t="s">
        <v>84</v>
      </c>
      <c r="E85" s="404"/>
      <c r="F85" s="404"/>
      <c r="G85" s="404"/>
      <c r="H85" s="404"/>
      <c r="I85" s="404"/>
      <c r="J85" s="404"/>
      <c r="K85" s="404"/>
      <c r="U85" s="404"/>
      <c r="V85" s="404"/>
      <c r="W85" s="404"/>
      <c r="X85" s="419"/>
      <c r="Y85" s="419"/>
      <c r="Z85" s="419"/>
      <c r="AA85" s="419"/>
      <c r="AB85" s="419"/>
      <c r="AC85" s="419"/>
      <c r="AD85" s="419"/>
      <c r="AE85" s="419"/>
      <c r="AX85" s="389">
        <v>79</v>
      </c>
      <c r="AY85" t="str">
        <f>[1]Inwerter!A81</f>
        <v>Fronius Symo 8.2-3-M</v>
      </c>
      <c r="AZ85" s="448"/>
    </row>
    <row r="86" spans="1:58" ht="20.25">
      <c r="C86" s="404">
        <v>25</v>
      </c>
      <c r="D86" s="404" t="s">
        <v>298</v>
      </c>
      <c r="E86" s="404"/>
      <c r="AX86" s="389">
        <v>80</v>
      </c>
      <c r="AY86" t="str">
        <f>[1]Inwerter!A82</f>
        <v>Solaredge - SE2200H</v>
      </c>
      <c r="AZ86" s="448"/>
    </row>
    <row r="87" spans="1:58" ht="20.25">
      <c r="F87" s="636" t="s">
        <v>83</v>
      </c>
      <c r="G87" s="636"/>
      <c r="H87" s="636">
        <f>VLOOKUP(panel,[1]!Panele[#All],MATCH("W",[1]!Panele[#Headers],FALSE),FALSE)</f>
        <v>555</v>
      </c>
      <c r="I87" s="636"/>
      <c r="J87" s="404" t="s">
        <v>79</v>
      </c>
      <c r="AX87" s="389">
        <v>81</v>
      </c>
      <c r="AY87" t="str">
        <f>[1]Inwerter!A83</f>
        <v>Solaredge - SE3000H</v>
      </c>
      <c r="AZ87" s="448"/>
    </row>
    <row r="88" spans="1:58" ht="20.25">
      <c r="D88" s="693" t="s">
        <v>257</v>
      </c>
      <c r="E88" s="693"/>
      <c r="F88" s="693"/>
      <c r="G88" s="693"/>
      <c r="H88" s="693">
        <f>VLOOKUP(panel,[1]!Panele[#All],MATCH("sprawność",[1]!Panele[#Headers],FALSE),FALSE)</f>
        <v>21.5</v>
      </c>
      <c r="I88" s="693"/>
      <c r="J88" s="419" t="s">
        <v>6</v>
      </c>
      <c r="AX88" s="389">
        <v>82</v>
      </c>
      <c r="AY88" t="str">
        <f>[1]Inwerter!A84</f>
        <v>Solaredge - SE3500H</v>
      </c>
      <c r="AZ88" s="448"/>
    </row>
    <row r="89" spans="1:58" ht="20.25">
      <c r="A89" s="636" t="s">
        <v>31</v>
      </c>
      <c r="B89" s="636"/>
      <c r="C89" s="636"/>
      <c r="D89" s="636"/>
      <c r="E89" s="636"/>
      <c r="F89" s="636"/>
      <c r="G89" s="636"/>
      <c r="H89" s="725">
        <f>VLOOKUP(panel,[1]!Panele[#All],MATCH("straty",[1]!Panele[#Headers],FALSE),FALSE)</f>
        <v>0.55000000000000004</v>
      </c>
      <c r="I89" s="725"/>
      <c r="J89" s="636" t="s">
        <v>8</v>
      </c>
      <c r="K89" s="636"/>
      <c r="AX89" s="389">
        <v>83</v>
      </c>
      <c r="AY89" t="str">
        <f>[1]Inwerter!A85</f>
        <v>Solaredge - SE3680H</v>
      </c>
      <c r="AZ89" s="448"/>
    </row>
    <row r="90" spans="1:58" ht="20.25">
      <c r="AX90" s="389">
        <v>84</v>
      </c>
      <c r="AY90" t="str">
        <f>[1]Inwerter!A86</f>
        <v>Solaredge - SE3K</v>
      </c>
      <c r="AZ90" s="448"/>
    </row>
    <row r="91" spans="1:58" ht="20.25">
      <c r="V91" s="404"/>
      <c r="W91" s="404"/>
      <c r="X91" s="404"/>
      <c r="AD91" s="418"/>
      <c r="AE91" s="418"/>
      <c r="AX91" s="389">
        <v>85</v>
      </c>
      <c r="AY91" t="str">
        <f>[1]Inwerter!A87</f>
        <v>Solaredge - SE4K</v>
      </c>
      <c r="AZ91" s="448"/>
    </row>
    <row r="92" spans="1:58" ht="20.25">
      <c r="A92" s="636" t="s">
        <v>297</v>
      </c>
      <c r="B92" s="636"/>
      <c r="C92" s="636"/>
      <c r="D92" s="636"/>
      <c r="E92" s="636"/>
      <c r="F92" s="636"/>
      <c r="G92" s="636"/>
      <c r="H92" s="636"/>
      <c r="I92" s="636"/>
      <c r="J92" s="636"/>
      <c r="K92" s="636"/>
      <c r="L92" s="636"/>
      <c r="M92" s="636"/>
      <c r="N92" s="636"/>
      <c r="O92" s="636"/>
      <c r="P92" s="636"/>
      <c r="Q92" s="636"/>
      <c r="R92" s="636"/>
      <c r="S92" s="636"/>
      <c r="T92" s="636"/>
      <c r="U92" s="636"/>
      <c r="V92" s="636"/>
      <c r="W92" s="636"/>
      <c r="X92" s="636"/>
      <c r="Y92" s="636"/>
      <c r="Z92" s="636"/>
      <c r="AA92" s="636"/>
      <c r="AB92" s="636"/>
      <c r="AC92" s="636"/>
      <c r="AD92" s="636"/>
      <c r="AE92" s="636"/>
      <c r="AI92" s="636"/>
      <c r="AJ92" s="636"/>
      <c r="AK92" s="636"/>
      <c r="AL92" s="636"/>
      <c r="AM92" s="636"/>
      <c r="AX92" s="389">
        <v>86</v>
      </c>
      <c r="AY92" t="str">
        <f>[1]Inwerter!A88</f>
        <v>Solaredge - SE5K</v>
      </c>
      <c r="AZ92" s="448"/>
    </row>
    <row r="93" spans="1:58" ht="20.25">
      <c r="A93" s="636"/>
      <c r="B93" s="636"/>
      <c r="C93" s="636"/>
      <c r="D93" s="636"/>
      <c r="E93" s="636"/>
      <c r="F93" s="636"/>
      <c r="G93" s="636"/>
      <c r="H93" s="666" t="str">
        <f>AI84</f>
        <v>Sofar 12KTLX-G3</v>
      </c>
      <c r="I93" s="666"/>
      <c r="J93" s="666"/>
      <c r="K93" s="666"/>
      <c r="L93" s="666"/>
      <c r="M93" s="666"/>
      <c r="N93" s="666"/>
      <c r="O93" s="666"/>
      <c r="P93" s="666"/>
      <c r="Q93" s="666"/>
      <c r="R93" s="666"/>
      <c r="S93" s="666">
        <f>VLOOKUP(Inwerter1,[1]!Inwerter[#All],MATCH("dodatkowo",[1]!Inwerter[#Headers],0),FALSE)</f>
        <v>0</v>
      </c>
      <c r="T93" s="666"/>
      <c r="U93" s="666"/>
      <c r="V93" s="404"/>
      <c r="W93" s="404"/>
      <c r="AI93" s="649"/>
      <c r="AJ93" s="649"/>
      <c r="AK93" s="649"/>
      <c r="AL93" s="649"/>
      <c r="AM93" s="649"/>
      <c r="AX93" s="389">
        <v>87</v>
      </c>
      <c r="AY93" t="str">
        <f>[1]Inwerter!A89</f>
        <v>Solaredge - SE6K</v>
      </c>
      <c r="AZ93" s="448"/>
    </row>
    <row r="94" spans="1:58" ht="20.25">
      <c r="A94" s="404"/>
      <c r="B94" s="404"/>
      <c r="C94" s="404"/>
      <c r="D94" s="404"/>
      <c r="E94" s="404"/>
      <c r="F94" s="404"/>
      <c r="G94" s="404"/>
      <c r="H94" s="404"/>
      <c r="I94" s="404"/>
      <c r="J94" s="745">
        <f>VLOOKUP(Inwerter1,[1]!Inwerter[#All],MATCH("gwarancja",[1]!Inwerter[#Headers],0),FALSE)</f>
        <v>12</v>
      </c>
      <c r="K94" s="745"/>
      <c r="L94" s="404" t="s">
        <v>84</v>
      </c>
      <c r="M94" s="404"/>
      <c r="N94" s="404"/>
      <c r="O94" s="404"/>
      <c r="P94" s="404"/>
      <c r="Q94" s="404"/>
      <c r="R94" s="404"/>
      <c r="V94" s="404"/>
      <c r="W94" s="404"/>
      <c r="AX94" s="389">
        <v>88</v>
      </c>
      <c r="AY94" t="str">
        <f>[1]Inwerter!A90</f>
        <v>Solaredge - SE7K</v>
      </c>
      <c r="AZ94" s="448"/>
    </row>
    <row r="95" spans="1:58" ht="20.25">
      <c r="AX95" s="389">
        <v>89</v>
      </c>
      <c r="AY95" t="str">
        <f>[1]Inwerter!A91</f>
        <v>Solaredge - SE8K</v>
      </c>
    </row>
    <row r="96" spans="1:58" ht="20.25">
      <c r="C96" s="404"/>
      <c r="E96" s="404"/>
      <c r="F96" s="404"/>
      <c r="G96" s="404"/>
      <c r="H96" s="404"/>
      <c r="I96" s="404"/>
      <c r="J96" s="404"/>
      <c r="K96" s="404"/>
      <c r="L96" s="670" t="s">
        <v>223</v>
      </c>
      <c r="M96" s="670"/>
      <c r="N96" s="670" t="str">
        <f>IF(VLOOKUP(Inwerter1,[1]!Inwerter[#All],MATCH("ilość_mppt",[1]!Inwerter[#Headers],0),FALSE)&gt;1,"MPPT2","")</f>
        <v/>
      </c>
      <c r="O96" s="670"/>
      <c r="P96" s="670" t="str">
        <f>IF(VLOOKUP(Inwerter1,[1]!Inwerter[#All],MATCH("ilość_mppt",[1]!Inwerter[#Headers],0),FALSE)&gt;2,"MPPT3","")</f>
        <v/>
      </c>
      <c r="Q96" s="670"/>
      <c r="R96" s="670" t="str">
        <f>IF(VLOOKUP(Inwerter1,[1]!Inwerter[#All],5,FALSE)&gt;3,"MPPT4","")</f>
        <v/>
      </c>
      <c r="S96" s="670"/>
      <c r="AJ96" s="646" t="s">
        <v>223</v>
      </c>
      <c r="AK96" s="646"/>
      <c r="AL96" s="646" t="s">
        <v>224</v>
      </c>
      <c r="AM96" s="646"/>
      <c r="AN96" s="646" t="s">
        <v>261</v>
      </c>
      <c r="AO96" s="646"/>
      <c r="AP96" s="646" t="s">
        <v>368</v>
      </c>
      <c r="AQ96" s="646"/>
      <c r="AX96" s="389">
        <v>90</v>
      </c>
      <c r="AY96" t="str">
        <f>[1]Inwerter!A92</f>
        <v>Solaredge - SE9K</v>
      </c>
    </row>
    <row r="97" spans="1:51" ht="20.25">
      <c r="A97" s="404"/>
      <c r="B97" s="404"/>
      <c r="C97" s="636" t="s">
        <v>265</v>
      </c>
      <c r="D97" s="636"/>
      <c r="E97" s="636"/>
      <c r="F97" s="636"/>
      <c r="G97" s="636"/>
      <c r="H97" s="636"/>
      <c r="I97" s="636"/>
      <c r="J97" s="636"/>
      <c r="L97" s="636">
        <f>IF(AJ97&gt;0,AJ97,$B$84)</f>
        <v>18</v>
      </c>
      <c r="M97" s="636"/>
      <c r="N97" s="658" t="str">
        <f>IF(VLOOKUP(Inwerter1,[1]!Inwerter[#All],MATCH("ilość_mppt",[1]!Inwerter[#Headers],0),FALSE)&gt;1,IF(AL97&gt;0,AL97,$B$84-L97),"szt.")</f>
        <v>szt.</v>
      </c>
      <c r="O97" s="658"/>
      <c r="P97" s="636" t="str">
        <f>IF(VLOOKUP(Inwerter1,[1]!Inwerter[#All],MATCH("ilość_mppt",[1]!Inwerter[#Headers],0),FALSE)&gt;2,IF(AN97&gt;0,AN97,$B$84-L97-N97),"szt.")</f>
        <v>szt.</v>
      </c>
      <c r="Q97" s="636"/>
      <c r="R97" s="636" t="str">
        <f>IF(VLOOKUP(Inwerter1,[1]!Inwerter[#All],MATCH("ilość_mppt",[1]!Inwerter[#Headers],0),FALSE)&gt;=3,IF(AP97&gt;0,AP97,$B$84-L97-N97-P97),"")</f>
        <v/>
      </c>
      <c r="S97" s="636"/>
      <c r="V97" s="404"/>
      <c r="W97" s="404"/>
      <c r="X97" s="404"/>
      <c r="Y97" s="404"/>
      <c r="AB97" s="418"/>
      <c r="AC97" s="418"/>
      <c r="AD97" s="418"/>
      <c r="AE97" s="418"/>
      <c r="AI97" s="388" t="s">
        <v>60</v>
      </c>
      <c r="AJ97" s="747">
        <v>18</v>
      </c>
      <c r="AK97" s="747"/>
      <c r="AL97" s="747">
        <v>18</v>
      </c>
      <c r="AM97" s="747"/>
      <c r="AN97" s="747"/>
      <c r="AO97" s="747"/>
      <c r="AP97" s="747"/>
      <c r="AQ97" s="747"/>
      <c r="AX97" s="389">
        <v>91</v>
      </c>
      <c r="AY97" t="str">
        <f>[1]Inwerter!A93</f>
        <v>Solaredge - SE10K</v>
      </c>
    </row>
    <row r="98" spans="1:51" ht="20.25">
      <c r="A98" s="404"/>
      <c r="B98" s="404"/>
      <c r="C98" s="670" t="s">
        <v>247</v>
      </c>
      <c r="D98" s="670"/>
      <c r="E98" s="670"/>
      <c r="F98" s="670"/>
      <c r="G98" s="670"/>
      <c r="H98" s="670"/>
      <c r="I98" s="670"/>
      <c r="J98" s="670"/>
      <c r="L98" s="636">
        <f>IF(AJ98&gt;0,AJ98,1)</f>
        <v>1</v>
      </c>
      <c r="M98" s="636"/>
      <c r="N98" s="636" t="str">
        <f>IF(N96="","",IF(AL98&gt;0,AL98,1))</f>
        <v/>
      </c>
      <c r="O98" s="636"/>
      <c r="P98" s="636" t="str">
        <f>IF(R97="","",IF(AN98&gt;0,AN98,1))</f>
        <v/>
      </c>
      <c r="Q98" s="636"/>
      <c r="R98" s="636" t="str">
        <f>IF(R97="","",IF(AP98&gt;0,AP98,1))</f>
        <v/>
      </c>
      <c r="S98" s="636"/>
      <c r="V98" s="404"/>
      <c r="W98" s="404"/>
      <c r="X98" s="404"/>
      <c r="Y98" s="404"/>
      <c r="AB98" s="418"/>
      <c r="AC98" s="418"/>
      <c r="AD98" s="418"/>
      <c r="AE98" s="418"/>
      <c r="AI98" s="388" t="s">
        <v>262</v>
      </c>
      <c r="AJ98" s="747">
        <v>1</v>
      </c>
      <c r="AK98" s="747"/>
      <c r="AL98" s="747">
        <v>1</v>
      </c>
      <c r="AM98" s="747"/>
      <c r="AN98" s="747"/>
      <c r="AO98" s="747"/>
      <c r="AP98" s="747"/>
      <c r="AQ98" s="747"/>
      <c r="AX98" s="389">
        <v>92</v>
      </c>
      <c r="AY98" t="str">
        <f>[1]Inwerter!A94</f>
        <v>Solaredge - SE12.5K</v>
      </c>
    </row>
    <row r="99" spans="1:51" ht="20.25">
      <c r="A99" s="404"/>
      <c r="B99" s="404"/>
      <c r="C99" s="636" t="s">
        <v>246</v>
      </c>
      <c r="D99" s="636"/>
      <c r="E99" s="636"/>
      <c r="F99" s="636"/>
      <c r="G99" s="636"/>
      <c r="H99" s="636"/>
      <c r="I99" s="636"/>
      <c r="J99" s="636"/>
      <c r="L99" s="636">
        <f>L97/L98</f>
        <v>18</v>
      </c>
      <c r="M99" s="636"/>
      <c r="N99" s="636" t="str">
        <f>IF(N96="","szt.",N97/N98)</f>
        <v>szt.</v>
      </c>
      <c r="O99" s="636"/>
      <c r="P99" s="636" t="str">
        <f>IF(P98="","szt.",P97/P98)</f>
        <v>szt.</v>
      </c>
      <c r="Q99" s="636"/>
      <c r="R99" s="636" t="str">
        <f>IF(R97="","",R97/R98)</f>
        <v/>
      </c>
      <c r="S99" s="636"/>
      <c r="V99" s="404"/>
      <c r="W99" s="404"/>
      <c r="X99" s="404"/>
      <c r="Y99" s="404"/>
      <c r="AB99" s="418"/>
      <c r="AC99" s="418"/>
      <c r="AD99" s="418"/>
      <c r="AE99" s="418"/>
      <c r="AX99" s="389">
        <v>93</v>
      </c>
      <c r="AY99" t="str">
        <f>[1]Inwerter!A95</f>
        <v>Solaredge - SE16K</v>
      </c>
    </row>
    <row r="100" spans="1:51" ht="20.25">
      <c r="A100" s="404"/>
      <c r="C100" s="636" t="s">
        <v>264</v>
      </c>
      <c r="D100" s="636"/>
      <c r="E100" s="636"/>
      <c r="F100" s="636"/>
      <c r="G100" s="636"/>
      <c r="H100" s="636"/>
      <c r="I100" s="636"/>
      <c r="J100" s="636"/>
      <c r="L100" s="658">
        <f>L99*(VLOOKUP(panel,[1]!Panele[#All],MATCH("MPP_25",[1]!Panele[#Headers],0),FALSE)/(1+(VLOOKUP(panel,[1]!Panele[#All],MATCH("%/C",[1]!Panele[#Headers],0),FALSE))/100*45))</f>
        <v>647.09453599306164</v>
      </c>
      <c r="M100" s="658"/>
      <c r="N100" s="658" t="str">
        <f>IF(N96="","V",N99*(VLOOKUP(panel,[1]!Panele[#All],MATCH("MPP_25",[1]!Panele[#Headers],0),FALSE)/(1+(VLOOKUP(panel,[1]!Panele[#All],MATCH("%/C",[1]!Panele[#Headers],0),FALSE))/100*45)))</f>
        <v>V</v>
      </c>
      <c r="O100" s="658"/>
      <c r="P100" s="658" t="str">
        <f>IF(P98="","V",P99*(VLOOKUP(panel,[1]!Panele[#All],MATCH("MPP_25",[1]!Panele[#Headers],0),FALSE)/(1+(VLOOKUP(panel,[1]!Panele[#All],MATCH("%/C",[1]!Panele[#Headers],0),FALSE))/100*45)))</f>
        <v>V</v>
      </c>
      <c r="Q100" s="658"/>
      <c r="R100" s="658" t="str">
        <f>IF(R97="","",R99*(VLOOKUP(panel,[1]!Panele[#All],MATCH("MPP_25",[1]!Panele[#Headers],0),FALSE)/(1+(VLOOKUP(panel,[1]!Panele[#All],MATCH("%/C",[1]!Panele[#Headers],0),FALSE))/100*45)))</f>
        <v/>
      </c>
      <c r="S100" s="658"/>
      <c r="V100" s="404"/>
      <c r="W100" s="404"/>
      <c r="X100" s="404"/>
      <c r="Y100" s="404"/>
      <c r="AB100" s="418"/>
      <c r="AC100" s="418"/>
      <c r="AD100" s="418"/>
      <c r="AE100" s="418"/>
      <c r="AQ100" s="388">
        <f>INDEX([1]!Inwerter[#All],MATCH(Inwerter1,[1]!Inwerter[[#All],[Nazwa]],0),MATCH("Zdjęcie_Inwerter",[1]!Inwerter[#Headers],0))</f>
        <v>0</v>
      </c>
      <c r="AX100" s="389">
        <v>94</v>
      </c>
      <c r="AY100" t="str">
        <f>[1]Inwerter!A96</f>
        <v>Solaredge - SE17K</v>
      </c>
    </row>
    <row r="101" spans="1:51" ht="20.25">
      <c r="A101" s="404"/>
      <c r="C101" s="636" t="s">
        <v>263</v>
      </c>
      <c r="D101" s="636"/>
      <c r="E101" s="636"/>
      <c r="F101" s="636"/>
      <c r="G101" s="636"/>
      <c r="H101" s="636"/>
      <c r="I101" s="636"/>
      <c r="J101" s="636"/>
      <c r="L101" s="658">
        <f>L99*(VLOOKUP(panel,[1]!Panele[#All],MATCH("MPP_25",[1]!Panele[#Headers],0),FALSE))</f>
        <v>746.1</v>
      </c>
      <c r="M101" s="658"/>
      <c r="N101" s="658" t="str">
        <f>IF(N96="","V",N99*(VLOOKUP(panel,[1]!Panele[#All],MATCH("MPP_25",[1]!Panele[#Headers],0),FALSE)))</f>
        <v>V</v>
      </c>
      <c r="O101" s="658"/>
      <c r="P101" s="658" t="str">
        <f>IF(P98="","V",P99*(VLOOKUP(panel,[1]!Panele[#All],MATCH("MPP_25",[1]!Panele[#Headers],0),FALSE)))</f>
        <v>V</v>
      </c>
      <c r="Q101" s="658"/>
      <c r="R101" s="658" t="str">
        <f>IF(R97="","",R99*(VLOOKUP(panel,[1]!Panele[#All],MATCH("MPP_25",[1]!Panele[#Headers],0),FALSE)))</f>
        <v/>
      </c>
      <c r="S101" s="658"/>
      <c r="V101" s="404"/>
      <c r="W101" s="404"/>
      <c r="X101" s="404"/>
      <c r="Y101" s="404"/>
      <c r="Z101" s="404"/>
      <c r="AA101" s="404"/>
      <c r="AB101" s="418"/>
      <c r="AC101" s="418"/>
      <c r="AD101" s="418"/>
      <c r="AE101" s="418"/>
      <c r="AJ101" s="388">
        <f>L99*(VLOOKUP(panel,[1]!Panele[#All],MATCH("MPP_25",[1]!Panele[#Headers],0),FALSE)/(1+(VLOOKUP(panel,[1]!Panele[#All],MATCH("%/C",[1]!Panele[#Headers],0),FALSE))/100*45))</f>
        <v>647.09453599306164</v>
      </c>
      <c r="AX101" s="389">
        <v>95</v>
      </c>
      <c r="AY101" t="str">
        <f>[1]Inwerter!A97</f>
        <v>Solaredge - SE25K</v>
      </c>
    </row>
    <row r="102" spans="1:51" ht="20.25">
      <c r="A102" s="404"/>
      <c r="C102" s="636" t="s">
        <v>316</v>
      </c>
      <c r="D102" s="636"/>
      <c r="E102" s="636"/>
      <c r="F102" s="636"/>
      <c r="G102" s="636"/>
      <c r="H102" s="636"/>
      <c r="I102" s="636"/>
      <c r="J102" s="636"/>
      <c r="L102" s="658">
        <f>L99*(VLOOKUP(panel,[1]!Panele[#All],MATCH("open_V",[1]!Panele[#Headers],0),FALSE)*(1+(VLOOKUP(panel,[1]!Panele[#All],MATCH("%/C",[1]!Panele[#Headers],0),FALSE))/100*45))</f>
        <v>1039.9829400000001</v>
      </c>
      <c r="M102" s="658"/>
      <c r="N102" s="658" t="str">
        <f>IF(N96="","V",N99*(VLOOKUP(panel,[1]!Panele[#All],MATCH("open_V",[1]!Panele[#Headers],0),FALSE)*(1+(VLOOKUP(panel,[1]!Panele[#All],MATCH("%/C",[1]!Panele[#Headers],0),FALSE))/100*45)))</f>
        <v>V</v>
      </c>
      <c r="O102" s="658"/>
      <c r="P102" s="658" t="str">
        <f>IF(P98="","V",P99*(VLOOKUP(panel,[1]!Panele[#All],MATCH("open_V",[1]!Panele[#Headers],0),FALSE)*(1+(VLOOKUP(panel,[1]!Panele[#All],MATCH("%/C",[1]!Panele[#Headers],0),FALSE))/100*45)))</f>
        <v>V</v>
      </c>
      <c r="Q102" s="658"/>
      <c r="R102" s="658" t="str">
        <f>IF(R97="","",R99*(VLOOKUP(panel,[1]!Panele[#All],MATCH("open_V",[1]!Panele[#Headers],0),FALSE)*(1+(VLOOKUP(panel,[1]!Panele[#All],MATCH("%/C",[1]!Panele[#Headers],0),FALSE))/100*45)))</f>
        <v/>
      </c>
      <c r="S102" s="658"/>
      <c r="V102" s="404"/>
      <c r="W102" s="404"/>
      <c r="X102" s="404"/>
      <c r="Y102" s="404"/>
      <c r="Z102" s="404"/>
      <c r="AA102" s="404"/>
      <c r="AB102" s="418"/>
      <c r="AC102" s="418"/>
      <c r="AD102" s="418"/>
      <c r="AE102" s="418"/>
      <c r="AX102" s="389">
        <v>96</v>
      </c>
      <c r="AY102" t="str">
        <f>[1]Inwerter!A98</f>
        <v>Solaredge - SE30K</v>
      </c>
    </row>
    <row r="103" spans="1:51" ht="20.25">
      <c r="C103" s="404"/>
      <c r="D103" s="404"/>
      <c r="E103" s="404"/>
      <c r="L103" s="636" t="str">
        <f>IF(L102&gt;VLOOKUP(Inwerter1,[1]!Inwerter[#All],MATCH("max V/string",[1]!Inwerter[#Headers],0),FALSE),"zbyt wysokie napięcie","")</f>
        <v/>
      </c>
      <c r="M103" s="636"/>
      <c r="N103" s="636"/>
      <c r="O103" s="636"/>
      <c r="P103" s="636"/>
      <c r="Q103" s="636"/>
      <c r="R103" s="636"/>
      <c r="S103" s="636"/>
      <c r="V103" s="418"/>
      <c r="W103" s="418"/>
      <c r="X103" s="418"/>
      <c r="Y103" s="418"/>
      <c r="Z103" s="418"/>
      <c r="AA103" s="418"/>
      <c r="AB103" s="418"/>
      <c r="AC103" s="418"/>
      <c r="AD103" s="418"/>
      <c r="AE103" s="418"/>
      <c r="AX103" s="389">
        <v>97</v>
      </c>
      <c r="AY103" t="str">
        <f>[1]Inwerter!A99</f>
        <v>Solaredge - SE33.3K</v>
      </c>
    </row>
    <row r="104" spans="1:51" ht="20.25">
      <c r="T104" s="418"/>
      <c r="U104" s="418"/>
      <c r="V104" s="418"/>
      <c r="W104" s="418"/>
      <c r="X104" s="418"/>
      <c r="Y104" s="418"/>
      <c r="Z104" s="418"/>
      <c r="AA104" s="418"/>
      <c r="AB104" s="418"/>
      <c r="AC104" s="418"/>
      <c r="AD104" s="418"/>
      <c r="AE104" s="418"/>
      <c r="AX104" s="389">
        <v>98</v>
      </c>
      <c r="AY104" t="str">
        <f>[1]Inwerter!A100</f>
        <v>Solaredge - SE50K</v>
      </c>
    </row>
    <row r="105" spans="1:51" ht="20.25">
      <c r="B105" s="404" t="s">
        <v>107</v>
      </c>
      <c r="C105" s="404"/>
      <c r="D105" s="404"/>
      <c r="E105" s="404"/>
      <c r="F105" s="404"/>
      <c r="G105" s="404"/>
      <c r="H105" s="404"/>
      <c r="I105" s="404"/>
      <c r="J105" s="404"/>
      <c r="L105" s="404"/>
      <c r="M105" s="404"/>
      <c r="N105" s="404"/>
      <c r="O105" s="404"/>
      <c r="P105" s="404"/>
      <c r="Q105" s="404"/>
      <c r="R105" s="404"/>
      <c r="S105" s="404"/>
      <c r="T105" s="404"/>
      <c r="U105" s="404"/>
      <c r="V105" s="404"/>
      <c r="W105" s="404"/>
      <c r="X105" s="404"/>
      <c r="Y105" s="404"/>
      <c r="AC105" s="404"/>
      <c r="AD105" s="404"/>
      <c r="AE105" s="404"/>
      <c r="AX105" s="389">
        <v>99</v>
      </c>
      <c r="AY105" t="str">
        <f>[1]Inwerter!A101</f>
        <v>Solaredge - SE66.6K</v>
      </c>
    </row>
    <row r="106" spans="1:51" ht="20.25">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c r="AB106" s="404"/>
      <c r="AC106" s="404"/>
      <c r="AD106" s="404"/>
      <c r="AE106" s="404"/>
      <c r="AX106" s="389">
        <v>100</v>
      </c>
      <c r="AY106" t="str">
        <f>[1]Inwerter!A102</f>
        <v>Solaredge - SE90K</v>
      </c>
    </row>
    <row r="107" spans="1:51" ht="20.25">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c r="AB107" s="404"/>
      <c r="AC107" s="404"/>
      <c r="AD107" s="404"/>
      <c r="AE107" s="404"/>
      <c r="AX107" s="389">
        <v>101</v>
      </c>
      <c r="AY107" t="str">
        <f>[1]Inwerter!A103</f>
        <v>Solaredge - SE120K</v>
      </c>
    </row>
    <row r="108" spans="1:51" ht="20.25">
      <c r="AD108" s="404"/>
      <c r="AE108" s="404"/>
      <c r="AX108" s="389">
        <v>102</v>
      </c>
      <c r="AY108" t="str">
        <f>[1]Inwerter!A104</f>
        <v>Solaredge - SE120K</v>
      </c>
    </row>
    <row r="109" spans="1:51" ht="20.25" customHeight="1">
      <c r="B109" s="659" t="s">
        <v>74</v>
      </c>
      <c r="C109" s="660"/>
      <c r="D109" s="660"/>
      <c r="E109" s="660"/>
      <c r="F109" s="660"/>
      <c r="G109" s="660"/>
      <c r="H109" s="660"/>
      <c r="I109" s="660"/>
      <c r="J109" s="660"/>
      <c r="K109" s="660"/>
      <c r="L109" s="660"/>
      <c r="M109" s="660"/>
      <c r="N109" s="660"/>
      <c r="O109" s="660"/>
      <c r="P109" s="660"/>
      <c r="Q109" s="660"/>
      <c r="R109" s="660"/>
      <c r="S109" s="660"/>
      <c r="T109" s="660"/>
      <c r="U109" s="660"/>
      <c r="V109" s="660"/>
      <c r="W109" s="660"/>
      <c r="X109" s="660"/>
      <c r="Y109" s="660"/>
      <c r="Z109" s="660"/>
      <c r="AA109" s="660"/>
      <c r="AB109" s="660"/>
      <c r="AC109" s="660"/>
      <c r="AD109" s="661"/>
      <c r="AI109" s="748" t="str">
        <f>IF(F110="inny","Wpisz wartości","")</f>
        <v/>
      </c>
      <c r="AX109" s="389">
        <v>103</v>
      </c>
      <c r="AY109">
        <f>[1]Inwerter!A105</f>
        <v>0</v>
      </c>
    </row>
    <row r="110" spans="1:51" ht="20.25">
      <c r="B110" s="674" t="s">
        <v>36</v>
      </c>
      <c r="C110" s="674"/>
      <c r="D110" s="674"/>
      <c r="E110" s="674"/>
      <c r="F110" s="628" t="s">
        <v>222</v>
      </c>
      <c r="G110" s="628"/>
      <c r="H110" s="628"/>
      <c r="I110" s="657" t="s">
        <v>255</v>
      </c>
      <c r="J110" s="657"/>
      <c r="K110" s="657"/>
      <c r="L110" s="657"/>
      <c r="M110" s="657" t="s">
        <v>37</v>
      </c>
      <c r="N110" s="657"/>
      <c r="O110" s="657"/>
      <c r="P110" s="657" t="s">
        <v>24</v>
      </c>
      <c r="Q110" s="657"/>
      <c r="R110" s="657"/>
      <c r="S110" s="622" t="s">
        <v>427</v>
      </c>
      <c r="T110" s="623"/>
      <c r="U110" s="624"/>
      <c r="V110" s="657" t="s">
        <v>38</v>
      </c>
      <c r="W110" s="657"/>
      <c r="X110" s="657"/>
      <c r="Y110" s="657" t="s">
        <v>190</v>
      </c>
      <c r="Z110" s="657"/>
      <c r="AA110" s="657"/>
      <c r="AB110" s="622" t="s">
        <v>39</v>
      </c>
      <c r="AC110" s="623"/>
      <c r="AD110" s="624"/>
      <c r="AI110" s="748"/>
      <c r="AM110" s="388" t="s">
        <v>1101</v>
      </c>
      <c r="AX110" s="389">
        <v>104</v>
      </c>
      <c r="AY110">
        <f>[1]Inwerter!A106</f>
        <v>0</v>
      </c>
    </row>
    <row r="111" spans="1:51" ht="20.25">
      <c r="B111" s="674"/>
      <c r="C111" s="674"/>
      <c r="D111" s="674"/>
      <c r="E111" s="674"/>
      <c r="F111" s="628"/>
      <c r="G111" s="628"/>
      <c r="H111" s="628"/>
      <c r="I111" s="657"/>
      <c r="J111" s="657"/>
      <c r="K111" s="657"/>
      <c r="L111" s="657"/>
      <c r="M111" s="657"/>
      <c r="N111" s="657"/>
      <c r="O111" s="657"/>
      <c r="P111" s="657"/>
      <c r="Q111" s="657"/>
      <c r="R111" s="657"/>
      <c r="S111" s="718"/>
      <c r="T111" s="719"/>
      <c r="U111" s="720"/>
      <c r="V111" s="657"/>
      <c r="W111" s="657"/>
      <c r="X111" s="657"/>
      <c r="Y111" s="657"/>
      <c r="Z111" s="657"/>
      <c r="AA111" s="657"/>
      <c r="AB111" s="718"/>
      <c r="AC111" s="719"/>
      <c r="AD111" s="720"/>
      <c r="AI111" s="748"/>
      <c r="AM111" s="408">
        <f>V114*$AS$111</f>
        <v>787.03355623529421</v>
      </c>
      <c r="AO111" s="408">
        <f t="shared" ref="AO111:AO122" si="0">V114*$P$65</f>
        <v>1119.3624335554714</v>
      </c>
      <c r="AS111" s="388">
        <v>0.77</v>
      </c>
      <c r="AX111" s="389">
        <v>105</v>
      </c>
      <c r="AY111">
        <f>[1]Inwerter!A107</f>
        <v>0</v>
      </c>
    </row>
    <row r="112" spans="1:51" ht="20.25">
      <c r="B112" s="674"/>
      <c r="C112" s="674"/>
      <c r="D112" s="674"/>
      <c r="E112" s="674"/>
      <c r="F112" s="628"/>
      <c r="G112" s="628"/>
      <c r="H112" s="628"/>
      <c r="I112" s="657"/>
      <c r="J112" s="657"/>
      <c r="K112" s="657"/>
      <c r="L112" s="657"/>
      <c r="M112" s="657"/>
      <c r="N112" s="657"/>
      <c r="O112" s="657"/>
      <c r="P112" s="657"/>
      <c r="Q112" s="657"/>
      <c r="R112" s="657"/>
      <c r="S112" s="625"/>
      <c r="T112" s="626"/>
      <c r="U112" s="627"/>
      <c r="V112" s="657"/>
      <c r="W112" s="657"/>
      <c r="X112" s="657"/>
      <c r="Y112" s="657"/>
      <c r="Z112" s="657"/>
      <c r="AA112" s="657"/>
      <c r="AB112" s="625"/>
      <c r="AC112" s="626"/>
      <c r="AD112" s="627"/>
      <c r="AI112" s="409" t="str">
        <f>IF(F110="inny","kWh","")</f>
        <v/>
      </c>
      <c r="AM112" s="408">
        <f>V115*$AS$111</f>
        <v>765.86610459607846</v>
      </c>
      <c r="AO112" s="408">
        <f t="shared" si="0"/>
        <v>1089.2569190048864</v>
      </c>
      <c r="AS112" s="388">
        <v>1.1599999999999999</v>
      </c>
      <c r="AX112" s="389">
        <v>106</v>
      </c>
      <c r="AY112">
        <f>[1]Inwerter!A108</f>
        <v>0</v>
      </c>
    </row>
    <row r="113" spans="2:51" ht="20.25">
      <c r="B113" s="616"/>
      <c r="C113" s="616"/>
      <c r="D113" s="616"/>
      <c r="E113" s="616"/>
      <c r="F113" s="616" t="s">
        <v>40</v>
      </c>
      <c r="G113" s="616"/>
      <c r="H113" s="616"/>
      <c r="I113" s="616" t="s">
        <v>40</v>
      </c>
      <c r="J113" s="616"/>
      <c r="K113" s="616"/>
      <c r="L113" s="616"/>
      <c r="M113" s="616" t="s">
        <v>40</v>
      </c>
      <c r="N113" s="616"/>
      <c r="O113" s="616"/>
      <c r="P113" s="616" t="s">
        <v>40</v>
      </c>
      <c r="Q113" s="616"/>
      <c r="R113" s="616"/>
      <c r="S113" s="671" t="s">
        <v>2</v>
      </c>
      <c r="T113" s="672"/>
      <c r="U113" s="673"/>
      <c r="V113" s="616" t="s">
        <v>40</v>
      </c>
      <c r="W113" s="616"/>
      <c r="X113" s="616"/>
      <c r="Y113" s="616" t="s">
        <v>2</v>
      </c>
      <c r="Z113" s="616"/>
      <c r="AA113" s="616"/>
      <c r="AB113" s="671" t="s">
        <v>2</v>
      </c>
      <c r="AC113" s="672"/>
      <c r="AD113" s="673"/>
      <c r="AH113" s="410" t="s">
        <v>62</v>
      </c>
      <c r="AI113" s="411">
        <v>3500</v>
      </c>
      <c r="AM113" s="408">
        <f>((V114+V115+V116)-2000)+(AS112+(2000-V114-V115)*AS111)</f>
        <v>928.89099243065937</v>
      </c>
      <c r="AO113" s="408">
        <f t="shared" si="0"/>
        <v>1011.7722340140367</v>
      </c>
      <c r="AQ113" s="413">
        <f>SUM(P114:R125)</f>
        <v>10554.964341499699</v>
      </c>
      <c r="AX113" s="389">
        <v>107</v>
      </c>
      <c r="AY113">
        <f>[1]Inwerter!A109</f>
        <v>0</v>
      </c>
    </row>
    <row r="114" spans="2:51" ht="20.25">
      <c r="B114" s="616" t="s">
        <v>62</v>
      </c>
      <c r="C114" s="616"/>
      <c r="D114" s="616"/>
      <c r="E114" s="616"/>
      <c r="F114" s="615">
        <f>IF($F$110="profil inny",AI113,VLOOKUP($F$110,'BAZA DANYCH'!$V$29:$AH$30,'BAZA DANYCH'!$U29,FALSE)*VLOOKUP($F$64,'BAZA DANYCH'!$Z$47:$AD$51,3,FALSE))</f>
        <v>1110</v>
      </c>
      <c r="G114" s="615"/>
      <c r="H114" s="615"/>
      <c r="I114" s="615">
        <f>0.0386215092097445*PV!E182</f>
        <v>464.43250802139033</v>
      </c>
      <c r="J114" s="615"/>
      <c r="K114" s="615"/>
      <c r="L114" s="615"/>
      <c r="M114" s="615">
        <f>VLOOKUP($F$110,'BAZA DANYCH'!$V$35:$AH$37,'BAZA DANYCH'!U29,FALSE)</f>
        <v>87.87849839572192</v>
      </c>
      <c r="N114" s="615"/>
      <c r="O114" s="615"/>
      <c r="P114" s="615">
        <f t="shared" ref="P114:P125" si="1">I114-M114</f>
        <v>376.55400962566841</v>
      </c>
      <c r="Q114" s="615"/>
      <c r="R114" s="615"/>
      <c r="S114" s="633">
        <f t="shared" ref="S114:S125" si="2">P114*$S$127</f>
        <v>263.58780673796787</v>
      </c>
      <c r="T114" s="634"/>
      <c r="U114" s="635"/>
      <c r="V114" s="615">
        <f t="shared" ref="V114:V125" si="3">F114-M114</f>
        <v>1022.1215016042781</v>
      </c>
      <c r="W114" s="615"/>
      <c r="X114" s="615"/>
      <c r="Y114" s="615">
        <f t="shared" ref="Y114:Y125" si="4">V114*$P$65-S114*$P$65</f>
        <v>830.69783904037445</v>
      </c>
      <c r="Z114" s="615"/>
      <c r="AA114" s="615"/>
      <c r="AB114" s="633">
        <f t="shared" ref="AB114:AB125" si="5">F114*$P$65</f>
        <v>1215.6013735122592</v>
      </c>
      <c r="AC114" s="634"/>
      <c r="AD114" s="635"/>
      <c r="AH114" s="410" t="s">
        <v>63</v>
      </c>
      <c r="AI114" s="411">
        <v>2300</v>
      </c>
      <c r="AM114" s="408">
        <f t="shared" ref="AM114:AM122" si="6">V117*$AS$112</f>
        <v>1108.0714621770283</v>
      </c>
      <c r="AO114" s="408">
        <f t="shared" si="0"/>
        <v>1046.1115186176864</v>
      </c>
      <c r="AX114" s="389">
        <v>108</v>
      </c>
      <c r="AY114">
        <f>[1]Inwerter!A110</f>
        <v>0</v>
      </c>
    </row>
    <row r="115" spans="2:51" ht="20.25">
      <c r="B115" s="616" t="s">
        <v>63</v>
      </c>
      <c r="C115" s="616"/>
      <c r="D115" s="616"/>
      <c r="E115" s="616"/>
      <c r="F115" s="615">
        <f>IF($F$110="profil inny",AI114,VLOOKUP($F$110,'BAZA DANYCH'!$V$29:$AH$30,'BAZA DANYCH'!$U30,FALSE)*VLOOKUP($F$64,'BAZA DANYCH'!$Z$47:$AD$51,3,FALSE))</f>
        <v>1110</v>
      </c>
      <c r="G115" s="615"/>
      <c r="H115" s="615"/>
      <c r="I115" s="615">
        <f>0.0507031095266389*PV!E182</f>
        <v>609.71652335115823</v>
      </c>
      <c r="J115" s="615"/>
      <c r="K115" s="615"/>
      <c r="L115" s="615"/>
      <c r="M115" s="615">
        <f>VLOOKUP($F$110,'BAZA DANYCH'!$V$35:$AH$37,'BAZA DANYCH'!U30,FALSE)</f>
        <v>115.3686953297682</v>
      </c>
      <c r="N115" s="615"/>
      <c r="O115" s="615"/>
      <c r="P115" s="615">
        <f t="shared" si="1"/>
        <v>494.34782802139</v>
      </c>
      <c r="Q115" s="615"/>
      <c r="R115" s="615"/>
      <c r="S115" s="633">
        <f t="shared" si="2"/>
        <v>346.04347961497297</v>
      </c>
      <c r="T115" s="634"/>
      <c r="U115" s="635"/>
      <c r="V115" s="615">
        <f t="shared" si="3"/>
        <v>994.63130467023177</v>
      </c>
      <c r="W115" s="615"/>
      <c r="X115" s="615"/>
      <c r="Y115" s="615">
        <f t="shared" si="4"/>
        <v>710.29211800045164</v>
      </c>
      <c r="Z115" s="615"/>
      <c r="AA115" s="615"/>
      <c r="AB115" s="633">
        <f t="shared" si="5"/>
        <v>1215.6013735122592</v>
      </c>
      <c r="AC115" s="634"/>
      <c r="AD115" s="635"/>
      <c r="AH115" s="410" t="s">
        <v>64</v>
      </c>
      <c r="AI115" s="411">
        <v>1200</v>
      </c>
      <c r="AM115" s="408">
        <f t="shared" si="6"/>
        <v>1097.653114484041</v>
      </c>
      <c r="AO115" s="408">
        <f t="shared" si="0"/>
        <v>1036.2757328415728</v>
      </c>
      <c r="AX115" s="389">
        <v>109</v>
      </c>
      <c r="AY115">
        <f>[1]Inwerter!A111</f>
        <v>0</v>
      </c>
    </row>
    <row r="116" spans="2:51" ht="20.25">
      <c r="B116" s="616" t="s">
        <v>64</v>
      </c>
      <c r="C116" s="616"/>
      <c r="D116" s="616"/>
      <c r="E116" s="616"/>
      <c r="F116" s="615">
        <f>IF($F$110="profil inny",AI115,VLOOKUP($F$110,'BAZA DANYCH'!$V$29:$AH$30,'BAZA DANYCH'!$U31,FALSE)*VLOOKUP($F$64,'BAZA DANYCH'!$Z$47:$AD$51,3,FALSE))</f>
        <v>1110</v>
      </c>
      <c r="G116" s="615"/>
      <c r="H116" s="615"/>
      <c r="I116" s="615">
        <f>0.081798375916023*PV!E182</f>
        <v>983.64423493761171</v>
      </c>
      <c r="J116" s="615"/>
      <c r="K116" s="615"/>
      <c r="L116" s="615"/>
      <c r="M116" s="615">
        <f>VLOOKUP($F$110,'BAZA DANYCH'!$V$35:$AH$37,'BAZA DANYCH'!U31,FALSE)</f>
        <v>186.12215301247778</v>
      </c>
      <c r="N116" s="615"/>
      <c r="O116" s="615"/>
      <c r="P116" s="615">
        <f t="shared" si="1"/>
        <v>797.52208192513399</v>
      </c>
      <c r="Q116" s="615"/>
      <c r="R116" s="615"/>
      <c r="S116" s="633">
        <f t="shared" si="2"/>
        <v>558.26545734759372</v>
      </c>
      <c r="T116" s="634"/>
      <c r="U116" s="635"/>
      <c r="V116" s="615">
        <f t="shared" si="3"/>
        <v>923.87784698752216</v>
      </c>
      <c r="W116" s="615"/>
      <c r="X116" s="615"/>
      <c r="Y116" s="615">
        <f t="shared" si="4"/>
        <v>400.39542614360028</v>
      </c>
      <c r="Z116" s="615"/>
      <c r="AA116" s="615"/>
      <c r="AB116" s="633">
        <f t="shared" si="5"/>
        <v>1215.6013735122592</v>
      </c>
      <c r="AC116" s="634"/>
      <c r="AD116" s="635"/>
      <c r="AH116" s="410" t="s">
        <v>65</v>
      </c>
      <c r="AI116" s="411">
        <v>600</v>
      </c>
      <c r="AM116" s="408">
        <f t="shared" si="6"/>
        <v>1150.3355840037343</v>
      </c>
      <c r="AO116" s="408">
        <f t="shared" si="0"/>
        <v>1086.0123609156308</v>
      </c>
      <c r="AX116" s="389">
        <v>110</v>
      </c>
      <c r="AY116">
        <f>[1]Inwerter!A112</f>
        <v>0</v>
      </c>
    </row>
    <row r="117" spans="2:51" ht="20.25">
      <c r="B117" s="616" t="s">
        <v>65</v>
      </c>
      <c r="C117" s="616"/>
      <c r="D117" s="616"/>
      <c r="E117" s="616"/>
      <c r="F117" s="615">
        <f>IF($F$110="profil inny",AI116,VLOOKUP($F$110,'BAZA DANYCH'!$V$29:$AH$30,'BAZA DANYCH'!$U32,FALSE)*VLOOKUP($F$64,'BAZA DANYCH'!$Z$47:$AD$51,3,FALSE))</f>
        <v>1110</v>
      </c>
      <c r="G117" s="615"/>
      <c r="H117" s="615"/>
      <c r="I117" s="615">
        <f>0.115666468607645*PV!E182</f>
        <v>1390.9158188948297</v>
      </c>
      <c r="J117" s="615"/>
      <c r="K117" s="615"/>
      <c r="L117" s="615"/>
      <c r="M117" s="615">
        <f>VLOOKUP($F$110,'BAZA DANYCH'!$V$35:$AH$37,'BAZA DANYCH'!U32,FALSE)</f>
        <v>154.76598088187208</v>
      </c>
      <c r="N117" s="615"/>
      <c r="O117" s="615"/>
      <c r="P117" s="615">
        <f t="shared" si="1"/>
        <v>1236.1498380129576</v>
      </c>
      <c r="Q117" s="615"/>
      <c r="R117" s="615"/>
      <c r="S117" s="633">
        <f t="shared" si="2"/>
        <v>865.30488660907031</v>
      </c>
      <c r="T117" s="634"/>
      <c r="U117" s="635"/>
      <c r="V117" s="615">
        <f t="shared" si="3"/>
        <v>955.23401911812789</v>
      </c>
      <c r="W117" s="615"/>
      <c r="X117" s="615"/>
      <c r="Y117" s="615">
        <f t="shared" si="4"/>
        <v>98.484663961059823</v>
      </c>
      <c r="Z117" s="615"/>
      <c r="AA117" s="615"/>
      <c r="AB117" s="633">
        <f t="shared" si="5"/>
        <v>1215.6013735122592</v>
      </c>
      <c r="AC117" s="634"/>
      <c r="AD117" s="635"/>
      <c r="AH117" s="410" t="s">
        <v>66</v>
      </c>
      <c r="AI117" s="411">
        <v>400</v>
      </c>
      <c r="AM117" s="408">
        <f t="shared" si="6"/>
        <v>1166.4464309516527</v>
      </c>
      <c r="AO117" s="408">
        <f t="shared" si="0"/>
        <v>1101.2223389199298</v>
      </c>
      <c r="AX117" s="389">
        <v>111</v>
      </c>
      <c r="AY117">
        <f>[1]Inwerter!A113</f>
        <v>0</v>
      </c>
    </row>
    <row r="118" spans="2:51" ht="20.25">
      <c r="B118" s="616" t="s">
        <v>66</v>
      </c>
      <c r="C118" s="616"/>
      <c r="D118" s="616"/>
      <c r="E118" s="616"/>
      <c r="F118" s="615">
        <f>IF($F$110="profil inny",AI117,VLOOKUP($F$110,'BAZA DANYCH'!$V$29:$AH$30,'BAZA DANYCH'!$U33,FALSE)*VLOOKUP($F$64,'BAZA DANYCH'!$Z$47:$AD$51,3,FALSE))</f>
        <v>1110</v>
      </c>
      <c r="G118" s="615"/>
      <c r="H118" s="615"/>
      <c r="I118" s="615">
        <f>0.122400475341652*PV!E182</f>
        <v>1471.8937946524088</v>
      </c>
      <c r="J118" s="615"/>
      <c r="K118" s="615"/>
      <c r="L118" s="615"/>
      <c r="M118" s="615">
        <f>VLOOKUP($F$110,'BAZA DANYCH'!$V$35:$AH$37,'BAZA DANYCH'!U33,FALSE)</f>
        <v>163.74731509996468</v>
      </c>
      <c r="N118" s="615"/>
      <c r="O118" s="615"/>
      <c r="P118" s="615">
        <f t="shared" si="1"/>
        <v>1308.1464795524441</v>
      </c>
      <c r="Q118" s="615"/>
      <c r="R118" s="615"/>
      <c r="S118" s="633">
        <f t="shared" si="2"/>
        <v>915.7025356867108</v>
      </c>
      <c r="T118" s="634"/>
      <c r="U118" s="635"/>
      <c r="V118" s="615">
        <f t="shared" si="3"/>
        <v>946.25268490003532</v>
      </c>
      <c r="W118" s="615"/>
      <c r="X118" s="615"/>
      <c r="Y118" s="615">
        <f t="shared" si="4"/>
        <v>33.456579589839293</v>
      </c>
      <c r="Z118" s="615"/>
      <c r="AA118" s="615"/>
      <c r="AB118" s="633">
        <f t="shared" si="5"/>
        <v>1215.6013735122592</v>
      </c>
      <c r="AC118" s="634"/>
      <c r="AD118" s="635"/>
      <c r="AH118" s="410" t="s">
        <v>67</v>
      </c>
      <c r="AI118" s="411">
        <v>300</v>
      </c>
      <c r="AM118" s="408">
        <f t="shared" si="6"/>
        <v>1156.5114086671031</v>
      </c>
      <c r="AO118" s="408">
        <f t="shared" si="0"/>
        <v>1091.8428524839455</v>
      </c>
      <c r="AX118" s="389">
        <v>112</v>
      </c>
      <c r="AY118">
        <f>[1]Inwerter!A114</f>
        <v>0</v>
      </c>
    </row>
    <row r="119" spans="2:51" ht="20.25">
      <c r="B119" s="616" t="s">
        <v>67</v>
      </c>
      <c r="C119" s="616"/>
      <c r="D119" s="616"/>
      <c r="E119" s="616"/>
      <c r="F119" s="615">
        <f>IF($F$110="profil inny",AI118,VLOOKUP($F$110,'BAZA DANYCH'!$V$29:$AH$30,'BAZA DANYCH'!$U34,FALSE)*VLOOKUP($F$64,'BAZA DANYCH'!$Z$47:$AD$51,3,FALSE))</f>
        <v>1110</v>
      </c>
      <c r="G119" s="615"/>
      <c r="H119" s="615"/>
      <c r="I119" s="615">
        <f>0.12517330164389*PV!E182</f>
        <v>1505.2376670231745</v>
      </c>
      <c r="J119" s="615"/>
      <c r="K119" s="615"/>
      <c r="L119" s="615"/>
      <c r="M119" s="615">
        <f>VLOOKUP($F$110,'BAZA DANYCH'!$V$35:$AH$37,'BAZA DANYCH'!U34,FALSE)</f>
        <v>118.33139310022896</v>
      </c>
      <c r="N119" s="615"/>
      <c r="O119" s="615"/>
      <c r="P119" s="615">
        <f t="shared" si="1"/>
        <v>1386.9062739229455</v>
      </c>
      <c r="Q119" s="615"/>
      <c r="R119" s="615"/>
      <c r="S119" s="633">
        <f t="shared" si="2"/>
        <v>970.83439174606178</v>
      </c>
      <c r="T119" s="634"/>
      <c r="U119" s="635"/>
      <c r="V119" s="615">
        <f t="shared" si="3"/>
        <v>991.66860689977102</v>
      </c>
      <c r="W119" s="615"/>
      <c r="X119" s="615"/>
      <c r="Y119" s="615">
        <f t="shared" si="4"/>
        <v>22.816306808016861</v>
      </c>
      <c r="Z119" s="615"/>
      <c r="AA119" s="615"/>
      <c r="AB119" s="633">
        <f t="shared" si="5"/>
        <v>1215.6013735122592</v>
      </c>
      <c r="AC119" s="634"/>
      <c r="AD119" s="635"/>
      <c r="AH119" s="410" t="s">
        <v>68</v>
      </c>
      <c r="AI119" s="411">
        <v>300</v>
      </c>
      <c r="AM119" s="408">
        <f t="shared" si="6"/>
        <v>1119.9934889184879</v>
      </c>
      <c r="AO119" s="408">
        <f t="shared" si="0"/>
        <v>1057.3669023408677</v>
      </c>
      <c r="AX119" s="389">
        <v>113</v>
      </c>
      <c r="AY119">
        <f>[1]Inwerter!A115</f>
        <v>0</v>
      </c>
    </row>
    <row r="120" spans="2:51" ht="20.25">
      <c r="B120" s="616" t="s">
        <v>68</v>
      </c>
      <c r="C120" s="616"/>
      <c r="D120" s="616"/>
      <c r="E120" s="616"/>
      <c r="F120" s="615">
        <f>IF($F$110="profil inny",AI119,VLOOKUP($F$110,'BAZA DANYCH'!$V$29:$AH$30,'BAZA DANYCH'!$U35,FALSE)*VLOOKUP($F$64,'BAZA DANYCH'!$Z$47:$AD$51,3,FALSE))</f>
        <v>1110</v>
      </c>
      <c r="G120" s="615"/>
      <c r="H120" s="615"/>
      <c r="I120" s="615">
        <f>0.131313131313131*PV!E182</f>
        <v>1579.0705272727234</v>
      </c>
      <c r="J120" s="615"/>
      <c r="K120" s="615"/>
      <c r="L120" s="615"/>
      <c r="M120" s="615">
        <f>VLOOKUP($F$110,'BAZA DANYCH'!$V$35:$AH$37,'BAZA DANYCH'!U35,FALSE)</f>
        <v>104.44273193823028</v>
      </c>
      <c r="N120" s="615"/>
      <c r="O120" s="615"/>
      <c r="P120" s="615">
        <f t="shared" si="1"/>
        <v>1474.6277953344932</v>
      </c>
      <c r="Q120" s="615"/>
      <c r="R120" s="615"/>
      <c r="S120" s="633">
        <f t="shared" si="2"/>
        <v>1032.2394567341451</v>
      </c>
      <c r="T120" s="634"/>
      <c r="U120" s="635"/>
      <c r="V120" s="615">
        <f t="shared" si="3"/>
        <v>1005.5572680617697</v>
      </c>
      <c r="W120" s="615"/>
      <c r="X120" s="615"/>
      <c r="Y120" s="615">
        <f t="shared" si="4"/>
        <v>-29.220635313921321</v>
      </c>
      <c r="Z120" s="615"/>
      <c r="AA120" s="615"/>
      <c r="AB120" s="633">
        <f t="shared" si="5"/>
        <v>1215.6013735122592</v>
      </c>
      <c r="AC120" s="634"/>
      <c r="AD120" s="635"/>
      <c r="AH120" s="410" t="s">
        <v>69</v>
      </c>
      <c r="AI120" s="411">
        <v>400</v>
      </c>
      <c r="AM120" s="408">
        <f t="shared" si="6"/>
        <v>1122.406449374688</v>
      </c>
      <c r="AO120" s="408">
        <f t="shared" si="0"/>
        <v>1059.6449374797212</v>
      </c>
      <c r="AX120" s="389">
        <v>114</v>
      </c>
      <c r="AY120">
        <f>[1]Inwerter!A116</f>
        <v>0</v>
      </c>
    </row>
    <row r="121" spans="2:51" ht="20.25">
      <c r="B121" s="616" t="s">
        <v>69</v>
      </c>
      <c r="C121" s="616"/>
      <c r="D121" s="616"/>
      <c r="E121" s="616"/>
      <c r="F121" s="615">
        <f>IF($F$110="profil inny",AI120,VLOOKUP($F$110,'BAZA DANYCH'!$V$29:$AH$30,'BAZA DANYCH'!$U36,FALSE)*VLOOKUP($F$64,'BAZA DANYCH'!$Z$47:$AD$51,3,FALSE))</f>
        <v>1110</v>
      </c>
      <c r="G121" s="615"/>
      <c r="H121" s="615"/>
      <c r="I121" s="615">
        <f>0.119033471974648*PV!E182</f>
        <v>1431.4048067736132</v>
      </c>
      <c r="J121" s="615"/>
      <c r="K121" s="615"/>
      <c r="L121" s="615"/>
      <c r="M121" s="615">
        <f>VLOOKUP($F$110,'BAZA DANYCH'!$V$35:$AH$37,'BAZA DANYCH'!U36,FALSE)</f>
        <v>113.00740632146278</v>
      </c>
      <c r="N121" s="615"/>
      <c r="O121" s="615"/>
      <c r="P121" s="615">
        <f t="shared" si="1"/>
        <v>1318.3974004521506</v>
      </c>
      <c r="Q121" s="615"/>
      <c r="R121" s="615"/>
      <c r="S121" s="633">
        <f t="shared" si="2"/>
        <v>922.87818031650534</v>
      </c>
      <c r="T121" s="634"/>
      <c r="U121" s="635"/>
      <c r="V121" s="615">
        <f t="shared" si="3"/>
        <v>996.99259367853722</v>
      </c>
      <c r="W121" s="615"/>
      <c r="X121" s="615"/>
      <c r="Y121" s="615">
        <f t="shared" si="4"/>
        <v>81.165389801748915</v>
      </c>
      <c r="Z121" s="615"/>
      <c r="AA121" s="615"/>
      <c r="AB121" s="633">
        <f t="shared" si="5"/>
        <v>1215.6013735122592</v>
      </c>
      <c r="AC121" s="634"/>
      <c r="AD121" s="635"/>
      <c r="AH121" s="410" t="s">
        <v>70</v>
      </c>
      <c r="AI121" s="411">
        <v>600</v>
      </c>
      <c r="AM121" s="408">
        <f t="shared" si="6"/>
        <v>1198.7300518787879</v>
      </c>
      <c r="AO121" s="408">
        <f t="shared" si="0"/>
        <v>1131.7007591909569</v>
      </c>
      <c r="AX121" s="389">
        <v>115</v>
      </c>
      <c r="AY121">
        <f>[1]Inwerter!A117</f>
        <v>0</v>
      </c>
    </row>
    <row r="122" spans="2:51" ht="20.25">
      <c r="B122" s="616" t="s">
        <v>70</v>
      </c>
      <c r="C122" s="616"/>
      <c r="D122" s="616"/>
      <c r="E122" s="616"/>
      <c r="F122" s="615">
        <f>IF($F$110="profil inny",AI121,VLOOKUP($F$110,'BAZA DANYCH'!$V$29:$AH$30,'BAZA DANYCH'!$U37,FALSE)*VLOOKUP($F$64,'BAZA DANYCH'!$Z$47:$AD$51,3,FALSE))</f>
        <v>1110</v>
      </c>
      <c r="G122" s="615"/>
      <c r="H122" s="615"/>
      <c r="I122" s="615">
        <f>0.0913052089522678*PV!E182</f>
        <v>1097.9660830659541</v>
      </c>
      <c r="J122" s="615"/>
      <c r="K122" s="615"/>
      <c r="L122" s="615"/>
      <c r="M122" s="615">
        <f>VLOOKUP($F$110,'BAZA DANYCH'!$V$35:$AH$37,'BAZA DANYCH'!U37,FALSE)</f>
        <v>144.48837162199305</v>
      </c>
      <c r="N122" s="615"/>
      <c r="O122" s="615"/>
      <c r="P122" s="615">
        <f t="shared" si="1"/>
        <v>953.47771144396097</v>
      </c>
      <c r="Q122" s="615"/>
      <c r="R122" s="615"/>
      <c r="S122" s="633">
        <f t="shared" si="2"/>
        <v>667.43439801077261</v>
      </c>
      <c r="T122" s="634"/>
      <c r="U122" s="635"/>
      <c r="V122" s="615">
        <f t="shared" si="3"/>
        <v>965.51162837800689</v>
      </c>
      <c r="W122" s="615"/>
      <c r="X122" s="615"/>
      <c r="Y122" s="615">
        <f t="shared" si="4"/>
        <v>326.43521679922537</v>
      </c>
      <c r="Z122" s="615"/>
      <c r="AA122" s="615"/>
      <c r="AB122" s="633">
        <f t="shared" si="5"/>
        <v>1215.6013735122592</v>
      </c>
      <c r="AC122" s="634"/>
      <c r="AD122" s="635"/>
      <c r="AH122" s="410" t="s">
        <v>71</v>
      </c>
      <c r="AI122" s="411">
        <v>1200</v>
      </c>
      <c r="AM122" s="408">
        <f t="shared" si="6"/>
        <v>1214.4129839001782</v>
      </c>
      <c r="AO122" s="408">
        <f t="shared" si="0"/>
        <v>1146.5067499535396</v>
      </c>
      <c r="AX122" s="389">
        <v>116</v>
      </c>
      <c r="AY122">
        <f>[1]Inwerter!A136</f>
        <v>0</v>
      </c>
    </row>
    <row r="123" spans="2:51" ht="20.25">
      <c r="B123" s="616" t="s">
        <v>71</v>
      </c>
      <c r="C123" s="616"/>
      <c r="D123" s="616"/>
      <c r="E123" s="616"/>
      <c r="F123" s="615">
        <f>IF($F$110="profil inny",AI122,VLOOKUP($F$110,'BAZA DANYCH'!$V$29:$AH$30,'BAZA DANYCH'!$U38,FALSE)*VLOOKUP($F$64,'BAZA DANYCH'!$Z$47:$AD$51,3,FALSE))</f>
        <v>1110</v>
      </c>
      <c r="G123" s="615"/>
      <c r="H123" s="615"/>
      <c r="I123" s="615">
        <f>0.0625866508219449*PV!E182</f>
        <v>752.61883351158588</v>
      </c>
      <c r="J123" s="615"/>
      <c r="K123" s="615"/>
      <c r="L123" s="615"/>
      <c r="M123" s="615">
        <f>VLOOKUP($F$110,'BAZA DANYCH'!$V$35:$AH$37,'BAZA DANYCH'!U38,FALSE)</f>
        <v>142.40823329768264</v>
      </c>
      <c r="N123" s="615"/>
      <c r="O123" s="615"/>
      <c r="P123" s="615">
        <f t="shared" si="1"/>
        <v>610.21060021390326</v>
      </c>
      <c r="Q123" s="615"/>
      <c r="R123" s="615"/>
      <c r="S123" s="633">
        <f t="shared" si="2"/>
        <v>427.14742014973228</v>
      </c>
      <c r="T123" s="634"/>
      <c r="U123" s="635"/>
      <c r="V123" s="615">
        <f t="shared" si="3"/>
        <v>967.59176670231739</v>
      </c>
      <c r="W123" s="615"/>
      <c r="X123" s="615"/>
      <c r="Y123" s="615">
        <f t="shared" si="4"/>
        <v>591.86026123987199</v>
      </c>
      <c r="Z123" s="615"/>
      <c r="AA123" s="615"/>
      <c r="AB123" s="633">
        <f t="shared" si="5"/>
        <v>1215.6013735122592</v>
      </c>
      <c r="AC123" s="634"/>
      <c r="AD123" s="635"/>
      <c r="AH123" s="410" t="s">
        <v>72</v>
      </c>
      <c r="AI123" s="411">
        <v>2300</v>
      </c>
      <c r="AM123" s="412">
        <f>SUM(AM111:AM122)</f>
        <v>12816.351627617734</v>
      </c>
      <c r="AO123" s="412">
        <f>SUM(AO111:AO122)</f>
        <v>12977.075739318245</v>
      </c>
      <c r="AX123" s="389">
        <v>117</v>
      </c>
      <c r="AY123">
        <f>[1]Inwerter!A137</f>
        <v>0</v>
      </c>
    </row>
    <row r="124" spans="2:51" ht="20.25">
      <c r="B124" s="616" t="s">
        <v>72</v>
      </c>
      <c r="C124" s="616"/>
      <c r="D124" s="616"/>
      <c r="E124" s="616"/>
      <c r="F124" s="615">
        <f>IF($F$110="profil inny",AI123,VLOOKUP($F$110,'BAZA DANYCH'!$V$29:$AH$30,'BAZA DANYCH'!$U39,FALSE)*VLOOKUP($F$64,'BAZA DANYCH'!$Z$47:$AD$51,3,FALSE))</f>
        <v>1110</v>
      </c>
      <c r="G124" s="615"/>
      <c r="H124" s="615"/>
      <c r="I124" s="615">
        <f>0.0336700336700337*PV!E182</f>
        <v>404.88987878787913</v>
      </c>
      <c r="J124" s="615"/>
      <c r="K124" s="615"/>
      <c r="L124" s="615"/>
      <c r="M124" s="615">
        <f>VLOOKUP($F$110,'BAZA DANYCH'!$V$35:$AH$37,'BAZA DANYCH'!U39,FALSE)</f>
        <v>76.612024242424297</v>
      </c>
      <c r="N124" s="615"/>
      <c r="O124" s="615"/>
      <c r="P124" s="615">
        <f t="shared" si="1"/>
        <v>328.27785454545483</v>
      </c>
      <c r="Q124" s="615"/>
      <c r="R124" s="615"/>
      <c r="S124" s="633">
        <f t="shared" si="2"/>
        <v>229.79449818181837</v>
      </c>
      <c r="T124" s="634"/>
      <c r="U124" s="635"/>
      <c r="V124" s="615">
        <f t="shared" si="3"/>
        <v>1033.3879757575758</v>
      </c>
      <c r="W124" s="615"/>
      <c r="X124" s="615"/>
      <c r="Y124" s="615">
        <f t="shared" si="4"/>
        <v>880.04444602394904</v>
      </c>
      <c r="Z124" s="615"/>
      <c r="AA124" s="615"/>
      <c r="AB124" s="633">
        <f t="shared" si="5"/>
        <v>1215.6013735122592</v>
      </c>
      <c r="AC124" s="634"/>
      <c r="AD124" s="635"/>
      <c r="AH124" s="410" t="s">
        <v>73</v>
      </c>
      <c r="AI124" s="411">
        <v>3500</v>
      </c>
      <c r="AX124" s="389">
        <v>118</v>
      </c>
      <c r="AY124">
        <f>[1]Inwerter!A138</f>
        <v>0</v>
      </c>
    </row>
    <row r="125" spans="2:51" ht="21" customHeight="1">
      <c r="B125" s="616" t="s">
        <v>73</v>
      </c>
      <c r="C125" s="616"/>
      <c r="D125" s="616"/>
      <c r="E125" s="616"/>
      <c r="F125" s="615">
        <f>IF($F$110="profil inny",AI124,VLOOKUP($F$110,'BAZA DANYCH'!$V$29:$AH$30,'BAZA DANYCH'!$U40,FALSE)*VLOOKUP($F$64,'BAZA DANYCH'!$Z$47:$AD$51,3,FALSE))</f>
        <v>1110</v>
      </c>
      <c r="G125" s="615"/>
      <c r="H125" s="615"/>
      <c r="I125" s="615">
        <f>0.0277282630223807*PV!E182</f>
        <v>333.43872370766525</v>
      </c>
      <c r="J125" s="615"/>
      <c r="K125" s="615"/>
      <c r="L125" s="615"/>
      <c r="M125" s="615">
        <f>VLOOKUP($F$110,'BAZA DANYCH'!$V$35:$AH$37,'BAZA DANYCH'!U40,FALSE)</f>
        <v>63.092255258467105</v>
      </c>
      <c r="N125" s="615"/>
      <c r="O125" s="615"/>
      <c r="P125" s="615">
        <f t="shared" si="1"/>
        <v>270.34646844919814</v>
      </c>
      <c r="Q125" s="615"/>
      <c r="R125" s="615"/>
      <c r="S125" s="633">
        <f t="shared" si="2"/>
        <v>189.24252791443868</v>
      </c>
      <c r="T125" s="634"/>
      <c r="U125" s="635"/>
      <c r="V125" s="615">
        <f t="shared" si="3"/>
        <v>1046.907744741533</v>
      </c>
      <c r="W125" s="615"/>
      <c r="X125" s="615"/>
      <c r="Y125" s="615">
        <f t="shared" si="4"/>
        <v>939.26037440423897</v>
      </c>
      <c r="Z125" s="615"/>
      <c r="AA125" s="615"/>
      <c r="AB125" s="633">
        <f t="shared" si="5"/>
        <v>1215.6013735122592</v>
      </c>
      <c r="AC125" s="634"/>
      <c r="AD125" s="635"/>
      <c r="AH125" s="410" t="s">
        <v>61</v>
      </c>
      <c r="AI125" s="388">
        <v>3924</v>
      </c>
      <c r="AX125" s="389">
        <v>119</v>
      </c>
      <c r="AY125">
        <f>[1]Inwerter!A139</f>
        <v>0</v>
      </c>
    </row>
    <row r="126" spans="2:51" ht="21" customHeight="1">
      <c r="B126" s="616" t="s">
        <v>61</v>
      </c>
      <c r="C126" s="616"/>
      <c r="D126" s="616"/>
      <c r="E126" s="616"/>
      <c r="F126" s="615">
        <f>SUM(F114:F125)</f>
        <v>13320</v>
      </c>
      <c r="G126" s="615"/>
      <c r="H126" s="615"/>
      <c r="I126" s="767">
        <f>SUM(I114:I125)</f>
        <v>12025.229399999993</v>
      </c>
      <c r="J126" s="767"/>
      <c r="K126" s="767"/>
      <c r="L126" s="767"/>
      <c r="M126" s="615">
        <f>I126*P67/100</f>
        <v>6012.6146999999964</v>
      </c>
      <c r="N126" s="615"/>
      <c r="O126" s="615"/>
      <c r="P126" s="615">
        <f>I126-M126</f>
        <v>6012.6146999999964</v>
      </c>
      <c r="Q126" s="615"/>
      <c r="R126" s="615"/>
      <c r="S126" s="633">
        <f>SUM(S114:S125)</f>
        <v>7388.4750390497902</v>
      </c>
      <c r="T126" s="634"/>
      <c r="U126" s="635"/>
      <c r="V126" s="615">
        <f>SUM(V114:V125)</f>
        <v>11849.734941499706</v>
      </c>
      <c r="W126" s="615"/>
      <c r="X126" s="615"/>
      <c r="Y126" s="717">
        <f>AM123-S126</f>
        <v>5427.8765885679441</v>
      </c>
      <c r="Z126" s="717"/>
      <c r="AA126" s="717"/>
      <c r="AB126" s="714">
        <f>SUM(AB114:AB125)</f>
        <v>14587.216482147114</v>
      </c>
      <c r="AC126" s="715"/>
      <c r="AD126" s="716"/>
      <c r="AX126" s="389">
        <v>120</v>
      </c>
      <c r="AY126">
        <f>[1]Inwerter!A140</f>
        <v>0</v>
      </c>
    </row>
    <row r="127" spans="2:51" ht="21" customHeight="1">
      <c r="B127" s="636" t="s">
        <v>426</v>
      </c>
      <c r="C127" s="636"/>
      <c r="D127" s="636"/>
      <c r="E127" s="636"/>
      <c r="F127" s="636"/>
      <c r="G127" s="629">
        <f>IF(P63="firma",70,IF(K81&lt;10,80,70))</f>
        <v>70</v>
      </c>
      <c r="H127" s="629"/>
      <c r="I127" s="629"/>
      <c r="J127" s="404" t="s">
        <v>6</v>
      </c>
      <c r="K127" s="636" t="s">
        <v>1100</v>
      </c>
      <c r="L127" s="636"/>
      <c r="M127" s="636"/>
      <c r="N127" s="636"/>
      <c r="O127" s="636"/>
      <c r="P127" s="636"/>
      <c r="Q127" s="636"/>
      <c r="R127" s="636"/>
      <c r="S127" s="388">
        <v>0.7</v>
      </c>
      <c r="V127" s="404"/>
      <c r="AX127" s="389">
        <v>121</v>
      </c>
      <c r="AY127">
        <f>[1]Inwerter!A141</f>
        <v>0</v>
      </c>
    </row>
    <row r="128" spans="2:51" ht="21" customHeight="1">
      <c r="AK128" s="413"/>
      <c r="AX128" s="389">
        <v>122</v>
      </c>
      <c r="AY128">
        <f>[1]Inwerter!A142</f>
        <v>0</v>
      </c>
    </row>
    <row r="129" spans="30:51" ht="21" customHeight="1">
      <c r="AD129" s="420"/>
      <c r="AX129" s="389">
        <v>123</v>
      </c>
      <c r="AY129">
        <f>[1]Inwerter!A143</f>
        <v>0</v>
      </c>
    </row>
    <row r="130" spans="30:51" ht="21" customHeight="1">
      <c r="AI130" s="770" t="s">
        <v>1172</v>
      </c>
      <c r="AJ130" s="770"/>
      <c r="AK130" s="770"/>
      <c r="AL130" s="770"/>
      <c r="AM130" s="388">
        <v>0.5</v>
      </c>
      <c r="AX130" s="389">
        <v>124</v>
      </c>
      <c r="AY130">
        <f>[1]Inwerter!A144</f>
        <v>0</v>
      </c>
    </row>
    <row r="131" spans="30:51" ht="21" customHeight="1">
      <c r="AI131" s="770" t="s">
        <v>1173</v>
      </c>
      <c r="AJ131" s="770"/>
      <c r="AK131" s="770"/>
      <c r="AL131" s="770"/>
      <c r="AM131" s="388">
        <v>1.03</v>
      </c>
      <c r="AX131" s="389">
        <v>125</v>
      </c>
      <c r="AY131">
        <f>[1]Inwerter!A145</f>
        <v>0</v>
      </c>
    </row>
    <row r="132" spans="30:51" ht="21" customHeight="1">
      <c r="AX132" s="389">
        <v>126</v>
      </c>
      <c r="AY132">
        <f>[1]Inwerter!A146</f>
        <v>0</v>
      </c>
    </row>
    <row r="133" spans="30:51" ht="21" customHeight="1">
      <c r="AX133" s="389">
        <v>127</v>
      </c>
      <c r="AY133">
        <f>[1]Inwerter!A147</f>
        <v>0</v>
      </c>
    </row>
    <row r="134" spans="30:51" ht="21" customHeight="1">
      <c r="AX134" s="389">
        <v>128</v>
      </c>
      <c r="AY134">
        <f>[1]Inwerter!A148</f>
        <v>0</v>
      </c>
    </row>
    <row r="135" spans="30:51" ht="21" customHeight="1">
      <c r="AX135" s="389">
        <v>129</v>
      </c>
      <c r="AY135">
        <f>[1]Inwerter!A149</f>
        <v>0</v>
      </c>
    </row>
    <row r="136" spans="30:51" ht="21" customHeight="1">
      <c r="AX136" s="389">
        <v>130</v>
      </c>
      <c r="AY136">
        <f>[1]Inwerter!A150</f>
        <v>0</v>
      </c>
    </row>
    <row r="137" spans="30:51" ht="21" customHeight="1">
      <c r="AY137">
        <f>[1]Inwerter!A151</f>
        <v>0</v>
      </c>
    </row>
    <row r="138" spans="30:51" ht="21" customHeight="1">
      <c r="AY138"/>
    </row>
    <row r="139" spans="30:51" ht="21" customHeight="1"/>
    <row r="140" spans="30:51" ht="21" customHeight="1"/>
    <row r="141" spans="30:51" ht="21" customHeight="1"/>
    <row r="142" spans="30:51" ht="21" customHeight="1"/>
    <row r="143" spans="30:51" ht="21" customHeight="1"/>
    <row r="144" spans="30:51" ht="21" customHeight="1"/>
    <row r="145" ht="21" customHeight="1"/>
    <row r="146" ht="21" customHeight="1"/>
    <row r="147" ht="21" customHeight="1"/>
    <row r="148" ht="21" customHeight="1"/>
    <row r="149" ht="21" customHeight="1"/>
    <row r="150" ht="21" customHeight="1"/>
    <row r="151" ht="21" customHeight="1"/>
    <row r="152" ht="21" customHeight="1"/>
    <row r="153" ht="21" customHeight="1"/>
    <row r="154" ht="21" customHeight="1"/>
    <row r="155" ht="21" customHeight="1"/>
    <row r="156" ht="21" customHeight="1"/>
    <row r="157" ht="21" customHeight="1"/>
    <row r="158" ht="21" customHeight="1"/>
    <row r="159" ht="21" customHeight="1"/>
    <row r="160" ht="21" customHeight="1"/>
    <row r="161" spans="3:31" ht="21" customHeight="1"/>
    <row r="162" spans="3:31" ht="21" customHeight="1"/>
    <row r="163" spans="3:31" ht="21" customHeight="1"/>
    <row r="164" spans="3:31" ht="21" customHeight="1"/>
    <row r="165" spans="3:31" ht="21" customHeight="1"/>
    <row r="166" spans="3:31" ht="21" customHeight="1"/>
    <row r="167" spans="3:31" ht="21" customHeight="1"/>
    <row r="168" spans="3:31" ht="21" customHeight="1"/>
    <row r="169" spans="3:31" ht="21" customHeight="1"/>
    <row r="170" spans="3:31" ht="21" customHeight="1"/>
    <row r="171" spans="3:31" ht="21" customHeight="1"/>
    <row r="172" spans="3:31" ht="21" customHeight="1"/>
    <row r="173" spans="3:31" ht="21" customHeight="1"/>
    <row r="174" spans="3:31" ht="21" customHeight="1"/>
    <row r="175" spans="3:31" ht="21" customHeight="1"/>
    <row r="176" spans="3:31" ht="21" customHeight="1">
      <c r="C176" s="676" t="s">
        <v>266</v>
      </c>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c r="AA176" s="676"/>
      <c r="AB176" s="676"/>
      <c r="AC176" s="676"/>
      <c r="AD176" s="676"/>
      <c r="AE176" s="676"/>
    </row>
    <row r="177" spans="3:60" ht="27" customHeight="1">
      <c r="C177" s="637" t="s">
        <v>7</v>
      </c>
      <c r="D177" s="637"/>
      <c r="E177" s="637" t="s">
        <v>23</v>
      </c>
      <c r="F177" s="637"/>
      <c r="G177" s="637"/>
      <c r="H177" s="637" t="s">
        <v>41</v>
      </c>
      <c r="I177" s="637"/>
      <c r="J177" s="637"/>
      <c r="K177" s="637" t="s">
        <v>24</v>
      </c>
      <c r="L177" s="637"/>
      <c r="M177" s="637"/>
      <c r="N177" s="637" t="s">
        <v>1174</v>
      </c>
      <c r="O177" s="637"/>
      <c r="P177" s="637"/>
      <c r="Q177" s="637" t="s">
        <v>1102</v>
      </c>
      <c r="R177" s="637"/>
      <c r="S177" s="637"/>
      <c r="T177" s="637" t="s">
        <v>1103</v>
      </c>
      <c r="U177" s="637"/>
      <c r="V177" s="637"/>
      <c r="W177" s="680" t="s">
        <v>1104</v>
      </c>
      <c r="X177" s="681"/>
      <c r="Y177" s="682"/>
      <c r="Z177" s="637" t="s">
        <v>428</v>
      </c>
      <c r="AA177" s="637"/>
      <c r="AB177" s="637"/>
      <c r="AC177" s="637" t="s">
        <v>187</v>
      </c>
      <c r="AD177" s="637"/>
      <c r="AE177" s="637"/>
      <c r="AF177" s="637" t="s">
        <v>22</v>
      </c>
      <c r="AG177" s="451"/>
      <c r="AH177" s="451"/>
      <c r="AX177" s="388"/>
      <c r="AY177" s="388"/>
      <c r="AZ177" s="388"/>
      <c r="BA177" s="389"/>
      <c r="BB177" s="389"/>
      <c r="BC177" s="389"/>
      <c r="BG177" s="390"/>
      <c r="BH177" s="390"/>
    </row>
    <row r="178" spans="3:60" ht="29.25" customHeight="1">
      <c r="C178" s="637"/>
      <c r="D178" s="637"/>
      <c r="E178" s="637"/>
      <c r="F178" s="637"/>
      <c r="G178" s="637"/>
      <c r="H178" s="637"/>
      <c r="I178" s="637"/>
      <c r="J178" s="637"/>
      <c r="K178" s="637"/>
      <c r="L178" s="637"/>
      <c r="M178" s="637"/>
      <c r="N178" s="637"/>
      <c r="O178" s="637"/>
      <c r="P178" s="637"/>
      <c r="Q178" s="637"/>
      <c r="R178" s="637"/>
      <c r="S178" s="637"/>
      <c r="T178" s="637"/>
      <c r="U178" s="637"/>
      <c r="V178" s="637"/>
      <c r="W178" s="683"/>
      <c r="X178" s="684"/>
      <c r="Y178" s="685"/>
      <c r="Z178" s="637"/>
      <c r="AA178" s="637"/>
      <c r="AB178" s="637"/>
      <c r="AC178" s="637"/>
      <c r="AD178" s="637"/>
      <c r="AE178" s="637"/>
      <c r="AF178" s="637"/>
      <c r="AG178" s="451"/>
      <c r="AH178" s="451"/>
      <c r="AX178" s="388"/>
      <c r="AY178" s="388"/>
      <c r="AZ178" s="388"/>
      <c r="BA178" s="389"/>
      <c r="BB178" s="389"/>
      <c r="BC178" s="389"/>
      <c r="BF178" s="390"/>
      <c r="BG178" s="390"/>
      <c r="BH178" s="390"/>
    </row>
    <row r="179" spans="3:60" ht="21" customHeight="1">
      <c r="C179" s="637"/>
      <c r="D179" s="637"/>
      <c r="E179" s="637"/>
      <c r="F179" s="637"/>
      <c r="G179" s="637"/>
      <c r="H179" s="637"/>
      <c r="I179" s="637"/>
      <c r="J179" s="637"/>
      <c r="K179" s="637"/>
      <c r="L179" s="637"/>
      <c r="M179" s="637"/>
      <c r="N179" s="637"/>
      <c r="O179" s="637"/>
      <c r="P179" s="637"/>
      <c r="Q179" s="637"/>
      <c r="R179" s="637"/>
      <c r="S179" s="637"/>
      <c r="T179" s="637"/>
      <c r="U179" s="637"/>
      <c r="V179" s="637"/>
      <c r="W179" s="683"/>
      <c r="X179" s="684"/>
      <c r="Y179" s="685"/>
      <c r="Z179" s="637"/>
      <c r="AA179" s="637"/>
      <c r="AB179" s="637"/>
      <c r="AC179" s="637"/>
      <c r="AD179" s="637"/>
      <c r="AE179" s="637"/>
      <c r="AF179" s="637"/>
      <c r="AG179" s="451"/>
      <c r="AH179" s="451"/>
      <c r="AX179" s="388"/>
      <c r="AY179" s="388"/>
      <c r="AZ179" s="388"/>
      <c r="BA179" s="389"/>
      <c r="BB179" s="389"/>
      <c r="BC179" s="389"/>
      <c r="BF179" s="390"/>
      <c r="BG179" s="390"/>
      <c r="BH179" s="390"/>
    </row>
    <row r="180" spans="3:60" ht="42" customHeight="1">
      <c r="C180" s="637"/>
      <c r="D180" s="637"/>
      <c r="E180" s="637"/>
      <c r="F180" s="637"/>
      <c r="G180" s="637"/>
      <c r="H180" s="637"/>
      <c r="I180" s="637"/>
      <c r="J180" s="637"/>
      <c r="K180" s="637"/>
      <c r="L180" s="637"/>
      <c r="M180" s="637"/>
      <c r="N180" s="637"/>
      <c r="O180" s="637"/>
      <c r="P180" s="637"/>
      <c r="Q180" s="637"/>
      <c r="R180" s="637"/>
      <c r="S180" s="637"/>
      <c r="T180" s="637"/>
      <c r="U180" s="637"/>
      <c r="V180" s="637"/>
      <c r="W180" s="686"/>
      <c r="X180" s="687"/>
      <c r="Y180" s="688"/>
      <c r="Z180" s="637"/>
      <c r="AA180" s="637"/>
      <c r="AB180" s="637"/>
      <c r="AC180" s="637"/>
      <c r="AD180" s="637"/>
      <c r="AE180" s="637"/>
      <c r="AF180" s="637"/>
      <c r="AG180" s="451"/>
      <c r="AH180" s="451"/>
      <c r="AX180" s="388"/>
      <c r="AY180" s="388"/>
      <c r="AZ180" s="388"/>
      <c r="BA180" s="389"/>
      <c r="BB180" s="389"/>
      <c r="BC180" s="389"/>
      <c r="BF180" s="390"/>
      <c r="BG180" s="390"/>
      <c r="BH180" s="390"/>
    </row>
    <row r="181" spans="3:60" ht="21" customHeight="1">
      <c r="C181" s="766">
        <v>0</v>
      </c>
      <c r="D181" s="766"/>
      <c r="E181" s="675" t="s">
        <v>40</v>
      </c>
      <c r="F181" s="675"/>
      <c r="G181" s="675"/>
      <c r="H181" s="675" t="s">
        <v>40</v>
      </c>
      <c r="I181" s="675"/>
      <c r="J181" s="675"/>
      <c r="K181" s="675" t="s">
        <v>40</v>
      </c>
      <c r="L181" s="675"/>
      <c r="M181" s="675"/>
      <c r="N181" s="675" t="s">
        <v>2</v>
      </c>
      <c r="O181" s="675"/>
      <c r="P181" s="675"/>
      <c r="Q181" s="675" t="s">
        <v>2</v>
      </c>
      <c r="R181" s="675"/>
      <c r="S181" s="675"/>
      <c r="T181" s="675" t="s">
        <v>40</v>
      </c>
      <c r="U181" s="675"/>
      <c r="V181" s="675"/>
      <c r="W181" s="771" t="s">
        <v>2</v>
      </c>
      <c r="X181" s="772"/>
      <c r="Y181" s="773"/>
      <c r="Z181" s="675" t="s">
        <v>2</v>
      </c>
      <c r="AA181" s="675"/>
      <c r="AB181" s="675"/>
      <c r="AC181" s="675" t="s">
        <v>2</v>
      </c>
      <c r="AD181" s="675"/>
      <c r="AE181" s="675"/>
      <c r="AF181" s="454" t="e">
        <f>IF($P$241&gt;0,$P$241,$P$237)*-1</f>
        <v>#N/A</v>
      </c>
      <c r="AG181" s="452"/>
      <c r="AH181" s="452"/>
      <c r="AX181" s="388"/>
      <c r="AY181" s="388"/>
      <c r="AZ181" s="388"/>
      <c r="BA181" s="389"/>
      <c r="BB181" s="389"/>
      <c r="BC181" s="389"/>
      <c r="BF181" s="390"/>
      <c r="BG181" s="390"/>
      <c r="BH181" s="390"/>
    </row>
    <row r="182" spans="3:60" ht="21" customHeight="1">
      <c r="C182" s="630">
        <v>1</v>
      </c>
      <c r="D182" s="630"/>
      <c r="E182" s="632">
        <f>'Dane wejściowe'!$G$67*1030*0.95*$AN$238*$AP$238</f>
        <v>12025.2294</v>
      </c>
      <c r="F182" s="632"/>
      <c r="G182" s="632"/>
      <c r="H182" s="632">
        <f>$E$182*('Dane wejściowe'!$H$34/100)</f>
        <v>6012.6147000000001</v>
      </c>
      <c r="I182" s="632"/>
      <c r="J182" s="632"/>
      <c r="K182" s="632">
        <f>$E$182-$H$182</f>
        <v>6012.6147000000001</v>
      </c>
      <c r="L182" s="632"/>
      <c r="M182" s="632"/>
      <c r="N182" s="768">
        <f>$H$182*$Z$182</f>
        <v>6584.6330520000001</v>
      </c>
      <c r="O182" s="768"/>
      <c r="P182" s="768"/>
      <c r="Q182" s="632">
        <f>$K$182*'Dane wejściowe'!$AF$34</f>
        <v>3607.56882</v>
      </c>
      <c r="R182" s="632"/>
      <c r="S182" s="632"/>
      <c r="T182" s="632">
        <f>$E$182-$H$182</f>
        <v>6012.6147000000001</v>
      </c>
      <c r="U182" s="632"/>
      <c r="V182" s="632"/>
      <c r="W182" s="677">
        <f>$T$182*$Z$182</f>
        <v>6584.6330520000001</v>
      </c>
      <c r="X182" s="678"/>
      <c r="Y182" s="679"/>
      <c r="Z182" s="653">
        <f>'Dane wejściowe'!$H$31</f>
        <v>1.0951363725335668</v>
      </c>
      <c r="AA182" s="653"/>
      <c r="AB182" s="653"/>
      <c r="AC182" s="632">
        <f>$Q$182+$N$182</f>
        <v>10192.201872</v>
      </c>
      <c r="AD182" s="632"/>
      <c r="AE182" s="632"/>
      <c r="AF182" s="453" t="e">
        <f>$AF$181+$AC$182</f>
        <v>#N/A</v>
      </c>
      <c r="AG182" s="452"/>
      <c r="AH182" s="452"/>
      <c r="AX182" s="388"/>
      <c r="AY182" s="388"/>
      <c r="AZ182" s="388"/>
      <c r="BA182" s="389"/>
      <c r="BB182" s="389"/>
      <c r="BC182" s="389"/>
      <c r="BF182" s="390"/>
      <c r="BG182" s="390"/>
      <c r="BH182" s="390"/>
    </row>
    <row r="183" spans="3:60" ht="21" customHeight="1">
      <c r="C183" s="630">
        <v>2</v>
      </c>
      <c r="D183" s="630"/>
      <c r="E183" s="632">
        <f>E182*(1-'Dane wejściowe'!$G$65/100)</f>
        <v>11959.0906383</v>
      </c>
      <c r="F183" s="632"/>
      <c r="G183" s="632"/>
      <c r="H183" s="632">
        <f>E183*('Dane wejściowe'!$H$34/100)</f>
        <v>5979.5453191500001</v>
      </c>
      <c r="I183" s="632"/>
      <c r="J183" s="632"/>
      <c r="K183" s="632">
        <f t="shared" ref="K183:K211" si="7">E183-H183</f>
        <v>5979.5453191500001</v>
      </c>
      <c r="L183" s="632"/>
      <c r="M183" s="632"/>
      <c r="N183" s="768">
        <f t="shared" ref="N183:N211" si="8">H183*Z183</f>
        <v>6679.38592161828</v>
      </c>
      <c r="O183" s="768"/>
      <c r="P183" s="768"/>
      <c r="Q183" s="677">
        <f>K183*'Dane wejściowe'!$AF$34</f>
        <v>3587.7271914899998</v>
      </c>
      <c r="R183" s="678"/>
      <c r="S183" s="679"/>
      <c r="T183" s="632">
        <f t="shared" ref="T183:T211" si="9">$E$182-H183</f>
        <v>6045.6840808500001</v>
      </c>
      <c r="U183" s="632"/>
      <c r="V183" s="632"/>
      <c r="W183" s="677">
        <f t="shared" ref="W183:W184" si="10">T183*Z183</f>
        <v>6753.2655044617204</v>
      </c>
      <c r="X183" s="678"/>
      <c r="Y183" s="679"/>
      <c r="Z183" s="653">
        <f>Z182*(1+'Dane wejściowe'!$H$33/100)</f>
        <v>1.1170390999842381</v>
      </c>
      <c r="AA183" s="653"/>
      <c r="AB183" s="653"/>
      <c r="AC183" s="632">
        <f t="shared" ref="AC183:AC211" si="11">Q183+N183</f>
        <v>10267.11311310828</v>
      </c>
      <c r="AD183" s="632"/>
      <c r="AE183" s="632"/>
      <c r="AF183" s="453" t="e">
        <f t="shared" ref="AF183:AF211" si="12">AF181+AC182+AC183</f>
        <v>#N/A</v>
      </c>
      <c r="AG183" s="452"/>
      <c r="AH183" s="452"/>
      <c r="AX183" s="388"/>
      <c r="AY183" s="388"/>
      <c r="AZ183" s="388"/>
      <c r="BA183" s="389"/>
      <c r="BB183" s="389"/>
      <c r="BC183" s="389"/>
      <c r="BF183" s="390"/>
      <c r="BG183" s="390"/>
      <c r="BH183" s="390"/>
    </row>
    <row r="184" spans="3:60" ht="21" customHeight="1">
      <c r="C184" s="630">
        <v>3</v>
      </c>
      <c r="D184" s="630"/>
      <c r="E184" s="632">
        <f>E183*(1-'Dane wejściowe'!$G$65/100)</f>
        <v>11893.315639789351</v>
      </c>
      <c r="F184" s="632"/>
      <c r="G184" s="632"/>
      <c r="H184" s="632">
        <f>E184*('Dane wejściowe'!$H$34/100)</f>
        <v>5946.6578198946754</v>
      </c>
      <c r="I184" s="632"/>
      <c r="J184" s="632"/>
      <c r="K184" s="632">
        <f t="shared" si="7"/>
        <v>5946.6578198946754</v>
      </c>
      <c r="L184" s="632"/>
      <c r="M184" s="632"/>
      <c r="N184" s="768">
        <f t="shared" si="8"/>
        <v>6775.5022850303676</v>
      </c>
      <c r="O184" s="768"/>
      <c r="P184" s="768"/>
      <c r="Q184" s="677">
        <f>K184*'Dane wejściowe'!$AF$34</f>
        <v>3567.9946919368053</v>
      </c>
      <c r="R184" s="678"/>
      <c r="S184" s="679"/>
      <c r="T184" s="632">
        <f t="shared" si="9"/>
        <v>6078.5715801053248</v>
      </c>
      <c r="U184" s="632"/>
      <c r="V184" s="632"/>
      <c r="W184" s="677">
        <f t="shared" si="10"/>
        <v>6925.8021695712332</v>
      </c>
      <c r="X184" s="678"/>
      <c r="Y184" s="679"/>
      <c r="Z184" s="653">
        <f>Z183*(1+'Dane wejściowe'!$H$33/100)</f>
        <v>1.1393798819839229</v>
      </c>
      <c r="AA184" s="653"/>
      <c r="AB184" s="653"/>
      <c r="AC184" s="632">
        <f t="shared" si="11"/>
        <v>10343.496976967173</v>
      </c>
      <c r="AD184" s="632"/>
      <c r="AE184" s="632"/>
      <c r="AF184" s="453" t="e">
        <f t="shared" si="12"/>
        <v>#N/A</v>
      </c>
      <c r="AG184" s="452"/>
      <c r="AH184" s="452"/>
      <c r="AX184" s="388"/>
      <c r="AY184" s="388"/>
      <c r="AZ184" s="388"/>
      <c r="BA184" s="389"/>
      <c r="BB184" s="389"/>
      <c r="BC184" s="389"/>
      <c r="BF184" s="390"/>
      <c r="BG184" s="390"/>
      <c r="BH184" s="390"/>
    </row>
    <row r="185" spans="3:60" ht="21" customHeight="1">
      <c r="C185" s="630">
        <v>4</v>
      </c>
      <c r="D185" s="630"/>
      <c r="E185" s="632">
        <f>E184*(1-'Dane wejściowe'!$G$65/100)</f>
        <v>11827.902403770509</v>
      </c>
      <c r="F185" s="632"/>
      <c r="G185" s="632"/>
      <c r="H185" s="632">
        <f>E185*('Dane wejściowe'!$H$34/100)</f>
        <v>5913.9512018852547</v>
      </c>
      <c r="I185" s="632"/>
      <c r="J185" s="632"/>
      <c r="K185" s="632">
        <f t="shared" si="7"/>
        <v>5913.9512018852547</v>
      </c>
      <c r="L185" s="632"/>
      <c r="M185" s="632"/>
      <c r="N185" s="768">
        <f t="shared" si="8"/>
        <v>6873.0017629119548</v>
      </c>
      <c r="O185" s="768"/>
      <c r="P185" s="768"/>
      <c r="Q185" s="677">
        <f>K185*'Dane wejściowe'!$AF$34</f>
        <v>3548.3707211311525</v>
      </c>
      <c r="R185" s="678"/>
      <c r="S185" s="679"/>
      <c r="T185" s="632">
        <f t="shared" si="9"/>
        <v>6111.2781981147455</v>
      </c>
      <c r="U185" s="632"/>
      <c r="V185" s="632"/>
      <c r="W185" s="677">
        <f t="shared" ref="W185:W211" si="13">T185*Z185</f>
        <v>7102.3287807816787</v>
      </c>
      <c r="X185" s="678"/>
      <c r="Y185" s="679"/>
      <c r="Z185" s="653">
        <f>Z184*(1+'Dane wejściowe'!$H$33/100)</f>
        <v>1.1621674796236015</v>
      </c>
      <c r="AA185" s="653"/>
      <c r="AB185" s="653"/>
      <c r="AC185" s="632">
        <f t="shared" si="11"/>
        <v>10421.372484043108</v>
      </c>
      <c r="AD185" s="632"/>
      <c r="AE185" s="632"/>
      <c r="AF185" s="453" t="e">
        <f t="shared" si="12"/>
        <v>#N/A</v>
      </c>
      <c r="AG185" s="452"/>
      <c r="AH185" s="452"/>
      <c r="AX185" s="388"/>
      <c r="AY185" s="388"/>
      <c r="AZ185" s="388"/>
      <c r="BA185" s="389"/>
      <c r="BB185" s="389"/>
      <c r="BC185" s="389"/>
      <c r="BF185" s="390"/>
      <c r="BG185" s="390"/>
      <c r="BH185" s="390"/>
    </row>
    <row r="186" spans="3:60" ht="21" customHeight="1">
      <c r="C186" s="630">
        <v>5</v>
      </c>
      <c r="D186" s="630"/>
      <c r="E186" s="632">
        <f>E185*(1-'Dane wejściowe'!$G$65/100)</f>
        <v>11762.848940549773</v>
      </c>
      <c r="F186" s="632"/>
      <c r="G186" s="632"/>
      <c r="H186" s="632">
        <f>E186*('Dane wejściowe'!$H$34/100)</f>
        <v>5881.4244702748865</v>
      </c>
      <c r="I186" s="632"/>
      <c r="J186" s="632"/>
      <c r="K186" s="632">
        <f t="shared" si="7"/>
        <v>5881.4244702748865</v>
      </c>
      <c r="L186" s="632"/>
      <c r="M186" s="632"/>
      <c r="N186" s="768">
        <f t="shared" si="8"/>
        <v>6971.9042582802585</v>
      </c>
      <c r="O186" s="768"/>
      <c r="P186" s="768"/>
      <c r="Q186" s="677">
        <f>K186*'Dane wejściowe'!$AF$34</f>
        <v>3528.854682164932</v>
      </c>
      <c r="R186" s="678"/>
      <c r="S186" s="679"/>
      <c r="T186" s="632">
        <f t="shared" si="9"/>
        <v>6143.8049297251137</v>
      </c>
      <c r="U186" s="632"/>
      <c r="V186" s="632"/>
      <c r="W186" s="677">
        <f t="shared" si="13"/>
        <v>7282.9328962872469</v>
      </c>
      <c r="X186" s="678"/>
      <c r="Y186" s="679"/>
      <c r="Z186" s="653">
        <f>Z185*(1+'Dane wejściowe'!$H$33/100)</f>
        <v>1.1854108292160734</v>
      </c>
      <c r="AA186" s="653"/>
      <c r="AB186" s="653"/>
      <c r="AC186" s="632">
        <f t="shared" si="11"/>
        <v>10500.75894044519</v>
      </c>
      <c r="AD186" s="632"/>
      <c r="AE186" s="632"/>
      <c r="AF186" s="453" t="e">
        <f t="shared" si="12"/>
        <v>#N/A</v>
      </c>
      <c r="AG186" s="452"/>
      <c r="AH186" s="452"/>
      <c r="AX186" s="388"/>
      <c r="AY186" s="388"/>
      <c r="AZ186" s="388"/>
      <c r="BA186" s="389"/>
      <c r="BB186" s="389"/>
      <c r="BC186" s="389"/>
      <c r="BF186" s="390"/>
      <c r="BG186" s="390"/>
      <c r="BH186" s="390"/>
    </row>
    <row r="187" spans="3:60" ht="21" customHeight="1">
      <c r="C187" s="630">
        <v>6</v>
      </c>
      <c r="D187" s="630"/>
      <c r="E187" s="632">
        <f>E186*(1-'Dane wejściowe'!$G$65/100)</f>
        <v>11698.15327137675</v>
      </c>
      <c r="F187" s="632"/>
      <c r="G187" s="632"/>
      <c r="H187" s="632">
        <f>E187*('Dane wejściowe'!$H$34/100)</f>
        <v>5849.0766356883751</v>
      </c>
      <c r="I187" s="632"/>
      <c r="J187" s="632"/>
      <c r="K187" s="632">
        <f t="shared" si="7"/>
        <v>5849.0766356883751</v>
      </c>
      <c r="L187" s="632"/>
      <c r="M187" s="632"/>
      <c r="N187" s="768">
        <f t="shared" si="8"/>
        <v>7072.2299605569115</v>
      </c>
      <c r="O187" s="768"/>
      <c r="P187" s="768"/>
      <c r="Q187" s="677">
        <f>K187*'Dane wejściowe'!$AF$34</f>
        <v>3509.445981413025</v>
      </c>
      <c r="R187" s="678"/>
      <c r="S187" s="679"/>
      <c r="T187" s="632">
        <f t="shared" si="9"/>
        <v>6176.1527643116251</v>
      </c>
      <c r="U187" s="632"/>
      <c r="V187" s="632"/>
      <c r="W187" s="677">
        <f t="shared" si="13"/>
        <v>7467.7039371019428</v>
      </c>
      <c r="X187" s="678"/>
      <c r="Y187" s="679"/>
      <c r="Z187" s="653">
        <f>Z186*(1+'Dane wejściowe'!$H$33/100)</f>
        <v>1.2091190458003949</v>
      </c>
      <c r="AA187" s="653"/>
      <c r="AB187" s="653"/>
      <c r="AC187" s="632">
        <f t="shared" si="11"/>
        <v>10581.675941969937</v>
      </c>
      <c r="AD187" s="632"/>
      <c r="AE187" s="632"/>
      <c r="AF187" s="453" t="e">
        <f t="shared" si="12"/>
        <v>#N/A</v>
      </c>
      <c r="AG187" s="452"/>
      <c r="AH187" s="452"/>
      <c r="AX187" s="388"/>
      <c r="AY187" s="388"/>
      <c r="AZ187" s="388"/>
      <c r="BA187" s="389"/>
      <c r="BB187" s="389"/>
      <c r="BC187" s="389"/>
      <c r="BF187" s="390"/>
      <c r="BG187" s="390"/>
      <c r="BH187" s="390"/>
    </row>
    <row r="188" spans="3:60" ht="21" customHeight="1">
      <c r="C188" s="630">
        <v>7</v>
      </c>
      <c r="D188" s="630"/>
      <c r="E188" s="632">
        <f>E187*(1-'Dane wejściowe'!$G$65/100)</f>
        <v>11633.813428384179</v>
      </c>
      <c r="F188" s="632"/>
      <c r="G188" s="632"/>
      <c r="H188" s="632">
        <f>E188*('Dane wejściowe'!$H$34/100)</f>
        <v>5816.9067141920896</v>
      </c>
      <c r="I188" s="632"/>
      <c r="J188" s="632"/>
      <c r="K188" s="632">
        <f t="shared" si="7"/>
        <v>5816.9067141920896</v>
      </c>
      <c r="L188" s="632"/>
      <c r="M188" s="632"/>
      <c r="N188" s="768">
        <f t="shared" si="8"/>
        <v>7173.9993496893267</v>
      </c>
      <c r="O188" s="768"/>
      <c r="P188" s="768"/>
      <c r="Q188" s="677">
        <f>K188*'Dane wejściowe'!$AF$34</f>
        <v>3490.1440285152535</v>
      </c>
      <c r="R188" s="678"/>
      <c r="S188" s="679"/>
      <c r="T188" s="632">
        <f t="shared" si="9"/>
        <v>6208.3226858079106</v>
      </c>
      <c r="U188" s="632"/>
      <c r="V188" s="632"/>
      <c r="W188" s="677">
        <f t="shared" si="13"/>
        <v>7656.733225922706</v>
      </c>
      <c r="X188" s="678"/>
      <c r="Y188" s="679"/>
      <c r="Z188" s="653">
        <f>Z187*(1+'Dane wejściowe'!$H$33/100)</f>
        <v>1.2333014267164029</v>
      </c>
      <c r="AA188" s="653"/>
      <c r="AB188" s="653"/>
      <c r="AC188" s="632">
        <f t="shared" si="11"/>
        <v>10664.143378204581</v>
      </c>
      <c r="AD188" s="632"/>
      <c r="AE188" s="632"/>
      <c r="AF188" s="453" t="e">
        <f t="shared" si="12"/>
        <v>#N/A</v>
      </c>
      <c r="AG188" s="452"/>
      <c r="AH188" s="452"/>
      <c r="AX188" s="388"/>
      <c r="AY188" s="388"/>
      <c r="AZ188" s="388"/>
      <c r="BA188" s="389"/>
      <c r="BB188" s="389"/>
      <c r="BC188" s="389"/>
      <c r="BF188" s="390"/>
      <c r="BG188" s="390"/>
      <c r="BH188" s="390"/>
    </row>
    <row r="189" spans="3:60" ht="21" customHeight="1">
      <c r="C189" s="630">
        <v>8</v>
      </c>
      <c r="D189" s="630"/>
      <c r="E189" s="632">
        <f>E188*(1-'Dane wejściowe'!$G$65/100)</f>
        <v>11569.827454528067</v>
      </c>
      <c r="F189" s="632"/>
      <c r="G189" s="632"/>
      <c r="H189" s="632">
        <f>E189*('Dane wejściowe'!$H$34/100)</f>
        <v>5784.9137272640337</v>
      </c>
      <c r="I189" s="632"/>
      <c r="J189" s="632"/>
      <c r="K189" s="632">
        <f t="shared" si="7"/>
        <v>5784.9137272640337</v>
      </c>
      <c r="L189" s="632"/>
      <c r="M189" s="632"/>
      <c r="N189" s="768">
        <f t="shared" si="8"/>
        <v>7277.2332003313577</v>
      </c>
      <c r="O189" s="768"/>
      <c r="P189" s="768"/>
      <c r="Q189" s="677">
        <f>K189*'Dane wejściowe'!$AF$34</f>
        <v>3470.9482363584202</v>
      </c>
      <c r="R189" s="678"/>
      <c r="S189" s="679"/>
      <c r="T189" s="632">
        <f t="shared" si="9"/>
        <v>6240.3156727359665</v>
      </c>
      <c r="U189" s="632"/>
      <c r="V189" s="632"/>
      <c r="W189" s="677">
        <f t="shared" si="13"/>
        <v>7850.1140267929168</v>
      </c>
      <c r="X189" s="678"/>
      <c r="Y189" s="679"/>
      <c r="Z189" s="653">
        <f>Z188*(1+'Dane wejściowe'!$H$33/100)</f>
        <v>1.2579674552507309</v>
      </c>
      <c r="AA189" s="653"/>
      <c r="AB189" s="653"/>
      <c r="AC189" s="632">
        <f t="shared" si="11"/>
        <v>10748.181436689778</v>
      </c>
      <c r="AD189" s="632"/>
      <c r="AE189" s="632"/>
      <c r="AF189" s="453" t="e">
        <f t="shared" si="12"/>
        <v>#N/A</v>
      </c>
      <c r="AG189" s="452"/>
      <c r="AH189" s="452"/>
      <c r="AX189" s="388"/>
      <c r="AY189" s="388"/>
      <c r="AZ189" s="388"/>
      <c r="BA189" s="389"/>
      <c r="BB189" s="389"/>
      <c r="BC189" s="389"/>
      <c r="BF189" s="390"/>
      <c r="BG189" s="390"/>
      <c r="BH189" s="390"/>
    </row>
    <row r="190" spans="3:60" ht="21" customHeight="1">
      <c r="C190" s="630">
        <v>9</v>
      </c>
      <c r="D190" s="630"/>
      <c r="E190" s="632">
        <f>E189*(1-'Dane wejściowe'!$G$65/100)</f>
        <v>11506.193403528163</v>
      </c>
      <c r="F190" s="632"/>
      <c r="G190" s="632"/>
      <c r="H190" s="632">
        <f>E190*('Dane wejściowe'!$H$34/100)</f>
        <v>5753.0967017640814</v>
      </c>
      <c r="I190" s="632"/>
      <c r="J190" s="632"/>
      <c r="K190" s="632">
        <f t="shared" si="7"/>
        <v>5753.0967017640814</v>
      </c>
      <c r="L190" s="632"/>
      <c r="M190" s="632"/>
      <c r="N190" s="768">
        <f t="shared" si="8"/>
        <v>7381.9525860841259</v>
      </c>
      <c r="O190" s="768"/>
      <c r="P190" s="768"/>
      <c r="Q190" s="677">
        <f>K190*'Dane wejściowe'!$AF$34</f>
        <v>3451.8580210584487</v>
      </c>
      <c r="R190" s="678"/>
      <c r="S190" s="679"/>
      <c r="T190" s="632">
        <f t="shared" si="9"/>
        <v>6272.1326982359187</v>
      </c>
      <c r="U190" s="632"/>
      <c r="V190" s="632"/>
      <c r="W190" s="677">
        <f t="shared" si="13"/>
        <v>8047.9415855826337</v>
      </c>
      <c r="X190" s="678"/>
      <c r="Y190" s="679"/>
      <c r="Z190" s="653">
        <f>Z189*(1+'Dane wejściowe'!$H$33/100)</f>
        <v>1.2831268043557456</v>
      </c>
      <c r="AA190" s="653"/>
      <c r="AB190" s="653"/>
      <c r="AC190" s="632">
        <f t="shared" si="11"/>
        <v>10833.810607142575</v>
      </c>
      <c r="AD190" s="632"/>
      <c r="AE190" s="632"/>
      <c r="AF190" s="453" t="e">
        <f t="shared" si="12"/>
        <v>#N/A</v>
      </c>
      <c r="AG190" s="452"/>
      <c r="AH190" s="452"/>
      <c r="AX190" s="388"/>
      <c r="AY190" s="388"/>
      <c r="AZ190" s="388"/>
      <c r="BA190" s="389"/>
      <c r="BB190" s="389"/>
      <c r="BC190" s="389"/>
      <c r="BF190" s="390"/>
      <c r="BG190" s="390"/>
      <c r="BH190" s="390"/>
    </row>
    <row r="191" spans="3:60" ht="21" customHeight="1">
      <c r="C191" s="630">
        <v>10</v>
      </c>
      <c r="D191" s="630"/>
      <c r="E191" s="632">
        <f>E190*(1-'Dane wejściowe'!$G$65/100)</f>
        <v>11442.909339808759</v>
      </c>
      <c r="F191" s="632"/>
      <c r="G191" s="632"/>
      <c r="H191" s="632">
        <f>E191*('Dane wejściowe'!$H$34/100)</f>
        <v>5721.4546699043794</v>
      </c>
      <c r="I191" s="632"/>
      <c r="J191" s="632"/>
      <c r="K191" s="632">
        <f t="shared" si="7"/>
        <v>5721.4546699043794</v>
      </c>
      <c r="L191" s="632"/>
      <c r="M191" s="632"/>
      <c r="N191" s="768">
        <f t="shared" si="8"/>
        <v>7488.1788837978775</v>
      </c>
      <c r="O191" s="768"/>
      <c r="P191" s="768"/>
      <c r="Q191" s="677">
        <f>K191*'Dane wejściowe'!$AF$34</f>
        <v>3432.8728019426276</v>
      </c>
      <c r="R191" s="678"/>
      <c r="S191" s="679"/>
      <c r="T191" s="632">
        <f t="shared" si="9"/>
        <v>6303.7747300956207</v>
      </c>
      <c r="U191" s="632"/>
      <c r="V191" s="632"/>
      <c r="W191" s="677">
        <f t="shared" si="13"/>
        <v>8250.3131713022194</v>
      </c>
      <c r="X191" s="678"/>
      <c r="Y191" s="679"/>
      <c r="Z191" s="653">
        <f>Z190*(1+'Dane wejściowe'!$H$33/100)</f>
        <v>1.3087893404428605</v>
      </c>
      <c r="AA191" s="653"/>
      <c r="AB191" s="653"/>
      <c r="AC191" s="632">
        <f t="shared" si="11"/>
        <v>10921.051685740505</v>
      </c>
      <c r="AD191" s="632"/>
      <c r="AE191" s="632"/>
      <c r="AF191" s="453" t="e">
        <f t="shared" si="12"/>
        <v>#N/A</v>
      </c>
      <c r="AG191" s="452"/>
      <c r="AH191" s="452"/>
      <c r="AX191" s="388"/>
      <c r="AY191" s="388"/>
      <c r="AZ191" s="388"/>
      <c r="BA191" s="389"/>
      <c r="BB191" s="389"/>
      <c r="BC191" s="389"/>
      <c r="BF191" s="390"/>
      <c r="BG191" s="390"/>
      <c r="BH191" s="390"/>
    </row>
    <row r="192" spans="3:60" ht="21" customHeight="1">
      <c r="C192" s="630">
        <v>11</v>
      </c>
      <c r="D192" s="630"/>
      <c r="E192" s="632">
        <f>E191*(1-'Dane wejściowe'!$G$65/100)</f>
        <v>11379.973338439811</v>
      </c>
      <c r="F192" s="632"/>
      <c r="G192" s="632"/>
      <c r="H192" s="632">
        <f>E192*('Dane wejściowe'!$H$34/100)</f>
        <v>5689.9866692199057</v>
      </c>
      <c r="I192" s="632"/>
      <c r="J192" s="632"/>
      <c r="K192" s="632">
        <f t="shared" si="7"/>
        <v>5689.9866692199057</v>
      </c>
      <c r="L192" s="632"/>
      <c r="M192" s="632"/>
      <c r="N192" s="768">
        <f t="shared" si="8"/>
        <v>7595.9337779357293</v>
      </c>
      <c r="O192" s="768"/>
      <c r="P192" s="768"/>
      <c r="Q192" s="677">
        <f>K192*'Dane wejściowe'!$AF$34</f>
        <v>3413.9920015319435</v>
      </c>
      <c r="R192" s="678"/>
      <c r="S192" s="679"/>
      <c r="T192" s="632">
        <f t="shared" si="9"/>
        <v>6335.2427307800945</v>
      </c>
      <c r="U192" s="632"/>
      <c r="V192" s="632"/>
      <c r="W192" s="677">
        <f t="shared" si="13"/>
        <v>8457.3281182663686</v>
      </c>
      <c r="X192" s="678"/>
      <c r="Y192" s="679"/>
      <c r="Z192" s="653">
        <f>Z191*(1+'Dane wejściowe'!$H$33/100)</f>
        <v>1.3349651272517178</v>
      </c>
      <c r="AA192" s="653"/>
      <c r="AB192" s="653"/>
      <c r="AC192" s="632">
        <f t="shared" si="11"/>
        <v>11009.925779467672</v>
      </c>
      <c r="AD192" s="632"/>
      <c r="AE192" s="632"/>
      <c r="AF192" s="453" t="e">
        <f t="shared" si="12"/>
        <v>#N/A</v>
      </c>
      <c r="AG192" s="452"/>
      <c r="AH192" s="452"/>
      <c r="AX192" s="388"/>
      <c r="AY192" s="388"/>
      <c r="AZ192" s="388"/>
      <c r="BA192" s="389"/>
      <c r="BB192" s="389"/>
      <c r="BC192" s="389"/>
      <c r="BF192" s="390"/>
      <c r="BG192" s="390"/>
      <c r="BH192" s="390"/>
    </row>
    <row r="193" spans="3:69" ht="21" customHeight="1">
      <c r="C193" s="630">
        <v>12</v>
      </c>
      <c r="D193" s="630"/>
      <c r="E193" s="632">
        <f>E192*(1-'Dane wejściowe'!$G$65/100)</f>
        <v>11317.383485078393</v>
      </c>
      <c r="F193" s="632"/>
      <c r="G193" s="632"/>
      <c r="H193" s="632">
        <f>E193*('Dane wejściowe'!$H$34/100)</f>
        <v>5658.6917425391966</v>
      </c>
      <c r="I193" s="632"/>
      <c r="J193" s="632"/>
      <c r="K193" s="632">
        <f t="shared" si="7"/>
        <v>5658.6917425391966</v>
      </c>
      <c r="L193" s="632"/>
      <c r="M193" s="632"/>
      <c r="N193" s="768">
        <f t="shared" si="8"/>
        <v>7705.2392650002248</v>
      </c>
      <c r="O193" s="768"/>
      <c r="P193" s="768"/>
      <c r="Q193" s="677">
        <f>K193*'Dane wejściowe'!$AF$34</f>
        <v>3395.2150455235178</v>
      </c>
      <c r="R193" s="678"/>
      <c r="S193" s="679"/>
      <c r="T193" s="632">
        <f t="shared" si="9"/>
        <v>6366.5376574608035</v>
      </c>
      <c r="U193" s="632"/>
      <c r="V193" s="632"/>
      <c r="W193" s="677">
        <f t="shared" si="13"/>
        <v>8669.0878691259149</v>
      </c>
      <c r="X193" s="678"/>
      <c r="Y193" s="679"/>
      <c r="Z193" s="653">
        <f>Z192*(1+'Dane wejściowe'!$H$33/100)</f>
        <v>1.3616644297967522</v>
      </c>
      <c r="AA193" s="653"/>
      <c r="AB193" s="653"/>
      <c r="AC193" s="632">
        <f t="shared" si="11"/>
        <v>11100.454310523743</v>
      </c>
      <c r="AD193" s="632"/>
      <c r="AE193" s="632"/>
      <c r="AF193" s="453" t="e">
        <f t="shared" si="12"/>
        <v>#N/A</v>
      </c>
      <c r="AG193" s="452"/>
      <c r="AH193" s="452"/>
      <c r="AX193" s="388"/>
      <c r="AY193" s="388"/>
      <c r="AZ193" s="388"/>
      <c r="BA193" s="389"/>
      <c r="BB193" s="389"/>
      <c r="BC193" s="389"/>
      <c r="BF193" s="390"/>
      <c r="BG193" s="390"/>
      <c r="BH193" s="390"/>
      <c r="BL193" s="650">
        <f>K81</f>
        <v>13.32</v>
      </c>
      <c r="BM193" s="649"/>
      <c r="BN193" s="649">
        <f>VLOOKUP(H93,[1]Inwerter!$A$29:$O$151,MATCH("sprawność",[1]!Inwerter[#Headers],0),FALSE)</f>
        <v>0</v>
      </c>
      <c r="BO193" s="649"/>
      <c r="BP193" s="388">
        <v>0.99</v>
      </c>
      <c r="BQ193" s="388">
        <v>0.87</v>
      </c>
    </row>
    <row r="194" spans="3:69" ht="21" customHeight="1">
      <c r="C194" s="630">
        <v>13</v>
      </c>
      <c r="D194" s="630"/>
      <c r="E194" s="632">
        <f>E193*(1-'Dane wejściowe'!$G$65/100)</f>
        <v>11255.137875910463</v>
      </c>
      <c r="F194" s="632"/>
      <c r="G194" s="632"/>
      <c r="H194" s="632">
        <f>E194*('Dane wejściowe'!$H$34/100)</f>
        <v>5627.5689379552314</v>
      </c>
      <c r="I194" s="632"/>
      <c r="J194" s="632"/>
      <c r="K194" s="632">
        <f t="shared" si="7"/>
        <v>5627.5689379552314</v>
      </c>
      <c r="L194" s="632"/>
      <c r="M194" s="632"/>
      <c r="N194" s="768">
        <f t="shared" si="8"/>
        <v>7816.1176580235788</v>
      </c>
      <c r="O194" s="768"/>
      <c r="P194" s="768"/>
      <c r="Q194" s="677">
        <f>K194*'Dane wejściowe'!$AF$34</f>
        <v>3376.5413627731386</v>
      </c>
      <c r="R194" s="678"/>
      <c r="S194" s="679"/>
      <c r="T194" s="632">
        <f t="shared" si="9"/>
        <v>6397.6604620447688</v>
      </c>
      <c r="U194" s="632"/>
      <c r="V194" s="632"/>
      <c r="W194" s="677">
        <f t="shared" si="13"/>
        <v>8885.6960187850837</v>
      </c>
      <c r="X194" s="678"/>
      <c r="Y194" s="679"/>
      <c r="Z194" s="653">
        <f>Z193*(1+'Dane wejściowe'!$H$33/100)</f>
        <v>1.3888977183926872</v>
      </c>
      <c r="AA194" s="653"/>
      <c r="AB194" s="653"/>
      <c r="AC194" s="632">
        <f t="shared" si="11"/>
        <v>11192.659020796717</v>
      </c>
      <c r="AD194" s="632"/>
      <c r="AE194" s="632"/>
      <c r="AF194" s="453" t="e">
        <f t="shared" si="12"/>
        <v>#N/A</v>
      </c>
      <c r="AG194" s="452"/>
      <c r="AH194" s="452"/>
      <c r="AS194" s="388" t="s">
        <v>631</v>
      </c>
      <c r="AX194" s="388"/>
      <c r="AY194" s="388"/>
      <c r="AZ194" s="388"/>
      <c r="BA194" s="389"/>
      <c r="BB194" s="389"/>
      <c r="BC194" s="389"/>
      <c r="BF194" s="390"/>
      <c r="BG194" s="390"/>
      <c r="BH194" s="390"/>
    </row>
    <row r="195" spans="3:69" ht="21" customHeight="1">
      <c r="C195" s="630">
        <v>14</v>
      </c>
      <c r="D195" s="630"/>
      <c r="E195" s="632">
        <f>E194*(1-'Dane wejściowe'!$G$65/100)</f>
        <v>11193.234617592956</v>
      </c>
      <c r="F195" s="632"/>
      <c r="G195" s="632"/>
      <c r="H195" s="632">
        <f>E195*('Dane wejściowe'!$H$34/100)</f>
        <v>5596.617308796478</v>
      </c>
      <c r="I195" s="632"/>
      <c r="J195" s="632"/>
      <c r="K195" s="632">
        <f t="shared" si="7"/>
        <v>5596.617308796478</v>
      </c>
      <c r="L195" s="632"/>
      <c r="M195" s="632"/>
      <c r="N195" s="768">
        <f t="shared" si="8"/>
        <v>7928.5915911225384</v>
      </c>
      <c r="O195" s="768"/>
      <c r="P195" s="768"/>
      <c r="Q195" s="677">
        <f>K195*'Dane wejściowe'!$AF$34</f>
        <v>3357.9703852778866</v>
      </c>
      <c r="R195" s="678"/>
      <c r="S195" s="679"/>
      <c r="T195" s="632">
        <f t="shared" si="9"/>
        <v>6428.6120912035221</v>
      </c>
      <c r="U195" s="632"/>
      <c r="V195" s="632"/>
      <c r="W195" s="677">
        <f t="shared" si="13"/>
        <v>9107.2583592222982</v>
      </c>
      <c r="X195" s="678"/>
      <c r="Y195" s="679"/>
      <c r="Z195" s="653">
        <f>Z194*(1+'Dane wejściowe'!$H$33/100)</f>
        <v>1.416675672760541</v>
      </c>
      <c r="AA195" s="653"/>
      <c r="AB195" s="653"/>
      <c r="AC195" s="632">
        <f t="shared" si="11"/>
        <v>11286.561976400426</v>
      </c>
      <c r="AD195" s="632"/>
      <c r="AE195" s="632"/>
      <c r="AF195" s="453" t="e">
        <f t="shared" si="12"/>
        <v>#N/A</v>
      </c>
      <c r="AG195" s="452"/>
      <c r="AH195" s="452"/>
      <c r="AS195" s="388" t="s">
        <v>666</v>
      </c>
      <c r="AX195" s="388"/>
      <c r="AY195" s="388"/>
      <c r="AZ195" s="388"/>
      <c r="BA195" s="389"/>
      <c r="BB195" s="389"/>
      <c r="BC195" s="389"/>
      <c r="BF195" s="390"/>
      <c r="BG195" s="390"/>
      <c r="BH195" s="390"/>
    </row>
    <row r="196" spans="3:69" ht="21" customHeight="1">
      <c r="C196" s="630">
        <v>15</v>
      </c>
      <c r="D196" s="630"/>
      <c r="E196" s="632">
        <f>E195*(1-'Dane wejściowe'!$G$65/100)</f>
        <v>11131.671827196194</v>
      </c>
      <c r="F196" s="632"/>
      <c r="G196" s="632"/>
      <c r="H196" s="632">
        <f>E196*('Dane wejściowe'!$H$34/100)</f>
        <v>5565.8359135980972</v>
      </c>
      <c r="I196" s="632"/>
      <c r="J196" s="632"/>
      <c r="K196" s="632">
        <f t="shared" si="7"/>
        <v>5565.8359135980972</v>
      </c>
      <c r="L196" s="632"/>
      <c r="M196" s="632"/>
      <c r="N196" s="768">
        <f t="shared" si="8"/>
        <v>8042.6840241187911</v>
      </c>
      <c r="O196" s="768"/>
      <c r="P196" s="768"/>
      <c r="Q196" s="677">
        <f>K196*'Dane wejściowe'!$AF$34</f>
        <v>3339.5015481588584</v>
      </c>
      <c r="R196" s="678"/>
      <c r="S196" s="679"/>
      <c r="T196" s="632">
        <f t="shared" si="9"/>
        <v>6459.3934864019029</v>
      </c>
      <c r="U196" s="632"/>
      <c r="V196" s="632"/>
      <c r="W196" s="677">
        <f t="shared" si="13"/>
        <v>9333.8829252329415</v>
      </c>
      <c r="X196" s="678"/>
      <c r="Y196" s="679"/>
      <c r="Z196" s="653">
        <f>Z195*(1+'Dane wejściowe'!$H$33/100)</f>
        <v>1.4450091862157517</v>
      </c>
      <c r="AA196" s="653"/>
      <c r="AB196" s="653"/>
      <c r="AC196" s="632">
        <f t="shared" si="11"/>
        <v>11382.185572277649</v>
      </c>
      <c r="AD196" s="632"/>
      <c r="AE196" s="632"/>
      <c r="AF196" s="453" t="e">
        <f t="shared" si="12"/>
        <v>#N/A</v>
      </c>
      <c r="AG196" s="452"/>
      <c r="AH196" s="452"/>
      <c r="AX196" s="388"/>
      <c r="AY196" s="388"/>
      <c r="AZ196" s="388"/>
      <c r="BA196" s="389"/>
      <c r="BB196" s="389"/>
      <c r="BC196" s="389"/>
      <c r="BF196" s="390"/>
      <c r="BG196" s="390"/>
      <c r="BH196" s="390"/>
    </row>
    <row r="197" spans="3:69" ht="21" customHeight="1">
      <c r="C197" s="630">
        <v>16</v>
      </c>
      <c r="D197" s="630"/>
      <c r="E197" s="632">
        <f>E196*(1-'Dane wejściowe'!$G$65/100)</f>
        <v>11070.447632146615</v>
      </c>
      <c r="F197" s="632"/>
      <c r="G197" s="632"/>
      <c r="H197" s="632">
        <f>E197*('Dane wejściowe'!$H$34/100)</f>
        <v>5535.2238160733077</v>
      </c>
      <c r="I197" s="632"/>
      <c r="J197" s="632"/>
      <c r="K197" s="632">
        <f t="shared" si="7"/>
        <v>5535.2238160733077</v>
      </c>
      <c r="L197" s="632"/>
      <c r="M197" s="632"/>
      <c r="N197" s="768">
        <f t="shared" si="8"/>
        <v>8158.4182472258608</v>
      </c>
      <c r="O197" s="768"/>
      <c r="P197" s="768"/>
      <c r="Q197" s="677">
        <f>K197*'Dane wejściowe'!$AF$34</f>
        <v>3321.1342896439846</v>
      </c>
      <c r="R197" s="678"/>
      <c r="S197" s="679"/>
      <c r="T197" s="632">
        <f t="shared" si="9"/>
        <v>6490.0055839266925</v>
      </c>
      <c r="U197" s="632"/>
      <c r="V197" s="632"/>
      <c r="W197" s="677">
        <f t="shared" si="13"/>
        <v>9565.6800411129061</v>
      </c>
      <c r="X197" s="678"/>
      <c r="Y197" s="679"/>
      <c r="Z197" s="653">
        <f>Z196*(1+'Dane wejściowe'!$H$33/100)</f>
        <v>1.4739093699400667</v>
      </c>
      <c r="AA197" s="653"/>
      <c r="AB197" s="653"/>
      <c r="AC197" s="632">
        <f t="shared" si="11"/>
        <v>11479.552536869845</v>
      </c>
      <c r="AD197" s="632"/>
      <c r="AE197" s="632"/>
      <c r="AF197" s="453" t="e">
        <f t="shared" si="12"/>
        <v>#N/A</v>
      </c>
      <c r="AG197" s="452"/>
      <c r="AH197" s="452"/>
      <c r="AX197" s="388"/>
      <c r="AY197" s="388"/>
      <c r="AZ197" s="388"/>
      <c r="BA197" s="389"/>
      <c r="BB197" s="389"/>
      <c r="BC197" s="389"/>
      <c r="BF197" s="390"/>
      <c r="BG197" s="390"/>
      <c r="BH197" s="390"/>
    </row>
    <row r="198" spans="3:69" ht="21" customHeight="1">
      <c r="C198" s="630">
        <v>17</v>
      </c>
      <c r="D198" s="630"/>
      <c r="E198" s="632">
        <f>E197*(1-'Dane wejściowe'!$G$65/100)</f>
        <v>11009.560170169809</v>
      </c>
      <c r="F198" s="632"/>
      <c r="G198" s="632"/>
      <c r="H198" s="632">
        <f>E198*('Dane wejściowe'!$H$34/100)</f>
        <v>5504.7800850849044</v>
      </c>
      <c r="I198" s="632"/>
      <c r="J198" s="632"/>
      <c r="K198" s="632">
        <f t="shared" si="7"/>
        <v>5504.7800850849044</v>
      </c>
      <c r="L198" s="632"/>
      <c r="M198" s="632"/>
      <c r="N198" s="768">
        <f t="shared" si="8"/>
        <v>8275.8178858034407</v>
      </c>
      <c r="O198" s="768"/>
      <c r="P198" s="768"/>
      <c r="Q198" s="677">
        <f>K198*'Dane wejściowe'!$AF$34</f>
        <v>3302.8680510509425</v>
      </c>
      <c r="R198" s="678"/>
      <c r="S198" s="679"/>
      <c r="T198" s="632">
        <f t="shared" si="9"/>
        <v>6520.4493149150958</v>
      </c>
      <c r="U198" s="632"/>
      <c r="V198" s="632"/>
      <c r="W198" s="677">
        <f t="shared" si="13"/>
        <v>9802.7623683021011</v>
      </c>
      <c r="X198" s="678"/>
      <c r="Y198" s="679"/>
      <c r="Z198" s="653">
        <f>Z197*(1+'Dane wejściowe'!$H$33/100)</f>
        <v>1.503387557338868</v>
      </c>
      <c r="AA198" s="653"/>
      <c r="AB198" s="653"/>
      <c r="AC198" s="632">
        <f t="shared" si="11"/>
        <v>11578.685936854383</v>
      </c>
      <c r="AD198" s="632"/>
      <c r="AE198" s="632"/>
      <c r="AF198" s="453" t="e">
        <f t="shared" si="12"/>
        <v>#N/A</v>
      </c>
      <c r="AG198" s="452"/>
      <c r="AH198" s="452"/>
      <c r="AX198" s="388"/>
      <c r="AY198" s="388"/>
      <c r="AZ198" s="388"/>
      <c r="BA198" s="389"/>
      <c r="BB198" s="389"/>
      <c r="BC198" s="389"/>
      <c r="BF198" s="390"/>
      <c r="BG198" s="390"/>
      <c r="BH198" s="390"/>
    </row>
    <row r="199" spans="3:69" ht="21" customHeight="1">
      <c r="C199" s="630">
        <v>18</v>
      </c>
      <c r="D199" s="630"/>
      <c r="E199" s="632">
        <f>E198*(1-'Dane wejściowe'!$G$65/100)</f>
        <v>10949.007589233875</v>
      </c>
      <c r="F199" s="632"/>
      <c r="G199" s="632"/>
      <c r="H199" s="632">
        <f>E199*('Dane wejściowe'!$H$34/100)</f>
        <v>5474.5037946169377</v>
      </c>
      <c r="I199" s="632"/>
      <c r="J199" s="632"/>
      <c r="K199" s="632">
        <f t="shared" si="7"/>
        <v>5474.5037946169377</v>
      </c>
      <c r="L199" s="632"/>
      <c r="M199" s="632"/>
      <c r="N199" s="768">
        <f t="shared" si="8"/>
        <v>8394.9069051801525</v>
      </c>
      <c r="O199" s="768"/>
      <c r="P199" s="768"/>
      <c r="Q199" s="677">
        <f>K199*'Dane wejściowe'!$AF$34</f>
        <v>3284.7022767701624</v>
      </c>
      <c r="R199" s="678"/>
      <c r="S199" s="679"/>
      <c r="T199" s="632">
        <f t="shared" si="9"/>
        <v>6550.7256053830624</v>
      </c>
      <c r="U199" s="632"/>
      <c r="V199" s="632"/>
      <c r="W199" s="677">
        <f t="shared" si="13"/>
        <v>10045.244954007499</v>
      </c>
      <c r="X199" s="678"/>
      <c r="Y199" s="679"/>
      <c r="Z199" s="653">
        <f>Z198*(1+'Dane wejściowe'!$H$33/100)</f>
        <v>1.5334553084856453</v>
      </c>
      <c r="AA199" s="653"/>
      <c r="AB199" s="653"/>
      <c r="AC199" s="632">
        <f t="shared" si="11"/>
        <v>11679.609181950314</v>
      </c>
      <c r="AD199" s="632"/>
      <c r="AE199" s="632"/>
      <c r="AF199" s="453" t="e">
        <f t="shared" si="12"/>
        <v>#N/A</v>
      </c>
      <c r="AG199" s="452"/>
      <c r="AH199" s="452"/>
      <c r="AX199" s="388"/>
      <c r="AY199" s="388"/>
      <c r="AZ199" s="388"/>
      <c r="BA199" s="389"/>
      <c r="BB199" s="389"/>
      <c r="BC199" s="389"/>
      <c r="BF199" s="390"/>
      <c r="BG199" s="390"/>
      <c r="BH199" s="390"/>
    </row>
    <row r="200" spans="3:69" ht="21" customHeight="1">
      <c r="C200" s="630">
        <v>19</v>
      </c>
      <c r="D200" s="630"/>
      <c r="E200" s="632">
        <f>E199*(1-'Dane wejściowe'!$G$65/100)</f>
        <v>10888.78804749309</v>
      </c>
      <c r="F200" s="632"/>
      <c r="G200" s="632"/>
      <c r="H200" s="632">
        <f>E200*('Dane wejściowe'!$H$34/100)</f>
        <v>5444.3940237465449</v>
      </c>
      <c r="I200" s="632"/>
      <c r="J200" s="632"/>
      <c r="K200" s="632">
        <f t="shared" si="7"/>
        <v>5444.3940237465449</v>
      </c>
      <c r="L200" s="632"/>
      <c r="M200" s="632"/>
      <c r="N200" s="768">
        <f t="shared" si="8"/>
        <v>8515.7096155456948</v>
      </c>
      <c r="O200" s="768"/>
      <c r="P200" s="768"/>
      <c r="Q200" s="677">
        <f>K200*'Dane wejściowe'!$AF$34</f>
        <v>3266.636414247927</v>
      </c>
      <c r="R200" s="678"/>
      <c r="S200" s="679"/>
      <c r="T200" s="632">
        <f t="shared" si="9"/>
        <v>6580.8353762534553</v>
      </c>
      <c r="U200" s="632"/>
      <c r="V200" s="632"/>
      <c r="W200" s="677">
        <f t="shared" si="13"/>
        <v>10293.245280825709</v>
      </c>
      <c r="X200" s="678"/>
      <c r="Y200" s="679"/>
      <c r="Z200" s="653">
        <f>Z199*(1+'Dane wejściowe'!$H$33/100)</f>
        <v>1.5641244146553581</v>
      </c>
      <c r="AA200" s="653"/>
      <c r="AB200" s="653"/>
      <c r="AC200" s="632">
        <f t="shared" si="11"/>
        <v>11782.346029793622</v>
      </c>
      <c r="AD200" s="632"/>
      <c r="AE200" s="632"/>
      <c r="AF200" s="453" t="e">
        <f t="shared" si="12"/>
        <v>#N/A</v>
      </c>
      <c r="AG200" s="452"/>
      <c r="AH200" s="452"/>
      <c r="AX200" s="388"/>
      <c r="AY200" s="388"/>
      <c r="AZ200" s="388"/>
      <c r="BA200" s="389"/>
      <c r="BB200" s="389"/>
      <c r="BC200" s="389"/>
      <c r="BF200" s="390"/>
      <c r="BG200" s="390"/>
      <c r="BH200" s="390"/>
    </row>
    <row r="201" spans="3:69" ht="21" customHeight="1">
      <c r="C201" s="630">
        <v>20</v>
      </c>
      <c r="D201" s="630"/>
      <c r="E201" s="632">
        <f>E200*(1-'Dane wejściowe'!$G$65/100)</f>
        <v>10828.899713231878</v>
      </c>
      <c r="F201" s="632"/>
      <c r="G201" s="632"/>
      <c r="H201" s="632">
        <f>E201*('Dane wejściowe'!$H$34/100)</f>
        <v>5414.4498566159391</v>
      </c>
      <c r="I201" s="632"/>
      <c r="J201" s="632"/>
      <c r="K201" s="632">
        <f t="shared" si="7"/>
        <v>5414.4498566159391</v>
      </c>
      <c r="L201" s="632"/>
      <c r="M201" s="632"/>
      <c r="N201" s="768">
        <f t="shared" si="8"/>
        <v>8638.2506769133961</v>
      </c>
      <c r="O201" s="768"/>
      <c r="P201" s="768"/>
      <c r="Q201" s="677">
        <f>K201*'Dane wejściowe'!$AF$34</f>
        <v>3248.6699139695634</v>
      </c>
      <c r="R201" s="678"/>
      <c r="S201" s="679"/>
      <c r="T201" s="632">
        <f t="shared" si="9"/>
        <v>6610.7795433840611</v>
      </c>
      <c r="U201" s="632"/>
      <c r="V201" s="632"/>
      <c r="W201" s="677">
        <f t="shared" si="13"/>
        <v>10546.883317385435</v>
      </c>
      <c r="X201" s="678"/>
      <c r="Y201" s="679"/>
      <c r="Z201" s="653">
        <f>Z200*(1+'Dane wejściowe'!$H$33/100)</f>
        <v>1.5954069029484652</v>
      </c>
      <c r="AA201" s="653"/>
      <c r="AB201" s="653"/>
      <c r="AC201" s="632">
        <f t="shared" si="11"/>
        <v>11886.920590882959</v>
      </c>
      <c r="AD201" s="632"/>
      <c r="AE201" s="632"/>
      <c r="AF201" s="453" t="e">
        <f t="shared" si="12"/>
        <v>#N/A</v>
      </c>
      <c r="AG201" s="452"/>
      <c r="AH201" s="452"/>
      <c r="AX201" s="388"/>
      <c r="AY201" s="388"/>
      <c r="AZ201" s="388"/>
      <c r="BA201" s="389"/>
      <c r="BB201" s="389"/>
      <c r="BC201" s="389"/>
      <c r="BF201" s="390"/>
      <c r="BG201" s="390"/>
      <c r="BH201" s="390"/>
    </row>
    <row r="202" spans="3:69" ht="21" customHeight="1">
      <c r="C202" s="630">
        <v>21</v>
      </c>
      <c r="D202" s="630"/>
      <c r="E202" s="632">
        <f>E201*(1-'Dane wejściowe'!$G$65/100)</f>
        <v>10769.340764809103</v>
      </c>
      <c r="F202" s="632"/>
      <c r="G202" s="632"/>
      <c r="H202" s="632">
        <f>E202*('Dane wejściowe'!$H$34/100)</f>
        <v>5384.6703824045517</v>
      </c>
      <c r="I202" s="632"/>
      <c r="J202" s="632"/>
      <c r="K202" s="632">
        <f t="shared" si="7"/>
        <v>5384.6703824045517</v>
      </c>
      <c r="L202" s="632"/>
      <c r="M202" s="632"/>
      <c r="N202" s="768">
        <f t="shared" si="8"/>
        <v>8762.5551041541821</v>
      </c>
      <c r="O202" s="768"/>
      <c r="P202" s="768"/>
      <c r="Q202" s="677">
        <f>K202*'Dane wejściowe'!$AF$34</f>
        <v>3230.802229442731</v>
      </c>
      <c r="R202" s="678"/>
      <c r="S202" s="679"/>
      <c r="T202" s="632">
        <f t="shared" si="9"/>
        <v>6640.5590175954485</v>
      </c>
      <c r="U202" s="632"/>
      <c r="V202" s="632"/>
      <c r="W202" s="677">
        <f t="shared" si="13"/>
        <v>10806.281570030627</v>
      </c>
      <c r="X202" s="678"/>
      <c r="Y202" s="679"/>
      <c r="Z202" s="653">
        <f>Z201*(1+'Dane wejściowe'!$H$33/100)</f>
        <v>1.6273150410074346</v>
      </c>
      <c r="AA202" s="653"/>
      <c r="AB202" s="653"/>
      <c r="AC202" s="632">
        <f t="shared" si="11"/>
        <v>11993.357333596912</v>
      </c>
      <c r="AD202" s="632"/>
      <c r="AE202" s="632"/>
      <c r="AF202" s="453" t="e">
        <f t="shared" si="12"/>
        <v>#N/A</v>
      </c>
      <c r="AG202" s="452"/>
      <c r="AH202" s="452"/>
      <c r="AX202" s="388"/>
      <c r="AY202" s="388"/>
      <c r="AZ202" s="388"/>
      <c r="BA202" s="389"/>
      <c r="BB202" s="389"/>
      <c r="BC202" s="389"/>
      <c r="BF202" s="390"/>
      <c r="BG202" s="390"/>
      <c r="BH202" s="390"/>
    </row>
    <row r="203" spans="3:69" ht="21" customHeight="1">
      <c r="C203" s="630">
        <v>22</v>
      </c>
      <c r="D203" s="630"/>
      <c r="E203" s="632">
        <f>E202*(1-'Dane wejściowe'!$G$65/100)</f>
        <v>10710.109390602654</v>
      </c>
      <c r="F203" s="632"/>
      <c r="G203" s="632"/>
      <c r="H203" s="632">
        <f>E203*('Dane wejściowe'!$H$34/100)</f>
        <v>5355.0546953013272</v>
      </c>
      <c r="I203" s="632"/>
      <c r="J203" s="632"/>
      <c r="K203" s="632">
        <f t="shared" si="7"/>
        <v>5355.0546953013272</v>
      </c>
      <c r="L203" s="632"/>
      <c r="M203" s="632"/>
      <c r="N203" s="768">
        <f t="shared" si="8"/>
        <v>8888.6482721029624</v>
      </c>
      <c r="O203" s="768"/>
      <c r="P203" s="768"/>
      <c r="Q203" s="677">
        <f>K203*'Dane wejściowe'!$AF$34</f>
        <v>3213.0328171807964</v>
      </c>
      <c r="R203" s="678"/>
      <c r="S203" s="679"/>
      <c r="T203" s="632">
        <f t="shared" si="9"/>
        <v>6670.1747046986729</v>
      </c>
      <c r="U203" s="632"/>
      <c r="V203" s="632"/>
      <c r="W203" s="677">
        <f t="shared" si="13"/>
        <v>11071.565135565545</v>
      </c>
      <c r="X203" s="678"/>
      <c r="Y203" s="679"/>
      <c r="Z203" s="653">
        <f>Z202*(1+'Dane wejściowe'!$H$33/100)</f>
        <v>1.6598613418275834</v>
      </c>
      <c r="AA203" s="653"/>
      <c r="AB203" s="653"/>
      <c r="AC203" s="632">
        <f t="shared" si="11"/>
        <v>12101.681089283758</v>
      </c>
      <c r="AD203" s="632"/>
      <c r="AE203" s="632"/>
      <c r="AF203" s="453" t="e">
        <f t="shared" si="12"/>
        <v>#N/A</v>
      </c>
      <c r="AG203" s="452"/>
      <c r="AH203" s="452"/>
      <c r="AX203" s="388"/>
      <c r="AY203" s="388"/>
      <c r="AZ203" s="388"/>
      <c r="BA203" s="389"/>
      <c r="BB203" s="389"/>
      <c r="BC203" s="389"/>
      <c r="BF203" s="390"/>
      <c r="BG203" s="390"/>
      <c r="BH203" s="390"/>
    </row>
    <row r="204" spans="3:69" ht="21" customHeight="1">
      <c r="C204" s="630">
        <v>23</v>
      </c>
      <c r="D204" s="630"/>
      <c r="E204" s="632">
        <f>E203*(1-'Dane wejściowe'!$G$65/100)</f>
        <v>10651.203788954341</v>
      </c>
      <c r="F204" s="632"/>
      <c r="G204" s="632"/>
      <c r="H204" s="632">
        <f>E204*('Dane wejściowe'!$H$34/100)</f>
        <v>5325.6018944771704</v>
      </c>
      <c r="I204" s="632"/>
      <c r="J204" s="632"/>
      <c r="K204" s="632">
        <f t="shared" si="7"/>
        <v>5325.6018944771704</v>
      </c>
      <c r="L204" s="632"/>
      <c r="M204" s="632"/>
      <c r="N204" s="768">
        <f t="shared" si="8"/>
        <v>9016.5559207385249</v>
      </c>
      <c r="O204" s="768"/>
      <c r="P204" s="768"/>
      <c r="Q204" s="677">
        <f>K204*'Dane wejściowe'!$AF$34</f>
        <v>3195.361136686302</v>
      </c>
      <c r="R204" s="678"/>
      <c r="S204" s="679"/>
      <c r="T204" s="632">
        <f t="shared" si="9"/>
        <v>6699.6275055228298</v>
      </c>
      <c r="U204" s="632"/>
      <c r="V204" s="632"/>
      <c r="W204" s="677">
        <f t="shared" si="13"/>
        <v>11342.861755083351</v>
      </c>
      <c r="X204" s="678"/>
      <c r="Y204" s="679"/>
      <c r="Z204" s="653">
        <f>Z203*(1+'Dane wejściowe'!$H$33/100)</f>
        <v>1.6930585686641351</v>
      </c>
      <c r="AA204" s="653"/>
      <c r="AB204" s="653"/>
      <c r="AC204" s="632">
        <f t="shared" si="11"/>
        <v>12211.917057424827</v>
      </c>
      <c r="AD204" s="632"/>
      <c r="AE204" s="632"/>
      <c r="AF204" s="453" t="e">
        <f t="shared" si="12"/>
        <v>#N/A</v>
      </c>
      <c r="AG204" s="452"/>
      <c r="AH204" s="452"/>
      <c r="AX204" s="388"/>
      <c r="AY204" s="388"/>
      <c r="AZ204" s="388"/>
      <c r="BA204" s="389"/>
      <c r="BB204" s="389"/>
      <c r="BC204" s="389"/>
      <c r="BF204" s="390"/>
      <c r="BG204" s="390"/>
      <c r="BH204" s="390"/>
    </row>
    <row r="205" spans="3:69" ht="21" customHeight="1">
      <c r="C205" s="630">
        <v>24</v>
      </c>
      <c r="D205" s="630"/>
      <c r="E205" s="632">
        <f>E204*(1-'Dane wejściowe'!$G$65/100)</f>
        <v>10592.622168115093</v>
      </c>
      <c r="F205" s="632"/>
      <c r="G205" s="632"/>
      <c r="H205" s="632">
        <f>E205*('Dane wejściowe'!$H$34/100)</f>
        <v>5296.3110840575464</v>
      </c>
      <c r="I205" s="632"/>
      <c r="J205" s="632"/>
      <c r="K205" s="632">
        <f t="shared" si="7"/>
        <v>5296.3110840575464</v>
      </c>
      <c r="L205" s="632"/>
      <c r="M205" s="632"/>
      <c r="N205" s="768">
        <f t="shared" si="8"/>
        <v>9146.3041604379523</v>
      </c>
      <c r="O205" s="768"/>
      <c r="P205" s="768"/>
      <c r="Q205" s="677">
        <f>K205*'Dane wejściowe'!$AF$34</f>
        <v>3177.7866504345279</v>
      </c>
      <c r="R205" s="678"/>
      <c r="S205" s="679"/>
      <c r="T205" s="632">
        <f t="shared" si="9"/>
        <v>6728.9183159424538</v>
      </c>
      <c r="U205" s="632"/>
      <c r="V205" s="632"/>
      <c r="W205" s="677">
        <f t="shared" si="13"/>
        <v>11620.301868900362</v>
      </c>
      <c r="X205" s="678"/>
      <c r="Y205" s="679"/>
      <c r="Z205" s="653">
        <f>Z204*(1+'Dane wejściowe'!$H$33/100)</f>
        <v>1.7269197400374179</v>
      </c>
      <c r="AA205" s="653"/>
      <c r="AB205" s="653"/>
      <c r="AC205" s="632">
        <f t="shared" si="11"/>
        <v>12324.09081087248</v>
      </c>
      <c r="AD205" s="632"/>
      <c r="AE205" s="632"/>
      <c r="AF205" s="453" t="e">
        <f t="shared" si="12"/>
        <v>#N/A</v>
      </c>
      <c r="AG205" s="452"/>
      <c r="AH205" s="452"/>
      <c r="AX205" s="388"/>
      <c r="AY205" s="388"/>
      <c r="AZ205" s="388"/>
      <c r="BA205" s="389"/>
      <c r="BB205" s="389"/>
      <c r="BC205" s="389"/>
      <c r="BF205" s="390"/>
      <c r="BG205" s="390"/>
      <c r="BH205" s="390"/>
    </row>
    <row r="206" spans="3:69" ht="21" customHeight="1">
      <c r="C206" s="630">
        <v>25</v>
      </c>
      <c r="D206" s="630"/>
      <c r="E206" s="632">
        <f>E205*(1-'Dane wejściowe'!$G$65/100)</f>
        <v>10534.36274619046</v>
      </c>
      <c r="F206" s="632"/>
      <c r="G206" s="632"/>
      <c r="H206" s="632">
        <f>E206*('Dane wejściowe'!$H$34/100)</f>
        <v>5267.1813730952299</v>
      </c>
      <c r="I206" s="632"/>
      <c r="J206" s="632"/>
      <c r="K206" s="632">
        <f t="shared" si="7"/>
        <v>5267.1813730952299</v>
      </c>
      <c r="L206" s="632"/>
      <c r="M206" s="632"/>
      <c r="N206" s="768">
        <f t="shared" si="8"/>
        <v>9277.9194773066556</v>
      </c>
      <c r="O206" s="768"/>
      <c r="P206" s="768"/>
      <c r="Q206" s="677">
        <f>K206*'Dane wejściowe'!$AF$34</f>
        <v>3160.3088238571377</v>
      </c>
      <c r="R206" s="678"/>
      <c r="S206" s="679"/>
      <c r="T206" s="632">
        <f t="shared" si="9"/>
        <v>6758.0480269047703</v>
      </c>
      <c r="U206" s="632"/>
      <c r="V206" s="632"/>
      <c r="W206" s="677">
        <f t="shared" si="13"/>
        <v>11904.018672618427</v>
      </c>
      <c r="X206" s="678"/>
      <c r="Y206" s="679"/>
      <c r="Z206" s="653">
        <f>Z205*(1+'Dane wejściowe'!$H$33/100)</f>
        <v>1.7614581348381664</v>
      </c>
      <c r="AA206" s="653"/>
      <c r="AB206" s="653"/>
      <c r="AC206" s="632">
        <f t="shared" si="11"/>
        <v>12438.228301163794</v>
      </c>
      <c r="AD206" s="632"/>
      <c r="AE206" s="632"/>
      <c r="AF206" s="453" t="e">
        <f t="shared" si="12"/>
        <v>#N/A</v>
      </c>
      <c r="AG206" s="452"/>
      <c r="AH206" s="452"/>
      <c r="AX206" s="388"/>
      <c r="AY206" s="388"/>
      <c r="AZ206" s="388"/>
      <c r="BA206" s="389"/>
      <c r="BB206" s="389"/>
      <c r="BC206" s="389"/>
      <c r="BF206" s="390"/>
      <c r="BG206" s="390"/>
      <c r="BH206" s="390"/>
    </row>
    <row r="207" spans="3:69" ht="21" customHeight="1">
      <c r="C207" s="630">
        <v>26</v>
      </c>
      <c r="D207" s="630"/>
      <c r="E207" s="632">
        <f>E206*(1-'Dane wejściowe'!$G$65/100)</f>
        <v>10476.423751086413</v>
      </c>
      <c r="F207" s="632"/>
      <c r="G207" s="632"/>
      <c r="H207" s="632">
        <f>E207*('Dane wejściowe'!$H$34/100)</f>
        <v>5238.2118755432066</v>
      </c>
      <c r="I207" s="632"/>
      <c r="J207" s="632"/>
      <c r="K207" s="632">
        <f t="shared" si="7"/>
        <v>5238.2118755432066</v>
      </c>
      <c r="L207" s="632"/>
      <c r="M207" s="632"/>
      <c r="N207" s="768">
        <f t="shared" si="8"/>
        <v>9411.4287385851003</v>
      </c>
      <c r="O207" s="768"/>
      <c r="P207" s="768"/>
      <c r="Q207" s="677">
        <f>K207*'Dane wejściowe'!$AF$34</f>
        <v>3142.927125325924</v>
      </c>
      <c r="R207" s="678"/>
      <c r="S207" s="679"/>
      <c r="T207" s="632">
        <f t="shared" si="9"/>
        <v>6787.0175244567936</v>
      </c>
      <c r="U207" s="632"/>
      <c r="V207" s="632"/>
      <c r="W207" s="677">
        <f t="shared" si="13"/>
        <v>12194.148174338485</v>
      </c>
      <c r="X207" s="678"/>
      <c r="Y207" s="679"/>
      <c r="Z207" s="653">
        <f>Z206*(1+'Dane wejściowe'!$H$33/100)</f>
        <v>1.7966872975349297</v>
      </c>
      <c r="AA207" s="653"/>
      <c r="AB207" s="653"/>
      <c r="AC207" s="632">
        <f t="shared" si="11"/>
        <v>12554.355863911023</v>
      </c>
      <c r="AD207" s="632"/>
      <c r="AE207" s="632"/>
      <c r="AF207" s="453" t="e">
        <f t="shared" si="12"/>
        <v>#N/A</v>
      </c>
      <c r="AG207" s="452"/>
      <c r="AH207" s="452"/>
      <c r="AX207" s="388"/>
      <c r="AY207" s="388"/>
      <c r="AZ207" s="388"/>
      <c r="BA207" s="389"/>
      <c r="BB207" s="389"/>
      <c r="BC207" s="389"/>
      <c r="BF207" s="390"/>
      <c r="BG207" s="390"/>
      <c r="BH207" s="390"/>
    </row>
    <row r="208" spans="3:69" ht="21" customHeight="1">
      <c r="C208" s="630">
        <v>27</v>
      </c>
      <c r="D208" s="630"/>
      <c r="E208" s="632">
        <f>E207*(1-'Dane wejściowe'!$G$65/100)</f>
        <v>10418.803420455439</v>
      </c>
      <c r="F208" s="632"/>
      <c r="G208" s="632"/>
      <c r="H208" s="632">
        <f>E208*('Dane wejściowe'!$H$34/100)</f>
        <v>5209.4017102277194</v>
      </c>
      <c r="I208" s="632"/>
      <c r="J208" s="632"/>
      <c r="K208" s="632">
        <f t="shared" si="7"/>
        <v>5209.4017102277194</v>
      </c>
      <c r="L208" s="632"/>
      <c r="M208" s="632"/>
      <c r="N208" s="768">
        <f t="shared" si="8"/>
        <v>9546.8591981333393</v>
      </c>
      <c r="O208" s="768"/>
      <c r="P208" s="768"/>
      <c r="Q208" s="677">
        <f>K208*'Dane wejściowe'!$AF$34</f>
        <v>3125.6410261366314</v>
      </c>
      <c r="R208" s="678"/>
      <c r="S208" s="679"/>
      <c r="T208" s="632">
        <f t="shared" si="9"/>
        <v>6815.8276897722808</v>
      </c>
      <c r="U208" s="632"/>
      <c r="V208" s="632"/>
      <c r="W208" s="677">
        <f t="shared" si="13"/>
        <v>12490.829253048716</v>
      </c>
      <c r="X208" s="678"/>
      <c r="Y208" s="679"/>
      <c r="Z208" s="653">
        <f>Z207*(1+'Dane wejściowe'!$H$33/100)</f>
        <v>1.8326210434856283</v>
      </c>
      <c r="AA208" s="653"/>
      <c r="AB208" s="653"/>
      <c r="AC208" s="632">
        <f t="shared" si="11"/>
        <v>12672.50022426997</v>
      </c>
      <c r="AD208" s="632"/>
      <c r="AE208" s="632"/>
      <c r="AF208" s="453" t="e">
        <f t="shared" si="12"/>
        <v>#N/A</v>
      </c>
      <c r="AG208" s="452"/>
      <c r="AH208" s="452"/>
      <c r="AX208" s="388"/>
      <c r="AY208" s="388"/>
      <c r="AZ208" s="388"/>
      <c r="BA208" s="389"/>
      <c r="BB208" s="389"/>
      <c r="BC208" s="389"/>
      <c r="BF208" s="390"/>
      <c r="BG208" s="390"/>
      <c r="BH208" s="390"/>
    </row>
    <row r="209" spans="1:60" ht="21" customHeight="1">
      <c r="C209" s="630">
        <v>28</v>
      </c>
      <c r="D209" s="630"/>
      <c r="E209" s="632">
        <f>E208*(1-'Dane wejściowe'!$G$65/100)</f>
        <v>10361.500001642935</v>
      </c>
      <c r="F209" s="632"/>
      <c r="G209" s="632"/>
      <c r="H209" s="632">
        <f>E209*('Dane wejściowe'!$H$34/100)</f>
        <v>5180.7500008214674</v>
      </c>
      <c r="I209" s="632"/>
      <c r="J209" s="632"/>
      <c r="K209" s="632">
        <f t="shared" si="7"/>
        <v>5180.7500008214674</v>
      </c>
      <c r="L209" s="632"/>
      <c r="M209" s="632"/>
      <c r="N209" s="768">
        <f t="shared" si="8"/>
        <v>9684.2385019944795</v>
      </c>
      <c r="O209" s="768"/>
      <c r="P209" s="768"/>
      <c r="Q209" s="677">
        <f>K209*'Dane wejściowe'!$AF$34</f>
        <v>3108.4500004928805</v>
      </c>
      <c r="R209" s="678"/>
      <c r="S209" s="679"/>
      <c r="T209" s="632">
        <f t="shared" si="9"/>
        <v>6844.4793991785327</v>
      </c>
      <c r="U209" s="632"/>
      <c r="V209" s="632"/>
      <c r="W209" s="677">
        <f t="shared" si="13"/>
        <v>12794.203718211218</v>
      </c>
      <c r="X209" s="678"/>
      <c r="Y209" s="679"/>
      <c r="Z209" s="653">
        <f>Z208*(1+'Dane wejściowe'!$H$33/100)</f>
        <v>1.8692734643553408</v>
      </c>
      <c r="AA209" s="653"/>
      <c r="AB209" s="653"/>
      <c r="AC209" s="632">
        <f t="shared" si="11"/>
        <v>12792.688502487359</v>
      </c>
      <c r="AD209" s="632"/>
      <c r="AE209" s="632"/>
      <c r="AF209" s="453" t="e">
        <f t="shared" si="12"/>
        <v>#N/A</v>
      </c>
      <c r="AG209" s="452"/>
      <c r="AH209" s="452"/>
      <c r="AX209" s="388"/>
      <c r="AY209" s="388"/>
      <c r="AZ209" s="388"/>
      <c r="BA209" s="389"/>
      <c r="BB209" s="389"/>
      <c r="BC209" s="389"/>
      <c r="BF209" s="390"/>
      <c r="BG209" s="390"/>
      <c r="BH209" s="390"/>
    </row>
    <row r="210" spans="1:60" ht="21" customHeight="1">
      <c r="C210" s="630">
        <v>29</v>
      </c>
      <c r="D210" s="630"/>
      <c r="E210" s="632">
        <f>E209*(1-'Dane wejściowe'!$G$65/100)</f>
        <v>10304.5117516339</v>
      </c>
      <c r="F210" s="632"/>
      <c r="G210" s="632"/>
      <c r="H210" s="632">
        <f>E210*('Dane wejściowe'!$H$34/100)</f>
        <v>5152.2558758169498</v>
      </c>
      <c r="I210" s="632"/>
      <c r="J210" s="632"/>
      <c r="K210" s="632">
        <f t="shared" si="7"/>
        <v>5152.2558758169498</v>
      </c>
      <c r="L210" s="632"/>
      <c r="M210" s="632"/>
      <c r="N210" s="768">
        <f t="shared" si="8"/>
        <v>9823.5946940381818</v>
      </c>
      <c r="O210" s="768"/>
      <c r="P210" s="768"/>
      <c r="Q210" s="677">
        <f>K210*'Dane wejściowe'!$AF$34</f>
        <v>3091.3535254901699</v>
      </c>
      <c r="R210" s="678"/>
      <c r="S210" s="679"/>
      <c r="T210" s="632">
        <f t="shared" si="9"/>
        <v>6872.9735241830504</v>
      </c>
      <c r="U210" s="632"/>
      <c r="V210" s="632"/>
      <c r="W210" s="677">
        <f t="shared" si="13"/>
        <v>13104.416370571631</v>
      </c>
      <c r="X210" s="678"/>
      <c r="Y210" s="679"/>
      <c r="Z210" s="653">
        <f>Z209*(1+'Dane wejściowe'!$H$33/100)</f>
        <v>1.9066589336424478</v>
      </c>
      <c r="AA210" s="653"/>
      <c r="AB210" s="653"/>
      <c r="AC210" s="632">
        <f t="shared" si="11"/>
        <v>12914.948219528353</v>
      </c>
      <c r="AD210" s="632"/>
      <c r="AE210" s="632"/>
      <c r="AF210" s="453" t="e">
        <f t="shared" si="12"/>
        <v>#N/A</v>
      </c>
      <c r="AG210" s="452"/>
      <c r="AH210" s="452"/>
      <c r="AX210" s="388"/>
      <c r="AY210" s="388"/>
      <c r="AZ210" s="388"/>
      <c r="BA210" s="389"/>
      <c r="BB210" s="389"/>
      <c r="BC210" s="389"/>
      <c r="BF210" s="390"/>
      <c r="BG210" s="390"/>
      <c r="BH210" s="390"/>
    </row>
    <row r="211" spans="1:60" ht="21" customHeight="1">
      <c r="C211" s="630">
        <v>30</v>
      </c>
      <c r="D211" s="630"/>
      <c r="E211" s="632">
        <f>E210*(1-'Dane wejściowe'!$G$65/100)</f>
        <v>10247.836936999915</v>
      </c>
      <c r="F211" s="632"/>
      <c r="G211" s="632"/>
      <c r="H211" s="632">
        <f>E211*('Dane wejściowe'!$H$34/100)</f>
        <v>5123.9184684999573</v>
      </c>
      <c r="I211" s="632"/>
      <c r="J211" s="632"/>
      <c r="K211" s="632">
        <f t="shared" si="7"/>
        <v>5123.9184684999573</v>
      </c>
      <c r="L211" s="632"/>
      <c r="M211" s="632"/>
      <c r="N211" s="768">
        <f t="shared" si="8"/>
        <v>9964.9562216853919</v>
      </c>
      <c r="O211" s="768"/>
      <c r="P211" s="768"/>
      <c r="Q211" s="677">
        <f>K211*'Dane wejściowe'!$AF$34</f>
        <v>3074.3510810999742</v>
      </c>
      <c r="R211" s="678"/>
      <c r="S211" s="679"/>
      <c r="T211" s="632">
        <f t="shared" si="9"/>
        <v>6901.3109315000429</v>
      </c>
      <c r="U211" s="632"/>
      <c r="V211" s="632"/>
      <c r="W211" s="632">
        <f t="shared" si="13"/>
        <v>13421.615064216616</v>
      </c>
      <c r="X211" s="632"/>
      <c r="Y211" s="632"/>
      <c r="Z211" s="653">
        <f>Z210*(1+'Dane wejściowe'!$H$33/100)</f>
        <v>1.9447921123152967</v>
      </c>
      <c r="AA211" s="653"/>
      <c r="AB211" s="653"/>
      <c r="AC211" s="632">
        <f t="shared" si="11"/>
        <v>13039.307302785366</v>
      </c>
      <c r="AD211" s="632"/>
      <c r="AE211" s="632"/>
      <c r="AF211" s="453" t="e">
        <f t="shared" si="12"/>
        <v>#N/A</v>
      </c>
      <c r="AG211" s="452"/>
      <c r="AH211" s="452"/>
      <c r="AX211" s="388"/>
      <c r="AY211" s="388"/>
      <c r="AZ211" s="388"/>
      <c r="BA211" s="389"/>
      <c r="BB211" s="389"/>
      <c r="BC211" s="389"/>
      <c r="BF211" s="390"/>
      <c r="BG211" s="390"/>
      <c r="BH211" s="390"/>
    </row>
    <row r="212" spans="1:60" ht="21" customHeight="1">
      <c r="C212" s="455"/>
      <c r="D212" s="455"/>
      <c r="E212" s="456"/>
      <c r="F212" s="456"/>
      <c r="G212" s="456"/>
      <c r="H212" s="456"/>
      <c r="I212" s="456"/>
      <c r="J212" s="456"/>
      <c r="K212" s="456"/>
      <c r="L212" s="456"/>
      <c r="M212" s="456"/>
      <c r="N212" s="457"/>
      <c r="O212" s="457"/>
      <c r="P212" s="457"/>
      <c r="Q212" s="456"/>
      <c r="R212" s="456"/>
      <c r="S212" s="456"/>
      <c r="T212" s="456"/>
      <c r="U212" s="456"/>
      <c r="V212" s="456"/>
      <c r="W212" s="456"/>
      <c r="X212" s="456"/>
      <c r="Y212" s="456"/>
      <c r="Z212" s="458"/>
      <c r="AA212" s="458"/>
      <c r="AB212" s="458"/>
      <c r="AC212" s="456"/>
      <c r="AD212" s="456"/>
      <c r="AE212" s="456"/>
      <c r="AF212" s="459"/>
      <c r="AG212" s="452"/>
      <c r="AH212" s="452"/>
      <c r="AX212" s="388"/>
      <c r="AY212" s="388"/>
      <c r="AZ212" s="388"/>
      <c r="BA212" s="389"/>
      <c r="BB212" s="389"/>
      <c r="BC212" s="389"/>
      <c r="BF212" s="390"/>
      <c r="BG212" s="390"/>
      <c r="BH212" s="390"/>
    </row>
    <row r="213" spans="1:60" ht="21" customHeight="1">
      <c r="C213" s="630" t="s">
        <v>1177</v>
      </c>
      <c r="D213" s="630"/>
      <c r="E213" s="630"/>
      <c r="F213" s="630"/>
      <c r="G213" s="630"/>
      <c r="H213" s="630"/>
      <c r="I213" s="630"/>
      <c r="J213" s="630"/>
      <c r="K213" s="631">
        <v>0.5</v>
      </c>
      <c r="L213" s="631"/>
      <c r="M213" s="631"/>
      <c r="O213" s="460"/>
      <c r="P213" s="460"/>
      <c r="Q213" s="632" t="s">
        <v>1178</v>
      </c>
      <c r="R213" s="632"/>
      <c r="S213" s="632"/>
      <c r="T213" s="632"/>
      <c r="U213" s="632"/>
      <c r="V213" s="632"/>
      <c r="W213" s="632"/>
      <c r="X213" s="632"/>
      <c r="Y213" s="632"/>
      <c r="Z213" s="656">
        <v>1.08</v>
      </c>
      <c r="AA213" s="656"/>
      <c r="AB213" s="656"/>
      <c r="AC213" s="456"/>
      <c r="AD213" s="456"/>
      <c r="AE213" s="456"/>
      <c r="AF213" s="459"/>
      <c r="AG213" s="452"/>
      <c r="AH213" s="452"/>
      <c r="AX213" s="388"/>
      <c r="AY213" s="388"/>
      <c r="AZ213" s="388"/>
      <c r="BA213" s="389"/>
      <c r="BB213" s="389"/>
      <c r="BC213" s="389"/>
      <c r="BF213" s="390"/>
      <c r="BG213" s="390"/>
      <c r="BH213" s="390"/>
    </row>
    <row r="214" spans="1:60" ht="21" customHeight="1">
      <c r="A214" s="701" t="s">
        <v>109</v>
      </c>
      <c r="B214" s="701"/>
      <c r="C214" s="701"/>
      <c r="D214" s="701"/>
      <c r="E214" s="701"/>
      <c r="F214" s="701"/>
      <c r="G214" s="701"/>
      <c r="H214" s="701"/>
      <c r="I214" s="701"/>
      <c r="J214" s="701"/>
      <c r="K214" s="701"/>
      <c r="L214" s="701"/>
      <c r="M214" s="701"/>
      <c r="N214" s="701"/>
      <c r="O214" s="701"/>
      <c r="P214" s="701"/>
      <c r="Q214" s="701"/>
      <c r="R214" s="701"/>
      <c r="S214" s="701"/>
      <c r="T214" s="701"/>
      <c r="U214" s="701"/>
      <c r="V214" s="701"/>
      <c r="W214" s="701"/>
      <c r="X214" s="701"/>
      <c r="Y214" s="701"/>
      <c r="Z214" s="701"/>
      <c r="AA214" s="701"/>
      <c r="AB214" s="701"/>
      <c r="AC214" s="701"/>
      <c r="AD214" s="701"/>
      <c r="AE214" s="701"/>
      <c r="BF214" s="390"/>
    </row>
    <row r="215" spans="1:60" ht="21" customHeight="1">
      <c r="A215" s="702"/>
      <c r="B215" s="702"/>
      <c r="C215" s="702"/>
      <c r="D215" s="702"/>
      <c r="E215" s="702"/>
      <c r="F215" s="702"/>
      <c r="G215" s="702"/>
      <c r="H215" s="702"/>
      <c r="I215" s="702"/>
      <c r="J215" s="702"/>
      <c r="K215" s="702"/>
      <c r="L215" s="702"/>
      <c r="M215" s="702"/>
      <c r="N215" s="702"/>
      <c r="O215" s="702"/>
      <c r="P215" s="702"/>
      <c r="Q215" s="702"/>
      <c r="R215" s="702"/>
      <c r="S215" s="702"/>
      <c r="T215" s="702"/>
      <c r="U215" s="702"/>
      <c r="V215" s="702"/>
      <c r="W215" s="702"/>
      <c r="X215" s="702"/>
      <c r="Y215" s="702"/>
      <c r="Z215" s="702"/>
      <c r="AA215" s="702"/>
      <c r="AB215" s="702"/>
      <c r="AC215" s="702"/>
      <c r="AD215" s="702"/>
      <c r="AE215" s="702"/>
    </row>
    <row r="216" spans="1:60" ht="21" customHeight="1">
      <c r="A216" s="657" t="s">
        <v>213</v>
      </c>
      <c r="B216" s="657"/>
      <c r="C216" s="657"/>
      <c r="D216" s="657"/>
      <c r="E216" s="657"/>
      <c r="F216" s="657"/>
      <c r="G216" s="657"/>
      <c r="H216" s="657"/>
      <c r="I216" s="657"/>
      <c r="J216" s="657"/>
      <c r="K216" s="657"/>
      <c r="L216" s="657"/>
      <c r="M216" s="657"/>
      <c r="N216" s="657"/>
      <c r="O216" s="657"/>
      <c r="P216" s="657"/>
      <c r="Q216" s="657"/>
      <c r="R216" s="657" t="s">
        <v>203</v>
      </c>
      <c r="S216" s="657"/>
      <c r="T216" s="622" t="s">
        <v>204</v>
      </c>
      <c r="U216" s="623"/>
      <c r="V216" s="624"/>
      <c r="W216" s="657" t="s">
        <v>205</v>
      </c>
      <c r="X216" s="657"/>
      <c r="Y216" s="657"/>
      <c r="Z216" s="700" t="s">
        <v>251</v>
      </c>
      <c r="AA216" s="700"/>
      <c r="AB216" s="694" t="s">
        <v>206</v>
      </c>
      <c r="AC216" s="695"/>
      <c r="AD216" s="695"/>
      <c r="AE216" s="696"/>
    </row>
    <row r="217" spans="1:60" ht="21" customHeight="1">
      <c r="A217" s="657"/>
      <c r="B217" s="657"/>
      <c r="C217" s="657"/>
      <c r="D217" s="657"/>
      <c r="E217" s="657"/>
      <c r="F217" s="657"/>
      <c r="G217" s="657"/>
      <c r="H217" s="657"/>
      <c r="I217" s="657"/>
      <c r="J217" s="657"/>
      <c r="K217" s="657"/>
      <c r="L217" s="657"/>
      <c r="M217" s="657"/>
      <c r="N217" s="657"/>
      <c r="O217" s="657"/>
      <c r="P217" s="657"/>
      <c r="Q217" s="657"/>
      <c r="R217" s="657"/>
      <c r="S217" s="657"/>
      <c r="T217" s="625"/>
      <c r="U217" s="626"/>
      <c r="V217" s="627"/>
      <c r="W217" s="657"/>
      <c r="X217" s="657"/>
      <c r="Y217" s="657"/>
      <c r="Z217" s="700"/>
      <c r="AA217" s="700"/>
      <c r="AB217" s="697"/>
      <c r="AC217" s="698"/>
      <c r="AD217" s="698"/>
      <c r="AE217" s="699"/>
    </row>
    <row r="218" spans="1:60" ht="21" customHeight="1">
      <c r="A218" s="616" t="s">
        <v>199</v>
      </c>
      <c r="B218" s="616"/>
      <c r="C218" s="616"/>
      <c r="D218" s="616"/>
      <c r="E218" s="616"/>
      <c r="F218" s="616"/>
      <c r="G218" s="616"/>
      <c r="H218" s="616" t="str">
        <f>panel</f>
        <v>TW Solar TW555-MAP M10-144-H</v>
      </c>
      <c r="I218" s="616"/>
      <c r="J218" s="616"/>
      <c r="K218" s="616"/>
      <c r="L218" s="616"/>
      <c r="M218" s="616"/>
      <c r="N218" s="616"/>
      <c r="O218" s="616"/>
      <c r="P218" s="616"/>
      <c r="Q218" s="616"/>
      <c r="R218" s="615">
        <f>'Dane wejściowe'!$O$43</f>
        <v>24</v>
      </c>
      <c r="S218" s="615"/>
      <c r="T218" s="619">
        <f>'[1]wycena PV'!$H2</f>
        <v>516</v>
      </c>
      <c r="U218" s="620"/>
      <c r="V218" s="621"/>
      <c r="W218" s="652">
        <f>T218*R218</f>
        <v>12384</v>
      </c>
      <c r="X218" s="652"/>
      <c r="Y218" s="652"/>
      <c r="Z218" s="651">
        <f>IF(AI231=0,IF($P$63="firma",23%,8%))</f>
        <v>0.08</v>
      </c>
      <c r="AA218" s="651"/>
      <c r="AB218" s="639">
        <f t="shared" ref="AB218:AB231" si="14">W218*(1+Z218)</f>
        <v>13374.720000000001</v>
      </c>
      <c r="AC218" s="640"/>
      <c r="AD218" s="640"/>
      <c r="AE218" s="641"/>
      <c r="AU218" s="388" t="str">
        <f>H218</f>
        <v>TW Solar TW555-MAP M10-144-H</v>
      </c>
      <c r="AV218" s="413">
        <f>R218</f>
        <v>24</v>
      </c>
    </row>
    <row r="219" spans="1:60" ht="21" customHeight="1">
      <c r="A219" s="618" t="s">
        <v>198</v>
      </c>
      <c r="B219" s="618"/>
      <c r="C219" s="618"/>
      <c r="D219" s="618"/>
      <c r="E219" s="618"/>
      <c r="F219" s="618"/>
      <c r="G219" s="618"/>
      <c r="H219" s="618" t="str">
        <f>H93</f>
        <v>Sofar 12KTLX-G3</v>
      </c>
      <c r="I219" s="618"/>
      <c r="J219" s="618"/>
      <c r="K219" s="618"/>
      <c r="L219" s="618"/>
      <c r="M219" s="618"/>
      <c r="N219" s="618"/>
      <c r="O219" s="618"/>
      <c r="P219" s="618">
        <f>S93</f>
        <v>0</v>
      </c>
      <c r="Q219" s="618"/>
      <c r="R219" s="616">
        <f>'Dane wejściowe'!$O$44</f>
        <v>1</v>
      </c>
      <c r="S219" s="616"/>
      <c r="T219" s="619">
        <f>'[1]wycena PV'!$H3</f>
        <v>4716</v>
      </c>
      <c r="U219" s="620"/>
      <c r="V219" s="621"/>
      <c r="W219" s="652">
        <f t="shared" ref="W219:W227" si="15">R219*T219</f>
        <v>4716</v>
      </c>
      <c r="X219" s="652"/>
      <c r="Y219" s="652"/>
      <c r="Z219" s="651">
        <f>IF(AI232=0,IF($P$63="firma",23%,8%))</f>
        <v>0.08</v>
      </c>
      <c r="AA219" s="651"/>
      <c r="AB219" s="639">
        <f t="shared" si="14"/>
        <v>5093.2800000000007</v>
      </c>
      <c r="AC219" s="640"/>
      <c r="AD219" s="640"/>
      <c r="AE219" s="641"/>
      <c r="AG219" s="388" t="str" cm="1">
        <f t="array" ref="AG219:AM219">'Dane wejściowe'!G49:M49</f>
        <v>Przewód DC 4mm2</v>
      </c>
      <c r="AH219" s="388">
        <v>0</v>
      </c>
      <c r="AI219" s="388">
        <v>0</v>
      </c>
      <c r="AJ219" s="388">
        <v>0</v>
      </c>
      <c r="AK219" s="388">
        <v>0</v>
      </c>
      <c r="AL219" s="388">
        <v>0</v>
      </c>
      <c r="AM219" s="388">
        <v>0</v>
      </c>
      <c r="AU219" s="388" t="str">
        <f>H219</f>
        <v>Sofar 12KTLX-G3</v>
      </c>
      <c r="AV219" s="413">
        <f t="shared" ref="AV219:AV233" si="16">R219</f>
        <v>1</v>
      </c>
    </row>
    <row r="220" spans="1:60" ht="21" customHeight="1">
      <c r="A220" s="616" t="s">
        <v>200</v>
      </c>
      <c r="B220" s="616"/>
      <c r="C220" s="616"/>
      <c r="D220" s="616"/>
      <c r="E220" s="616"/>
      <c r="F220" s="616"/>
      <c r="G220" s="616"/>
      <c r="H220" s="616"/>
      <c r="I220" s="616"/>
      <c r="J220" s="616"/>
      <c r="K220" s="616"/>
      <c r="L220" s="616"/>
      <c r="M220" s="616" t="s">
        <v>207</v>
      </c>
      <c r="N220" s="616"/>
      <c r="O220" s="616"/>
      <c r="P220" s="616"/>
      <c r="Q220" s="616"/>
      <c r="R220" s="616">
        <f>'Dane wejściowe'!O53</f>
        <v>10</v>
      </c>
      <c r="S220" s="616"/>
      <c r="T220" s="619">
        <f>'[1]wycena PV'!$H4</f>
        <v>13.44</v>
      </c>
      <c r="U220" s="620"/>
      <c r="V220" s="621"/>
      <c r="W220" s="652">
        <f t="shared" si="15"/>
        <v>134.4</v>
      </c>
      <c r="X220" s="652"/>
      <c r="Y220" s="652"/>
      <c r="Z220" s="651">
        <f>IF(AI233=0,IF($P$63="firma",23%,8%))</f>
        <v>0.08</v>
      </c>
      <c r="AA220" s="651"/>
      <c r="AB220" s="639">
        <f t="shared" si="14"/>
        <v>145.15200000000002</v>
      </c>
      <c r="AC220" s="640"/>
      <c r="AD220" s="640"/>
      <c r="AE220" s="641"/>
      <c r="AU220" s="388" t="str">
        <f>A220</f>
        <v>Złączki szeregowe</v>
      </c>
      <c r="AV220" s="413">
        <f t="shared" si="16"/>
        <v>10</v>
      </c>
    </row>
    <row r="221" spans="1:60" ht="21" customHeight="1">
      <c r="A221" s="692" t="str">
        <f>AG219</f>
        <v>Przewód DC 4mm2</v>
      </c>
      <c r="B221" s="692"/>
      <c r="C221" s="692"/>
      <c r="D221" s="692"/>
      <c r="E221" s="692"/>
      <c r="F221" s="692"/>
      <c r="G221" s="692"/>
      <c r="H221" s="692"/>
      <c r="I221" s="692"/>
      <c r="J221" s="692"/>
      <c r="K221" s="692"/>
      <c r="L221" s="692"/>
      <c r="M221" s="692"/>
      <c r="N221" s="692"/>
      <c r="O221" s="692"/>
      <c r="P221" s="692"/>
      <c r="Q221" s="692"/>
      <c r="R221" s="749">
        <f>'Dane wejściowe'!O49</f>
        <v>150</v>
      </c>
      <c r="S221" s="749"/>
      <c r="T221" s="619">
        <f>'[1]wycena PV'!$H5</f>
        <v>4.2</v>
      </c>
      <c r="U221" s="620"/>
      <c r="V221" s="621"/>
      <c r="W221" s="652">
        <f t="shared" si="15"/>
        <v>630</v>
      </c>
      <c r="X221" s="652"/>
      <c r="Y221" s="652"/>
      <c r="Z221" s="651">
        <f t="shared" ref="Z221:Z233" si="17">IF(AI234=0,IF($P$63="firma",23%,8%))</f>
        <v>0.08</v>
      </c>
      <c r="AA221" s="651"/>
      <c r="AB221" s="639">
        <f t="shared" si="14"/>
        <v>680.40000000000009</v>
      </c>
      <c r="AC221" s="640"/>
      <c r="AD221" s="640"/>
      <c r="AE221" s="641"/>
      <c r="AU221" s="388" t="str">
        <f>A221</f>
        <v>Przewód DC 4mm2</v>
      </c>
      <c r="AV221" s="413">
        <f t="shared" si="16"/>
        <v>150</v>
      </c>
    </row>
    <row r="222" spans="1:60" ht="21" customHeight="1">
      <c r="A222" s="692" t="s">
        <v>468</v>
      </c>
      <c r="B222" s="692"/>
      <c r="C222" s="692"/>
      <c r="D222" s="692"/>
      <c r="E222" s="692"/>
      <c r="F222" s="692"/>
      <c r="G222" s="692"/>
      <c r="H222" s="692"/>
      <c r="I222" s="692"/>
      <c r="J222" s="692"/>
      <c r="K222" s="692"/>
      <c r="L222" s="692"/>
      <c r="M222" s="692"/>
      <c r="N222" s="692"/>
      <c r="O222" s="692"/>
      <c r="P222" s="692"/>
      <c r="Q222" s="692"/>
      <c r="R222" s="749">
        <f>'Dane wejściowe'!O48</f>
        <v>10</v>
      </c>
      <c r="S222" s="749"/>
      <c r="T222" s="619">
        <f>'[1]wycena PV'!$H6</f>
        <v>14.399999999999999</v>
      </c>
      <c r="U222" s="620"/>
      <c r="V222" s="621"/>
      <c r="W222" s="652">
        <f t="shared" si="15"/>
        <v>144</v>
      </c>
      <c r="X222" s="652"/>
      <c r="Y222" s="652"/>
      <c r="Z222" s="651">
        <f t="shared" si="17"/>
        <v>0.08</v>
      </c>
      <c r="AA222" s="651"/>
      <c r="AB222" s="639">
        <f t="shared" si="14"/>
        <v>155.52000000000001</v>
      </c>
      <c r="AC222" s="640"/>
      <c r="AD222" s="640"/>
      <c r="AE222" s="641"/>
      <c r="AU222" s="388" t="str">
        <f>A222</f>
        <v>Przewód AC 5x4mm2</v>
      </c>
      <c r="AV222" s="413">
        <f t="shared" si="16"/>
        <v>10</v>
      </c>
    </row>
    <row r="223" spans="1:60" ht="21" customHeight="1">
      <c r="A223" s="628" t="s">
        <v>1138</v>
      </c>
      <c r="B223" s="628"/>
      <c r="C223" s="628"/>
      <c r="D223" s="628"/>
      <c r="E223" s="628"/>
      <c r="F223" s="628"/>
      <c r="G223" s="628"/>
      <c r="H223" s="628"/>
      <c r="I223" s="628"/>
      <c r="J223" s="628"/>
      <c r="K223" s="628"/>
      <c r="L223" s="628"/>
      <c r="M223" s="628"/>
      <c r="N223" s="628"/>
      <c r="O223" s="628"/>
      <c r="P223" s="628"/>
      <c r="Q223" s="628"/>
      <c r="R223" s="749">
        <v>1</v>
      </c>
      <c r="S223" s="749"/>
      <c r="T223" s="619">
        <f>'[1]wycena PV'!$H7</f>
        <v>600</v>
      </c>
      <c r="U223" s="620"/>
      <c r="V223" s="621"/>
      <c r="W223" s="652">
        <f t="shared" si="15"/>
        <v>600</v>
      </c>
      <c r="X223" s="652"/>
      <c r="Y223" s="652"/>
      <c r="Z223" s="651">
        <f t="shared" si="17"/>
        <v>0.08</v>
      </c>
      <c r="AA223" s="651"/>
      <c r="AB223" s="639">
        <f t="shared" si="14"/>
        <v>648</v>
      </c>
      <c r="AC223" s="640"/>
      <c r="AD223" s="640"/>
      <c r="AE223" s="641"/>
      <c r="AU223" s="388" t="str">
        <f>A223</f>
        <v>Skrzynka z ogranicznikiem przepięć AC 3-F typu T1+T2</v>
      </c>
      <c r="AV223" s="413">
        <f t="shared" si="16"/>
        <v>1</v>
      </c>
    </row>
    <row r="224" spans="1:60" ht="21" customHeight="1">
      <c r="A224" s="628" t="s">
        <v>476</v>
      </c>
      <c r="B224" s="628"/>
      <c r="C224" s="628"/>
      <c r="D224" s="628"/>
      <c r="E224" s="628"/>
      <c r="F224" s="628"/>
      <c r="G224" s="628"/>
      <c r="H224" s="628"/>
      <c r="I224" s="628"/>
      <c r="J224" s="628"/>
      <c r="K224" s="628"/>
      <c r="L224" s="628"/>
      <c r="M224" s="628"/>
      <c r="N224" s="628"/>
      <c r="O224" s="628"/>
      <c r="P224" s="628"/>
      <c r="Q224" s="628"/>
      <c r="R224" s="749">
        <v>1</v>
      </c>
      <c r="S224" s="749"/>
      <c r="T224" s="619">
        <f>'[1]wycena PV'!$H8</f>
        <v>912</v>
      </c>
      <c r="U224" s="620"/>
      <c r="V224" s="621"/>
      <c r="W224" s="652">
        <f t="shared" si="15"/>
        <v>912</v>
      </c>
      <c r="X224" s="652"/>
      <c r="Y224" s="652"/>
      <c r="Z224" s="651">
        <f t="shared" si="17"/>
        <v>0.08</v>
      </c>
      <c r="AA224" s="651"/>
      <c r="AB224" s="639">
        <f t="shared" si="14"/>
        <v>984.96</v>
      </c>
      <c r="AC224" s="640"/>
      <c r="AD224" s="640"/>
      <c r="AE224" s="641"/>
      <c r="AU224" s="388" t="str">
        <f>A224</f>
        <v>Skrzynka przepięciowa 2 łańcuchy DC 1000V</v>
      </c>
      <c r="AV224" s="413">
        <f t="shared" si="16"/>
        <v>1</v>
      </c>
    </row>
    <row r="225" spans="1:65" ht="21" customHeight="1">
      <c r="A225" s="616" t="s">
        <v>201</v>
      </c>
      <c r="B225" s="616"/>
      <c r="C225" s="616"/>
      <c r="D225" s="616"/>
      <c r="E225" s="616"/>
      <c r="F225" s="616"/>
      <c r="G225" s="616" t="str">
        <f>P71</f>
        <v>Dachówka</v>
      </c>
      <c r="H225" s="616"/>
      <c r="I225" s="616"/>
      <c r="J225" s="616"/>
      <c r="K225" s="616"/>
      <c r="L225" s="616"/>
      <c r="M225" s="616"/>
      <c r="N225" s="616"/>
      <c r="O225" s="616"/>
      <c r="P225" s="616"/>
      <c r="Q225" s="616"/>
      <c r="R225" s="615">
        <f>R218</f>
        <v>24</v>
      </c>
      <c r="S225" s="615"/>
      <c r="T225" s="619">
        <f>'[1]wycena PV'!$H9</f>
        <v>148.79999999999998</v>
      </c>
      <c r="U225" s="620"/>
      <c r="V225" s="621"/>
      <c r="W225" s="652">
        <f t="shared" si="15"/>
        <v>3571.2</v>
      </c>
      <c r="X225" s="652"/>
      <c r="Y225" s="652"/>
      <c r="Z225" s="651">
        <f t="shared" si="17"/>
        <v>0.08</v>
      </c>
      <c r="AA225" s="651"/>
      <c r="AB225" s="639">
        <f t="shared" si="14"/>
        <v>3856.8960000000002</v>
      </c>
      <c r="AC225" s="640"/>
      <c r="AD225" s="640"/>
      <c r="AE225" s="641"/>
      <c r="AU225" s="388" t="str">
        <f t="shared" ref="AU225:AU230" si="18">G225</f>
        <v>Dachówka</v>
      </c>
      <c r="AV225" s="413">
        <f t="shared" si="16"/>
        <v>24</v>
      </c>
      <c r="BK225" s="404"/>
      <c r="BM225" s="388" t="str">
        <f>[1]inne!$D3</f>
        <v>Złączki szeregowe</v>
      </c>
    </row>
    <row r="226" spans="1:65" ht="21" customHeight="1">
      <c r="A226" s="618" t="s">
        <v>219</v>
      </c>
      <c r="B226" s="618"/>
      <c r="C226" s="618"/>
      <c r="D226" s="618"/>
      <c r="E226" s="618"/>
      <c r="F226" s="618"/>
      <c r="G226" s="749" t="s">
        <v>1134</v>
      </c>
      <c r="H226" s="749"/>
      <c r="I226" s="749"/>
      <c r="J226" s="749"/>
      <c r="K226" s="749"/>
      <c r="L226" s="749"/>
      <c r="M226" s="749"/>
      <c r="N226" s="749"/>
      <c r="O226" s="749"/>
      <c r="P226" s="749"/>
      <c r="Q226" s="749"/>
      <c r="R226" s="617">
        <v>1</v>
      </c>
      <c r="S226" s="617"/>
      <c r="T226" s="619">
        <f>'[1]wycena PV'!$H10</f>
        <v>600</v>
      </c>
      <c r="U226" s="620"/>
      <c r="V226" s="621"/>
      <c r="W226" s="652">
        <f t="shared" si="15"/>
        <v>600</v>
      </c>
      <c r="X226" s="652"/>
      <c r="Y226" s="652"/>
      <c r="Z226" s="651">
        <f t="shared" si="17"/>
        <v>0.08</v>
      </c>
      <c r="AA226" s="651"/>
      <c r="AB226" s="639">
        <f t="shared" si="14"/>
        <v>648</v>
      </c>
      <c r="AC226" s="640"/>
      <c r="AD226" s="640"/>
      <c r="AE226" s="641"/>
      <c r="AO226" s="388" t="str">
        <f>IF(BB21&gt;=1,IF(BC21&gt;=1,"SPD T2",""),"")</f>
        <v/>
      </c>
      <c r="AU226" s="388" t="str">
        <f t="shared" si="18"/>
        <v>Uzgodnienia ppoż instalacja powyżej 6.5kWp</v>
      </c>
      <c r="AV226" s="413">
        <f t="shared" si="16"/>
        <v>1</v>
      </c>
      <c r="BK226" s="404"/>
      <c r="BM226" s="388" t="e">
        <f>[1]inne!#REF!</f>
        <v>#REF!</v>
      </c>
    </row>
    <row r="227" spans="1:65" ht="21" customHeight="1">
      <c r="A227" s="618"/>
      <c r="B227" s="618"/>
      <c r="C227" s="618"/>
      <c r="D227" s="618"/>
      <c r="E227" s="618"/>
      <c r="F227" s="618"/>
      <c r="G227" s="749" t="s">
        <v>1113</v>
      </c>
      <c r="H227" s="749"/>
      <c r="I227" s="749"/>
      <c r="J227" s="749"/>
      <c r="K227" s="749"/>
      <c r="L227" s="749"/>
      <c r="M227" s="749"/>
      <c r="N227" s="749"/>
      <c r="O227" s="749"/>
      <c r="P227" s="749"/>
      <c r="Q227" s="749"/>
      <c r="R227" s="617">
        <v>1</v>
      </c>
      <c r="S227" s="617"/>
      <c r="T227" s="619">
        <f>'[1]wycena PV'!$H11</f>
        <v>900</v>
      </c>
      <c r="U227" s="620"/>
      <c r="V227" s="621"/>
      <c r="W227" s="652">
        <f t="shared" si="15"/>
        <v>900</v>
      </c>
      <c r="X227" s="652"/>
      <c r="Y227" s="652"/>
      <c r="Z227" s="651">
        <f t="shared" si="17"/>
        <v>0.08</v>
      </c>
      <c r="AA227" s="651"/>
      <c r="AB227" s="639">
        <f t="shared" si="14"/>
        <v>972.00000000000011</v>
      </c>
      <c r="AC227" s="640"/>
      <c r="AD227" s="640"/>
      <c r="AE227" s="641"/>
      <c r="AU227" s="388" t="str">
        <f t="shared" si="18"/>
        <v>Rozłącznik ppoż PROJOY 2-stringi</v>
      </c>
      <c r="AV227" s="413">
        <f t="shared" si="16"/>
        <v>1</v>
      </c>
      <c r="BK227" s="404"/>
      <c r="BM227" s="388" t="e">
        <f>[1]inne!#REF!</f>
        <v>#REF!</v>
      </c>
    </row>
    <row r="228" spans="1:65" ht="21" customHeight="1">
      <c r="A228" s="618"/>
      <c r="B228" s="618"/>
      <c r="C228" s="618"/>
      <c r="D228" s="618"/>
      <c r="E228" s="618"/>
      <c r="F228" s="618"/>
      <c r="G228" s="749" t="s">
        <v>1139</v>
      </c>
      <c r="H228" s="749"/>
      <c r="I228" s="749"/>
      <c r="J228" s="749"/>
      <c r="K228" s="749"/>
      <c r="L228" s="749"/>
      <c r="M228" s="749"/>
      <c r="N228" s="749"/>
      <c r="O228" s="749"/>
      <c r="P228" s="749"/>
      <c r="Q228" s="749"/>
      <c r="R228" s="617">
        <v>0</v>
      </c>
      <c r="S228" s="617"/>
      <c r="T228" s="619" t="e">
        <f>'[1]wycena PV'!$H12</f>
        <v>#N/A</v>
      </c>
      <c r="U228" s="620"/>
      <c r="V228" s="621"/>
      <c r="W228" s="652" t="e">
        <f t="shared" ref="W228:W229" si="19">R228*T228</f>
        <v>#N/A</v>
      </c>
      <c r="X228" s="652"/>
      <c r="Y228" s="652"/>
      <c r="Z228" s="651">
        <f t="shared" si="17"/>
        <v>0.08</v>
      </c>
      <c r="AA228" s="651"/>
      <c r="AB228" s="639" t="e">
        <f t="shared" si="14"/>
        <v>#N/A</v>
      </c>
      <c r="AC228" s="640"/>
      <c r="AD228" s="640"/>
      <c r="AE228" s="641"/>
      <c r="AF228" s="649" t="s">
        <v>289</v>
      </c>
      <c r="AG228" s="649"/>
      <c r="AH228" s="649"/>
      <c r="AI228" s="649"/>
      <c r="AU228" s="388" t="str">
        <f t="shared" si="18"/>
        <v xml:space="preserve">   </v>
      </c>
      <c r="AV228" s="413">
        <f t="shared" si="16"/>
        <v>0</v>
      </c>
      <c r="BK228" s="404"/>
      <c r="BM228" s="388" t="e">
        <f>[1]inne!#REF!</f>
        <v>#REF!</v>
      </c>
    </row>
    <row r="229" spans="1:65" ht="21" customHeight="1">
      <c r="A229" s="618"/>
      <c r="B229" s="618"/>
      <c r="C229" s="618"/>
      <c r="D229" s="618"/>
      <c r="E229" s="618"/>
      <c r="F229" s="618"/>
      <c r="G229" s="749" t="s">
        <v>1139</v>
      </c>
      <c r="H229" s="749"/>
      <c r="I229" s="749"/>
      <c r="J229" s="749"/>
      <c r="K229" s="749"/>
      <c r="L229" s="749"/>
      <c r="M229" s="749"/>
      <c r="N229" s="749"/>
      <c r="O229" s="749"/>
      <c r="P229" s="749"/>
      <c r="Q229" s="749"/>
      <c r="R229" s="617">
        <v>0</v>
      </c>
      <c r="S229" s="617"/>
      <c r="T229" s="619" t="e">
        <f>'[1]wycena PV'!$H13</f>
        <v>#N/A</v>
      </c>
      <c r="U229" s="620"/>
      <c r="V229" s="621"/>
      <c r="W229" s="652" t="e">
        <f t="shared" si="19"/>
        <v>#N/A</v>
      </c>
      <c r="X229" s="652"/>
      <c r="Y229" s="652"/>
      <c r="Z229" s="651">
        <f t="shared" si="17"/>
        <v>0.08</v>
      </c>
      <c r="AA229" s="651"/>
      <c r="AB229" s="639" t="e">
        <f t="shared" si="14"/>
        <v>#N/A</v>
      </c>
      <c r="AC229" s="640"/>
      <c r="AD229" s="640"/>
      <c r="AE229" s="641"/>
      <c r="AI229" s="414" t="s">
        <v>45</v>
      </c>
      <c r="AJ229" s="404"/>
      <c r="AK229" s="388">
        <f>INDEX('[1]wycena PV'!$N$2:$Z$35,MATCH($AI$229,'[1]wycena PV'!$N$2:$N$35,0),2)</f>
        <v>0</v>
      </c>
      <c r="AU229" s="388" t="str">
        <f t="shared" si="18"/>
        <v xml:space="preserve">   </v>
      </c>
      <c r="AV229" s="413">
        <f t="shared" si="16"/>
        <v>0</v>
      </c>
      <c r="BK229" s="404"/>
      <c r="BM229" s="388" t="str">
        <f>[1]inne!$I17</f>
        <v>Skrzynka przepięciowa 2 łańcuchy DC 1000V</v>
      </c>
    </row>
    <row r="230" spans="1:65" ht="21" customHeight="1">
      <c r="A230" s="618"/>
      <c r="B230" s="618"/>
      <c r="C230" s="618"/>
      <c r="D230" s="618"/>
      <c r="E230" s="618"/>
      <c r="F230" s="618"/>
      <c r="G230" s="749" t="s">
        <v>1139</v>
      </c>
      <c r="H230" s="749"/>
      <c r="I230" s="749"/>
      <c r="J230" s="749"/>
      <c r="K230" s="749"/>
      <c r="L230" s="749"/>
      <c r="M230" s="749"/>
      <c r="N230" s="749"/>
      <c r="O230" s="749"/>
      <c r="P230" s="749"/>
      <c r="Q230" s="749"/>
      <c r="R230" s="617">
        <v>0</v>
      </c>
      <c r="S230" s="617"/>
      <c r="T230" s="619" t="e">
        <f>'[1]wycena PV'!$H14</f>
        <v>#N/A</v>
      </c>
      <c r="U230" s="620"/>
      <c r="V230" s="621"/>
      <c r="W230" s="652" t="e">
        <f t="shared" ref="W230" si="20">R230*T230</f>
        <v>#N/A</v>
      </c>
      <c r="X230" s="652"/>
      <c r="Y230" s="652"/>
      <c r="Z230" s="651">
        <f t="shared" si="17"/>
        <v>0.08</v>
      </c>
      <c r="AA230" s="651"/>
      <c r="AB230" s="639" t="e">
        <f t="shared" si="14"/>
        <v>#N/A</v>
      </c>
      <c r="AC230" s="640"/>
      <c r="AD230" s="640"/>
      <c r="AE230" s="641"/>
      <c r="AI230" s="388" t="s">
        <v>183</v>
      </c>
      <c r="AK230" s="388">
        <f>INDEX('[1]wycena PV'!$N$2:$Z$35,MATCH($AI$229,'[1]wycena PV'!$N$2:$N$35,0),2)</f>
        <v>0</v>
      </c>
      <c r="AU230" s="388" t="str">
        <f t="shared" si="18"/>
        <v xml:space="preserve">   </v>
      </c>
      <c r="AV230" s="413">
        <f t="shared" si="16"/>
        <v>0</v>
      </c>
      <c r="BK230" s="404"/>
      <c r="BM230" s="388" t="str">
        <f>[1]inne!$I18</f>
        <v>Skrzynka przepięciowa 1 łańcuch DC 1000V</v>
      </c>
    </row>
    <row r="231" spans="1:65" ht="21" customHeight="1">
      <c r="A231" s="616" t="s">
        <v>197</v>
      </c>
      <c r="B231" s="616"/>
      <c r="C231" s="616"/>
      <c r="D231" s="616"/>
      <c r="E231" s="616"/>
      <c r="F231" s="616"/>
      <c r="G231" s="616"/>
      <c r="H231" s="616"/>
      <c r="I231" s="616"/>
      <c r="J231" s="616"/>
      <c r="K231" s="616"/>
      <c r="L231" s="616"/>
      <c r="M231" s="616"/>
      <c r="N231" s="616"/>
      <c r="O231" s="616"/>
      <c r="P231" s="616"/>
      <c r="Q231" s="616"/>
      <c r="R231" s="691">
        <f>K81</f>
        <v>13.32</v>
      </c>
      <c r="S231" s="691"/>
      <c r="T231" s="619">
        <f>'[1]wycena PV'!$H15</f>
        <v>816</v>
      </c>
      <c r="U231" s="620"/>
      <c r="V231" s="621"/>
      <c r="W231" s="652">
        <f>R231*T231</f>
        <v>10869.12</v>
      </c>
      <c r="X231" s="652"/>
      <c r="Y231" s="652"/>
      <c r="Z231" s="651">
        <f t="shared" si="17"/>
        <v>0.08</v>
      </c>
      <c r="AA231" s="651"/>
      <c r="AB231" s="639">
        <f t="shared" si="14"/>
        <v>11738.649600000002</v>
      </c>
      <c r="AC231" s="640"/>
      <c r="AD231" s="640"/>
      <c r="AE231" s="641"/>
      <c r="AI231" s="415"/>
      <c r="AU231" s="388" t="str">
        <f>A231</f>
        <v>Robocizna</v>
      </c>
      <c r="AV231" s="413">
        <f t="shared" si="16"/>
        <v>13.32</v>
      </c>
      <c r="BK231" s="404"/>
      <c r="BM231" s="388" t="e">
        <f>[1]inne!#REF!</f>
        <v>#REF!</v>
      </c>
    </row>
    <row r="232" spans="1:65" ht="21" customHeight="1">
      <c r="A232" s="616" t="s">
        <v>208</v>
      </c>
      <c r="B232" s="616"/>
      <c r="C232" s="616"/>
      <c r="D232" s="616"/>
      <c r="E232" s="616"/>
      <c r="F232" s="616"/>
      <c r="G232" s="616"/>
      <c r="H232" s="616"/>
      <c r="I232" s="616"/>
      <c r="J232" s="616"/>
      <c r="K232" s="616"/>
      <c r="L232" s="616"/>
      <c r="M232" s="616"/>
      <c r="N232" s="616"/>
      <c r="O232" s="616"/>
      <c r="P232" s="616"/>
      <c r="Q232" s="616"/>
      <c r="R232" s="749">
        <v>0</v>
      </c>
      <c r="S232" s="749"/>
      <c r="T232" s="619">
        <f>'[1]wycena PV'!$H16</f>
        <v>12</v>
      </c>
      <c r="U232" s="620"/>
      <c r="V232" s="621"/>
      <c r="W232" s="652">
        <f>R232*T232</f>
        <v>0</v>
      </c>
      <c r="X232" s="652"/>
      <c r="Y232" s="652"/>
      <c r="Z232" s="651">
        <f t="shared" si="17"/>
        <v>0.08</v>
      </c>
      <c r="AA232" s="651"/>
      <c r="AB232" s="639"/>
      <c r="AC232" s="640"/>
      <c r="AD232" s="640"/>
      <c r="AE232" s="641"/>
      <c r="AI232" s="415"/>
      <c r="AU232" s="388" t="str">
        <f>A232</f>
        <v>Transport</v>
      </c>
      <c r="AV232" s="413">
        <f t="shared" si="16"/>
        <v>0</v>
      </c>
      <c r="BK232" s="404"/>
      <c r="BM232" s="388" t="str">
        <f>[1]inne!$I19</f>
        <v>Skrzynka z ogranicznikiem przepięć AC 3-F typu T1+T2</v>
      </c>
    </row>
    <row r="233" spans="1:65" ht="21" customHeight="1">
      <c r="A233" s="616" t="s">
        <v>209</v>
      </c>
      <c r="B233" s="616"/>
      <c r="C233" s="616"/>
      <c r="D233" s="616"/>
      <c r="E233" s="616"/>
      <c r="F233" s="616"/>
      <c r="G233" s="616"/>
      <c r="H233" s="616"/>
      <c r="I233" s="616"/>
      <c r="J233" s="616"/>
      <c r="K233" s="616"/>
      <c r="L233" s="616"/>
      <c r="M233" s="616"/>
      <c r="N233" s="616"/>
      <c r="O233" s="616"/>
      <c r="P233" s="616"/>
      <c r="Q233" s="616"/>
      <c r="R233" s="749">
        <v>0</v>
      </c>
      <c r="S233" s="749"/>
      <c r="T233" s="431"/>
      <c r="U233" s="433"/>
      <c r="V233" s="432"/>
      <c r="W233" s="652">
        <f>AB233/(1+Z233)</f>
        <v>-30868.305555555551</v>
      </c>
      <c r="X233" s="652"/>
      <c r="Y233" s="652"/>
      <c r="Z233" s="651">
        <f t="shared" si="17"/>
        <v>0.08</v>
      </c>
      <c r="AA233" s="651"/>
      <c r="AB233" s="711">
        <v>-33337.769999999997</v>
      </c>
      <c r="AC233" s="712"/>
      <c r="AD233" s="712"/>
      <c r="AE233" s="713"/>
      <c r="AI233" s="415"/>
      <c r="AU233" s="388" t="str">
        <f>A233</f>
        <v>Kod rabatowy</v>
      </c>
      <c r="AV233" s="413">
        <f t="shared" si="16"/>
        <v>0</v>
      </c>
      <c r="BK233" s="404"/>
      <c r="BM233" s="388" t="e">
        <f>[1]inne!#REF!</f>
        <v>#REF!</v>
      </c>
    </row>
    <row r="234" spans="1:65" ht="21" customHeight="1">
      <c r="A234" s="418"/>
      <c r="B234" s="418"/>
      <c r="C234" s="418"/>
      <c r="D234" s="418"/>
      <c r="E234" s="418"/>
      <c r="F234" s="418"/>
      <c r="G234" s="418"/>
      <c r="H234" s="418"/>
      <c r="I234" s="418"/>
      <c r="J234" s="418"/>
      <c r="K234" s="418"/>
      <c r="L234" s="418"/>
      <c r="M234" s="418"/>
      <c r="N234" s="418"/>
      <c r="O234" s="418"/>
      <c r="P234" s="418"/>
      <c r="Q234" s="418"/>
      <c r="R234" s="418"/>
      <c r="S234" s="418"/>
      <c r="T234" s="707" t="e">
        <f>SUM(W218:Y232)-W233</f>
        <v>#N/A</v>
      </c>
      <c r="U234" s="708"/>
      <c r="V234" s="708"/>
      <c r="W234" s="708"/>
      <c r="X234" s="708"/>
      <c r="Y234" s="709"/>
      <c r="Z234" s="651">
        <f>IF(AI247=0,IF($P$63="firma",23%,IF($P$71="konstrukcja naziemna",8%,IF($G$225="naziemna",8%,8%))),AI247)</f>
        <v>0.08</v>
      </c>
      <c r="AA234" s="651"/>
      <c r="AB234" s="704" t="e">
        <f>SUM(AB218:AE232)-AB233</f>
        <v>#N/A</v>
      </c>
      <c r="AC234" s="705"/>
      <c r="AD234" s="705"/>
      <c r="AE234" s="706"/>
      <c r="AI234" s="415"/>
      <c r="AN234" s="385" t="s">
        <v>330</v>
      </c>
      <c r="AO234" s="386"/>
      <c r="AP234" s="386"/>
      <c r="AQ234" s="386"/>
      <c r="AR234" s="386" t="s">
        <v>331</v>
      </c>
      <c r="AS234" s="386"/>
      <c r="AT234" s="387"/>
      <c r="BK234" s="404"/>
      <c r="BM234" s="388" t="str">
        <f>[1]inne!$I20</f>
        <v>Skrzynka z ogranicznikiem przepięć AC 1-F typu 2</v>
      </c>
    </row>
    <row r="235" spans="1:65" ht="21" customHeight="1">
      <c r="G235" s="609" t="str">
        <f>IF(P63="firma","Koszt instalacji netto","")</f>
        <v/>
      </c>
      <c r="H235" s="609"/>
      <c r="I235" s="609"/>
      <c r="J235" s="609"/>
      <c r="K235" s="609"/>
      <c r="L235" s="609"/>
      <c r="M235" s="609"/>
      <c r="N235" s="609"/>
      <c r="O235" s="609"/>
      <c r="P235" s="763" t="str">
        <f>IF(P63="firma",T234,"")</f>
        <v/>
      </c>
      <c r="Q235" s="763"/>
      <c r="R235" s="763"/>
      <c r="S235" s="763"/>
      <c r="T235" s="763"/>
      <c r="U235" s="690" t="str">
        <f>IF(P63="firma","zł","")</f>
        <v/>
      </c>
      <c r="AI235" s="415"/>
      <c r="AN235" s="654">
        <f>IF('Schematy elektryczne'!AT42=3,'Schematy elektryczne'!BJ12,'Schematy elektryczne'!BJ11)</f>
        <v>0.40093768693724008</v>
      </c>
      <c r="AO235" s="655"/>
      <c r="AP235" s="655"/>
      <c r="AQ235" s="396" t="s">
        <v>6</v>
      </c>
      <c r="AR235" s="648">
        <f>VLOOKUP(1,'Schematy elektryczne'!BF37:BJ45,2,FALSE)</f>
        <v>4</v>
      </c>
      <c r="AS235" s="648"/>
      <c r="AT235" s="397" t="s">
        <v>242</v>
      </c>
      <c r="AU235" s="388" t="str">
        <f>A222</f>
        <v>Przewód AC 5x4mm2</v>
      </c>
      <c r="BK235" s="404"/>
      <c r="BM235" s="388" t="e">
        <f>[1]inne!#REF!</f>
        <v>#REF!</v>
      </c>
    </row>
    <row r="236" spans="1:65" ht="21" customHeight="1">
      <c r="G236" s="609"/>
      <c r="H236" s="609"/>
      <c r="I236" s="609"/>
      <c r="J236" s="609"/>
      <c r="K236" s="609"/>
      <c r="L236" s="609"/>
      <c r="M236" s="609"/>
      <c r="N236" s="609"/>
      <c r="O236" s="609"/>
      <c r="P236" s="763"/>
      <c r="Q236" s="763"/>
      <c r="R236" s="763"/>
      <c r="S236" s="763"/>
      <c r="T236" s="763"/>
      <c r="U236" s="690"/>
      <c r="AI236" s="415"/>
      <c r="BK236" s="404"/>
      <c r="BM236" s="388" t="str">
        <f>[1]inne!$I23</f>
        <v>Kolumna1</v>
      </c>
    </row>
    <row r="237" spans="1:65" ht="21" customHeight="1">
      <c r="C237" s="609" t="s">
        <v>32</v>
      </c>
      <c r="D237" s="609"/>
      <c r="E237" s="609"/>
      <c r="F237" s="609"/>
      <c r="G237" s="609"/>
      <c r="H237" s="609"/>
      <c r="I237" s="609"/>
      <c r="J237" s="609"/>
      <c r="K237" s="609"/>
      <c r="L237" s="609"/>
      <c r="M237" s="609"/>
      <c r="N237" s="609"/>
      <c r="O237" s="609"/>
      <c r="P237" s="614" t="e">
        <f>AB234</f>
        <v>#N/A</v>
      </c>
      <c r="Q237" s="614"/>
      <c r="R237" s="614"/>
      <c r="S237" s="614"/>
      <c r="T237" s="614"/>
      <c r="U237" s="613" t="s">
        <v>2</v>
      </c>
      <c r="V237" s="756" t="str">
        <f>IF(P63="firma","z VAT",IF(P71="konstrukcja naziemna","z VAT","z VAT"))</f>
        <v>z VAT</v>
      </c>
      <c r="W237" s="757"/>
      <c r="X237" s="758"/>
      <c r="Y237" s="710" t="s">
        <v>220</v>
      </c>
      <c r="Z237" s="710"/>
      <c r="AA237" s="710"/>
      <c r="AB237" s="710"/>
      <c r="AC237" s="710"/>
      <c r="AI237" s="415"/>
      <c r="BK237" s="404"/>
      <c r="BM237" s="388" t="str">
        <f>[1]inne!$I24</f>
        <v>Blacha na rąbek</v>
      </c>
    </row>
    <row r="238" spans="1:65" ht="21" customHeight="1">
      <c r="C238" s="609"/>
      <c r="D238" s="609"/>
      <c r="E238" s="609"/>
      <c r="F238" s="609"/>
      <c r="G238" s="609"/>
      <c r="H238" s="609"/>
      <c r="I238" s="609"/>
      <c r="J238" s="609"/>
      <c r="K238" s="609"/>
      <c r="L238" s="609"/>
      <c r="M238" s="609"/>
      <c r="N238" s="609"/>
      <c r="O238" s="609"/>
      <c r="P238" s="614"/>
      <c r="Q238" s="614"/>
      <c r="R238" s="614"/>
      <c r="S238" s="614"/>
      <c r="T238" s="614"/>
      <c r="U238" s="613"/>
      <c r="V238" s="759"/>
      <c r="W238" s="760"/>
      <c r="X238" s="761"/>
      <c r="Y238" s="703">
        <f ca="1">TODAY()+7</f>
        <v>45313</v>
      </c>
      <c r="Z238" s="703"/>
      <c r="AA238" s="703"/>
      <c r="AB238" s="703"/>
      <c r="AC238" s="703"/>
      <c r="AI238" s="415"/>
      <c r="AN238" s="388">
        <f>VLOOKUP('Dane wejściowe'!$H$37,[1]inne!$T$3:$AM$21,MATCH('Dane wejściowe'!$H$38,[1]inne!$T$2:$AM$2,0),FALSE)</f>
        <v>1</v>
      </c>
      <c r="AO238" s="388">
        <v>1030</v>
      </c>
      <c r="AP238" s="388">
        <f>(0.9+'Dane wejściowe'!$G$62/950)</f>
        <v>0.92263157894736847</v>
      </c>
      <c r="AQ238" s="388">
        <v>1</v>
      </c>
      <c r="AR238" s="388">
        <v>0.999</v>
      </c>
      <c r="AS238" s="388">
        <v>0.87</v>
      </c>
      <c r="BK238" s="404"/>
      <c r="BM238" s="388" t="str">
        <f>[1]inne!$I25</f>
        <v>Blacha trapezowa</v>
      </c>
    </row>
    <row r="239" spans="1:65" ht="21" customHeight="1">
      <c r="C239" s="609" t="s">
        <v>5</v>
      </c>
      <c r="D239" s="609"/>
      <c r="E239" s="609"/>
      <c r="F239" s="609"/>
      <c r="G239" s="609"/>
      <c r="H239" s="609"/>
      <c r="I239" s="609"/>
      <c r="J239" s="609"/>
      <c r="K239" s="609"/>
      <c r="L239" s="609"/>
      <c r="M239" s="609"/>
      <c r="N239" s="609"/>
      <c r="O239" s="609"/>
      <c r="P239" s="762" t="e">
        <f>P241/R231</f>
        <v>#N/A</v>
      </c>
      <c r="Q239" s="762"/>
      <c r="R239" s="762"/>
      <c r="S239" s="762"/>
      <c r="T239" s="762"/>
      <c r="U239" s="613" t="s">
        <v>2</v>
      </c>
      <c r="AI239" s="415"/>
      <c r="BK239" s="404"/>
      <c r="BM239" s="388" t="str">
        <f>[1]inne!$I26</f>
        <v>Blachodachówka</v>
      </c>
    </row>
    <row r="240" spans="1:65" ht="21" customHeight="1">
      <c r="C240" s="609"/>
      <c r="D240" s="609"/>
      <c r="E240" s="609"/>
      <c r="F240" s="609"/>
      <c r="G240" s="609"/>
      <c r="H240" s="609"/>
      <c r="I240" s="609"/>
      <c r="J240" s="609"/>
      <c r="K240" s="609"/>
      <c r="L240" s="609"/>
      <c r="M240" s="609"/>
      <c r="N240" s="609"/>
      <c r="O240" s="609"/>
      <c r="P240" s="762"/>
      <c r="Q240" s="762"/>
      <c r="R240" s="762"/>
      <c r="S240" s="762"/>
      <c r="T240" s="762"/>
      <c r="U240" s="613"/>
      <c r="AI240" s="415"/>
      <c r="BK240" s="404"/>
    </row>
    <row r="241" spans="1:65" ht="21" customHeight="1">
      <c r="C241" s="610" t="s">
        <v>1107</v>
      </c>
      <c r="D241" s="610"/>
      <c r="E241" s="610"/>
      <c r="F241" s="610"/>
      <c r="G241" s="610"/>
      <c r="H241" s="610"/>
      <c r="I241" s="610"/>
      <c r="J241" s="610"/>
      <c r="K241" s="610"/>
      <c r="L241" s="610"/>
      <c r="M241" s="610"/>
      <c r="N241" s="610"/>
      <c r="O241" s="610"/>
      <c r="P241" s="614" t="e">
        <f>P237-P243-P245</f>
        <v>#N/A</v>
      </c>
      <c r="Q241" s="614"/>
      <c r="R241" s="614"/>
      <c r="S241" s="614"/>
      <c r="T241" s="614"/>
      <c r="U241" s="613" t="s">
        <v>2</v>
      </c>
      <c r="W241" s="388" t="s">
        <v>290</v>
      </c>
      <c r="AI241" s="415"/>
      <c r="AO241" s="395" t="s">
        <v>1109</v>
      </c>
      <c r="AP241" s="388" t="s">
        <v>1110</v>
      </c>
      <c r="AW241" s="389"/>
      <c r="AZ241" s="390"/>
      <c r="BE241" s="388"/>
      <c r="BJ241" s="404"/>
    </row>
    <row r="242" spans="1:65" ht="21" customHeight="1">
      <c r="C242" s="610"/>
      <c r="D242" s="610"/>
      <c r="E242" s="610"/>
      <c r="F242" s="610"/>
      <c r="G242" s="610"/>
      <c r="H242" s="610"/>
      <c r="I242" s="610"/>
      <c r="J242" s="610"/>
      <c r="K242" s="610"/>
      <c r="L242" s="610"/>
      <c r="M242" s="610"/>
      <c r="N242" s="610"/>
      <c r="O242" s="610"/>
      <c r="P242" s="614"/>
      <c r="Q242" s="614"/>
      <c r="R242" s="614"/>
      <c r="S242" s="614"/>
      <c r="T242" s="614"/>
      <c r="U242" s="613"/>
      <c r="AI242" s="415"/>
      <c r="AO242" s="395" t="s">
        <v>1149</v>
      </c>
      <c r="AP242" s="388">
        <v>0</v>
      </c>
      <c r="AW242" s="389"/>
      <c r="AZ242" s="390"/>
      <c r="BE242" s="388"/>
      <c r="BJ242" s="404"/>
    </row>
    <row r="243" spans="1:65" ht="21" customHeight="1">
      <c r="C243" s="610" t="s">
        <v>1111</v>
      </c>
      <c r="D243" s="610"/>
      <c r="E243" s="610"/>
      <c r="F243" s="610"/>
      <c r="G243" s="610"/>
      <c r="H243" s="610"/>
      <c r="I243" s="610"/>
      <c r="J243" s="610"/>
      <c r="K243" s="610"/>
      <c r="L243" s="611" t="s">
        <v>1149</v>
      </c>
      <c r="M243" s="611"/>
      <c r="N243" s="611"/>
      <c r="O243" s="611"/>
      <c r="P243" s="753">
        <f>VLOOKUP(L243,Tabela19[#All],2,FALSE)</f>
        <v>0</v>
      </c>
      <c r="Q243" s="753"/>
      <c r="R243" s="753"/>
      <c r="S243" s="753"/>
      <c r="T243" s="753"/>
      <c r="U243" s="613" t="s">
        <v>2</v>
      </c>
      <c r="V243" s="427"/>
      <c r="W243" s="427"/>
      <c r="X243" s="427"/>
      <c r="Y243" s="427"/>
      <c r="AI243" s="415"/>
      <c r="AO243" s="394" t="s">
        <v>1166</v>
      </c>
      <c r="AP243" s="388">
        <v>6000</v>
      </c>
      <c r="AW243" s="389"/>
      <c r="AZ243" s="390"/>
      <c r="BE243" s="388"/>
      <c r="BJ243" s="404"/>
    </row>
    <row r="244" spans="1:65" ht="21" customHeight="1">
      <c r="C244" s="610"/>
      <c r="D244" s="610"/>
      <c r="E244" s="610"/>
      <c r="F244" s="610"/>
      <c r="G244" s="610"/>
      <c r="H244" s="610"/>
      <c r="I244" s="610"/>
      <c r="J244" s="610"/>
      <c r="K244" s="610"/>
      <c r="L244" s="611"/>
      <c r="M244" s="611"/>
      <c r="N244" s="611"/>
      <c r="O244" s="611"/>
      <c r="P244" s="753"/>
      <c r="Q244" s="753"/>
      <c r="R244" s="753"/>
      <c r="S244" s="753"/>
      <c r="T244" s="753"/>
      <c r="U244" s="613"/>
      <c r="V244" s="427"/>
      <c r="W244" s="427"/>
      <c r="X244" s="427"/>
      <c r="Y244" s="427"/>
      <c r="AI244" s="415"/>
      <c r="AO244" s="394" t="s">
        <v>1176</v>
      </c>
      <c r="AP244" s="388">
        <v>26000</v>
      </c>
      <c r="AW244" s="389"/>
      <c r="AZ244" s="390"/>
      <c r="BE244" s="388"/>
      <c r="BJ244" s="404"/>
      <c r="BL244" s="388" t="str">
        <f>[1]inne!$I27</f>
        <v>Dach płaski betonowy</v>
      </c>
    </row>
    <row r="245" spans="1:65" ht="21" customHeight="1">
      <c r="C245" s="610" t="s">
        <v>1108</v>
      </c>
      <c r="D245" s="610"/>
      <c r="E245" s="610"/>
      <c r="F245" s="610"/>
      <c r="G245" s="610"/>
      <c r="H245" s="610"/>
      <c r="I245" s="610"/>
      <c r="J245" s="610"/>
      <c r="K245" s="610"/>
      <c r="L245" s="612">
        <v>0</v>
      </c>
      <c r="M245" s="612"/>
      <c r="N245" s="612"/>
      <c r="O245" s="612"/>
      <c r="P245" s="754" t="e">
        <f>(P237-P243)*(L245)</f>
        <v>#N/A</v>
      </c>
      <c r="Q245" s="754"/>
      <c r="R245" s="754"/>
      <c r="S245" s="754"/>
      <c r="T245" s="754"/>
      <c r="U245" s="613" t="s">
        <v>2</v>
      </c>
      <c r="V245" s="427"/>
      <c r="W245" s="427"/>
      <c r="X245" s="427"/>
      <c r="Y245" s="427"/>
      <c r="AI245" s="415"/>
      <c r="AO245" s="394" t="s">
        <v>1167</v>
      </c>
      <c r="AP245" s="388">
        <v>6000</v>
      </c>
      <c r="BK245" s="404"/>
      <c r="BM245" s="388" t="e">
        <f>[1]inne!#REF!</f>
        <v>#REF!</v>
      </c>
    </row>
    <row r="246" spans="1:65" ht="21" customHeight="1">
      <c r="C246" s="610"/>
      <c r="D246" s="610"/>
      <c r="E246" s="610"/>
      <c r="F246" s="610"/>
      <c r="G246" s="610"/>
      <c r="H246" s="610"/>
      <c r="I246" s="610"/>
      <c r="J246" s="610"/>
      <c r="K246" s="610"/>
      <c r="L246" s="612"/>
      <c r="M246" s="612"/>
      <c r="N246" s="612"/>
      <c r="O246" s="612"/>
      <c r="P246" s="754"/>
      <c r="Q246" s="754"/>
      <c r="R246" s="754"/>
      <c r="S246" s="754"/>
      <c r="T246" s="754"/>
      <c r="U246" s="613"/>
      <c r="V246" s="427"/>
      <c r="W246" s="427"/>
      <c r="X246" s="427"/>
      <c r="Y246" s="427"/>
      <c r="AI246" s="415"/>
      <c r="AO246" s="394" t="s">
        <v>1168</v>
      </c>
      <c r="AP246" s="388">
        <v>9000</v>
      </c>
      <c r="AW246" s="389"/>
      <c r="AZ246" s="390"/>
      <c r="BE246" s="388"/>
      <c r="BJ246" s="404"/>
      <c r="BL246" s="388" t="str">
        <f>[1]inne!$I28</f>
        <v>Dach płaski drewniany</v>
      </c>
    </row>
    <row r="247" spans="1:65" ht="21" customHeight="1">
      <c r="H247" s="424"/>
      <c r="I247" s="424"/>
      <c r="J247" s="424"/>
      <c r="K247" s="424"/>
      <c r="L247" s="424"/>
      <c r="M247" s="424"/>
      <c r="N247" s="424"/>
      <c r="O247" s="424"/>
      <c r="P247" s="422"/>
      <c r="Q247" s="422"/>
      <c r="R247" s="422"/>
      <c r="S247" s="422"/>
      <c r="T247" s="422"/>
      <c r="U247" s="421"/>
      <c r="AO247" s="394" t="s">
        <v>1169</v>
      </c>
      <c r="AP247" s="388">
        <v>15000</v>
      </c>
      <c r="AW247" s="389"/>
      <c r="AZ247" s="390"/>
      <c r="BE247" s="388"/>
      <c r="BJ247" s="404"/>
      <c r="BL247" s="388" t="str">
        <f>[1]inne!$I29</f>
        <v>Dach skośny papa/gont</v>
      </c>
    </row>
    <row r="248" spans="1:65" ht="21" customHeight="1">
      <c r="A248" s="386"/>
      <c r="B248" s="386"/>
      <c r="C248" s="386"/>
      <c r="D248" s="386"/>
      <c r="E248" s="386"/>
      <c r="F248" s="386"/>
      <c r="G248" s="386"/>
      <c r="H248" s="434"/>
      <c r="I248" s="434"/>
      <c r="J248" s="434"/>
      <c r="K248" s="434"/>
      <c r="L248" s="434"/>
      <c r="M248" s="434"/>
      <c r="N248" s="434"/>
      <c r="O248" s="434"/>
      <c r="P248" s="435"/>
      <c r="Q248" s="435"/>
      <c r="R248" s="435"/>
      <c r="S248" s="435"/>
      <c r="T248" s="435"/>
      <c r="U248" s="436"/>
      <c r="V248" s="386"/>
      <c r="W248" s="386"/>
      <c r="X248" s="386"/>
      <c r="Y248" s="386"/>
      <c r="Z248" s="386"/>
      <c r="AA248" s="386"/>
      <c r="AB248" s="386"/>
      <c r="AC248" s="386"/>
      <c r="AD248" s="386"/>
      <c r="AE248" s="386"/>
      <c r="AO248" s="394"/>
      <c r="AP248" s="394"/>
      <c r="AW248" s="389"/>
      <c r="AZ248" s="390"/>
      <c r="BE248" s="388"/>
      <c r="BJ248" s="404"/>
      <c r="BL248" s="388" t="str">
        <f>[1]inne!$I30</f>
        <v>Dachówka</v>
      </c>
    </row>
    <row r="249" spans="1:65" ht="26.1" customHeight="1">
      <c r="A249" s="710" t="s">
        <v>302</v>
      </c>
      <c r="B249" s="710"/>
      <c r="C249" s="710"/>
      <c r="D249" s="710"/>
      <c r="E249" s="710"/>
      <c r="F249" s="710"/>
      <c r="G249" s="710"/>
      <c r="H249" s="710"/>
      <c r="I249" s="710"/>
      <c r="J249" s="710"/>
      <c r="K249" s="710"/>
      <c r="L249" s="710"/>
      <c r="M249" s="710"/>
      <c r="N249" s="710"/>
      <c r="O249" s="710"/>
      <c r="P249" s="752">
        <f>P253*0.778</f>
        <v>9.3556284732000012</v>
      </c>
      <c r="Q249" s="752"/>
      <c r="R249" s="752"/>
      <c r="S249" s="752"/>
      <c r="T249" s="752"/>
      <c r="U249" s="423" t="s">
        <v>308</v>
      </c>
      <c r="V249" s="418"/>
      <c r="W249" s="418"/>
      <c r="AO249" s="426" t="s">
        <v>378</v>
      </c>
      <c r="AP249" s="425" t="s">
        <v>380</v>
      </c>
      <c r="AW249" s="389"/>
      <c r="AZ249" s="390"/>
      <c r="BE249" s="388"/>
      <c r="BJ249" s="404"/>
      <c r="BL249" s="388" t="e">
        <f>[1]inne!#REF!</f>
        <v>#REF!</v>
      </c>
    </row>
    <row r="250" spans="1:65" ht="26.1" customHeight="1">
      <c r="A250" s="751" t="s">
        <v>303</v>
      </c>
      <c r="B250" s="751"/>
      <c r="C250" s="751"/>
      <c r="D250" s="751"/>
      <c r="E250" s="751"/>
      <c r="F250" s="751"/>
      <c r="G250" s="751"/>
      <c r="H250" s="751"/>
      <c r="I250" s="751"/>
      <c r="J250" s="751"/>
      <c r="K250" s="751"/>
      <c r="L250" s="751"/>
      <c r="M250" s="751"/>
      <c r="N250" s="751"/>
      <c r="O250" s="751"/>
      <c r="P250" s="752">
        <f>R231/1000</f>
        <v>1.332E-2</v>
      </c>
      <c r="Q250" s="752"/>
      <c r="R250" s="752"/>
      <c r="S250" s="752"/>
      <c r="T250" s="752"/>
      <c r="U250" s="722" t="s">
        <v>307</v>
      </c>
      <c r="V250" s="722"/>
      <c r="W250" s="722"/>
      <c r="AO250" s="426" t="s">
        <v>1108</v>
      </c>
      <c r="AP250" s="425">
        <v>0</v>
      </c>
      <c r="BK250" s="404"/>
      <c r="BM250" s="388" t="str">
        <f>[1]inne!$I31</f>
        <v>Konstrukcja balastowa</v>
      </c>
    </row>
    <row r="251" spans="1:65" ht="26.1" customHeight="1">
      <c r="A251" s="751"/>
      <c r="B251" s="751"/>
      <c r="C251" s="751"/>
      <c r="D251" s="751"/>
      <c r="E251" s="751"/>
      <c r="F251" s="751"/>
      <c r="G251" s="751"/>
      <c r="H251" s="751"/>
      <c r="I251" s="751"/>
      <c r="J251" s="751"/>
      <c r="K251" s="751"/>
      <c r="L251" s="751"/>
      <c r="M251" s="751"/>
      <c r="N251" s="751"/>
      <c r="O251" s="751"/>
      <c r="P251" s="752"/>
      <c r="Q251" s="752"/>
      <c r="R251" s="752"/>
      <c r="S251" s="752"/>
      <c r="T251" s="752"/>
      <c r="U251" s="722"/>
      <c r="V251" s="722"/>
      <c r="W251" s="722"/>
      <c r="AO251" s="426" t="s">
        <v>1108</v>
      </c>
      <c r="AP251" s="425">
        <v>0.12</v>
      </c>
      <c r="BK251" s="404"/>
      <c r="BM251" s="388" t="str">
        <f>[1]inne!$I32</f>
        <v>Konstrukcja naziemna</v>
      </c>
    </row>
    <row r="252" spans="1:65" ht="26.1" customHeight="1">
      <c r="A252" s="710" t="s">
        <v>304</v>
      </c>
      <c r="B252" s="710"/>
      <c r="C252" s="710"/>
      <c r="D252" s="710"/>
      <c r="E252" s="710"/>
      <c r="F252" s="710"/>
      <c r="G252" s="710"/>
      <c r="H252" s="710"/>
      <c r="I252" s="710"/>
      <c r="J252" s="710"/>
      <c r="K252" s="710"/>
      <c r="L252" s="710"/>
      <c r="M252" s="710"/>
      <c r="N252" s="710"/>
      <c r="O252" s="710"/>
      <c r="P252" s="752">
        <f>P253*0.000053*0.7356</f>
        <v>4.6882521357192005E-4</v>
      </c>
      <c r="Q252" s="752"/>
      <c r="R252" s="752"/>
      <c r="S252" s="752"/>
      <c r="T252" s="752"/>
      <c r="U252" s="722" t="s">
        <v>306</v>
      </c>
      <c r="V252" s="722"/>
      <c r="W252" s="722"/>
      <c r="AO252" s="426" t="s">
        <v>1108</v>
      </c>
      <c r="AP252" s="425">
        <v>0.32</v>
      </c>
      <c r="BK252" s="404"/>
      <c r="BM252" s="388" t="e">
        <f>[1]inne!#REF!</f>
        <v>#REF!</v>
      </c>
    </row>
    <row r="253" spans="1:65" ht="26.1" customHeight="1">
      <c r="A253" s="751" t="s">
        <v>309</v>
      </c>
      <c r="B253" s="751"/>
      <c r="C253" s="751"/>
      <c r="D253" s="751"/>
      <c r="E253" s="751"/>
      <c r="F253" s="751"/>
      <c r="G253" s="751"/>
      <c r="H253" s="751"/>
      <c r="I253" s="751"/>
      <c r="J253" s="751"/>
      <c r="K253" s="751"/>
      <c r="L253" s="751"/>
      <c r="M253" s="751"/>
      <c r="N253" s="751"/>
      <c r="O253" s="751"/>
      <c r="P253" s="752">
        <f>E182/1000</f>
        <v>12.025229400000001</v>
      </c>
      <c r="Q253" s="752"/>
      <c r="R253" s="752"/>
      <c r="S253" s="752"/>
      <c r="T253" s="752"/>
      <c r="U253" s="722" t="s">
        <v>305</v>
      </c>
      <c r="V253" s="722"/>
      <c r="W253" s="722"/>
      <c r="BK253" s="404"/>
      <c r="BM253" s="388" t="str">
        <f>[1]inne!$D4</f>
        <v>robocizna</v>
      </c>
    </row>
    <row r="254" spans="1:65" ht="26.1" customHeight="1">
      <c r="A254" s="751"/>
      <c r="B254" s="751"/>
      <c r="C254" s="751"/>
      <c r="D254" s="751"/>
      <c r="E254" s="751"/>
      <c r="F254" s="751"/>
      <c r="G254" s="751"/>
      <c r="H254" s="751"/>
      <c r="I254" s="751"/>
      <c r="J254" s="751"/>
      <c r="K254" s="751"/>
      <c r="L254" s="751"/>
      <c r="M254" s="751"/>
      <c r="N254" s="751"/>
      <c r="O254" s="751"/>
      <c r="P254" s="752"/>
      <c r="Q254" s="752"/>
      <c r="R254" s="752"/>
      <c r="S254" s="752"/>
      <c r="T254" s="752"/>
      <c r="U254" s="722"/>
      <c r="V254" s="722"/>
      <c r="W254" s="722"/>
      <c r="BK254" s="404"/>
      <c r="BM254" s="388" t="str">
        <f>[1]inne!$D5</f>
        <v>Transport</v>
      </c>
    </row>
    <row r="255" spans="1:65" ht="21" hidden="1" customHeight="1">
      <c r="F255" s="404"/>
      <c r="H255" s="750" t="str">
        <f>IF(P74&gt;0,"Koszt instalacji po dofinansowaniu","")</f>
        <v/>
      </c>
      <c r="I255" s="750"/>
      <c r="J255" s="750"/>
      <c r="K255" s="750"/>
      <c r="L255" s="750"/>
      <c r="M255" s="750"/>
      <c r="N255" s="750"/>
      <c r="O255" s="750"/>
      <c r="P255" s="765" t="str">
        <f>IF(P74&gt;0,P237-P74,"")</f>
        <v/>
      </c>
      <c r="Q255" s="765"/>
      <c r="R255" s="765"/>
      <c r="S255" s="765"/>
      <c r="T255" s="765"/>
      <c r="BK255" s="404"/>
      <c r="BM255" s="388" t="str">
        <f>[1]inne!$D6</f>
        <v>koszt pracownika</v>
      </c>
    </row>
    <row r="256" spans="1:65" ht="21" hidden="1" customHeight="1">
      <c r="H256" s="750"/>
      <c r="I256" s="750"/>
      <c r="J256" s="750"/>
      <c r="K256" s="750"/>
      <c r="L256" s="750"/>
      <c r="M256" s="750"/>
      <c r="N256" s="750"/>
      <c r="O256" s="750"/>
      <c r="P256" s="765"/>
      <c r="Q256" s="765"/>
      <c r="R256" s="765"/>
      <c r="S256" s="765"/>
      <c r="T256" s="765"/>
      <c r="BK256" s="404"/>
    </row>
    <row r="257" spans="6:65" ht="21" hidden="1" customHeight="1">
      <c r="BK257" s="404"/>
    </row>
    <row r="258" spans="6:65" ht="21" hidden="1" customHeight="1">
      <c r="F258" s="404"/>
      <c r="J258" s="404" t="str">
        <f>IF(P63="firma","Amortyzacja","")</f>
        <v/>
      </c>
      <c r="K258" s="404"/>
      <c r="L258" s="404"/>
      <c r="P258" s="629" t="str">
        <f>IF(P63="firma",'BAZA DANYCH'!R55,"")</f>
        <v/>
      </c>
      <c r="Q258" s="629"/>
      <c r="R258" s="629"/>
      <c r="S258" s="629"/>
      <c r="T258" s="636" t="str">
        <f>IF(P63="firma","zł/mies","")</f>
        <v/>
      </c>
      <c r="U258" s="636"/>
      <c r="V258" s="636"/>
      <c r="BK258" s="404"/>
    </row>
    <row r="259" spans="6:65" ht="21" hidden="1" customHeight="1">
      <c r="F259" s="404"/>
      <c r="J259" s="636" t="e">
        <f>#REF!</f>
        <v>#REF!</v>
      </c>
      <c r="K259" s="636"/>
      <c r="L259" s="636"/>
      <c r="M259" s="636"/>
      <c r="N259" s="636"/>
      <c r="O259" s="636"/>
      <c r="P259" s="636" t="e">
        <f>IF(#REF!=0,"",#REF!)</f>
        <v>#REF!</v>
      </c>
      <c r="Q259" s="636"/>
      <c r="R259" s="636"/>
      <c r="S259" s="636"/>
      <c r="T259" s="636" t="str">
        <f>P76</f>
        <v>tak</v>
      </c>
      <c r="U259" s="636"/>
      <c r="BK259" s="404"/>
    </row>
    <row r="260" spans="6:65" ht="21" hidden="1" customHeight="1">
      <c r="F260" s="404"/>
      <c r="J260" s="636" t="e">
        <f>#REF!</f>
        <v>#REF!</v>
      </c>
      <c r="K260" s="636"/>
      <c r="L260" s="636"/>
      <c r="M260" s="636"/>
      <c r="N260" s="636"/>
      <c r="O260" s="636"/>
      <c r="P260" s="764">
        <f>P77</f>
        <v>0</v>
      </c>
      <c r="Q260" s="764"/>
      <c r="R260" s="764"/>
      <c r="S260" s="764"/>
      <c r="T260" s="636">
        <f>R77</f>
        <v>0</v>
      </c>
      <c r="U260" s="636"/>
      <c r="BK260" s="404"/>
      <c r="BM260" s="388">
        <f>[1]inne!$A29</f>
        <v>0</v>
      </c>
    </row>
    <row r="261" spans="6:65" ht="21" hidden="1" customHeight="1">
      <c r="F261" s="404"/>
      <c r="I261" s="404"/>
      <c r="J261" s="636" t="str">
        <f>F78</f>
        <v>NIP</v>
      </c>
      <c r="K261" s="636"/>
      <c r="L261" s="636"/>
      <c r="M261" s="636"/>
      <c r="N261" s="636"/>
      <c r="O261" s="636"/>
      <c r="P261" s="755" t="str">
        <f>P78</f>
        <v>NIP: 6472602198</v>
      </c>
      <c r="Q261" s="755"/>
      <c r="R261" s="755"/>
      <c r="S261" s="755"/>
      <c r="T261" s="404">
        <f>T78</f>
        <v>0</v>
      </c>
      <c r="BK261" s="404"/>
      <c r="BM261" s="388">
        <f>[1]inne!$A30</f>
        <v>0</v>
      </c>
    </row>
    <row r="262" spans="6:65" ht="21" hidden="1" customHeight="1">
      <c r="F262" s="404"/>
      <c r="I262" s="404"/>
      <c r="J262" s="404" t="str">
        <f>F79</f>
        <v/>
      </c>
      <c r="L262" s="404"/>
      <c r="T262" s="636" t="str">
        <f>IF(P79="Tak","TAK","")</f>
        <v/>
      </c>
      <c r="U262" s="636"/>
      <c r="BK262" s="404"/>
      <c r="BM262" s="388">
        <f>[1]inne!$A31</f>
        <v>0</v>
      </c>
    </row>
    <row r="263" spans="6:65" ht="21" hidden="1" customHeight="1">
      <c r="F263" s="404"/>
      <c r="J263" s="693" t="str">
        <f>IF(P75="kredyt WFOŚ","Koszt instalacji łącznie z kredyt WFOŚ",IF(P75="kredyt C.A.","Koszt instalacji łącznie z kredyt",""))</f>
        <v/>
      </c>
      <c r="K263" s="693"/>
      <c r="L263" s="693"/>
      <c r="M263" s="693"/>
      <c r="N263" s="693"/>
      <c r="O263" s="693"/>
      <c r="P263" s="689" t="str">
        <f>IF(P75="kredyt WFOŚ",-'BAZA DANYCH'!O62,IF(P75="kredyt C.A.",'BAZA DANYCH'!O75,""))</f>
        <v/>
      </c>
      <c r="Q263" s="689"/>
      <c r="R263" s="689"/>
      <c r="S263" s="689"/>
      <c r="BK263" s="404"/>
      <c r="BM263" s="388">
        <f>[1]inne!$A32</f>
        <v>0</v>
      </c>
    </row>
    <row r="264" spans="6:65" ht="21" hidden="1" customHeight="1">
      <c r="J264" s="693"/>
      <c r="K264" s="693"/>
      <c r="L264" s="693"/>
      <c r="M264" s="693"/>
      <c r="N264" s="693"/>
      <c r="O264" s="693"/>
      <c r="P264" s="689"/>
      <c r="Q264" s="689"/>
      <c r="R264" s="689"/>
      <c r="S264" s="689"/>
      <c r="BK264" s="404"/>
      <c r="BM264" s="388">
        <f>[1]inne!$A33</f>
        <v>0</v>
      </c>
    </row>
    <row r="265" spans="6:65" ht="21" hidden="1" customHeight="1">
      <c r="J265" s="690" t="str">
        <f>IF(P75="kredyt WFOŚ","Cena za 1kWp","")</f>
        <v/>
      </c>
      <c r="K265" s="690"/>
      <c r="L265" s="690"/>
      <c r="M265" s="690"/>
      <c r="N265" s="690"/>
      <c r="O265" s="690"/>
      <c r="P265" s="689" t="str">
        <f>IF(P75="kredyt WFOŚ",P263/K81,"")</f>
        <v/>
      </c>
      <c r="Q265" s="689"/>
      <c r="R265" s="689"/>
      <c r="S265" s="689"/>
      <c r="BK265" s="404"/>
      <c r="BM265" s="388" t="str">
        <f>[1]inne!$I35</f>
        <v>Kolumna1</v>
      </c>
    </row>
    <row r="266" spans="6:65" ht="21" hidden="1" customHeight="1">
      <c r="J266" s="690"/>
      <c r="K266" s="690"/>
      <c r="L266" s="690"/>
      <c r="M266" s="690"/>
      <c r="N266" s="690"/>
      <c r="O266" s="690"/>
      <c r="P266" s="689"/>
      <c r="Q266" s="689"/>
      <c r="R266" s="689"/>
      <c r="S266" s="689"/>
      <c r="BK266" s="404"/>
      <c r="BM266" s="388" t="str">
        <f>[1]inne!$I36</f>
        <v>Rozłącznik ppoż FoxESS 2-stringi</v>
      </c>
    </row>
    <row r="267" spans="6:65" ht="21" hidden="1" customHeight="1">
      <c r="BK267" s="404"/>
      <c r="BM267" s="388" t="str">
        <f>[1]inne!$I37</f>
        <v>Rozłącznik ppoż PROJOY 2-stringi</v>
      </c>
    </row>
    <row r="268" spans="6:65" ht="21" hidden="1" customHeight="1">
      <c r="BK268" s="404"/>
      <c r="BM268" s="388" t="str">
        <f>[1]inne!$I55</f>
        <v>Optymalizator Solaredge P505</v>
      </c>
    </row>
    <row r="269" spans="6:65" ht="21" hidden="1" customHeight="1">
      <c r="BK269" s="404"/>
      <c r="BM269" s="388" t="str">
        <f>[1]inne!$I57</f>
        <v>Optymalizator Solaredge P601</v>
      </c>
    </row>
    <row r="270" spans="6:65" ht="21" hidden="1" customHeight="1">
      <c r="BK270" s="404"/>
      <c r="BM270" s="388" t="str">
        <f>[1]inne!$I58</f>
        <v>Optymalizator Solaredge P850</v>
      </c>
    </row>
    <row r="271" spans="6:65" ht="21" hidden="1" customHeight="1">
      <c r="BK271" s="404"/>
      <c r="BM271" s="388" t="str">
        <f>[1]inne!$I59</f>
        <v>Optymalizator Solaredge P950</v>
      </c>
    </row>
    <row r="272" spans="6:65" ht="21" hidden="1" customHeight="1">
      <c r="BK272" s="404"/>
      <c r="BM272" s="388" t="str">
        <f>[1]inne!$I60</f>
        <v>Optymalizator Solaredge P1100</v>
      </c>
    </row>
    <row r="273" spans="63:65" ht="21" hidden="1" customHeight="1">
      <c r="BK273" s="404"/>
      <c r="BM273" s="388" t="str">
        <f>[1]inne!$I61</f>
        <v>Optymializator TIGO TS4-A-O</v>
      </c>
    </row>
    <row r="274" spans="63:65" ht="21" hidden="1" customHeight="1">
      <c r="BK274" s="404"/>
      <c r="BM274" s="388" t="str">
        <f>[1]inne!$I62</f>
        <v>Uzgodnienia ppoż instalacja powyżej 6.5kWp</v>
      </c>
    </row>
    <row r="275" spans="63:65" ht="21" hidden="1" customHeight="1">
      <c r="BK275" s="404"/>
      <c r="BM275" s="388" t="str">
        <f>[1]inne!$I63</f>
        <v>Licznik energii 1F</v>
      </c>
    </row>
    <row r="276" spans="63:65" ht="21" hidden="1" customHeight="1">
      <c r="BK276" s="404"/>
      <c r="BM276" s="388" t="str">
        <f>[1]inne!$I64</f>
        <v>Licznik energii 3F</v>
      </c>
    </row>
    <row r="277" spans="63:65" ht="21" hidden="1" customHeight="1">
      <c r="BK277" s="404"/>
      <c r="BM277" s="388" t="str">
        <f>[1]inne!$I67</f>
        <v>-------</v>
      </c>
    </row>
    <row r="278" spans="63:65" ht="21" hidden="1" customHeight="1">
      <c r="BK278" s="404"/>
      <c r="BM278" s="388">
        <f>[1]inne!$A47</f>
        <v>0</v>
      </c>
    </row>
    <row r="279" spans="63:65" ht="21" hidden="1" customHeight="1">
      <c r="BK279" s="404"/>
      <c r="BM279" s="388">
        <f>[1]inne!$A48</f>
        <v>0</v>
      </c>
    </row>
    <row r="280" spans="63:65" ht="21" hidden="1" customHeight="1">
      <c r="BK280" s="404"/>
      <c r="BM280" s="388">
        <f>[1]inne!$A53</f>
        <v>0</v>
      </c>
    </row>
    <row r="281" spans="63:65" ht="21" hidden="1" customHeight="1">
      <c r="BK281" s="404"/>
      <c r="BM281" s="388">
        <f>[1]inne!$A54</f>
        <v>0</v>
      </c>
    </row>
    <row r="282" spans="63:65" ht="21" hidden="1" customHeight="1">
      <c r="BK282" s="404"/>
      <c r="BM282" s="388">
        <f>[1]inne!$A55</f>
        <v>0</v>
      </c>
    </row>
    <row r="283" spans="63:65" ht="21" hidden="1" customHeight="1">
      <c r="BK283" s="404"/>
      <c r="BM283" s="388">
        <f>[1]inne!$A56</f>
        <v>0</v>
      </c>
    </row>
    <row r="284" spans="63:65" ht="21" hidden="1" customHeight="1">
      <c r="BK284" s="404"/>
      <c r="BM284" s="388">
        <f>[1]inne!$A57</f>
        <v>0</v>
      </c>
    </row>
    <row r="285" spans="63:65" ht="21" hidden="1" customHeight="1">
      <c r="BK285" s="404"/>
      <c r="BM285" s="388">
        <f>[1]inne!$A58</f>
        <v>0</v>
      </c>
    </row>
    <row r="286" spans="63:65" ht="21" hidden="1" customHeight="1">
      <c r="BK286" s="404"/>
      <c r="BM286" s="388">
        <f>[1]inne!$A59</f>
        <v>0</v>
      </c>
    </row>
    <row r="287" spans="63:65" ht="21" hidden="1" customHeight="1">
      <c r="BK287" s="404"/>
      <c r="BM287" s="388">
        <f>[1]inne!$A60</f>
        <v>0</v>
      </c>
    </row>
    <row r="288" spans="63:65" ht="21" hidden="1" customHeight="1">
      <c r="BK288" s="404"/>
      <c r="BM288" s="388">
        <f>[1]inne!$A61</f>
        <v>0</v>
      </c>
    </row>
    <row r="289" spans="63:65" ht="21" hidden="1" customHeight="1">
      <c r="BK289" s="404"/>
      <c r="BM289" s="388">
        <f>[1]inne!$A62</f>
        <v>0</v>
      </c>
    </row>
    <row r="290" spans="63:65" ht="21" hidden="1" customHeight="1">
      <c r="BK290" s="404"/>
      <c r="BM290" s="388">
        <f>[1]inne!$A63</f>
        <v>0</v>
      </c>
    </row>
    <row r="291" spans="63:65" ht="21" hidden="1" customHeight="1">
      <c r="BK291" s="404"/>
      <c r="BM291" s="388">
        <f>[1]inne!$A64</f>
        <v>0</v>
      </c>
    </row>
    <row r="292" spans="63:65" ht="21" hidden="1" customHeight="1">
      <c r="BK292" s="404"/>
      <c r="BM292" s="388">
        <f>[1]inne!$A65</f>
        <v>0</v>
      </c>
    </row>
    <row r="293" spans="63:65" ht="21" hidden="1" customHeight="1">
      <c r="BK293" s="404"/>
      <c r="BM293" s="388">
        <f>[1]inne!$A66</f>
        <v>0</v>
      </c>
    </row>
    <row r="294" spans="63:65" ht="21" hidden="1" customHeight="1">
      <c r="BK294" s="404"/>
      <c r="BM294" s="388">
        <f>[1]inne!$A67</f>
        <v>0</v>
      </c>
    </row>
    <row r="295" spans="63:65" ht="21" hidden="1" customHeight="1">
      <c r="BK295" s="404"/>
      <c r="BM295" s="388">
        <f>[1]inne!$A68</f>
        <v>0</v>
      </c>
    </row>
    <row r="296" spans="63:65" ht="21" hidden="1" customHeight="1">
      <c r="BK296" s="404"/>
      <c r="BM296" s="388">
        <f>[1]inne!$A69</f>
        <v>0</v>
      </c>
    </row>
    <row r="297" spans="63:65" ht="21" hidden="1" customHeight="1">
      <c r="BK297" s="404"/>
      <c r="BM297" s="388">
        <f>[1]inne!$A70</f>
        <v>0</v>
      </c>
    </row>
    <row r="298" spans="63:65" ht="21" hidden="1" customHeight="1">
      <c r="BK298" s="404"/>
      <c r="BM298" s="388">
        <f>[1]inne!$A71</f>
        <v>0</v>
      </c>
    </row>
    <row r="299" spans="63:65" ht="21" hidden="1" customHeight="1">
      <c r="BK299" s="404"/>
    </row>
    <row r="300" spans="63:65" ht="21" hidden="1" customHeight="1">
      <c r="BK300" s="404"/>
    </row>
    <row r="301" spans="63:65" ht="21" hidden="1" customHeight="1">
      <c r="BK301" s="404"/>
    </row>
    <row r="302" spans="63:65" ht="21" hidden="1" customHeight="1">
      <c r="BK302" s="404"/>
    </row>
    <row r="303" spans="63:65" ht="21" hidden="1" customHeight="1">
      <c r="BK303" s="404"/>
    </row>
    <row r="304" spans="63:65" ht="21" hidden="1" customHeight="1">
      <c r="BK304" s="404"/>
    </row>
    <row r="305" spans="63:63" ht="21" hidden="1" customHeight="1">
      <c r="BK305" s="404"/>
    </row>
    <row r="306" spans="63:63" ht="21" hidden="1" customHeight="1">
      <c r="BK306" s="404"/>
    </row>
    <row r="307" spans="63:63" ht="21" hidden="1" customHeight="1">
      <c r="BK307" s="404"/>
    </row>
    <row r="308" spans="63:63" ht="21" hidden="1" customHeight="1">
      <c r="BK308" s="404"/>
    </row>
    <row r="309" spans="63:63" ht="21" hidden="1" customHeight="1">
      <c r="BK309" s="404"/>
    </row>
    <row r="310" spans="63:63" ht="21" hidden="1" customHeight="1">
      <c r="BK310" s="404"/>
    </row>
    <row r="311" spans="63:63" ht="21" hidden="1" customHeight="1">
      <c r="BK311" s="404"/>
    </row>
    <row r="312" spans="63:63" ht="21" hidden="1" customHeight="1">
      <c r="BK312" s="404"/>
    </row>
  </sheetData>
  <sheetProtection formatCells="0" formatColumns="0" formatRows="0" insertColumns="0" insertRows="0" insertHyperlinks="0" deleteColumns="0" deleteRows="0" sort="0" autoFilter="0" pivotTables="0"/>
  <protectedRanges>
    <protectedRange sqref="A221:A224 G226:G230" name="Rozstęp5"/>
    <protectedRange sqref="C59 F64 P62:P64 AH63 AL65 P66 AL67 S69 R79 P68:P75 P77:P79" name="Rozstęp1"/>
    <protectedRange sqref="J84 H93 AI93 AJ97:AQ98" name="Rozstęp2"/>
    <protectedRange sqref="F110 AI113:AI124" name="Rozstęp3"/>
    <protectedRange sqref="AI229:AI246 AB233 R218:S232" name="Rozstęp4"/>
  </protectedRanges>
  <mergeCells count="784">
    <mergeCell ref="AF177:AF180"/>
    <mergeCell ref="AI131:AL131"/>
    <mergeCell ref="AI130:AL130"/>
    <mergeCell ref="N177:P180"/>
    <mergeCell ref="N181:P181"/>
    <mergeCell ref="N182:P182"/>
    <mergeCell ref="N183:P183"/>
    <mergeCell ref="N184:P184"/>
    <mergeCell ref="N185:P185"/>
    <mergeCell ref="Z183:AB183"/>
    <mergeCell ref="Z184:AB184"/>
    <mergeCell ref="Z185:AB185"/>
    <mergeCell ref="W181:Y181"/>
    <mergeCell ref="W182:Y182"/>
    <mergeCell ref="W183:Y183"/>
    <mergeCell ref="W184:Y184"/>
    <mergeCell ref="W185:Y185"/>
    <mergeCell ref="T185:V185"/>
    <mergeCell ref="AC182:AE182"/>
    <mergeCell ref="AC183:AE183"/>
    <mergeCell ref="T64:V64"/>
    <mergeCell ref="U54:AB54"/>
    <mergeCell ref="N54:T54"/>
    <mergeCell ref="AC211:AE211"/>
    <mergeCell ref="G235:O236"/>
    <mergeCell ref="AC202:AE202"/>
    <mergeCell ref="AC203:AE203"/>
    <mergeCell ref="AC204:AE204"/>
    <mergeCell ref="AC205:AE205"/>
    <mergeCell ref="AC206:AE206"/>
    <mergeCell ref="AC207:AE207"/>
    <mergeCell ref="AC208:AE208"/>
    <mergeCell ref="AC209:AE209"/>
    <mergeCell ref="AC210:AE210"/>
    <mergeCell ref="Z210:AB210"/>
    <mergeCell ref="Z211:AB211"/>
    <mergeCell ref="Z206:AB206"/>
    <mergeCell ref="Z207:AB207"/>
    <mergeCell ref="Z208:AB208"/>
    <mergeCell ref="Z209:AB209"/>
    <mergeCell ref="N195:P195"/>
    <mergeCell ref="N196:P196"/>
    <mergeCell ref="N186:P186"/>
    <mergeCell ref="N187:P187"/>
    <mergeCell ref="A226:F230"/>
    <mergeCell ref="G226:Q226"/>
    <mergeCell ref="G227:Q227"/>
    <mergeCell ref="Z204:AB204"/>
    <mergeCell ref="Z205:AB205"/>
    <mergeCell ref="W206:Y206"/>
    <mergeCell ref="W224:Y224"/>
    <mergeCell ref="T225:V225"/>
    <mergeCell ref="T222:V222"/>
    <mergeCell ref="T220:V220"/>
    <mergeCell ref="R225:S225"/>
    <mergeCell ref="T224:V224"/>
    <mergeCell ref="R224:S224"/>
    <mergeCell ref="T221:V221"/>
    <mergeCell ref="W218:Y218"/>
    <mergeCell ref="T223:V223"/>
    <mergeCell ref="W222:Y222"/>
    <mergeCell ref="W225:Y225"/>
    <mergeCell ref="W211:Y211"/>
    <mergeCell ref="H204:J204"/>
    <mergeCell ref="N208:P208"/>
    <mergeCell ref="N209:P209"/>
    <mergeCell ref="N210:P210"/>
    <mergeCell ref="N211:P211"/>
    <mergeCell ref="E211:G211"/>
    <mergeCell ref="W210:Y210"/>
    <mergeCell ref="T202:V202"/>
    <mergeCell ref="T203:V203"/>
    <mergeCell ref="T204:V204"/>
    <mergeCell ref="T205:V205"/>
    <mergeCell ref="T206:V206"/>
    <mergeCell ref="T207:V207"/>
    <mergeCell ref="T208:V208"/>
    <mergeCell ref="T209:V209"/>
    <mergeCell ref="W207:Y207"/>
    <mergeCell ref="W208:Y208"/>
    <mergeCell ref="W209:Y209"/>
    <mergeCell ref="K211:M211"/>
    <mergeCell ref="T210:V210"/>
    <mergeCell ref="T211:V211"/>
    <mergeCell ref="Q206:S206"/>
    <mergeCell ref="E210:G210"/>
    <mergeCell ref="N207:P207"/>
    <mergeCell ref="H203:J203"/>
    <mergeCell ref="C207:D207"/>
    <mergeCell ref="C208:D208"/>
    <mergeCell ref="N197:P197"/>
    <mergeCell ref="N198:P198"/>
    <mergeCell ref="N199:P199"/>
    <mergeCell ref="N200:P200"/>
    <mergeCell ref="T197:V197"/>
    <mergeCell ref="W199:Y199"/>
    <mergeCell ref="E196:G196"/>
    <mergeCell ref="E197:G197"/>
    <mergeCell ref="W204:Y204"/>
    <mergeCell ref="W205:Y205"/>
    <mergeCell ref="W200:Y200"/>
    <mergeCell ref="W201:Y201"/>
    <mergeCell ref="Q200:S200"/>
    <mergeCell ref="Q207:S207"/>
    <mergeCell ref="K200:M200"/>
    <mergeCell ref="K201:M201"/>
    <mergeCell ref="K202:M202"/>
    <mergeCell ref="K203:M203"/>
    <mergeCell ref="K204:M204"/>
    <mergeCell ref="K205:M205"/>
    <mergeCell ref="K206:M206"/>
    <mergeCell ref="K207:M207"/>
    <mergeCell ref="C205:D205"/>
    <mergeCell ref="C206:D206"/>
    <mergeCell ref="AC201:AE201"/>
    <mergeCell ref="Z201:AB201"/>
    <mergeCell ref="N204:P204"/>
    <mergeCell ref="N205:P205"/>
    <mergeCell ref="N206:P206"/>
    <mergeCell ref="K196:M196"/>
    <mergeCell ref="K197:M197"/>
    <mergeCell ref="T196:V196"/>
    <mergeCell ref="Q202:S202"/>
    <mergeCell ref="Q203:S203"/>
    <mergeCell ref="Q204:S204"/>
    <mergeCell ref="Q205:S205"/>
    <mergeCell ref="K198:M198"/>
    <mergeCell ref="W196:Y196"/>
    <mergeCell ref="W197:Y197"/>
    <mergeCell ref="N201:P201"/>
    <mergeCell ref="N202:P202"/>
    <mergeCell ref="N203:P203"/>
    <mergeCell ref="Q196:S196"/>
    <mergeCell ref="Q197:S197"/>
    <mergeCell ref="Q198:S198"/>
    <mergeCell ref="Q199:S199"/>
    <mergeCell ref="AC194:AE194"/>
    <mergeCell ref="AC195:AE195"/>
    <mergeCell ref="AC196:AE196"/>
    <mergeCell ref="AC197:AE197"/>
    <mergeCell ref="Z199:AB199"/>
    <mergeCell ref="Z200:AB200"/>
    <mergeCell ref="AC200:AE200"/>
    <mergeCell ref="T193:V193"/>
    <mergeCell ref="T194:V194"/>
    <mergeCell ref="K193:M193"/>
    <mergeCell ref="K194:M194"/>
    <mergeCell ref="K195:M195"/>
    <mergeCell ref="N193:P193"/>
    <mergeCell ref="N194:P194"/>
    <mergeCell ref="T195:V195"/>
    <mergeCell ref="W189:Y189"/>
    <mergeCell ref="W190:Y190"/>
    <mergeCell ref="W191:Y191"/>
    <mergeCell ref="W192:Y192"/>
    <mergeCell ref="W193:Y193"/>
    <mergeCell ref="W194:Y194"/>
    <mergeCell ref="W195:Y195"/>
    <mergeCell ref="Q195:S195"/>
    <mergeCell ref="W186:Y186"/>
    <mergeCell ref="T186:V186"/>
    <mergeCell ref="T187:V187"/>
    <mergeCell ref="T188:V188"/>
    <mergeCell ref="W188:Y188"/>
    <mergeCell ref="T189:V189"/>
    <mergeCell ref="T190:V190"/>
    <mergeCell ref="T191:V191"/>
    <mergeCell ref="T192:V192"/>
    <mergeCell ref="Z187:AB187"/>
    <mergeCell ref="Z188:AB188"/>
    <mergeCell ref="W187:Y187"/>
    <mergeCell ref="N188:P188"/>
    <mergeCell ref="N189:P189"/>
    <mergeCell ref="N190:P190"/>
    <mergeCell ref="N191:P191"/>
    <mergeCell ref="N192:P192"/>
    <mergeCell ref="Q192:S192"/>
    <mergeCell ref="E177:G180"/>
    <mergeCell ref="E181:G181"/>
    <mergeCell ref="E182:G182"/>
    <mergeCell ref="E183:G183"/>
    <mergeCell ref="E184:G184"/>
    <mergeCell ref="E185:G185"/>
    <mergeCell ref="E186:G186"/>
    <mergeCell ref="E187:G187"/>
    <mergeCell ref="E188:G188"/>
    <mergeCell ref="H186:J186"/>
    <mergeCell ref="H194:J194"/>
    <mergeCell ref="H195:J195"/>
    <mergeCell ref="C191:D191"/>
    <mergeCell ref="C192:D192"/>
    <mergeCell ref="C193:D193"/>
    <mergeCell ref="C194:D194"/>
    <mergeCell ref="C195:D195"/>
    <mergeCell ref="E189:G189"/>
    <mergeCell ref="E190:G190"/>
    <mergeCell ref="E191:G191"/>
    <mergeCell ref="E192:G192"/>
    <mergeCell ref="E193:G193"/>
    <mergeCell ref="E194:G194"/>
    <mergeCell ref="E195:G195"/>
    <mergeCell ref="P97:Q97"/>
    <mergeCell ref="R98:S98"/>
    <mergeCell ref="R97:S97"/>
    <mergeCell ref="Q210:S210"/>
    <mergeCell ref="I126:L126"/>
    <mergeCell ref="P126:R126"/>
    <mergeCell ref="M126:O126"/>
    <mergeCell ref="K127:R127"/>
    <mergeCell ref="K183:M183"/>
    <mergeCell ref="K184:M184"/>
    <mergeCell ref="L98:M98"/>
    <mergeCell ref="Q177:S180"/>
    <mergeCell ref="Q181:S181"/>
    <mergeCell ref="Q182:S182"/>
    <mergeCell ref="Q183:S183"/>
    <mergeCell ref="Q184:S184"/>
    <mergeCell ref="K185:M185"/>
    <mergeCell ref="K186:M186"/>
    <mergeCell ref="K187:M187"/>
    <mergeCell ref="K188:M188"/>
    <mergeCell ref="K189:M189"/>
    <mergeCell ref="K190:M190"/>
    <mergeCell ref="K191:M191"/>
    <mergeCell ref="K192:M192"/>
    <mergeCell ref="P101:Q101"/>
    <mergeCell ref="R102:S102"/>
    <mergeCell ref="P124:R124"/>
    <mergeCell ref="C99:J99"/>
    <mergeCell ref="V126:X126"/>
    <mergeCell ref="C197:D197"/>
    <mergeCell ref="K177:M180"/>
    <mergeCell ref="K181:M181"/>
    <mergeCell ref="K182:M182"/>
    <mergeCell ref="P120:R120"/>
    <mergeCell ref="S122:U122"/>
    <mergeCell ref="T177:V180"/>
    <mergeCell ref="T181:V181"/>
    <mergeCell ref="T182:V182"/>
    <mergeCell ref="T183:V183"/>
    <mergeCell ref="T184:V184"/>
    <mergeCell ref="C177:D180"/>
    <mergeCell ref="C181:D181"/>
    <mergeCell ref="C182:D182"/>
    <mergeCell ref="C183:D183"/>
    <mergeCell ref="C184:D184"/>
    <mergeCell ref="C185:D185"/>
    <mergeCell ref="C186:D186"/>
    <mergeCell ref="C187:D187"/>
    <mergeCell ref="J261:O261"/>
    <mergeCell ref="A249:O249"/>
    <mergeCell ref="P260:S260"/>
    <mergeCell ref="T260:U260"/>
    <mergeCell ref="P255:T256"/>
    <mergeCell ref="T219:V219"/>
    <mergeCell ref="R96:S96"/>
    <mergeCell ref="M118:O118"/>
    <mergeCell ref="T198:V198"/>
    <mergeCell ref="T199:V199"/>
    <mergeCell ref="T200:V200"/>
    <mergeCell ref="T201:V201"/>
    <mergeCell ref="Q201:S201"/>
    <mergeCell ref="Q193:S193"/>
    <mergeCell ref="Q194:S194"/>
    <mergeCell ref="S125:U125"/>
    <mergeCell ref="N98:O98"/>
    <mergeCell ref="N101:O101"/>
    <mergeCell ref="P99:Q99"/>
    <mergeCell ref="R101:S101"/>
    <mergeCell ref="R100:S100"/>
    <mergeCell ref="R99:S99"/>
    <mergeCell ref="L102:M102"/>
    <mergeCell ref="I113:L113"/>
    <mergeCell ref="P263:S264"/>
    <mergeCell ref="T262:U262"/>
    <mergeCell ref="T259:U259"/>
    <mergeCell ref="P261:S261"/>
    <mergeCell ref="U253:W254"/>
    <mergeCell ref="U252:W252"/>
    <mergeCell ref="V237:X238"/>
    <mergeCell ref="U235:U236"/>
    <mergeCell ref="U237:U238"/>
    <mergeCell ref="P252:T252"/>
    <mergeCell ref="P253:T254"/>
    <mergeCell ref="P239:T240"/>
    <mergeCell ref="P237:T238"/>
    <mergeCell ref="P235:T236"/>
    <mergeCell ref="P249:T249"/>
    <mergeCell ref="U239:U240"/>
    <mergeCell ref="H255:O256"/>
    <mergeCell ref="P258:S258"/>
    <mergeCell ref="P259:S259"/>
    <mergeCell ref="T258:V258"/>
    <mergeCell ref="J260:O260"/>
    <mergeCell ref="A232:Q232"/>
    <mergeCell ref="A233:Q233"/>
    <mergeCell ref="A253:O254"/>
    <mergeCell ref="A252:O252"/>
    <mergeCell ref="A250:O251"/>
    <mergeCell ref="P250:T251"/>
    <mergeCell ref="U250:W251"/>
    <mergeCell ref="J259:O259"/>
    <mergeCell ref="R232:S232"/>
    <mergeCell ref="R233:S233"/>
    <mergeCell ref="P243:T244"/>
    <mergeCell ref="P245:T246"/>
    <mergeCell ref="T232:V232"/>
    <mergeCell ref="T230:V230"/>
    <mergeCell ref="W229:Y229"/>
    <mergeCell ref="T228:V228"/>
    <mergeCell ref="R221:S221"/>
    <mergeCell ref="R223:S223"/>
    <mergeCell ref="W220:Y220"/>
    <mergeCell ref="W223:Y223"/>
    <mergeCell ref="W221:Y221"/>
    <mergeCell ref="E205:G205"/>
    <mergeCell ref="E206:G206"/>
    <mergeCell ref="E207:G207"/>
    <mergeCell ref="E208:G208"/>
    <mergeCell ref="R226:S226"/>
    <mergeCell ref="R222:S222"/>
    <mergeCell ref="R219:S219"/>
    <mergeCell ref="R218:S218"/>
    <mergeCell ref="Q208:S208"/>
    <mergeCell ref="Q209:S209"/>
    <mergeCell ref="G228:Q228"/>
    <mergeCell ref="G229:Q229"/>
    <mergeCell ref="G230:Q230"/>
    <mergeCell ref="A225:F225"/>
    <mergeCell ref="G225:Q225"/>
    <mergeCell ref="Q211:S211"/>
    <mergeCell ref="M115:O115"/>
    <mergeCell ref="M113:O113"/>
    <mergeCell ref="C211:D211"/>
    <mergeCell ref="A219:G219"/>
    <mergeCell ref="C200:D200"/>
    <mergeCell ref="C201:D201"/>
    <mergeCell ref="C202:D202"/>
    <mergeCell ref="C203:D203"/>
    <mergeCell ref="C204:D204"/>
    <mergeCell ref="E198:G198"/>
    <mergeCell ref="E199:G199"/>
    <mergeCell ref="E201:G201"/>
    <mergeCell ref="E202:G202"/>
    <mergeCell ref="E203:G203"/>
    <mergeCell ref="E204:G204"/>
    <mergeCell ref="E200:G200"/>
    <mergeCell ref="H208:J208"/>
    <mergeCell ref="E209:G209"/>
    <mergeCell ref="K208:M208"/>
    <mergeCell ref="K209:M209"/>
    <mergeCell ref="K210:M210"/>
    <mergeCell ref="C188:D188"/>
    <mergeCell ref="C189:D189"/>
    <mergeCell ref="C190:D190"/>
    <mergeCell ref="F113:H113"/>
    <mergeCell ref="AB117:AD117"/>
    <mergeCell ref="AP96:AQ96"/>
    <mergeCell ref="AP97:AQ97"/>
    <mergeCell ref="AP98:AQ98"/>
    <mergeCell ref="AN98:AO98"/>
    <mergeCell ref="AJ97:AK97"/>
    <mergeCell ref="AL97:AM97"/>
    <mergeCell ref="AJ98:AK98"/>
    <mergeCell ref="AL98:AM98"/>
    <mergeCell ref="AN97:AO97"/>
    <mergeCell ref="AN96:AO96"/>
    <mergeCell ref="Y113:AA113"/>
    <mergeCell ref="Y116:AA116"/>
    <mergeCell ref="P113:R113"/>
    <mergeCell ref="M114:O114"/>
    <mergeCell ref="AI109:AI111"/>
    <mergeCell ref="Y114:AA114"/>
    <mergeCell ref="V113:X113"/>
    <mergeCell ref="S116:U116"/>
    <mergeCell ref="S114:U114"/>
    <mergeCell ref="S115:U115"/>
    <mergeCell ref="S110:U112"/>
    <mergeCell ref="S113:U113"/>
    <mergeCell ref="AI92:AM92"/>
    <mergeCell ref="AI93:AM93"/>
    <mergeCell ref="F63:O63"/>
    <mergeCell ref="F65:O65"/>
    <mergeCell ref="F66:O66"/>
    <mergeCell ref="F67:O67"/>
    <mergeCell ref="AM81:AO81"/>
    <mergeCell ref="AL96:AM96"/>
    <mergeCell ref="AJ96:AK96"/>
    <mergeCell ref="F69:O69"/>
    <mergeCell ref="F70:O70"/>
    <mergeCell ref="A93:G93"/>
    <mergeCell ref="J94:K94"/>
    <mergeCell ref="AL65:AM65"/>
    <mergeCell ref="F64:O64"/>
    <mergeCell ref="T66:V66"/>
    <mergeCell ref="T65:V65"/>
    <mergeCell ref="F78:O78"/>
    <mergeCell ref="AH65:AK65"/>
    <mergeCell ref="H88:I88"/>
    <mergeCell ref="H93:R93"/>
    <mergeCell ref="AK63:AL63"/>
    <mergeCell ref="P64:S64"/>
    <mergeCell ref="F79:O79"/>
    <mergeCell ref="E28:L30"/>
    <mergeCell ref="AB59:AE59"/>
    <mergeCell ref="F62:O62"/>
    <mergeCell ref="P63:V63"/>
    <mergeCell ref="P62:V62"/>
    <mergeCell ref="F59:G59"/>
    <mergeCell ref="T59:U59"/>
    <mergeCell ref="J59:K59"/>
    <mergeCell ref="U50:AB50"/>
    <mergeCell ref="U51:AB51"/>
    <mergeCell ref="U52:AB52"/>
    <mergeCell ref="U53:AB53"/>
    <mergeCell ref="U55:AB55"/>
    <mergeCell ref="U56:AB56"/>
    <mergeCell ref="N51:T51"/>
    <mergeCell ref="N52:T52"/>
    <mergeCell ref="N53:T53"/>
    <mergeCell ref="W62:X62"/>
    <mergeCell ref="Y63:AE63"/>
    <mergeCell ref="AC50:AE52"/>
    <mergeCell ref="A60:AE60"/>
    <mergeCell ref="A61:AE61"/>
    <mergeCell ref="N55:T55"/>
    <mergeCell ref="N56:T56"/>
    <mergeCell ref="P68:V68"/>
    <mergeCell ref="AL67:AM67"/>
    <mergeCell ref="W63:X63"/>
    <mergeCell ref="AH63:AI63"/>
    <mergeCell ref="L96:M96"/>
    <mergeCell ref="N96:O96"/>
    <mergeCell ref="A89:G89"/>
    <mergeCell ref="P77:U77"/>
    <mergeCell ref="O81:P82"/>
    <mergeCell ref="H87:I87"/>
    <mergeCell ref="H89:I89"/>
    <mergeCell ref="P79:Q79"/>
    <mergeCell ref="R79:S79"/>
    <mergeCell ref="P65:S65"/>
    <mergeCell ref="D88:G88"/>
    <mergeCell ref="A81:J82"/>
    <mergeCell ref="P73:S73"/>
    <mergeCell ref="A80:AE80"/>
    <mergeCell ref="F77:O77"/>
    <mergeCell ref="F76:O76"/>
    <mergeCell ref="F68:O68"/>
    <mergeCell ref="B84:C84"/>
    <mergeCell ref="F74:O74"/>
    <mergeCell ref="W64:X64"/>
    <mergeCell ref="Y124:AA124"/>
    <mergeCell ref="Y119:AA119"/>
    <mergeCell ref="AB115:AD115"/>
    <mergeCell ref="AB116:AD116"/>
    <mergeCell ref="AB124:AD124"/>
    <mergeCell ref="AB110:AD112"/>
    <mergeCell ref="AC177:AE180"/>
    <mergeCell ref="AC181:AE181"/>
    <mergeCell ref="AB114:AD114"/>
    <mergeCell ref="AB123:AD123"/>
    <mergeCell ref="AB119:AD119"/>
    <mergeCell ref="AB120:AD120"/>
    <mergeCell ref="Y117:AA117"/>
    <mergeCell ref="AB122:AD122"/>
    <mergeCell ref="AB121:AD121"/>
    <mergeCell ref="Y115:AA115"/>
    <mergeCell ref="Y118:AA118"/>
    <mergeCell ref="Y120:AA120"/>
    <mergeCell ref="Y121:AA121"/>
    <mergeCell ref="AB118:AD118"/>
    <mergeCell ref="Z181:AB181"/>
    <mergeCell ref="AC187:AE187"/>
    <mergeCell ref="AC188:AE188"/>
    <mergeCell ref="AB126:AD126"/>
    <mergeCell ref="AC185:AE185"/>
    <mergeCell ref="W198:Y198"/>
    <mergeCell ref="Z177:AB180"/>
    <mergeCell ref="W202:Y202"/>
    <mergeCell ref="W203:Y203"/>
    <mergeCell ref="Z182:AB182"/>
    <mergeCell ref="AC189:AE189"/>
    <mergeCell ref="Z202:AB202"/>
    <mergeCell ref="Z203:AB203"/>
    <mergeCell ref="Y126:AA126"/>
    <mergeCell ref="Z190:AB190"/>
    <mergeCell ref="Z191:AB191"/>
    <mergeCell ref="Z192:AB192"/>
    <mergeCell ref="Z193:AB193"/>
    <mergeCell ref="Z194:AB194"/>
    <mergeCell ref="Z189:AB189"/>
    <mergeCell ref="AC190:AE190"/>
    <mergeCell ref="AC191:AE191"/>
    <mergeCell ref="AC192:AE192"/>
    <mergeCell ref="AC193:AE193"/>
    <mergeCell ref="Z186:AB186"/>
    <mergeCell ref="Y238:AC238"/>
    <mergeCell ref="Z234:AA234"/>
    <mergeCell ref="Z226:AA226"/>
    <mergeCell ref="Z231:AA231"/>
    <mergeCell ref="Z232:AA232"/>
    <mergeCell ref="W232:Y232"/>
    <mergeCell ref="AB234:AE234"/>
    <mergeCell ref="Z233:AA233"/>
    <mergeCell ref="W216:Y217"/>
    <mergeCell ref="Z222:AA222"/>
    <mergeCell ref="W231:Y231"/>
    <mergeCell ref="W226:Y226"/>
    <mergeCell ref="T234:Y234"/>
    <mergeCell ref="T226:V226"/>
    <mergeCell ref="T231:V231"/>
    <mergeCell ref="Y237:AC237"/>
    <mergeCell ref="AB233:AE233"/>
    <mergeCell ref="AB232:AE232"/>
    <mergeCell ref="AB231:AE231"/>
    <mergeCell ref="AB227:AE227"/>
    <mergeCell ref="Z229:AA229"/>
    <mergeCell ref="W233:Y233"/>
    <mergeCell ref="AB229:AE229"/>
    <mergeCell ref="Z230:AA230"/>
    <mergeCell ref="AB230:AE230"/>
    <mergeCell ref="W230:Y230"/>
    <mergeCell ref="W227:Y227"/>
    <mergeCell ref="AB226:AE226"/>
    <mergeCell ref="H218:Q218"/>
    <mergeCell ref="R216:S217"/>
    <mergeCell ref="H205:J205"/>
    <mergeCell ref="Z225:AA225"/>
    <mergeCell ref="AB225:AE225"/>
    <mergeCell ref="R220:S220"/>
    <mergeCell ref="Z224:AA224"/>
    <mergeCell ref="AB216:AE217"/>
    <mergeCell ref="Z223:AA223"/>
    <mergeCell ref="AB218:AE218"/>
    <mergeCell ref="AB219:AE219"/>
    <mergeCell ref="AB220:AE220"/>
    <mergeCell ref="Z216:AA217"/>
    <mergeCell ref="A214:AE215"/>
    <mergeCell ref="H210:J210"/>
    <mergeCell ref="A218:G218"/>
    <mergeCell ref="A216:Q217"/>
    <mergeCell ref="A222:Q222"/>
    <mergeCell ref="C209:D209"/>
    <mergeCell ref="P219:Q219"/>
    <mergeCell ref="P265:S266"/>
    <mergeCell ref="J265:O266"/>
    <mergeCell ref="H206:J206"/>
    <mergeCell ref="H207:J207"/>
    <mergeCell ref="H211:J211"/>
    <mergeCell ref="H193:J193"/>
    <mergeCell ref="H196:J196"/>
    <mergeCell ref="A231:Q231"/>
    <mergeCell ref="R230:S230"/>
    <mergeCell ref="R228:S228"/>
    <mergeCell ref="R227:S227"/>
    <mergeCell ref="R231:S231"/>
    <mergeCell ref="A223:Q223"/>
    <mergeCell ref="A220:L220"/>
    <mergeCell ref="A221:Q221"/>
    <mergeCell ref="H197:J197"/>
    <mergeCell ref="H209:J209"/>
    <mergeCell ref="H200:J200"/>
    <mergeCell ref="H201:J201"/>
    <mergeCell ref="H198:J198"/>
    <mergeCell ref="H199:J199"/>
    <mergeCell ref="H202:J202"/>
    <mergeCell ref="C210:D210"/>
    <mergeCell ref="J263:O264"/>
    <mergeCell ref="F126:H126"/>
    <mergeCell ref="H181:J181"/>
    <mergeCell ref="C176:AE176"/>
    <mergeCell ref="B126:E126"/>
    <mergeCell ref="C198:D198"/>
    <mergeCell ref="C199:D199"/>
    <mergeCell ref="H191:J191"/>
    <mergeCell ref="Q188:S188"/>
    <mergeCell ref="Q189:S189"/>
    <mergeCell ref="Q190:S190"/>
    <mergeCell ref="Q191:S191"/>
    <mergeCell ref="H188:J188"/>
    <mergeCell ref="H192:J192"/>
    <mergeCell ref="H190:J190"/>
    <mergeCell ref="K199:M199"/>
    <mergeCell ref="Q185:S185"/>
    <mergeCell ref="Q186:S186"/>
    <mergeCell ref="Q187:S187"/>
    <mergeCell ref="H185:J185"/>
    <mergeCell ref="H187:J187"/>
    <mergeCell ref="W177:Y180"/>
    <mergeCell ref="AC184:AE184"/>
    <mergeCell ref="S126:U126"/>
    <mergeCell ref="AC186:AE186"/>
    <mergeCell ref="B121:E121"/>
    <mergeCell ref="B122:E122"/>
    <mergeCell ref="V125:X125"/>
    <mergeCell ref="P102:Q102"/>
    <mergeCell ref="B110:E112"/>
    <mergeCell ref="V118:X118"/>
    <mergeCell ref="I116:L116"/>
    <mergeCell ref="I117:L117"/>
    <mergeCell ref="B123:E123"/>
    <mergeCell ref="P122:R122"/>
    <mergeCell ref="V117:X117"/>
    <mergeCell ref="P118:R118"/>
    <mergeCell ref="F123:H123"/>
    <mergeCell ref="I120:L120"/>
    <mergeCell ref="I121:L121"/>
    <mergeCell ref="I122:L122"/>
    <mergeCell ref="M122:O122"/>
    <mergeCell ref="B118:E118"/>
    <mergeCell ref="F120:H120"/>
    <mergeCell ref="F115:H115"/>
    <mergeCell ref="F114:H114"/>
    <mergeCell ref="S117:U117"/>
    <mergeCell ref="V122:X122"/>
    <mergeCell ref="L103:S103"/>
    <mergeCell ref="P98:Q98"/>
    <mergeCell ref="F110:H112"/>
    <mergeCell ref="P125:R125"/>
    <mergeCell ref="AB125:AD125"/>
    <mergeCell ref="V124:X124"/>
    <mergeCell ref="S124:U124"/>
    <mergeCell ref="S120:U120"/>
    <mergeCell ref="S119:U119"/>
    <mergeCell ref="V123:X123"/>
    <mergeCell ref="V121:X121"/>
    <mergeCell ref="V120:X120"/>
    <mergeCell ref="C98:J98"/>
    <mergeCell ref="L99:M99"/>
    <mergeCell ref="N99:O99"/>
    <mergeCell ref="I115:L115"/>
    <mergeCell ref="F118:H118"/>
    <mergeCell ref="P119:R119"/>
    <mergeCell ref="B124:E124"/>
    <mergeCell ref="F125:H125"/>
    <mergeCell ref="M125:O125"/>
    <mergeCell ref="Y110:AA112"/>
    <mergeCell ref="AB113:AD113"/>
    <mergeCell ref="S118:U118"/>
    <mergeCell ref="P123:R123"/>
    <mergeCell ref="P70:V70"/>
    <mergeCell ref="T72:V72"/>
    <mergeCell ref="P72:S72"/>
    <mergeCell ref="Y71:AB71"/>
    <mergeCell ref="A83:AE83"/>
    <mergeCell ref="J89:K89"/>
    <mergeCell ref="F84:G84"/>
    <mergeCell ref="K81:N82"/>
    <mergeCell ref="N97:O97"/>
    <mergeCell ref="L97:M97"/>
    <mergeCell ref="F75:O75"/>
    <mergeCell ref="T73:V73"/>
    <mergeCell ref="J84:T84"/>
    <mergeCell ref="P78:V78"/>
    <mergeCell ref="Q81:AE82"/>
    <mergeCell ref="S93:U93"/>
    <mergeCell ref="P71:V71"/>
    <mergeCell ref="F71:O71"/>
    <mergeCell ref="F72:O72"/>
    <mergeCell ref="F73:O73"/>
    <mergeCell ref="F87:G87"/>
    <mergeCell ref="A92:AE92"/>
    <mergeCell ref="C97:J97"/>
    <mergeCell ref="P96:Q96"/>
    <mergeCell ref="B119:E119"/>
    <mergeCell ref="V110:X112"/>
    <mergeCell ref="L101:M101"/>
    <mergeCell ref="L100:M100"/>
    <mergeCell ref="N100:O100"/>
    <mergeCell ref="P100:Q100"/>
    <mergeCell ref="M110:O112"/>
    <mergeCell ref="B120:E120"/>
    <mergeCell ref="I114:L114"/>
    <mergeCell ref="C101:J101"/>
    <mergeCell ref="C102:J102"/>
    <mergeCell ref="B113:E113"/>
    <mergeCell ref="B116:E116"/>
    <mergeCell ref="B115:E115"/>
    <mergeCell ref="C100:J100"/>
    <mergeCell ref="N102:O102"/>
    <mergeCell ref="V116:X116"/>
    <mergeCell ref="V115:X115"/>
    <mergeCell ref="B114:E114"/>
    <mergeCell ref="V119:X119"/>
    <mergeCell ref="I110:L112"/>
    <mergeCell ref="B109:AD109"/>
    <mergeCell ref="P110:R112"/>
    <mergeCell ref="F117:H117"/>
    <mergeCell ref="AR235:AS235"/>
    <mergeCell ref="BN193:BO193"/>
    <mergeCell ref="BL193:BM193"/>
    <mergeCell ref="Z218:AA218"/>
    <mergeCell ref="Z219:AA219"/>
    <mergeCell ref="Z220:AA220"/>
    <mergeCell ref="Z221:AA221"/>
    <mergeCell ref="W219:Y219"/>
    <mergeCell ref="AF228:AI228"/>
    <mergeCell ref="Z227:AA227"/>
    <mergeCell ref="W228:Y228"/>
    <mergeCell ref="Z228:AA228"/>
    <mergeCell ref="AB221:AE221"/>
    <mergeCell ref="AB222:AE222"/>
    <mergeCell ref="AB223:AE223"/>
    <mergeCell ref="Z195:AB195"/>
    <mergeCell ref="Z196:AB196"/>
    <mergeCell ref="Z197:AB197"/>
    <mergeCell ref="Z198:AB198"/>
    <mergeCell ref="AC198:AE198"/>
    <mergeCell ref="AC199:AE199"/>
    <mergeCell ref="AN235:AP235"/>
    <mergeCell ref="Z213:AB213"/>
    <mergeCell ref="AB224:AE224"/>
    <mergeCell ref="AG44:AJ44"/>
    <mergeCell ref="AB228:AE228"/>
    <mergeCell ref="Y125:AA125"/>
    <mergeCell ref="N57:T57"/>
    <mergeCell ref="U57:AB57"/>
    <mergeCell ref="P74:U74"/>
    <mergeCell ref="P75:U75"/>
    <mergeCell ref="P76:U76"/>
    <mergeCell ref="F121:H121"/>
    <mergeCell ref="F122:H122"/>
    <mergeCell ref="H182:J182"/>
    <mergeCell ref="H189:J189"/>
    <mergeCell ref="H184:J184"/>
    <mergeCell ref="H183:J183"/>
    <mergeCell ref="M116:O116"/>
    <mergeCell ref="M117:O117"/>
    <mergeCell ref="F116:H116"/>
    <mergeCell ref="P115:R115"/>
    <mergeCell ref="I118:L118"/>
    <mergeCell ref="I119:L119"/>
    <mergeCell ref="F119:H119"/>
    <mergeCell ref="P114:R114"/>
    <mergeCell ref="P66:S66"/>
    <mergeCell ref="P67:S67"/>
    <mergeCell ref="M121:O121"/>
    <mergeCell ref="R229:S229"/>
    <mergeCell ref="H219:O219"/>
    <mergeCell ref="M220:Q220"/>
    <mergeCell ref="M124:O124"/>
    <mergeCell ref="T229:V229"/>
    <mergeCell ref="T227:V227"/>
    <mergeCell ref="T218:V218"/>
    <mergeCell ref="T216:V217"/>
    <mergeCell ref="A224:Q224"/>
    <mergeCell ref="B125:E125"/>
    <mergeCell ref="F124:H124"/>
    <mergeCell ref="I124:L124"/>
    <mergeCell ref="I125:L125"/>
    <mergeCell ref="G127:I127"/>
    <mergeCell ref="C196:D196"/>
    <mergeCell ref="C213:J213"/>
    <mergeCell ref="K213:M213"/>
    <mergeCell ref="Q213:Y213"/>
    <mergeCell ref="S123:U123"/>
    <mergeCell ref="S121:U121"/>
    <mergeCell ref="I123:L123"/>
    <mergeCell ref="B127:F127"/>
    <mergeCell ref="H177:J180"/>
    <mergeCell ref="AK59:AN59"/>
    <mergeCell ref="T67:V67"/>
    <mergeCell ref="A3:AE7"/>
    <mergeCell ref="C237:O238"/>
    <mergeCell ref="C239:O240"/>
    <mergeCell ref="C241:O242"/>
    <mergeCell ref="C243:K244"/>
    <mergeCell ref="C245:K246"/>
    <mergeCell ref="L243:O244"/>
    <mergeCell ref="L245:O246"/>
    <mergeCell ref="U243:U244"/>
    <mergeCell ref="U245:U246"/>
    <mergeCell ref="P241:T242"/>
    <mergeCell ref="U241:U242"/>
    <mergeCell ref="V114:X114"/>
    <mergeCell ref="B117:E117"/>
    <mergeCell ref="P116:R116"/>
    <mergeCell ref="P117:R117"/>
    <mergeCell ref="Y122:AA122"/>
    <mergeCell ref="Y123:AA123"/>
    <mergeCell ref="M119:O119"/>
    <mergeCell ref="M120:O120"/>
    <mergeCell ref="M123:O123"/>
    <mergeCell ref="P121:R121"/>
  </mergeCells>
  <conditionalFormatting sqref="H255">
    <cfRule type="cellIs" dxfId="18" priority="14" operator="greaterThan">
      <formula>"$D$31&gt;0"</formula>
    </cfRule>
  </conditionalFormatting>
  <conditionalFormatting sqref="P255">
    <cfRule type="cellIs" dxfId="17" priority="25" operator="lessThan">
      <formula>$P$237</formula>
    </cfRule>
  </conditionalFormatting>
  <conditionalFormatting sqref="AF181:AH213">
    <cfRule type="cellIs" dxfId="16" priority="2" operator="greaterThan">
      <formula>1</formula>
    </cfRule>
    <cfRule type="cellIs" dxfId="15" priority="3" operator="lessThan">
      <formula>0</formula>
    </cfRule>
  </conditionalFormatting>
  <conditionalFormatting sqref="AN235:AP235">
    <cfRule type="cellIs" dxfId="14" priority="6" operator="greaterThan">
      <formula>1</formula>
    </cfRule>
  </conditionalFormatting>
  <dataValidations count="13">
    <dataValidation type="list" allowBlank="1" showInputMessage="1" showErrorMessage="1" sqref="A224:Q224" xr:uid="{00000000-0002-0000-0000-000002000000}">
      <formula1>$BC$7:$BC$8</formula1>
    </dataValidation>
    <dataValidation type="list" allowBlank="1" showInputMessage="1" showErrorMessage="1" sqref="A222:Q222" xr:uid="{00000000-0002-0000-0000-000000000000}">
      <formula1>$BB$10:$BB$17</formula1>
    </dataValidation>
    <dataValidation type="list" allowBlank="1" showInputMessage="1" showErrorMessage="1" sqref="P75" xr:uid="{00000000-0002-0000-0000-00000F000000}">
      <formula1>$AS$76:$AS$77</formula1>
    </dataValidation>
    <dataValidation type="list" allowBlank="1" showInputMessage="1" showErrorMessage="1" sqref="P76" xr:uid="{E5DAA3B6-3873-4916-98C3-36560BACCB78}">
      <formula1>$AQ$76:$AQ$77</formula1>
    </dataValidation>
    <dataValidation type="list" allowBlank="1" showInputMessage="1" showErrorMessage="1" sqref="P77" xr:uid="{ACF634A9-EAFB-426F-95D3-36C4E5870911}">
      <formula1>$AP$12:$AP$17</formula1>
    </dataValidation>
    <dataValidation type="list" allowBlank="1" showInputMessage="1" showErrorMessage="1" sqref="P71:V71" xr:uid="{00000000-0002-0000-0000-000003000000}">
      <formula1>$BA$7:$BA$16</formula1>
    </dataValidation>
    <dataValidation type="list" allowBlank="1" showInputMessage="1" showErrorMessage="1" sqref="AC50:AE52" xr:uid="{0AD75D22-18C1-4781-B95E-D24CC3415C23}">
      <formula1>$AI$2:$AI$5</formula1>
    </dataValidation>
    <dataValidation type="list" allowBlank="1" showInputMessage="1" showErrorMessage="1" sqref="P68:V68" xr:uid="{E4566E4D-1CD1-48BD-A1A5-496C307CD0B7}">
      <formula1>$AQ$62:$AQ$66</formula1>
    </dataValidation>
    <dataValidation type="list" allowBlank="1" showInputMessage="1" showErrorMessage="1" sqref="L245" xr:uid="{D73F3B44-9C0C-424F-851D-90C3ABDE5F64}">
      <formula1>$AP$250:$AP$252</formula1>
    </dataValidation>
    <dataValidation type="list" allowBlank="1" showInputMessage="1" showErrorMessage="1" sqref="A223:Q223" xr:uid="{F830D0D0-4D76-41B0-809A-FF2EACA964D7}">
      <formula1>$BC$9:$BC$10</formula1>
    </dataValidation>
    <dataValidation type="list" allowBlank="1" showInputMessage="1" showErrorMessage="1" sqref="U57" xr:uid="{883FD521-A2E8-4DA3-84A8-BD2499AD6133}">
      <formula1>$AG$45:$AG$49</formula1>
    </dataValidation>
    <dataValidation type="list" allowBlank="1" showInputMessage="1" showErrorMessage="1" sqref="L243" xr:uid="{8B58E010-64BA-4931-95B0-0A17E08982EA}">
      <formula1>$AO$242:$AO$247</formula1>
    </dataValidation>
    <dataValidation type="list" allowBlank="1" showInputMessage="1" showErrorMessage="1" sqref="G226:G230" xr:uid="{38F7BFAF-3EB8-4646-AFEB-BABEB40DA70F}">
      <formula1>$BD$7:$BD$20</formula1>
    </dataValidation>
  </dataValidations>
  <hyperlinks>
    <hyperlink ref="AI47" r:id="rId1" xr:uid="{F51CD6F5-EEBD-4742-B39C-7F2BEBB6FC3D}"/>
    <hyperlink ref="AI48" r:id="rId2" xr:uid="{8BD3F211-E8D9-45BC-B299-9D54540CF3BE}"/>
  </hyperlinks>
  <pageMargins left="0.62992125984251968" right="0.31496062992125984" top="0.51181102362204722" bottom="0.82677165354330717" header="0.31496062992125984" footer="0.31496062992125984"/>
  <pageSetup paperSize="9" scale="55" orientation="portrait" r:id="rId3"/>
  <rowBreaks count="4" manualBreakCount="4">
    <brk id="58" max="30" man="1"/>
    <brk id="108" max="30" man="1"/>
    <brk id="166" max="30" man="1"/>
    <brk id="213" max="30" man="1"/>
  </rowBreaks>
  <drawing r:id="rId4"/>
  <legacyDrawing r:id="rId5"/>
  <legacyDrawingHF r:id="rId6"/>
  <tableParts count="13">
    <tablePart r:id="rId7"/>
    <tablePart r:id="rId8"/>
    <tablePart r:id="rId9"/>
    <tablePart r:id="rId10"/>
    <tablePart r:id="rId11"/>
    <tablePart r:id="rId12"/>
    <tablePart r:id="rId13"/>
    <tablePart r:id="rId14"/>
    <tablePart r:id="rId15"/>
    <tablePart r:id="rId16"/>
    <tablePart r:id="rId17"/>
    <tablePart r:id="rId18"/>
    <tablePart r:id="rId19"/>
  </tableParts>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000-000008000000}">
          <x14:formula1>
            <xm:f>'BAZA DANYCH'!$V$29:$V$31</xm:f>
          </x14:formula1>
          <xm:sqref>F110</xm:sqref>
        </x14:dataValidation>
        <x14:dataValidation type="list" allowBlank="1" showInputMessage="1" showErrorMessage="1" xr:uid="{00000000-0002-0000-0000-00000B000000}">
          <x14:formula1>
            <xm:f>'BAZA DANYCH'!$G$2:$G$4</xm:f>
          </x14:formula1>
          <xm:sqref>P79</xm:sqref>
        </x14:dataValidation>
        <x14:dataValidation type="list" allowBlank="1" showInputMessage="1" showErrorMessage="1" xr:uid="{00000000-0002-0000-0000-00000D000000}">
          <x14:formula1>
            <xm:f>'BAZA DANYCH'!$Z$47:$Z$51</xm:f>
          </x14:formula1>
          <xm:sqref>F64</xm:sqref>
        </x14:dataValidation>
        <x14:dataValidation type="list" allowBlank="1" showInputMessage="1" showErrorMessage="1" xr:uid="{00000000-0002-0000-0000-00000E000000}">
          <x14:formula1>
            <xm:f>'BAZA DANYCH'!$I$46:$I$50</xm:f>
          </x14:formula1>
          <xm:sqref>P70:V70</xm:sqref>
        </x14:dataValidation>
        <x14:dataValidation type="list" allowBlank="1" showInputMessage="1" showErrorMessage="1" xr:uid="{00000000-0002-0000-0000-000010000000}">
          <x14:formula1>
            <xm:f>'BAZA DANYCH'!$S$68:$S$71</xm:f>
          </x14:formula1>
          <xm:sqref>R79:S79</xm:sqref>
        </x14:dataValidation>
        <x14:dataValidation type="list" allowBlank="1" showInputMessage="1" showErrorMessage="1" xr:uid="{00000000-0002-0000-0000-000011000000}">
          <x14:formula1>
            <xm:f>'BAZA DANYCH'!$G$2:$G$5</xm:f>
          </x14:formula1>
          <xm:sqref>AI229</xm:sqref>
        </x14:dataValidation>
        <x14:dataValidation type="list" allowBlank="1" showInputMessage="1" showErrorMessage="1" xr:uid="{8B67BCD0-36F1-4C68-A312-C690D6567152}">
          <x14:formula1>
            <xm:f>'BAZA DANYCH'!$B$47:$B$65</xm:f>
          </x14:formula1>
          <xm:sqref>P72:S72</xm:sqref>
        </x14:dataValidation>
        <x14:dataValidation type="list" allowBlank="1" showInputMessage="1" showErrorMessage="1" xr:uid="{5CF952A7-6073-4738-B7E5-63558468DDCB}">
          <x14:formula1>
            <xm:f>'BAZA DANYCH'!$C$47:$C$65</xm:f>
          </x14:formula1>
          <xm:sqref>P73:S73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FA2A-425C-434D-9877-EA6884556B28}">
  <dimension ref="A1:X70"/>
  <sheetViews>
    <sheetView showGridLines="0" topLeftCell="A13" zoomScale="55" zoomScaleNormal="55" workbookViewId="0">
      <selection activeCell="S66" sqref="S66"/>
    </sheetView>
  </sheetViews>
  <sheetFormatPr defaultColWidth="3.5703125" defaultRowHeight="14.25"/>
  <cols>
    <col min="1" max="1" width="3.5703125" style="496"/>
    <col min="2" max="2" width="55.5703125" style="496" bestFit="1" customWidth="1"/>
    <col min="3" max="3" width="3.5703125" style="496"/>
    <col min="4" max="4" width="54.28515625" style="496" customWidth="1"/>
    <col min="5" max="5" width="46.85546875" style="496" bestFit="1" customWidth="1"/>
    <col min="6" max="6" width="46.5703125" style="496" customWidth="1"/>
    <col min="7" max="7" width="6.85546875" style="496" bestFit="1" customWidth="1"/>
    <col min="8" max="8" width="24.140625" style="496" customWidth="1"/>
    <col min="9" max="9" width="38.42578125" style="496" bestFit="1" customWidth="1"/>
    <col min="10" max="10" width="7" style="496" bestFit="1" customWidth="1"/>
    <col min="11" max="11" width="34.5703125" style="496" customWidth="1"/>
    <col min="12" max="12" width="22.42578125" style="496" customWidth="1"/>
    <col min="13" max="13" width="18.7109375" style="496" bestFit="1" customWidth="1"/>
    <col min="14" max="14" width="3.5703125" style="496"/>
    <col min="15" max="15" width="16.140625" style="496" bestFit="1" customWidth="1"/>
    <col min="16" max="16" width="4" style="496" customWidth="1"/>
    <col min="17" max="17" width="7.28515625" style="496" bestFit="1" customWidth="1"/>
    <col min="18" max="18" width="34.42578125" style="496" customWidth="1"/>
    <col min="19" max="19" width="8" style="496" customWidth="1"/>
    <col min="20" max="20" width="40.7109375" style="496" customWidth="1"/>
    <col min="21" max="16384" width="3.5703125" style="496"/>
  </cols>
  <sheetData>
    <row r="1" spans="1:24" ht="18">
      <c r="E1" s="534" t="s">
        <v>1274</v>
      </c>
      <c r="F1" s="535">
        <f ca="1">B14</f>
        <v>45306</v>
      </c>
    </row>
    <row r="2" spans="1:24" ht="27.95" customHeight="1">
      <c r="E2" s="779" t="s">
        <v>1152</v>
      </c>
      <c r="F2" s="779"/>
      <c r="G2" s="779"/>
      <c r="H2" s="497"/>
      <c r="I2" s="497"/>
      <c r="J2" s="497"/>
      <c r="K2" s="497"/>
    </row>
    <row r="3" spans="1:24" ht="27.95" customHeight="1">
      <c r="A3" s="498"/>
      <c r="B3" s="498"/>
      <c r="C3" s="498"/>
      <c r="D3" s="498"/>
      <c r="E3" s="499" t="s">
        <v>1153</v>
      </c>
      <c r="F3" s="500">
        <f>'Dane wejściowe'!G67</f>
        <v>13.32</v>
      </c>
      <c r="G3" s="501" t="s">
        <v>4</v>
      </c>
      <c r="H3" s="499"/>
      <c r="I3" s="502"/>
      <c r="J3" s="502"/>
      <c r="K3" s="502"/>
      <c r="L3" s="498"/>
      <c r="M3" s="498"/>
      <c r="N3" s="498"/>
      <c r="O3" s="498"/>
      <c r="P3" s="498"/>
      <c r="Q3" s="498"/>
      <c r="R3" s="498"/>
      <c r="S3" s="498"/>
      <c r="T3" s="498"/>
      <c r="U3" s="498"/>
      <c r="V3" s="498"/>
      <c r="W3" s="498"/>
      <c r="X3" s="498"/>
    </row>
    <row r="4" spans="1:24" ht="27.95" customHeight="1">
      <c r="A4" s="498"/>
      <c r="B4" s="502" t="s">
        <v>1150</v>
      </c>
      <c r="C4" s="498"/>
      <c r="D4" s="533" t="s">
        <v>645</v>
      </c>
      <c r="E4" s="499" t="s">
        <v>1154</v>
      </c>
      <c r="F4" s="778" t="str">
        <f>'Dane wejściowe'!E91</f>
        <v>Blacha trapezowa</v>
      </c>
      <c r="G4" s="778"/>
      <c r="H4" s="499"/>
      <c r="I4" s="502"/>
      <c r="J4" s="502"/>
      <c r="K4" s="502"/>
      <c r="L4" s="498"/>
      <c r="M4" s="498"/>
      <c r="N4" s="498"/>
      <c r="O4" s="498"/>
      <c r="P4" s="498"/>
      <c r="Q4" s="498"/>
      <c r="R4" s="498"/>
      <c r="S4" s="498"/>
      <c r="T4" s="498"/>
      <c r="U4" s="498"/>
      <c r="V4" s="498"/>
      <c r="W4" s="498"/>
      <c r="X4" s="498"/>
    </row>
    <row r="5" spans="1:24" ht="27.95" customHeight="1">
      <c r="A5" s="498"/>
      <c r="B5" s="504">
        <f>'Dane wejściowe'!J9</f>
        <v>0</v>
      </c>
      <c r="C5" s="498"/>
      <c r="D5" s="533">
        <f>'Dane wejściowe'!J9</f>
        <v>0</v>
      </c>
      <c r="E5" s="499" t="s">
        <v>16</v>
      </c>
      <c r="F5" s="503">
        <f>'Dane wejściowe'!H37</f>
        <v>0</v>
      </c>
      <c r="G5" s="505" t="s">
        <v>75</v>
      </c>
      <c r="H5" s="506"/>
      <c r="I5" s="506"/>
      <c r="J5" s="502"/>
      <c r="K5" s="502"/>
      <c r="L5" s="498"/>
      <c r="M5" s="498"/>
      <c r="N5" s="498"/>
      <c r="O5" s="498"/>
      <c r="P5" s="498"/>
      <c r="Q5" s="498"/>
      <c r="R5" s="498"/>
      <c r="S5" s="498"/>
      <c r="T5" s="498"/>
      <c r="U5" s="498"/>
      <c r="V5" s="498"/>
      <c r="W5" s="498"/>
      <c r="X5" s="498"/>
    </row>
    <row r="6" spans="1:24" ht="27.95" customHeight="1">
      <c r="B6" s="507">
        <f>'Dane wejściowe'!J10</f>
        <v>0</v>
      </c>
      <c r="D6" s="533">
        <f>'Dane wejściowe'!J12</f>
        <v>0</v>
      </c>
      <c r="E6" s="499" t="s">
        <v>1155</v>
      </c>
      <c r="F6" s="503">
        <f>'Dane wejściowe'!H38</f>
        <v>-20</v>
      </c>
      <c r="G6" s="505" t="s">
        <v>75</v>
      </c>
      <c r="H6" s="506"/>
      <c r="I6" s="506"/>
      <c r="J6" s="497"/>
      <c r="K6" s="497"/>
    </row>
    <row r="7" spans="1:24" ht="27.95" customHeight="1">
      <c r="B7" s="507">
        <f>'Dane wejściowe'!J11</f>
        <v>0</v>
      </c>
      <c r="E7" s="499" t="s">
        <v>1156</v>
      </c>
      <c r="F7" s="503">
        <f>'Dane wejściowe'!H35</f>
        <v>3</v>
      </c>
      <c r="G7" s="501" t="s">
        <v>287</v>
      </c>
      <c r="H7" s="499"/>
      <c r="I7" s="497"/>
      <c r="J7" s="497"/>
      <c r="K7" s="497"/>
    </row>
    <row r="8" spans="1:24" ht="27.95" customHeight="1">
      <c r="B8" s="508">
        <f>'Dane wejściowe'!J12</f>
        <v>0</v>
      </c>
      <c r="E8" s="497"/>
      <c r="F8" s="509"/>
      <c r="G8" s="509"/>
      <c r="H8" s="497"/>
      <c r="I8" s="497"/>
      <c r="J8" s="497"/>
      <c r="K8" s="497"/>
    </row>
    <row r="9" spans="1:24" ht="27.95" customHeight="1">
      <c r="E9" s="780" t="s">
        <v>1157</v>
      </c>
      <c r="F9" s="780"/>
      <c r="G9" s="780"/>
      <c r="H9" s="497"/>
      <c r="I9" s="497"/>
      <c r="J9" s="497"/>
      <c r="K9" s="497"/>
    </row>
    <row r="10" spans="1:24" ht="27.95" customHeight="1">
      <c r="B10" s="496" t="s">
        <v>1004</v>
      </c>
      <c r="E10" s="499" t="s">
        <v>1158</v>
      </c>
      <c r="F10" s="778" t="str">
        <f>'Dane wejściowe'!G43</f>
        <v>TW Solar TW555-MAP M10-144-H</v>
      </c>
      <c r="G10" s="778"/>
      <c r="H10" s="499"/>
      <c r="I10" s="499"/>
      <c r="J10" s="497"/>
      <c r="K10" s="497"/>
    </row>
    <row r="11" spans="1:24" ht="27.95" customHeight="1">
      <c r="B11" s="536" t="str">
        <f>'Dane wejściowe'!$B$9</f>
        <v>Rafał Krakowczyk</v>
      </c>
      <c r="D11" s="510" t="str">
        <f>PDF_OFERTAPV!B11</f>
        <v>Rafał Krakowczyk</v>
      </c>
      <c r="E11" s="499" t="s">
        <v>1159</v>
      </c>
      <c r="F11" s="503">
        <f>'Dane wejściowe'!G63</f>
        <v>12</v>
      </c>
      <c r="G11" s="501" t="s">
        <v>295</v>
      </c>
      <c r="H11" s="499"/>
      <c r="I11" s="499"/>
      <c r="J11" s="497"/>
      <c r="K11" s="497"/>
    </row>
    <row r="12" spans="1:24" ht="27.95" customHeight="1">
      <c r="B12" s="537">
        <f>'Dane wejściowe'!$B$10</f>
        <v>530830107</v>
      </c>
      <c r="D12" s="510">
        <f>B12</f>
        <v>530830107</v>
      </c>
      <c r="E12" s="499" t="s">
        <v>1224</v>
      </c>
      <c r="F12" s="503">
        <f>'Dane wejściowe'!G64</f>
        <v>30</v>
      </c>
      <c r="G12" s="501" t="s">
        <v>295</v>
      </c>
      <c r="H12" s="499"/>
      <c r="I12" s="499"/>
      <c r="J12" s="497"/>
      <c r="K12" s="497"/>
    </row>
    <row r="13" spans="1:24" ht="27.95" customHeight="1">
      <c r="B13" s="536" t="str">
        <f>'Dane wejściowe'!$B$11</f>
        <v>rafal.krakowczyk@ampere-solar.pl</v>
      </c>
      <c r="D13" s="510" t="str">
        <f>B13</f>
        <v>rafal.krakowczyk@ampere-solar.pl</v>
      </c>
      <c r="E13" s="499" t="s">
        <v>1160</v>
      </c>
      <c r="F13" s="500">
        <f>'Dane wejściowe'!G62</f>
        <v>21.5</v>
      </c>
      <c r="G13" s="501" t="s">
        <v>6</v>
      </c>
      <c r="H13" s="499"/>
      <c r="I13" s="499"/>
      <c r="J13" s="497"/>
      <c r="K13" s="497"/>
    </row>
    <row r="14" spans="1:24" ht="52.5" customHeight="1">
      <c r="B14" s="511">
        <f ca="1">'Dane wejściowe'!M1</f>
        <v>45306</v>
      </c>
      <c r="E14" s="499" t="s">
        <v>1161</v>
      </c>
      <c r="F14" s="778" t="str">
        <f>'Dane wejściowe'!G74</f>
        <v>Sofar 12KTLX-G3</v>
      </c>
      <c r="G14" s="778"/>
      <c r="H14" s="499"/>
      <c r="I14" s="499"/>
      <c r="J14" s="497"/>
      <c r="K14" s="497"/>
    </row>
    <row r="15" spans="1:24" ht="27.95" customHeight="1">
      <c r="E15" s="499" t="s">
        <v>1159</v>
      </c>
      <c r="F15" s="503">
        <f>'Dane wejściowe'!G75</f>
        <v>12</v>
      </c>
      <c r="G15" s="501" t="s">
        <v>295</v>
      </c>
      <c r="H15" s="499"/>
      <c r="I15" s="499"/>
      <c r="K15" s="497"/>
    </row>
    <row r="16" spans="1:24" ht="27.95" customHeight="1">
      <c r="E16" s="499" t="s">
        <v>1273</v>
      </c>
      <c r="F16" s="503">
        <f>'Dane wejściowe'!G76</f>
        <v>0</v>
      </c>
      <c r="G16" s="501" t="s">
        <v>6</v>
      </c>
      <c r="H16" s="499"/>
      <c r="I16" s="499"/>
      <c r="K16" s="497"/>
    </row>
    <row r="17" spans="5:11" ht="27.95" customHeight="1">
      <c r="E17" s="499" t="s">
        <v>1229</v>
      </c>
      <c r="F17" s="503">
        <f>'Dane wejściowe'!G77</f>
        <v>18000</v>
      </c>
      <c r="G17" s="501" t="s">
        <v>79</v>
      </c>
      <c r="H17" s="499"/>
      <c r="I17" s="499"/>
      <c r="K17" s="497"/>
    </row>
    <row r="18" spans="5:11" ht="27.95" customHeight="1">
      <c r="E18" s="499"/>
      <c r="F18" s="503"/>
      <c r="G18" s="501"/>
      <c r="H18" s="499"/>
      <c r="I18" s="499"/>
      <c r="K18" s="497"/>
    </row>
    <row r="19" spans="5:11" ht="18" customHeight="1">
      <c r="H19" s="781" t="s">
        <v>213</v>
      </c>
      <c r="I19" s="781"/>
      <c r="J19" s="512" t="s">
        <v>1162</v>
      </c>
    </row>
    <row r="20" spans="5:11" ht="18" customHeight="1">
      <c r="H20" s="513" t="s">
        <v>1163</v>
      </c>
      <c r="I20" s="514" t="str">
        <f>'Dane wejściowe'!E87</f>
        <v>TW Solar TW555-MAP M10-144-H</v>
      </c>
      <c r="J20" s="515">
        <f>'Dane wejściowe'!K87</f>
        <v>24</v>
      </c>
    </row>
    <row r="21" spans="5:11" ht="18" customHeight="1">
      <c r="H21" s="513" t="s">
        <v>198</v>
      </c>
      <c r="I21" s="514" t="str">
        <f>'Dane wejściowe'!E88</f>
        <v>Sofar 12KTLX-G3</v>
      </c>
      <c r="J21" s="516">
        <f>'Dane wejściowe'!K88</f>
        <v>1</v>
      </c>
    </row>
    <row r="22" spans="5:11" ht="18" customHeight="1">
      <c r="H22" s="774" t="s">
        <v>1164</v>
      </c>
      <c r="I22" s="774"/>
      <c r="J22" s="517">
        <f>'Dane wejściowe'!K97</f>
        <v>10</v>
      </c>
    </row>
    <row r="23" spans="5:11" ht="18" customHeight="1">
      <c r="H23" s="774" t="str">
        <f>'Dane wejściowe'!E93</f>
        <v>Przewód DC 4mm2</v>
      </c>
      <c r="I23" s="774"/>
      <c r="J23" s="517">
        <f>'Dane wejściowe'!K93</f>
        <v>150</v>
      </c>
    </row>
    <row r="24" spans="5:11" ht="18" customHeight="1">
      <c r="H24" s="774" t="str">
        <f>'Dane wejściowe'!E92</f>
        <v>Przewód AC 5x4mm2</v>
      </c>
      <c r="I24" s="774"/>
      <c r="J24" s="517">
        <f>'Dane wejściowe'!K92</f>
        <v>10</v>
      </c>
    </row>
    <row r="25" spans="5:11" ht="18" customHeight="1">
      <c r="H25" s="774" t="str">
        <f>'Dane wejściowe'!E94</f>
        <v>Skrzynka z ogranicznikiem przepięć AC 3-F typu T1+T2</v>
      </c>
      <c r="I25" s="774"/>
      <c r="J25" s="517">
        <f>'Dane wejściowe'!K94</f>
        <v>1</v>
      </c>
    </row>
    <row r="26" spans="5:11" ht="18" customHeight="1">
      <c r="H26" s="774" t="str">
        <f>'Dane wejściowe'!E95</f>
        <v>Skrzynka przepięciowa 2 łańcuchy DC 1000V</v>
      </c>
      <c r="I26" s="774"/>
      <c r="J26" s="517">
        <f>'Dane wejściowe'!K95</f>
        <v>1</v>
      </c>
    </row>
    <row r="27" spans="5:11" ht="18" customHeight="1">
      <c r="H27" s="513" t="str">
        <f>PV!A225</f>
        <v>Konstrukcja montażowa</v>
      </c>
      <c r="I27" s="514" t="str">
        <f>'Dane wejściowe'!E91</f>
        <v>Blacha trapezowa</v>
      </c>
      <c r="J27" s="518">
        <f>'Dane wejściowe'!K91</f>
        <v>24</v>
      </c>
    </row>
    <row r="28" spans="5:11" ht="18" customHeight="1">
      <c r="H28" s="775" t="str">
        <f>'Dane wejściowe'!E96</f>
        <v>Rozłącznik ppoż PROJOY 2-stringi</v>
      </c>
      <c r="I28" s="776"/>
      <c r="J28" s="518">
        <f>'Dane wejściowe'!K96</f>
        <v>1</v>
      </c>
    </row>
    <row r="29" spans="5:11" ht="18" customHeight="1">
      <c r="H29" s="774" t="str">
        <f>'Dane wejściowe'!B103</f>
        <v>Projekt PPOŻ</v>
      </c>
      <c r="I29" s="774"/>
      <c r="J29" s="518">
        <f>'Dane wejściowe'!K103</f>
        <v>1</v>
      </c>
    </row>
    <row r="30" spans="5:11" ht="18" customHeight="1">
      <c r="H30" s="774" t="str">
        <f>'Dane wejściowe'!E98</f>
        <v>---------</v>
      </c>
      <c r="I30" s="774"/>
      <c r="J30" s="518">
        <f>'Dane wejściowe'!K98</f>
        <v>0</v>
      </c>
    </row>
    <row r="31" spans="5:11" ht="18" customHeight="1">
      <c r="H31" s="774" t="str">
        <f>'Dane wejściowe'!E99</f>
        <v>---------</v>
      </c>
      <c r="I31" s="774"/>
      <c r="J31" s="518">
        <f>'Dane wejściowe'!K99</f>
        <v>0</v>
      </c>
    </row>
    <row r="32" spans="5:11" ht="18" customHeight="1">
      <c r="H32" s="774" t="str">
        <f>'Dane wejściowe'!E100</f>
        <v>---------</v>
      </c>
      <c r="I32" s="774"/>
      <c r="J32" s="518">
        <f>'Dane wejściowe'!K100</f>
        <v>0</v>
      </c>
    </row>
    <row r="33" spans="2:17" ht="18" customHeight="1">
      <c r="H33" s="774" t="str">
        <f>'Dane wejściowe'!E101</f>
        <v>---------</v>
      </c>
      <c r="I33" s="774"/>
      <c r="J33" s="518">
        <f>'Dane wejściowe'!K101</f>
        <v>0</v>
      </c>
    </row>
    <row r="34" spans="2:17" ht="18" customHeight="1">
      <c r="H34" s="775" t="str">
        <f>'Dane wejściowe'!E102</f>
        <v>-------</v>
      </c>
      <c r="I34" s="776"/>
      <c r="J34" s="518">
        <f>'Dane wejściowe'!K102</f>
        <v>0</v>
      </c>
    </row>
    <row r="35" spans="2:17" ht="18" customHeight="1">
      <c r="H35" s="774" t="str">
        <f>PV!A231</f>
        <v>Robocizna</v>
      </c>
      <c r="I35" s="774"/>
      <c r="J35" s="519">
        <f>'Dane wejściowe'!K104</f>
        <v>13.32</v>
      </c>
      <c r="O35" s="542"/>
      <c r="P35" s="542"/>
      <c r="Q35" s="542"/>
    </row>
    <row r="36" spans="2:17">
      <c r="H36" s="774" t="str">
        <f>PV!A232</f>
        <v>Transport</v>
      </c>
      <c r="I36" s="774"/>
      <c r="J36" s="517">
        <f>'Dane wejściowe'!K105</f>
        <v>0</v>
      </c>
      <c r="O36" s="543" t="s">
        <v>1272</v>
      </c>
      <c r="P36" s="544">
        <f>PV!C59</f>
        <v>20</v>
      </c>
      <c r="Q36" s="545" t="str">
        <f>'Dane wejściowe'!E1</f>
        <v>/2023</v>
      </c>
    </row>
    <row r="37" spans="2:17" ht="18" customHeight="1">
      <c r="H37" s="774" t="str">
        <f>PV!A233</f>
        <v>Kod rabatowy</v>
      </c>
      <c r="I37" s="774"/>
      <c r="J37" s="517">
        <f>'Dane wejściowe'!K106</f>
        <v>0</v>
      </c>
    </row>
    <row r="38" spans="2:17" ht="18" customHeight="1"/>
    <row r="39" spans="2:17" ht="18" customHeight="1">
      <c r="K39" s="777" t="str">
        <f>IF('Dane wejściowe'!$H$28="firma","Całkowity koszt instalacji netto","Całkowity koszt instalacji brutto")</f>
        <v>Całkowity koszt instalacji brutto</v>
      </c>
      <c r="L39" s="777"/>
      <c r="M39" s="521">
        <f>IF('Dane wejściowe'!$H$28="firma",'Dane wejściowe'!$N$107,'Dane wejściowe'!$N$109)</f>
        <v>36399.996000000006</v>
      </c>
    </row>
    <row r="40" spans="2:17" ht="33" customHeight="1">
      <c r="K40" s="546" t="str">
        <f>IF('Dane wejściowe'!$H$28="Firma","Całkowity koszt instalacji brutto","Program dofinansowania")</f>
        <v>Program dofinansowania</v>
      </c>
      <c r="L40" s="547" t="str">
        <f>IF('Dane wejściowe'!$H$28="firma"," ",'Dane wejściowe'!$L$110)</f>
        <v>----------</v>
      </c>
      <c r="M40" s="548">
        <f>IF('Dane wejściowe'!$H$28="Firma",'Dane wejściowe'!$N$109,'Dane wejściowe'!$N$110)</f>
        <v>0</v>
      </c>
    </row>
    <row r="41" spans="2:17" ht="18" customHeight="1">
      <c r="K41" s="520" t="str">
        <f>IF('Dane wejściowe'!$H$28="Firma","Cena instalacji za 1kWp netto","Ulga termomodernizacyjna")</f>
        <v>Ulga termomodernizacyjna</v>
      </c>
      <c r="L41" s="523" t="str">
        <f>IF('Dane wejściowe'!H28="firma"," ",'Dane wejściowe'!$L$111)</f>
        <v>----------</v>
      </c>
      <c r="M41" s="522">
        <f>IF('Dane wejściowe'!$H$28="Firma",'Dane wejściowe'!$N$113,'Dane wejściowe'!$N$111)</f>
        <v>0</v>
      </c>
    </row>
    <row r="42" spans="2:17" ht="18" customHeight="1">
      <c r="K42" s="777" t="str">
        <f>IF('Dane wejściowe'!H28="firma"," ","Koszt instalacji po dofinansowaniu")</f>
        <v>Koszt instalacji po dofinansowaniu</v>
      </c>
      <c r="L42" s="777"/>
      <c r="M42" s="521">
        <f>IF('Dane wejściowe'!$H$28="Firma"," ",'Dane wejściowe'!$N$112)</f>
        <v>36399.996000000006</v>
      </c>
    </row>
    <row r="43" spans="2:17" ht="18" customHeight="1">
      <c r="K43" s="777" t="str">
        <f>IF('Dane wejściowe'!$H$28="Firma"," ","Cena instalacji za 1kWp")</f>
        <v>Cena instalacji za 1kWp</v>
      </c>
      <c r="L43" s="777"/>
      <c r="M43" s="521">
        <f>IF('Dane wejściowe'!$H$28="Firma"," ",'Dane wejściowe'!N113)</f>
        <v>2732.7324324324327</v>
      </c>
    </row>
    <row r="44" spans="2:17">
      <c r="K44" s="520"/>
      <c r="L44" s="520"/>
    </row>
    <row r="45" spans="2:17" ht="15">
      <c r="K45" s="777" t="s">
        <v>1165</v>
      </c>
      <c r="L45" s="777"/>
      <c r="M45" s="524">
        <f ca="1">PV!Y238</f>
        <v>45313</v>
      </c>
    </row>
    <row r="46" spans="2:17" ht="24" customHeight="1">
      <c r="B46" s="536" t="str">
        <f>'Dane wejściowe'!$B$9</f>
        <v>Rafał Krakowczyk</v>
      </c>
    </row>
    <row r="47" spans="2:17" ht="18">
      <c r="B47" s="537">
        <f>'Dane wejściowe'!$B$10</f>
        <v>530830107</v>
      </c>
    </row>
    <row r="48" spans="2:17" ht="18">
      <c r="B48" s="536" t="str">
        <f>'Dane wejściowe'!$B$11</f>
        <v>rafal.krakowczyk@ampere-solar.pl</v>
      </c>
    </row>
    <row r="60" spans="13:20">
      <c r="M60" s="538"/>
      <c r="N60" s="538"/>
      <c r="O60" s="538"/>
      <c r="P60" s="538"/>
      <c r="Q60" s="538"/>
      <c r="R60" s="538"/>
      <c r="S60" s="538"/>
      <c r="T60" s="538"/>
    </row>
    <row r="61" spans="13:20">
      <c r="M61" s="538"/>
      <c r="N61" s="538"/>
      <c r="O61" s="538"/>
      <c r="P61" s="538"/>
      <c r="Q61" s="538"/>
      <c r="R61" s="538"/>
      <c r="S61" s="538"/>
      <c r="T61" s="538"/>
    </row>
    <row r="62" spans="13:20">
      <c r="M62" s="538"/>
      <c r="N62" s="538"/>
      <c r="O62" s="538"/>
      <c r="P62" s="538"/>
      <c r="Q62" s="538"/>
      <c r="R62" s="538"/>
      <c r="S62" s="538"/>
      <c r="T62" s="538"/>
    </row>
    <row r="63" spans="13:20">
      <c r="M63" s="538"/>
      <c r="N63" s="538"/>
      <c r="O63" s="538"/>
      <c r="P63" s="538"/>
      <c r="Q63" s="538"/>
      <c r="R63" s="538"/>
      <c r="S63" s="538"/>
      <c r="T63" s="538"/>
    </row>
    <row r="64" spans="13:20" ht="18.75" customHeight="1">
      <c r="M64" s="538"/>
      <c r="N64" s="538"/>
      <c r="O64" s="538"/>
      <c r="P64" s="538"/>
      <c r="Q64" s="538"/>
      <c r="R64" s="539" t="s">
        <v>1004</v>
      </c>
      <c r="S64" s="540"/>
      <c r="T64" s="541">
        <f>B47</f>
        <v>530830107</v>
      </c>
    </row>
    <row r="65" spans="13:20" ht="18.75" customHeight="1">
      <c r="M65" s="538"/>
      <c r="N65" s="538"/>
      <c r="O65" s="538"/>
      <c r="P65" s="538"/>
      <c r="Q65" s="538"/>
      <c r="R65" s="538" t="str">
        <f>B46</f>
        <v>Rafał Krakowczyk</v>
      </c>
      <c r="S65" s="540"/>
      <c r="T65" s="541" t="str">
        <f>B48</f>
        <v>rafal.krakowczyk@ampere-solar.pl</v>
      </c>
    </row>
    <row r="66" spans="13:20">
      <c r="M66" s="538"/>
      <c r="N66" s="538"/>
      <c r="O66" s="538"/>
      <c r="P66" s="538"/>
      <c r="Q66" s="538"/>
      <c r="R66" s="538"/>
      <c r="S66" s="538"/>
      <c r="T66" s="538"/>
    </row>
    <row r="67" spans="13:20">
      <c r="M67" s="538"/>
      <c r="N67" s="538"/>
      <c r="O67" s="538"/>
      <c r="P67" s="538"/>
      <c r="Q67" s="538"/>
      <c r="R67" s="538"/>
      <c r="S67" s="538"/>
      <c r="T67" s="538"/>
    </row>
    <row r="68" spans="13:20">
      <c r="M68" s="538"/>
      <c r="N68" s="538"/>
      <c r="O68" s="538"/>
      <c r="P68" s="538"/>
      <c r="Q68" s="538"/>
      <c r="R68" s="538"/>
      <c r="S68" s="538"/>
      <c r="T68" s="538"/>
    </row>
    <row r="69" spans="13:20">
      <c r="M69" s="538"/>
      <c r="N69" s="538"/>
      <c r="O69" s="538"/>
      <c r="P69" s="538"/>
      <c r="Q69" s="538"/>
      <c r="R69" s="538"/>
      <c r="S69" s="538"/>
      <c r="T69" s="538"/>
    </row>
    <row r="70" spans="13:20">
      <c r="M70" s="538"/>
      <c r="N70" s="538"/>
      <c r="O70" s="538"/>
      <c r="P70" s="538"/>
      <c r="Q70" s="538"/>
      <c r="R70" s="538"/>
      <c r="S70" s="538"/>
      <c r="T70" s="538"/>
    </row>
  </sheetData>
  <mergeCells count="25">
    <mergeCell ref="H26:I26"/>
    <mergeCell ref="H29:I29"/>
    <mergeCell ref="H28:I28"/>
    <mergeCell ref="F14:G14"/>
    <mergeCell ref="E2:G2"/>
    <mergeCell ref="E9:G9"/>
    <mergeCell ref="H23:I23"/>
    <mergeCell ref="H24:I24"/>
    <mergeCell ref="F10:G10"/>
    <mergeCell ref="F4:G4"/>
    <mergeCell ref="H19:I19"/>
    <mergeCell ref="H22:I22"/>
    <mergeCell ref="H25:I25"/>
    <mergeCell ref="K45:L45"/>
    <mergeCell ref="H36:I36"/>
    <mergeCell ref="H37:I37"/>
    <mergeCell ref="K39:L39"/>
    <mergeCell ref="K42:L42"/>
    <mergeCell ref="K43:L43"/>
    <mergeCell ref="H30:I30"/>
    <mergeCell ref="H31:I31"/>
    <mergeCell ref="H32:I32"/>
    <mergeCell ref="H33:I33"/>
    <mergeCell ref="H35:I35"/>
    <mergeCell ref="H34:I3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usz6">
    <tabColor rgb="FFFFC000"/>
  </sheetPr>
  <dimension ref="A1:DC171"/>
  <sheetViews>
    <sheetView topLeftCell="A68" zoomScale="130" zoomScaleNormal="130" zoomScaleSheetLayoutView="145" zoomScalePageLayoutView="70" workbookViewId="0">
      <selection activeCell="BG65" sqref="BG65"/>
    </sheetView>
  </sheetViews>
  <sheetFormatPr defaultColWidth="2.7109375" defaultRowHeight="9.9499999999999993" customHeight="1"/>
  <cols>
    <col min="1" max="5" width="2.7109375" style="13"/>
    <col min="6" max="6" width="2.7109375" style="13" customWidth="1"/>
    <col min="7" max="7" width="2.7109375" style="13"/>
    <col min="8" max="8" width="2.7109375" style="13" customWidth="1"/>
    <col min="9" max="9" width="2.7109375" style="13"/>
    <col min="10" max="10" width="2.7109375" style="13" customWidth="1"/>
    <col min="11" max="11" width="2.85546875" style="13" bestFit="1" customWidth="1"/>
    <col min="12" max="12" width="2.7109375" style="13"/>
    <col min="13" max="13" width="2.7109375" style="13" customWidth="1"/>
    <col min="14" max="14" width="2.7109375" style="13"/>
    <col min="15" max="15" width="2.7109375" style="13" customWidth="1"/>
    <col min="16" max="27" width="2.7109375" style="13"/>
    <col min="28" max="28" width="2.7109375" style="13" customWidth="1"/>
    <col min="29" max="29" width="2.7109375" style="13"/>
    <col min="30" max="30" width="2.7109375" style="13" customWidth="1"/>
    <col min="31" max="37" width="2.7109375" style="13"/>
    <col min="38" max="38" width="2.7109375" style="13" customWidth="1"/>
    <col min="39" max="39" width="2.7109375" style="13"/>
    <col min="40" max="40" width="2.85546875" style="13" bestFit="1" customWidth="1"/>
    <col min="41" max="41" width="3" style="13" customWidth="1"/>
    <col min="42" max="45" width="2.7109375" style="13"/>
    <col min="46" max="46" width="2.7109375" style="13" customWidth="1"/>
    <col min="47" max="52" width="2.7109375" style="13"/>
    <col min="53" max="53" width="3.42578125" style="13" bestFit="1" customWidth="1"/>
    <col min="54" max="54" width="2.7109375" style="13"/>
    <col min="55" max="55" width="5" style="13" bestFit="1" customWidth="1"/>
    <col min="56" max="57" width="2.7109375" style="13"/>
    <col min="58" max="58" width="4.7109375" style="13" customWidth="1"/>
    <col min="59" max="59" width="4" style="13" customWidth="1"/>
    <col min="60" max="60" width="4" style="13" bestFit="1" customWidth="1"/>
    <col min="61" max="61" width="4.7109375" style="13" bestFit="1" customWidth="1"/>
    <col min="62" max="62" width="3.7109375" style="13" customWidth="1"/>
    <col min="63" max="65" width="2.7109375" style="13"/>
    <col min="66" max="66" width="4.85546875" style="13" bestFit="1" customWidth="1"/>
    <col min="67" max="67" width="2.7109375" style="13"/>
    <col min="68" max="68" width="2.7109375" style="13" customWidth="1"/>
    <col min="69" max="76" width="2.7109375" style="13"/>
    <col min="77" max="77" width="10.42578125" style="13" customWidth="1"/>
    <col min="78" max="78" width="6" style="13" customWidth="1"/>
    <col min="79" max="79" width="12.5703125" style="13" bestFit="1" customWidth="1"/>
    <col min="80" max="83" width="9" style="13" customWidth="1"/>
    <col min="84" max="16384" width="2.7109375" style="13"/>
  </cols>
  <sheetData>
    <row r="1" spans="1:107" ht="9.9499999999999993" customHeight="1">
      <c r="A1" s="188"/>
      <c r="B1" s="183"/>
      <c r="C1" s="183"/>
      <c r="D1" s="183" t="s">
        <v>231</v>
      </c>
      <c r="E1" s="183"/>
      <c r="F1" s="183"/>
      <c r="G1" s="787" t="s">
        <v>232</v>
      </c>
      <c r="H1" s="787"/>
      <c r="I1" s="183"/>
      <c r="J1" s="183"/>
      <c r="K1" s="183"/>
      <c r="L1" s="183"/>
      <c r="M1" s="183"/>
      <c r="N1" s="183"/>
      <c r="O1" s="183"/>
      <c r="P1" s="183"/>
      <c r="Q1" s="183"/>
      <c r="R1" s="183"/>
      <c r="S1" s="183"/>
      <c r="T1" s="183"/>
      <c r="U1" s="183"/>
      <c r="V1" s="183"/>
      <c r="W1" s="183"/>
      <c r="X1" s="183"/>
      <c r="Y1" s="183"/>
      <c r="Z1" s="183"/>
      <c r="AA1" s="183"/>
      <c r="AB1" s="183"/>
      <c r="AC1" s="183"/>
      <c r="AD1" s="183"/>
      <c r="AE1" s="183"/>
      <c r="AF1" s="183"/>
      <c r="AG1" s="183"/>
      <c r="AH1" s="183"/>
      <c r="AI1" s="183"/>
      <c r="AJ1" s="183"/>
      <c r="AK1" s="183"/>
      <c r="AL1" s="183"/>
      <c r="AM1" s="183"/>
      <c r="AN1" s="183"/>
      <c r="AO1" s="183"/>
      <c r="AP1" s="183"/>
      <c r="AQ1" s="183"/>
      <c r="AR1" s="183"/>
      <c r="AS1" s="183"/>
      <c r="AT1" s="183"/>
      <c r="AU1" s="183"/>
      <c r="AV1" s="183"/>
      <c r="AW1" s="183"/>
      <c r="AX1" s="183"/>
      <c r="AY1" s="187"/>
      <c r="BA1" s="13" t="s">
        <v>269</v>
      </c>
      <c r="CC1" s="13" t="s">
        <v>324</v>
      </c>
    </row>
    <row r="2" spans="1:107" ht="9.9499999999999993" customHeight="1">
      <c r="A2" s="184"/>
      <c r="D2" s="784" t="s">
        <v>267</v>
      </c>
      <c r="E2" s="784"/>
      <c r="F2" s="784"/>
      <c r="G2" s="785">
        <f>PV!L100</f>
        <v>647.09453599306164</v>
      </c>
      <c r="H2" s="782"/>
      <c r="I2" s="13" t="s">
        <v>233</v>
      </c>
      <c r="X2" s="782" t="s">
        <v>310</v>
      </c>
      <c r="Y2" s="782"/>
      <c r="Z2" s="782"/>
      <c r="AA2" s="782"/>
      <c r="AC2" s="13" t="s">
        <v>234</v>
      </c>
      <c r="AH2" s="782" t="str">
        <f>PV!H93</f>
        <v>Sofar 12KTLX-G3</v>
      </c>
      <c r="AI2" s="782"/>
      <c r="AJ2" s="782"/>
      <c r="AK2" s="782"/>
      <c r="AL2" s="782"/>
      <c r="AM2" s="782"/>
      <c r="AQ2" s="790" t="s">
        <v>660</v>
      </c>
      <c r="AR2" s="790"/>
      <c r="AS2" s="790"/>
      <c r="AT2" s="790"/>
      <c r="AU2" s="790"/>
      <c r="AV2" s="790"/>
      <c r="AW2" s="790"/>
      <c r="AX2" s="790"/>
      <c r="AY2" s="121"/>
      <c r="BA2" s="13" t="s">
        <v>259</v>
      </c>
      <c r="BI2" s="13" t="s">
        <v>273</v>
      </c>
      <c r="CC2" s="13" t="s">
        <v>325</v>
      </c>
    </row>
    <row r="3" spans="1:107" ht="9.9499999999999993" customHeight="1">
      <c r="A3" s="184"/>
      <c r="D3" s="784" t="s">
        <v>243</v>
      </c>
      <c r="E3" s="784"/>
      <c r="F3" s="784"/>
      <c r="G3" s="785">
        <f>PV!L101</f>
        <v>746.1</v>
      </c>
      <c r="H3" s="782"/>
      <c r="I3" s="13" t="s">
        <v>233</v>
      </c>
      <c r="V3" s="119"/>
      <c r="W3" s="119"/>
      <c r="Y3" s="784" t="s">
        <v>259</v>
      </c>
      <c r="Z3" s="784"/>
      <c r="AQ3" s="790"/>
      <c r="AR3" s="790"/>
      <c r="AS3" s="790"/>
      <c r="AT3" s="790"/>
      <c r="AU3" s="790"/>
      <c r="AV3" s="790"/>
      <c r="AW3" s="790"/>
      <c r="AX3" s="790"/>
      <c r="AY3" s="121"/>
      <c r="BA3" s="13" t="s">
        <v>280</v>
      </c>
      <c r="BF3" s="77">
        <v>90</v>
      </c>
      <c r="BG3" s="13" t="s">
        <v>86</v>
      </c>
      <c r="BI3" s="13" t="s">
        <v>272</v>
      </c>
      <c r="BN3" s="77">
        <f>PV!R222</f>
        <v>10</v>
      </c>
      <c r="BO3" s="13" t="s">
        <v>86</v>
      </c>
      <c r="BT3" s="782"/>
      <c r="BU3" s="782"/>
    </row>
    <row r="4" spans="1:107" ht="9.9499999999999993" customHeight="1">
      <c r="A4" s="184"/>
      <c r="D4" s="784" t="s">
        <v>315</v>
      </c>
      <c r="E4" s="784"/>
      <c r="F4" s="784"/>
      <c r="G4" s="785">
        <f>PV!L102</f>
        <v>1039.9829400000001</v>
      </c>
      <c r="H4" s="782"/>
      <c r="I4" s="13" t="s">
        <v>233</v>
      </c>
      <c r="T4" s="784"/>
      <c r="U4" s="784"/>
      <c r="V4" s="784"/>
      <c r="W4" s="119"/>
      <c r="Y4" s="784">
        <v>1.1000000000000001</v>
      </c>
      <c r="Z4" s="784"/>
      <c r="AC4" s="25"/>
      <c r="AD4" s="23"/>
      <c r="AE4" s="28"/>
      <c r="AF4" s="14"/>
      <c r="AG4" s="15"/>
      <c r="AH4" s="15"/>
      <c r="AI4" s="18"/>
      <c r="AQ4" s="791" t="str">
        <f>PV!J84</f>
        <v>TW Solar TW555-MAP M10-144-H</v>
      </c>
      <c r="AR4" s="791"/>
      <c r="AS4" s="791"/>
      <c r="AT4" s="791"/>
      <c r="AU4" s="791"/>
      <c r="AV4" s="791"/>
      <c r="AW4" s="791"/>
      <c r="AX4" s="791"/>
      <c r="AY4" s="121"/>
      <c r="BA4" s="13" t="s">
        <v>274</v>
      </c>
      <c r="BF4" s="71">
        <f>O9</f>
        <v>13.96</v>
      </c>
      <c r="BG4" s="13" t="s">
        <v>275</v>
      </c>
      <c r="BI4" s="13" t="s">
        <v>274</v>
      </c>
      <c r="BN4" s="71">
        <f>VLOOKUP(PV!H93,[1]!Inwerter[#Data],MATCH("zabezpieczenia AC",[1]!Inwerter[#Headers],0),FALSE)</f>
        <v>20</v>
      </c>
      <c r="BO4" s="13" t="s">
        <v>275</v>
      </c>
      <c r="BT4" s="782"/>
      <c r="BU4" s="782"/>
      <c r="CU4" s="782"/>
      <c r="CV4" s="782"/>
    </row>
    <row r="5" spans="1:107" ht="9.9499999999999993" customHeight="1">
      <c r="A5" s="184"/>
      <c r="T5" s="784"/>
      <c r="U5" s="784"/>
      <c r="V5" s="784"/>
      <c r="AC5" s="24"/>
      <c r="AE5" s="29"/>
      <c r="AF5" s="82"/>
      <c r="AI5" s="19"/>
      <c r="AY5" s="121"/>
      <c r="BA5" s="13" t="s">
        <v>276</v>
      </c>
      <c r="BF5" s="66">
        <f>G4</f>
        <v>1039.9829400000001</v>
      </c>
      <c r="BG5" s="13" t="s">
        <v>233</v>
      </c>
      <c r="BI5" s="13" t="s">
        <v>276</v>
      </c>
      <c r="BN5" s="66">
        <f>IF(PV!P68=1,230,400)</f>
        <v>400</v>
      </c>
      <c r="BO5" s="13" t="s">
        <v>233</v>
      </c>
      <c r="CU5" s="782"/>
      <c r="CV5" s="782"/>
    </row>
    <row r="6" spans="1:107" ht="9.9499999999999993" customHeight="1">
      <c r="A6" s="184"/>
      <c r="C6" s="236" t="s">
        <v>217</v>
      </c>
      <c r="G6" s="237" t="s">
        <v>245</v>
      </c>
      <c r="H6" s="236" t="s">
        <v>217</v>
      </c>
      <c r="L6" s="237" t="s">
        <v>245</v>
      </c>
      <c r="N6" s="236" t="s">
        <v>217</v>
      </c>
      <c r="R6" s="237" t="s">
        <v>245</v>
      </c>
      <c r="S6" s="189"/>
      <c r="U6" s="189"/>
      <c r="W6" s="119"/>
      <c r="AC6" s="24"/>
      <c r="AE6" s="29"/>
      <c r="AF6" s="16"/>
      <c r="AI6" s="19"/>
      <c r="AY6" s="121"/>
      <c r="BA6" s="13" t="s">
        <v>277</v>
      </c>
      <c r="BF6" s="77">
        <v>4</v>
      </c>
      <c r="BG6" s="13" t="s">
        <v>242</v>
      </c>
      <c r="BI6" s="13" t="s">
        <v>277</v>
      </c>
      <c r="BN6" s="78">
        <f>VLOOKUP(AQ34,[1]!kable[[Kolumna2]:[Kolumna7]],3,FALSE)</f>
        <v>4</v>
      </c>
      <c r="BO6" s="13" t="s">
        <v>242</v>
      </c>
      <c r="CU6" s="782"/>
      <c r="CV6" s="782"/>
    </row>
    <row r="7" spans="1:107" ht="9.9499999999999993" customHeight="1">
      <c r="A7" s="184"/>
      <c r="B7" s="85"/>
      <c r="C7" s="86"/>
      <c r="D7" s="180" t="s">
        <v>244</v>
      </c>
      <c r="E7" s="232" t="str">
        <f>BA18</f>
        <v>1,1,</v>
      </c>
      <c r="F7" s="234">
        <f>PV!L99</f>
        <v>18</v>
      </c>
      <c r="G7" s="190"/>
      <c r="I7" s="180" t="s">
        <v>244</v>
      </c>
      <c r="J7" s="232" t="str">
        <f>BA18</f>
        <v>1,1,</v>
      </c>
      <c r="K7" s="234">
        <f>F7-1</f>
        <v>17</v>
      </c>
      <c r="L7" s="190"/>
      <c r="O7" s="180" t="s">
        <v>244</v>
      </c>
      <c r="P7" s="232" t="str">
        <f>BA18</f>
        <v>1,1,</v>
      </c>
      <c r="Q7" s="233">
        <v>1</v>
      </c>
      <c r="R7" s="190"/>
      <c r="U7" s="191"/>
      <c r="Y7" s="13" t="s">
        <v>290</v>
      </c>
      <c r="AC7" s="24"/>
      <c r="AE7" s="76" t="s">
        <v>275</v>
      </c>
      <c r="AF7" s="16"/>
      <c r="AI7" s="19"/>
      <c r="AY7" s="121"/>
      <c r="BA7" s="13" t="s">
        <v>278</v>
      </c>
      <c r="BF7" s="70">
        <v>58</v>
      </c>
      <c r="BI7" s="13" t="s">
        <v>278</v>
      </c>
      <c r="BN7" s="66">
        <v>54</v>
      </c>
      <c r="CU7" s="782"/>
      <c r="CV7" s="782"/>
    </row>
    <row r="8" spans="1:107" ht="9.9499999999999993" customHeight="1">
      <c r="A8" s="833"/>
      <c r="B8" s="782"/>
      <c r="Y8" s="13" t="s">
        <v>317</v>
      </c>
      <c r="AC8" s="24"/>
      <c r="AE8" s="29"/>
      <c r="AF8" s="16"/>
      <c r="AI8" s="19"/>
      <c r="AN8" s="192"/>
      <c r="AY8" s="121"/>
      <c r="BA8" s="13" t="s">
        <v>279</v>
      </c>
      <c r="BF8" s="13">
        <v>1</v>
      </c>
      <c r="BI8" s="13" t="s">
        <v>279</v>
      </c>
      <c r="BN8" s="13">
        <v>1</v>
      </c>
      <c r="BQ8" s="782" t="s">
        <v>830</v>
      </c>
      <c r="BR8" s="782"/>
      <c r="BS8" s="782"/>
      <c r="BT8" s="782"/>
      <c r="BU8" s="782"/>
      <c r="CU8" s="782"/>
      <c r="CV8" s="782"/>
    </row>
    <row r="9" spans="1:107" ht="9.9499999999999993" customHeight="1">
      <c r="A9" s="833"/>
      <c r="B9" s="782"/>
      <c r="D9" s="13" t="str">
        <f>PV!A221</f>
        <v>Przewód DC 4mm2</v>
      </c>
      <c r="K9" s="13" t="s">
        <v>321</v>
      </c>
      <c r="O9" s="792">
        <f>VLOOKUP(panel,[1]!Panele[#All],MATCH("prąd_zwarciowy",[1]!Panele[#Headers],0),FALSE)</f>
        <v>13.96</v>
      </c>
      <c r="P9" s="792"/>
      <c r="Q9" s="13" t="s">
        <v>275</v>
      </c>
      <c r="X9" s="13" t="str">
        <f>IF(BD18=2,"","SPD T2")</f>
        <v/>
      </c>
      <c r="AC9" s="24"/>
      <c r="AE9" s="29"/>
      <c r="AF9" s="16"/>
      <c r="AI9" s="19"/>
      <c r="AY9" s="121"/>
      <c r="BT9" s="782"/>
      <c r="BU9" s="782"/>
      <c r="CU9" s="782"/>
      <c r="CV9" s="782"/>
    </row>
    <row r="10" spans="1:107" ht="9.9499999999999993" customHeight="1">
      <c r="A10" s="184"/>
      <c r="AD10" s="239"/>
      <c r="AE10" s="29"/>
      <c r="AF10" s="16"/>
      <c r="AI10" s="19"/>
      <c r="AY10" s="121"/>
      <c r="CU10" s="782"/>
      <c r="CV10" s="782"/>
    </row>
    <row r="11" spans="1:107" ht="9.9499999999999993" customHeight="1">
      <c r="A11" s="184"/>
      <c r="V11" s="782"/>
      <c r="W11" s="782"/>
      <c r="AC11" s="238"/>
      <c r="AD11" s="239"/>
      <c r="AE11" s="29"/>
      <c r="AF11" s="16"/>
      <c r="AI11" s="19"/>
      <c r="AY11" s="121"/>
      <c r="BA11" s="13" t="s">
        <v>259</v>
      </c>
      <c r="BB11" s="847">
        <f>200*BF4*BF3/BF7/BF6/BF5</f>
        <v>1.0414627073362011</v>
      </c>
      <c r="BC11" s="847"/>
      <c r="BD11" s="847"/>
      <c r="BI11" s="13" t="s">
        <v>270</v>
      </c>
      <c r="BJ11" s="847">
        <f>200*BN4*BN3*BN8/BN7/BN6/BN5</f>
        <v>0.46296296296296297</v>
      </c>
      <c r="BK11" s="847"/>
      <c r="BL11" s="847"/>
    </row>
    <row r="12" spans="1:107" ht="9.9499999999999993" customHeight="1">
      <c r="A12" s="184"/>
      <c r="V12" s="782"/>
      <c r="W12" s="782"/>
      <c r="AC12" s="788" t="s">
        <v>600</v>
      </c>
      <c r="AD12" s="789"/>
      <c r="AE12" s="29"/>
      <c r="AF12" s="16"/>
      <c r="AI12" s="19"/>
      <c r="AY12" s="121"/>
      <c r="BI12" s="13" t="s">
        <v>271</v>
      </c>
      <c r="BJ12" s="847">
        <f>3^0.5*100*BN4*BN3*BN8/BN7/BN6/BN5</f>
        <v>0.40093768693724008</v>
      </c>
      <c r="BK12" s="847"/>
      <c r="BL12" s="847"/>
      <c r="CA12" s="782">
        <v>2</v>
      </c>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782"/>
      <c r="CY12" s="782"/>
      <c r="CZ12" s="782"/>
      <c r="DA12" s="782"/>
      <c r="DB12" s="782"/>
      <c r="DC12" s="782"/>
    </row>
    <row r="13" spans="1:107" ht="9.9499999999999993" customHeight="1">
      <c r="A13" s="184"/>
      <c r="AC13" s="788"/>
      <c r="AD13" s="789"/>
      <c r="AE13" s="29"/>
      <c r="AF13" s="16"/>
      <c r="AI13" s="19"/>
      <c r="AY13" s="121"/>
      <c r="BA13" s="13" t="s">
        <v>61</v>
      </c>
      <c r="BC13" s="792">
        <f>BB11+IF(PV!P68=3,BJ12,BJ11)</f>
        <v>1.5044256702991641</v>
      </c>
      <c r="BD13" s="792"/>
      <c r="BE13" s="13" t="s">
        <v>6</v>
      </c>
      <c r="CA13" s="782"/>
      <c r="CB13" s="782"/>
      <c r="CC13" s="782"/>
      <c r="CD13" s="782"/>
      <c r="CE13" s="782"/>
      <c r="CF13" s="782"/>
      <c r="CG13" s="782"/>
      <c r="CH13" s="782"/>
      <c r="CI13" s="782"/>
      <c r="CJ13" s="782"/>
      <c r="CK13" s="782"/>
      <c r="CL13" s="782"/>
      <c r="CM13" s="782"/>
      <c r="CN13" s="782"/>
      <c r="CO13" s="782"/>
      <c r="CP13" s="782"/>
      <c r="CQ13" s="782"/>
      <c r="CR13" s="782"/>
      <c r="CS13" s="782"/>
      <c r="CT13" s="782"/>
      <c r="CU13" s="782"/>
      <c r="CV13" s="782"/>
      <c r="CW13" s="782"/>
      <c r="CX13" s="782"/>
      <c r="CY13" s="782"/>
      <c r="CZ13" s="782"/>
      <c r="DA13" s="782"/>
      <c r="DB13" s="782"/>
      <c r="DC13" s="782"/>
    </row>
    <row r="14" spans="1:107" ht="9.9499999999999993" customHeight="1">
      <c r="A14" s="184"/>
      <c r="T14" s="13" t="str">
        <f>IF(BB19&gt;=1,"2x","")</f>
        <v/>
      </c>
      <c r="U14" s="189" t="str">
        <f>IF(BB19&gt;=1,"gPV","")</f>
        <v/>
      </c>
      <c r="AC14" s="788"/>
      <c r="AD14" s="789"/>
      <c r="AE14" s="29"/>
      <c r="AF14" s="16"/>
      <c r="AI14" s="19"/>
      <c r="AY14" s="121"/>
      <c r="CA14" s="782"/>
      <c r="CB14" s="782"/>
      <c r="CC14" s="782"/>
      <c r="CD14" s="782"/>
      <c r="CE14" s="782"/>
      <c r="CF14" s="782"/>
      <c r="CG14" s="782"/>
      <c r="CH14" s="782"/>
      <c r="CI14" s="782"/>
      <c r="CJ14" s="782"/>
      <c r="CK14" s="782"/>
      <c r="CL14" s="782"/>
      <c r="CM14" s="782"/>
      <c r="CN14" s="782"/>
      <c r="CO14" s="782"/>
      <c r="CP14" s="782"/>
      <c r="CQ14" s="782"/>
      <c r="CR14" s="782"/>
      <c r="CS14" s="782"/>
      <c r="CT14" s="782"/>
      <c r="CU14" s="782"/>
      <c r="CV14" s="782"/>
      <c r="CW14" s="782"/>
      <c r="CX14" s="782"/>
      <c r="CY14" s="782"/>
      <c r="CZ14" s="782"/>
      <c r="DA14" s="782"/>
      <c r="DB14" s="782"/>
      <c r="DC14" s="782"/>
    </row>
    <row r="15" spans="1:107" ht="9.9499999999999993" customHeight="1">
      <c r="A15" s="184"/>
      <c r="D15" s="13" t="str">
        <f>IF(BB19=1,"G","")</f>
        <v/>
      </c>
      <c r="E15" s="13" t="str">
        <f>IF(BB19=1,$BA$19,"")</f>
        <v/>
      </c>
      <c r="F15" s="119" t="str">
        <f>IF(BB19=1,BC19,"")</f>
        <v/>
      </c>
      <c r="I15" s="13" t="str">
        <f>IF($BB$19=1,"G","")</f>
        <v/>
      </c>
      <c r="J15" s="13" t="str">
        <f>IF($BB$19=1,$BA$19,"")</f>
        <v/>
      </c>
      <c r="K15" s="119" t="str">
        <f>IF($BB$19=1,BC19-1,"")</f>
        <v/>
      </c>
      <c r="O15" s="13" t="str">
        <f>IF($BB$19=1,"G","")</f>
        <v/>
      </c>
      <c r="Q15" s="119"/>
      <c r="U15" s="191"/>
      <c r="AC15" s="788"/>
      <c r="AD15" s="789"/>
      <c r="AE15" s="29"/>
      <c r="AF15" s="16"/>
      <c r="AI15" s="19"/>
      <c r="AY15" s="121"/>
      <c r="BA15" s="13" t="s">
        <v>323</v>
      </c>
      <c r="BD15" s="782"/>
      <c r="BE15" s="782"/>
      <c r="BF15" s="786" t="s">
        <v>604</v>
      </c>
      <c r="BG15" s="786"/>
      <c r="BH15" s="786"/>
      <c r="BI15" s="786"/>
      <c r="BJ15" s="786"/>
      <c r="CA15" s="782"/>
      <c r="CB15" s="782"/>
      <c r="CC15" s="782"/>
      <c r="CD15" s="782"/>
      <c r="CE15" s="782"/>
      <c r="CF15" s="782"/>
      <c r="CG15" s="782"/>
      <c r="CH15" s="782"/>
      <c r="CI15" s="782"/>
      <c r="CJ15" s="782"/>
      <c r="CK15" s="782"/>
      <c r="CL15" s="782"/>
      <c r="CM15" s="782"/>
      <c r="CN15" s="782"/>
      <c r="CO15" s="782"/>
      <c r="CP15" s="782"/>
      <c r="CQ15" s="782"/>
      <c r="CR15" s="782"/>
      <c r="CS15" s="782"/>
      <c r="CT15" s="782"/>
      <c r="CU15" s="782"/>
      <c r="CV15" s="782"/>
      <c r="CW15" s="782"/>
      <c r="CX15" s="782"/>
      <c r="CY15" s="782"/>
      <c r="CZ15" s="782"/>
      <c r="DA15" s="782"/>
      <c r="DB15" s="782"/>
      <c r="DC15" s="782"/>
    </row>
    <row r="16" spans="1:107" ht="9.9499999999999993" customHeight="1">
      <c r="A16" s="833"/>
      <c r="B16" s="782"/>
      <c r="AC16" s="788"/>
      <c r="AD16" s="789"/>
      <c r="AE16" s="76" t="str">
        <f>IF(BB19&gt;=1,"A","")</f>
        <v/>
      </c>
      <c r="AF16" s="16"/>
      <c r="AI16" s="19"/>
      <c r="AY16" s="121"/>
      <c r="BF16" s="786" t="s">
        <v>325</v>
      </c>
      <c r="BG16" s="786"/>
      <c r="BH16" s="786"/>
      <c r="BI16" s="786"/>
      <c r="BJ16" s="786"/>
      <c r="CA16" s="782"/>
      <c r="CB16" s="782"/>
      <c r="CC16" s="782"/>
      <c r="CD16" s="782"/>
      <c r="CE16" s="782"/>
      <c r="CF16" s="782"/>
      <c r="CG16" s="782"/>
      <c r="CH16" s="782"/>
      <c r="CI16" s="782"/>
      <c r="CJ16" s="782"/>
      <c r="CK16" s="782"/>
      <c r="CL16" s="782"/>
      <c r="CM16" s="782"/>
      <c r="CN16" s="782"/>
      <c r="CO16" s="782"/>
      <c r="CP16" s="782"/>
      <c r="CQ16" s="782"/>
      <c r="CR16" s="782"/>
      <c r="CS16" s="782"/>
      <c r="CT16" s="782"/>
      <c r="CU16" s="782"/>
      <c r="CV16" s="782"/>
      <c r="CW16" s="782"/>
      <c r="CX16" s="782"/>
      <c r="CY16" s="782"/>
      <c r="CZ16" s="782"/>
      <c r="DA16" s="782"/>
      <c r="DB16" s="782"/>
      <c r="DC16" s="782"/>
    </row>
    <row r="17" spans="1:107" ht="9.9499999999999993" customHeight="1">
      <c r="A17" s="833"/>
      <c r="B17" s="782"/>
      <c r="D17" s="784" t="str">
        <f>IF(BB20&gt;=1,IF(BC20&gt;=1,"Napięcia",""),"")</f>
        <v/>
      </c>
      <c r="E17" s="784"/>
      <c r="F17" s="784"/>
      <c r="G17" s="782" t="str">
        <f>IF(BB20&gt;=1,IF(BC20&gt;=1,PV!N96,""),"")</f>
        <v/>
      </c>
      <c r="H17" s="782"/>
      <c r="J17" s="66"/>
      <c r="S17" s="180"/>
      <c r="AC17" s="788"/>
      <c r="AD17" s="789"/>
      <c r="AE17" s="29"/>
      <c r="AF17" s="16"/>
      <c r="AI17" s="19"/>
      <c r="AY17" s="121"/>
      <c r="CA17" s="782"/>
      <c r="CB17" s="782"/>
      <c r="CC17" s="782"/>
      <c r="CD17" s="782"/>
      <c r="CE17" s="782"/>
      <c r="CF17" s="782"/>
      <c r="CG17" s="782"/>
      <c r="CH17" s="782"/>
      <c r="CI17" s="782"/>
      <c r="CJ17" s="782"/>
      <c r="CK17" s="782"/>
      <c r="CL17" s="782"/>
      <c r="CM17" s="782"/>
      <c r="CN17" s="782"/>
      <c r="CO17" s="782"/>
      <c r="CP17" s="782"/>
      <c r="CQ17" s="782"/>
      <c r="CR17" s="782"/>
      <c r="CS17" s="782"/>
      <c r="CT17" s="782"/>
      <c r="CU17" s="782"/>
      <c r="CV17" s="782"/>
      <c r="CW17" s="782"/>
      <c r="CX17" s="782"/>
      <c r="CY17" s="782"/>
      <c r="CZ17" s="782"/>
      <c r="DA17" s="782"/>
      <c r="DB17" s="782"/>
      <c r="DC17" s="782"/>
    </row>
    <row r="18" spans="1:107" ht="9.9499999999999993" customHeight="1">
      <c r="A18" s="184"/>
      <c r="D18" s="782" t="str">
        <f>IF(BB20&gt;=1,IF(BC20&gt;=1,"Umpp (70°C)",""),"")</f>
        <v/>
      </c>
      <c r="E18" s="782"/>
      <c r="F18" s="782"/>
      <c r="G18" s="785" t="str">
        <f>IF(BB20&gt;=1,IF(BC20&gt;=1,PV!N100,""),"")</f>
        <v/>
      </c>
      <c r="H18" s="785"/>
      <c r="I18" s="13" t="str">
        <f>IF(BB20&gt;=1,IF(BC20&gt;=1,"V",""),"")</f>
        <v/>
      </c>
      <c r="W18" s="119"/>
      <c r="AC18" s="154"/>
      <c r="AE18" s="29"/>
      <c r="AF18" s="16"/>
      <c r="AI18" s="19"/>
      <c r="AY18" s="121"/>
      <c r="BA18" s="70" t="s">
        <v>311</v>
      </c>
      <c r="BB18" s="28">
        <f>IF(BC18&gt;1,1,0)</f>
        <v>1</v>
      </c>
      <c r="BC18" s="13">
        <f>PV!L99</f>
        <v>18</v>
      </c>
      <c r="BD18" s="13">
        <f>IF(BB18=0,0,IF(BC18=0,0,IF(BF16="tak",1,2)))</f>
        <v>2</v>
      </c>
      <c r="CA18" s="782"/>
      <c r="CB18" s="782"/>
      <c r="CC18" s="782"/>
      <c r="CD18" s="782"/>
      <c r="CE18" s="782"/>
      <c r="CF18" s="782"/>
      <c r="CG18" s="782"/>
      <c r="CH18" s="782"/>
      <c r="CI18" s="782"/>
      <c r="CJ18" s="782"/>
      <c r="CK18" s="782"/>
      <c r="CL18" s="782"/>
      <c r="CM18" s="782"/>
      <c r="CN18" s="782"/>
      <c r="CO18" s="782"/>
      <c r="CP18" s="782"/>
      <c r="CQ18" s="782"/>
      <c r="CR18" s="782"/>
      <c r="CS18" s="782"/>
      <c r="CT18" s="782"/>
      <c r="CU18" s="782"/>
      <c r="CV18" s="782"/>
      <c r="CW18" s="782"/>
      <c r="CX18" s="782"/>
      <c r="CY18" s="782"/>
      <c r="CZ18" s="782"/>
      <c r="DA18" s="782"/>
      <c r="DB18" s="782"/>
      <c r="DC18" s="782"/>
    </row>
    <row r="19" spans="1:107" ht="9.9499999999999993" customHeight="1">
      <c r="A19" s="184"/>
      <c r="D19" s="782" t="str">
        <f>IF(BB20&gt;=1,IF(BC20&gt;=1,"Umpp (25°C)",""),"")</f>
        <v/>
      </c>
      <c r="E19" s="782"/>
      <c r="F19" s="782"/>
      <c r="G19" s="785" t="str">
        <f>IF(BB20&gt;=1,IF(BC20&gt;=1,PV!N101,""),"")</f>
        <v/>
      </c>
      <c r="H19" s="785"/>
      <c r="I19" s="13" t="str">
        <f>IF(BB20&gt;=1,IF(BC20&gt;=1,"V",""),"")</f>
        <v/>
      </c>
      <c r="V19" s="784"/>
      <c r="W19" s="784"/>
      <c r="X19" s="13" t="str">
        <f>IF(BB20=1,IF(BD20=2,"","DC"),"")</f>
        <v/>
      </c>
      <c r="Y19" s="784" t="str">
        <f>IF(BB20&gt;=1,IF(BC20&gt;=1,"DC",""),"")</f>
        <v/>
      </c>
      <c r="Z19" s="784"/>
      <c r="AC19" s="154"/>
      <c r="AE19" s="29"/>
      <c r="AF19" s="16"/>
      <c r="AI19" s="83" t="s">
        <v>238</v>
      </c>
      <c r="AY19" s="121"/>
      <c r="BA19" s="70" t="s">
        <v>312</v>
      </c>
      <c r="BB19" s="29">
        <f>IF(PV!L98&gt;1,1,0)</f>
        <v>0</v>
      </c>
      <c r="BC19" s="13">
        <f>IF(BB19=0,0,BC18)</f>
        <v>0</v>
      </c>
      <c r="BD19" s="13">
        <f>IF(BB19=0,0,IF(BC19=0,0,IF(BF16="tak",1,2)))</f>
        <v>0</v>
      </c>
      <c r="BO19" s="70" t="s">
        <v>312</v>
      </c>
      <c r="BP19" s="13">
        <f>INDEX($CA$19:$DA$32,MATCH($BD$19,$CA$19:$CA$32,0),2)</f>
        <v>0</v>
      </c>
      <c r="BR19" s="782">
        <v>1</v>
      </c>
      <c r="BS19" s="782"/>
      <c r="BT19" s="782"/>
      <c r="BZ19" s="13">
        <v>19</v>
      </c>
      <c r="CA19" s="782">
        <f>BB18</f>
        <v>1</v>
      </c>
      <c r="CB19" s="782"/>
      <c r="CC19" s="782"/>
      <c r="CD19" s="782"/>
      <c r="CE19" s="782"/>
      <c r="CF19" s="782"/>
      <c r="CG19" s="782"/>
      <c r="CH19" s="782"/>
      <c r="CI19" s="782"/>
      <c r="CJ19" s="782"/>
      <c r="CK19" s="782"/>
      <c r="CL19" s="782"/>
      <c r="CM19" s="782"/>
      <c r="CN19" s="782"/>
      <c r="CO19" s="782"/>
      <c r="CP19" s="782"/>
      <c r="CQ19" s="782"/>
      <c r="CR19" s="782"/>
      <c r="CS19" s="782"/>
      <c r="CT19" s="782"/>
      <c r="CU19" s="782"/>
      <c r="CV19" s="782"/>
      <c r="CW19" s="782"/>
      <c r="CX19" s="782"/>
      <c r="CY19" s="782"/>
      <c r="CZ19" s="782"/>
      <c r="DA19" s="782"/>
      <c r="DB19" s="782"/>
      <c r="DC19" s="782"/>
    </row>
    <row r="20" spans="1:107" ht="9.9499999999999993" customHeight="1">
      <c r="A20" s="184"/>
      <c r="D20" s="784" t="str">
        <f>IF(BB20&gt;=1,IF(BC20&gt;=1,"Uoc(-20°C)",""),"")</f>
        <v/>
      </c>
      <c r="E20" s="784"/>
      <c r="F20" s="784"/>
      <c r="G20" s="785" t="str">
        <f>IF(BB20&gt;=1,IF(BC20&gt;=1,PV!N102,""),"")</f>
        <v/>
      </c>
      <c r="H20" s="782"/>
      <c r="I20" s="13" t="str">
        <f>IF(BB20&gt;=1,IF(BC20&gt;=1,"V",""),"")</f>
        <v/>
      </c>
      <c r="W20" s="119"/>
      <c r="Y20" s="784" t="str">
        <f>IF(BB20&gt;=1,IF(BC20&gt;=1,"2,1",""),"")</f>
        <v/>
      </c>
      <c r="Z20" s="784"/>
      <c r="AC20" s="24"/>
      <c r="AE20" s="29"/>
      <c r="AF20" s="16"/>
      <c r="AI20" s="83"/>
      <c r="AJ20" s="18"/>
      <c r="AO20" s="782" t="s">
        <v>310</v>
      </c>
      <c r="AP20" s="782"/>
      <c r="AQ20" s="782"/>
      <c r="AR20" s="782"/>
      <c r="AY20" s="121"/>
      <c r="BA20" s="70" t="s">
        <v>313</v>
      </c>
      <c r="BB20" s="28">
        <f>IF(BC20&gt;1,IF(BC20="szt.",0,1),0)</f>
        <v>0</v>
      </c>
      <c r="BC20" s="13" t="str">
        <f>PV!N99</f>
        <v>szt.</v>
      </c>
      <c r="BD20" s="13">
        <f>IF(BB20=0,0,IF(BC20=0,0,IF(BF16="tak",1,2)))</f>
        <v>0</v>
      </c>
      <c r="BO20" s="70" t="s">
        <v>313</v>
      </c>
      <c r="BP20" s="13">
        <f>INDEX($CA$19:$DA$32,MATCH($BD$20,$CA$19:$CA$32,0),2)</f>
        <v>0</v>
      </c>
      <c r="BR20" s="782"/>
      <c r="BS20" s="782"/>
      <c r="BT20" s="782"/>
      <c r="CA20" s="782"/>
      <c r="CB20" s="782"/>
      <c r="CC20" s="782"/>
      <c r="CD20" s="782"/>
      <c r="CE20" s="782"/>
      <c r="CF20" s="782"/>
      <c r="CG20" s="782"/>
      <c r="CH20" s="782"/>
      <c r="CI20" s="782"/>
      <c r="CJ20" s="782"/>
      <c r="CK20" s="782"/>
      <c r="CL20" s="782"/>
      <c r="CM20" s="782"/>
      <c r="CN20" s="782"/>
      <c r="CO20" s="782"/>
      <c r="CP20" s="782"/>
      <c r="CQ20" s="782"/>
      <c r="CR20" s="782"/>
      <c r="CS20" s="782"/>
      <c r="CT20" s="782"/>
      <c r="CU20" s="782"/>
      <c r="CV20" s="782"/>
      <c r="CW20" s="782"/>
      <c r="CX20" s="782"/>
      <c r="CY20" s="782"/>
      <c r="CZ20" s="782"/>
      <c r="DA20" s="782"/>
      <c r="DB20" s="782"/>
      <c r="DC20" s="782"/>
    </row>
    <row r="21" spans="1:107" ht="9.9499999999999993" customHeight="1">
      <c r="A21" s="184"/>
      <c r="C21" s="189"/>
      <c r="L21" s="189"/>
      <c r="N21" s="189"/>
      <c r="R21" s="189"/>
      <c r="S21" s="189"/>
      <c r="W21" s="189"/>
      <c r="AC21" s="24"/>
      <c r="AE21" s="29"/>
      <c r="AF21" s="16"/>
      <c r="AI21" s="83" t="s">
        <v>676</v>
      </c>
      <c r="AJ21" s="30"/>
      <c r="AO21" s="876" t="s">
        <v>273</v>
      </c>
      <c r="AP21" s="876"/>
      <c r="AQ21" s="877">
        <v>1</v>
      </c>
      <c r="AR21" s="877"/>
      <c r="AY21" s="121"/>
      <c r="BA21" s="70" t="s">
        <v>314</v>
      </c>
      <c r="BB21" s="29">
        <f>IF(BC21=0,0,IF(PV!N98=0,0,1))</f>
        <v>1</v>
      </c>
      <c r="BC21" s="13" t="str">
        <f>IF(PV!N98&gt;1,BC20,0)</f>
        <v>szt.</v>
      </c>
      <c r="BD21" s="13">
        <f>IF(BB21=0,0,IF(BC21=0,0,IF(BF16="tak",1,2)))</f>
        <v>2</v>
      </c>
      <c r="BO21" s="70" t="s">
        <v>314</v>
      </c>
      <c r="BP21" s="13" t="e">
        <f>INDEX($CA$19:$DA$32,MATCH($BD$21,$CA$19:$CA$32,0),2)</f>
        <v>#N/A</v>
      </c>
      <c r="BR21" s="782"/>
      <c r="BS21" s="782"/>
      <c r="BT21" s="782"/>
      <c r="CA21" s="782"/>
      <c r="CB21" s="782"/>
      <c r="CC21" s="782"/>
      <c r="CD21" s="782"/>
      <c r="CE21" s="782"/>
      <c r="CF21" s="782"/>
      <c r="CG21" s="782"/>
      <c r="CH21" s="782"/>
      <c r="CI21" s="782"/>
      <c r="CJ21" s="782"/>
      <c r="CK21" s="782"/>
      <c r="CL21" s="782"/>
      <c r="CM21" s="782"/>
      <c r="CN21" s="782"/>
      <c r="CO21" s="782"/>
      <c r="CP21" s="782"/>
      <c r="CQ21" s="782"/>
      <c r="CR21" s="782"/>
      <c r="CS21" s="782"/>
      <c r="CT21" s="782"/>
      <c r="CU21" s="782"/>
      <c r="CV21" s="782"/>
      <c r="CW21" s="782"/>
      <c r="CX21" s="782"/>
      <c r="CY21" s="782"/>
      <c r="CZ21" s="782"/>
      <c r="DA21" s="782"/>
      <c r="DB21" s="782"/>
      <c r="DC21" s="782"/>
    </row>
    <row r="22" spans="1:107" ht="9.9499999999999993" customHeight="1">
      <c r="A22" s="184"/>
      <c r="C22" s="236" t="str">
        <f>IF(BB20&gt;=1,IF(BC20&gt;=1,"-",""),"")</f>
        <v/>
      </c>
      <c r="G22" s="180" t="str">
        <f>IF(BB20&gt;=1,IF(BC20&gt;=1,"+",""),"")</f>
        <v/>
      </c>
      <c r="H22" s="236"/>
      <c r="L22" s="180" t="str">
        <f>IF(BB20&gt;=1,IF(BC20&gt;=1,"+",""),"")</f>
        <v/>
      </c>
      <c r="M22" s="13" t="s">
        <v>248</v>
      </c>
      <c r="N22" s="236" t="str">
        <f>IF(BB20&gt;=1,IF(BC20&gt;=1,"-",""),"")</f>
        <v/>
      </c>
      <c r="O22" s="180"/>
      <c r="R22" s="180" t="str">
        <f>IF(BB20&gt;=1,IF(BC20&gt;=1,"+",""),"")</f>
        <v/>
      </c>
      <c r="U22" s="189"/>
      <c r="V22" s="119"/>
      <c r="AC22" s="24"/>
      <c r="AE22" s="29"/>
      <c r="AF22" s="16"/>
      <c r="AI22" s="83"/>
      <c r="AJ22" s="18"/>
      <c r="AO22" s="14"/>
      <c r="AP22" s="15"/>
      <c r="AQ22" s="15"/>
      <c r="AR22" s="18"/>
      <c r="AY22" s="121"/>
      <c r="BA22" s="70" t="str">
        <f>IF(PV!N98=3,"2,3,","3,1,")</f>
        <v>3,1,</v>
      </c>
      <c r="BB22" s="28">
        <f>IF(BC22&gt;1,IF(BC22="szt.",0,1),0)</f>
        <v>0</v>
      </c>
      <c r="BC22" s="13" t="str">
        <f>IF(PV!N98=3,PV!N99,PV!P99)</f>
        <v>szt.</v>
      </c>
      <c r="BD22" s="13">
        <f>IF(BB22=0,0,IF(BC22=0,0,IF(BF16="tak",1,2)))</f>
        <v>0</v>
      </c>
      <c r="BO22" s="70" t="str">
        <f>IF(PV!AB98=3,"2,3,","3,1,")</f>
        <v>3,1,</v>
      </c>
      <c r="BP22" s="13">
        <f>INDEX($CA$19:$DA$32,MATCH($BD$22,$CA$19:$CA$32,0),2)</f>
        <v>0</v>
      </c>
      <c r="BR22" s="782"/>
      <c r="BS22" s="782"/>
      <c r="BT22" s="782"/>
      <c r="CA22" s="782"/>
      <c r="CB22" s="782"/>
      <c r="CC22" s="782"/>
      <c r="CD22" s="782"/>
      <c r="CE22" s="782"/>
      <c r="CF22" s="782"/>
      <c r="CG22" s="782"/>
      <c r="CH22" s="782"/>
      <c r="CI22" s="782"/>
      <c r="CJ22" s="782"/>
      <c r="CK22" s="782"/>
      <c r="CL22" s="782"/>
      <c r="CM22" s="782"/>
      <c r="CN22" s="782"/>
      <c r="CO22" s="782"/>
      <c r="CP22" s="782"/>
      <c r="CQ22" s="782"/>
      <c r="CR22" s="782"/>
      <c r="CS22" s="782"/>
      <c r="CT22" s="782"/>
      <c r="CU22" s="782"/>
      <c r="CV22" s="782"/>
      <c r="CW22" s="782"/>
      <c r="CX22" s="782"/>
      <c r="CY22" s="782"/>
      <c r="CZ22" s="782"/>
      <c r="DA22" s="782"/>
      <c r="DB22" s="782"/>
      <c r="DC22" s="782"/>
    </row>
    <row r="23" spans="1:107" ht="9.9499999999999993" customHeight="1">
      <c r="A23" s="184"/>
      <c r="D23" s="180" t="str">
        <f>IF(BB20&gt;=1,IF(BC20&gt;=1,"G",""),"")</f>
        <v/>
      </c>
      <c r="E23" s="235" t="str">
        <f>IF(BB20&gt;=1,IF(BC20&gt;=1,$BA$20,""),"")</f>
        <v/>
      </c>
      <c r="F23" s="233" t="str">
        <f>IF(BB20&gt;=1,IF(BC20&gt;=1,$BC$20,""),"")</f>
        <v/>
      </c>
      <c r="I23" s="180" t="str">
        <f>IF(BB20&gt;=1,IF(BC20&gt;=1,"G",""),"")</f>
        <v/>
      </c>
      <c r="J23" s="235" t="str">
        <f>IF(BB20&gt;=1,IF(BC20&gt;=1,$BA$20,""),"")</f>
        <v/>
      </c>
      <c r="K23" s="233" t="str">
        <f>IF(BB20&gt;=1,IF(BC20&gt;=1,$BC$20-1,""),"")</f>
        <v/>
      </c>
      <c r="O23" s="180" t="str">
        <f>IF(BB20&gt;=1,IF(BC20&gt;=1,"G",""),"")</f>
        <v/>
      </c>
      <c r="P23" s="235" t="str">
        <f>IF(BB20&gt;=1,IF(BC20&gt;=1,$BA$20,""),"")</f>
        <v/>
      </c>
      <c r="Q23" s="233" t="str">
        <f>IF(BB20&gt;=1,IF(BC20&gt;=1,"1",""),"")</f>
        <v/>
      </c>
      <c r="U23" s="191"/>
      <c r="AE23" s="76" t="str">
        <f>IF(BB20&gt;=1,"B","")</f>
        <v/>
      </c>
      <c r="AF23" s="16"/>
      <c r="AI23" s="83" t="s">
        <v>677</v>
      </c>
      <c r="AJ23" s="30"/>
      <c r="AO23" s="16"/>
      <c r="AP23" s="782" t="s">
        <v>599</v>
      </c>
      <c r="AQ23" s="782"/>
      <c r="AR23" s="19"/>
      <c r="AY23" s="121"/>
      <c r="BA23" s="70" t="s">
        <v>318</v>
      </c>
      <c r="BB23" s="30">
        <f>IF(PV!P98="",0,IF(PV!P98&gt;1,1,0))</f>
        <v>0</v>
      </c>
      <c r="BC23" s="13" t="str">
        <f>IF(PV!P98&gt;1,BC22,0)</f>
        <v>szt.</v>
      </c>
      <c r="BD23" s="13">
        <f>IF(BB23=0,0,IF(BC23=0,0,IF(BF16="tak",1,2)))</f>
        <v>0</v>
      </c>
      <c r="BO23" s="70" t="s">
        <v>318</v>
      </c>
      <c r="BP23" s="13">
        <f>INDEX($CA$19:$DA$32,MATCH($BD$23,$CA$19:$CA$32,0),2)</f>
        <v>0</v>
      </c>
      <c r="BR23" s="782">
        <v>0</v>
      </c>
      <c r="BS23" s="782"/>
      <c r="BT23" s="782"/>
      <c r="CA23" s="782"/>
      <c r="CB23" s="782"/>
      <c r="CC23" s="782"/>
      <c r="CD23" s="782"/>
      <c r="CE23" s="782"/>
      <c r="CF23" s="782"/>
      <c r="CG23" s="782"/>
      <c r="CH23" s="782"/>
      <c r="CI23" s="782"/>
      <c r="CJ23" s="782"/>
      <c r="CK23" s="782"/>
      <c r="CL23" s="782"/>
      <c r="CM23" s="782"/>
      <c r="CN23" s="782"/>
      <c r="CO23" s="782"/>
      <c r="CP23" s="782"/>
      <c r="CQ23" s="782"/>
      <c r="CR23" s="782"/>
      <c r="CS23" s="782"/>
      <c r="CT23" s="782"/>
      <c r="CU23" s="782"/>
      <c r="CV23" s="782"/>
      <c r="CW23" s="782"/>
      <c r="CX23" s="782"/>
      <c r="CY23" s="782"/>
      <c r="CZ23" s="782"/>
      <c r="DA23" s="782"/>
      <c r="DB23" s="782"/>
      <c r="DC23" s="782"/>
    </row>
    <row r="24" spans="1:107" ht="9.9499999999999993" customHeight="1">
      <c r="A24" s="833"/>
      <c r="B24" s="782"/>
      <c r="Y24" s="782" t="str">
        <f>IF(BB20&gt;=1,IF(BC20&gt;=1,"SPD T2",""),"")</f>
        <v/>
      </c>
      <c r="Z24" s="782"/>
      <c r="AC24" s="24"/>
      <c r="AE24" s="29"/>
      <c r="AF24" s="16"/>
      <c r="AI24" s="83"/>
      <c r="AJ24" s="18"/>
      <c r="AK24" s="15"/>
      <c r="AL24" s="15"/>
      <c r="AM24" s="15"/>
      <c r="AN24" s="15"/>
      <c r="AO24" s="810" t="s">
        <v>976</v>
      </c>
      <c r="AP24" s="782"/>
      <c r="AQ24" s="782" t="s">
        <v>979</v>
      </c>
      <c r="AR24" s="811"/>
      <c r="AS24" s="14"/>
      <c r="AT24" s="15"/>
      <c r="AU24" s="18"/>
      <c r="AY24" s="121"/>
      <c r="BG24" s="13" t="s">
        <v>326</v>
      </c>
      <c r="BI24" s="13" t="s">
        <v>329</v>
      </c>
      <c r="BR24" s="782"/>
      <c r="BS24" s="782"/>
      <c r="BT24" s="782"/>
      <c r="CA24" s="782"/>
      <c r="CB24" s="782"/>
      <c r="CC24" s="782"/>
      <c r="CD24" s="782"/>
      <c r="CE24" s="782"/>
      <c r="CF24" s="782"/>
      <c r="CG24" s="782"/>
      <c r="CH24" s="782"/>
      <c r="CI24" s="782"/>
      <c r="CJ24" s="782"/>
      <c r="CK24" s="782"/>
      <c r="CL24" s="782"/>
      <c r="CM24" s="782"/>
      <c r="CN24" s="782"/>
      <c r="CO24" s="782"/>
      <c r="CP24" s="782"/>
      <c r="CQ24" s="782"/>
      <c r="CR24" s="782"/>
      <c r="CS24" s="782"/>
      <c r="CT24" s="782"/>
      <c r="CU24" s="782"/>
      <c r="CV24" s="782"/>
      <c r="CW24" s="782"/>
      <c r="CX24" s="782"/>
      <c r="CY24" s="782"/>
      <c r="CZ24" s="782"/>
      <c r="DA24" s="782"/>
      <c r="DB24" s="782"/>
      <c r="DC24" s="782"/>
    </row>
    <row r="25" spans="1:107" ht="9.9499999999999993" customHeight="1">
      <c r="A25" s="833"/>
      <c r="B25" s="782"/>
      <c r="D25" s="13" t="str">
        <f>IF(BB20&gt;=1,PV!A221,"")</f>
        <v/>
      </c>
      <c r="K25" s="13" t="str">
        <f>IF(BB20&gt;=1,K9,"")</f>
        <v/>
      </c>
      <c r="O25" s="792" t="str">
        <f>IF(BB20&gt;=1,O9,"")</f>
        <v/>
      </c>
      <c r="P25" s="792"/>
      <c r="Q25" s="13" t="str">
        <f>IF(BB20&gt;=1,Q9,"")</f>
        <v/>
      </c>
      <c r="AC25" s="24"/>
      <c r="AE25" s="29"/>
      <c r="AF25" s="16"/>
      <c r="AI25" s="83" t="s">
        <v>239</v>
      </c>
      <c r="AJ25" s="30"/>
      <c r="AO25" s="16"/>
      <c r="AR25" s="19"/>
      <c r="AU25" s="19"/>
      <c r="AY25" s="121"/>
      <c r="BG25" s="13">
        <f>IF(BI25&lt;=BH25,1,0)</f>
        <v>0</v>
      </c>
      <c r="BH25" s="13">
        <v>6</v>
      </c>
      <c r="BI25" s="71">
        <f>$BN$4*1.2</f>
        <v>24</v>
      </c>
      <c r="BR25" s="782"/>
      <c r="BS25" s="782"/>
      <c r="BT25" s="782"/>
      <c r="BZ25" s="13">
        <v>25</v>
      </c>
      <c r="CA25" s="782"/>
      <c r="CB25" s="782"/>
      <c r="CC25" s="782"/>
      <c r="CD25" s="782"/>
      <c r="CE25" s="782"/>
      <c r="CF25" s="782"/>
      <c r="CG25" s="782"/>
      <c r="CH25" s="782"/>
      <c r="CI25" s="782"/>
      <c r="CJ25" s="782"/>
      <c r="CK25" s="782"/>
      <c r="CL25" s="782"/>
      <c r="CM25" s="782"/>
      <c r="CN25" s="782"/>
      <c r="CO25" s="782"/>
      <c r="CP25" s="782"/>
      <c r="CQ25" s="782"/>
      <c r="CR25" s="782"/>
      <c r="CS25" s="782"/>
      <c r="CT25" s="782"/>
      <c r="CU25" s="782"/>
      <c r="CV25" s="782"/>
      <c r="CW25" s="782"/>
      <c r="CX25" s="782"/>
      <c r="CY25" s="782"/>
      <c r="CZ25" s="782"/>
      <c r="DA25" s="782"/>
      <c r="DB25" s="782"/>
      <c r="DC25" s="782"/>
    </row>
    <row r="26" spans="1:107" ht="9.9499999999999993" customHeight="1">
      <c r="A26" s="184"/>
      <c r="AC26" s="24"/>
      <c r="AE26" s="29"/>
      <c r="AF26" s="16"/>
      <c r="AI26" s="83"/>
      <c r="AJ26" s="18"/>
      <c r="AO26" s="16"/>
      <c r="AR26" s="19"/>
      <c r="AU26" s="19"/>
      <c r="AY26" s="121"/>
      <c r="BG26" s="13">
        <f t="shared" ref="BG26:BG32" si="0">IF(BI26&lt;=BH26,1,0)</f>
        <v>0</v>
      </c>
      <c r="BH26" s="13">
        <v>10</v>
      </c>
      <c r="BI26" s="71">
        <f t="shared" ref="BI26:BI32" si="1">$BN$4*1.2</f>
        <v>24</v>
      </c>
      <c r="BR26" s="782"/>
      <c r="BS26" s="782"/>
      <c r="BT26" s="782"/>
      <c r="CA26" s="782">
        <v>0</v>
      </c>
      <c r="CB26" s="782"/>
      <c r="CC26" s="782"/>
      <c r="CD26" s="782"/>
      <c r="CE26" s="782"/>
      <c r="CF26" s="782"/>
      <c r="CG26" s="782"/>
      <c r="CH26" s="782"/>
      <c r="CI26" s="782"/>
      <c r="CJ26" s="782"/>
      <c r="CK26" s="782"/>
      <c r="CL26" s="782"/>
      <c r="CM26" s="782"/>
      <c r="CN26" s="782"/>
      <c r="CO26" s="782"/>
      <c r="CP26" s="782"/>
      <c r="CQ26" s="782"/>
      <c r="CR26" s="782"/>
      <c r="CS26" s="782"/>
      <c r="CT26" s="782"/>
      <c r="CU26" s="782"/>
      <c r="CV26" s="782"/>
      <c r="CW26" s="782"/>
      <c r="CX26" s="782"/>
      <c r="CY26" s="782"/>
      <c r="CZ26" s="782"/>
      <c r="DA26" s="782"/>
      <c r="DB26" s="782"/>
      <c r="DC26" s="782"/>
    </row>
    <row r="27" spans="1:107" ht="9.9499999999999993" customHeight="1">
      <c r="A27" s="184"/>
      <c r="AC27" s="24"/>
      <c r="AE27" s="29"/>
      <c r="AF27" s="16"/>
      <c r="AI27" s="83" t="s">
        <v>240</v>
      </c>
      <c r="AJ27" s="20"/>
      <c r="AO27" s="21" t="s">
        <v>317</v>
      </c>
      <c r="AP27" s="17"/>
      <c r="AQ27" s="17"/>
      <c r="AR27" s="20"/>
      <c r="AU27" s="19"/>
      <c r="AY27" s="121"/>
      <c r="BG27" s="13">
        <f t="shared" si="0"/>
        <v>0</v>
      </c>
      <c r="BH27" s="13">
        <v>16</v>
      </c>
      <c r="BI27" s="71">
        <f t="shared" si="1"/>
        <v>24</v>
      </c>
      <c r="CA27" s="782"/>
      <c r="CB27" s="782"/>
      <c r="CC27" s="782"/>
      <c r="CD27" s="782"/>
      <c r="CE27" s="782"/>
      <c r="CF27" s="782"/>
      <c r="CG27" s="782"/>
      <c r="CH27" s="782"/>
      <c r="CI27" s="782"/>
      <c r="CJ27" s="782"/>
      <c r="CK27" s="782"/>
      <c r="CL27" s="782"/>
      <c r="CM27" s="782"/>
      <c r="CN27" s="782"/>
      <c r="CO27" s="782"/>
      <c r="CP27" s="782"/>
      <c r="CQ27" s="782"/>
      <c r="CR27" s="782"/>
      <c r="CS27" s="782"/>
      <c r="CT27" s="782"/>
      <c r="CU27" s="782"/>
      <c r="CV27" s="782"/>
      <c r="CW27" s="782"/>
      <c r="CX27" s="782"/>
      <c r="CY27" s="782"/>
      <c r="CZ27" s="782"/>
      <c r="DA27" s="782"/>
      <c r="DB27" s="782"/>
      <c r="DC27" s="782"/>
    </row>
    <row r="28" spans="1:107" ht="9.9499999999999993" customHeight="1">
      <c r="A28" s="184"/>
      <c r="AC28" s="24"/>
      <c r="AE28" s="29"/>
      <c r="AF28" s="16"/>
      <c r="AI28" s="83"/>
      <c r="AJ28" s="15"/>
      <c r="AN28" s="85"/>
      <c r="AU28" s="19"/>
      <c r="AY28" s="121"/>
      <c r="BG28" s="13">
        <f t="shared" si="0"/>
        <v>0</v>
      </c>
      <c r="BH28" s="13">
        <v>20</v>
      </c>
      <c r="BI28" s="71">
        <f t="shared" si="1"/>
        <v>24</v>
      </c>
      <c r="BO28" s="70" t="s">
        <v>312</v>
      </c>
      <c r="BP28" s="13">
        <f>INDEX($BR$29:$BT$32,MATCH($BB$19,$BR$29:$BR$32,0),2)</f>
        <v>0</v>
      </c>
      <c r="CA28" s="782"/>
      <c r="CB28" s="782"/>
      <c r="CC28" s="782"/>
      <c r="CD28" s="782"/>
      <c r="CE28" s="782"/>
      <c r="CF28" s="782"/>
      <c r="CG28" s="782"/>
      <c r="CH28" s="782"/>
      <c r="CI28" s="782"/>
      <c r="CJ28" s="782"/>
      <c r="CK28" s="782"/>
      <c r="CL28" s="782"/>
      <c r="CM28" s="782"/>
      <c r="CN28" s="782"/>
      <c r="CO28" s="782"/>
      <c r="CP28" s="782"/>
      <c r="CQ28" s="782"/>
      <c r="CR28" s="782"/>
      <c r="CS28" s="782"/>
      <c r="CT28" s="782"/>
      <c r="CU28" s="782"/>
      <c r="CV28" s="782"/>
      <c r="CW28" s="782"/>
      <c r="CX28" s="782"/>
      <c r="CY28" s="782"/>
      <c r="CZ28" s="782"/>
      <c r="DA28" s="782"/>
      <c r="DB28" s="782"/>
      <c r="DC28" s="782"/>
    </row>
    <row r="29" spans="1:107" ht="9.9499999999999993" customHeight="1">
      <c r="A29" s="184"/>
      <c r="AC29" s="24"/>
      <c r="AE29" s="29"/>
      <c r="AF29" s="16"/>
      <c r="AI29" s="19"/>
      <c r="AM29" s="782"/>
      <c r="AN29" s="782"/>
      <c r="AU29" s="19"/>
      <c r="AY29" s="121"/>
      <c r="BG29" s="13">
        <f t="shared" si="0"/>
        <v>1</v>
      </c>
      <c r="BH29" s="13">
        <v>25</v>
      </c>
      <c r="BI29" s="71">
        <f t="shared" si="1"/>
        <v>24</v>
      </c>
      <c r="BO29" s="70" t="s">
        <v>313</v>
      </c>
      <c r="BP29" s="13">
        <f>INDEX($BR$29:$BT$32,MATCH($BB$20,$BR$29:$BR$32,0),2)</f>
        <v>0</v>
      </c>
      <c r="BR29" s="782">
        <v>1</v>
      </c>
      <c r="BS29" s="782"/>
      <c r="BT29" s="782"/>
      <c r="CA29" s="782"/>
      <c r="CB29" s="782"/>
      <c r="CC29" s="782"/>
      <c r="CD29" s="782"/>
      <c r="CE29" s="782"/>
      <c r="CF29" s="782"/>
      <c r="CG29" s="782"/>
      <c r="CH29" s="782"/>
      <c r="CI29" s="782"/>
      <c r="CJ29" s="782"/>
      <c r="CK29" s="782"/>
      <c r="CL29" s="782"/>
      <c r="CM29" s="782"/>
      <c r="CN29" s="782"/>
      <c r="CO29" s="782"/>
      <c r="CP29" s="782"/>
      <c r="CQ29" s="782"/>
      <c r="CR29" s="782"/>
      <c r="CS29" s="782"/>
      <c r="CT29" s="782"/>
      <c r="CU29" s="782"/>
      <c r="CV29" s="782"/>
      <c r="CW29" s="782"/>
      <c r="CX29" s="782"/>
      <c r="CY29" s="782"/>
      <c r="CZ29" s="782"/>
      <c r="DA29" s="782"/>
      <c r="DB29" s="782"/>
      <c r="DC29" s="782"/>
    </row>
    <row r="30" spans="1:107" ht="9.9499999999999993" customHeight="1">
      <c r="A30" s="184"/>
      <c r="U30" s="189"/>
      <c r="AC30" s="24"/>
      <c r="AE30" s="29"/>
      <c r="AF30" s="16"/>
      <c r="AI30" s="19"/>
      <c r="AM30" s="782"/>
      <c r="AN30" s="782"/>
      <c r="AU30" s="19"/>
      <c r="AY30" s="121"/>
      <c r="BG30" s="13">
        <f t="shared" si="0"/>
        <v>1</v>
      </c>
      <c r="BH30" s="13">
        <v>32</v>
      </c>
      <c r="BI30" s="71">
        <f t="shared" si="1"/>
        <v>24</v>
      </c>
      <c r="BO30" s="70" t="s">
        <v>314</v>
      </c>
      <c r="BP30" s="13">
        <f>INDEX($BR$29:$BT$32,MATCH($BB$21,$BR$29:$BR$32,0),2)</f>
        <v>0</v>
      </c>
      <c r="BR30" s="782"/>
      <c r="BS30" s="782"/>
      <c r="BT30" s="782"/>
      <c r="CA30" s="782"/>
      <c r="CB30" s="782"/>
      <c r="CC30" s="782"/>
      <c r="CD30" s="782"/>
      <c r="CE30" s="782"/>
      <c r="CF30" s="782"/>
      <c r="CG30" s="782"/>
      <c r="CH30" s="782"/>
      <c r="CI30" s="782"/>
      <c r="CJ30" s="782"/>
      <c r="CK30" s="782"/>
      <c r="CL30" s="782"/>
      <c r="CM30" s="782"/>
      <c r="CN30" s="782"/>
      <c r="CO30" s="782"/>
      <c r="CP30" s="782"/>
      <c r="CQ30" s="782"/>
      <c r="CR30" s="782"/>
      <c r="CS30" s="782"/>
      <c r="CT30" s="782"/>
      <c r="CU30" s="782"/>
      <c r="CV30" s="782"/>
      <c r="CW30" s="782"/>
      <c r="CX30" s="782"/>
      <c r="CY30" s="782"/>
      <c r="CZ30" s="782"/>
      <c r="DA30" s="782"/>
      <c r="DB30" s="782"/>
      <c r="DC30" s="782"/>
    </row>
    <row r="31" spans="1:107" ht="9.9499999999999993" customHeight="1">
      <c r="A31" s="184"/>
      <c r="D31" s="13" t="str">
        <f>IF($BB$21=1,"G","")</f>
        <v>G</v>
      </c>
      <c r="E31" s="13" t="str">
        <f>IF($BB$21=1,$BA$21,"")</f>
        <v>2,2,</v>
      </c>
      <c r="F31" s="13" t="str">
        <f>IF($BB$21=1,$BC$21,"")</f>
        <v>szt.</v>
      </c>
      <c r="I31" s="13" t="str">
        <f>IF($BB$21=1,"G","")</f>
        <v>G</v>
      </c>
      <c r="J31" s="13" t="str">
        <f>IF($BB$21=1,$BA$21,"")</f>
        <v>2,2,</v>
      </c>
      <c r="K31" s="13" t="e">
        <f>IF($BB$21=1,$BC$21-1,"")</f>
        <v>#VALUE!</v>
      </c>
      <c r="O31" s="13" t="str">
        <f>IF($BB$21=1,"G","")</f>
        <v>G</v>
      </c>
      <c r="U31" s="191"/>
      <c r="AC31" s="24"/>
      <c r="AE31" s="76" t="str">
        <f>IF(BB21&gt;=1,"B","")</f>
        <v>B</v>
      </c>
      <c r="AF31" s="16"/>
      <c r="AI31" s="19"/>
      <c r="AU31" s="19"/>
      <c r="AY31" s="121"/>
      <c r="BG31" s="13">
        <f t="shared" si="0"/>
        <v>1</v>
      </c>
      <c r="BH31" s="13">
        <v>40</v>
      </c>
      <c r="BI31" s="71">
        <f t="shared" si="1"/>
        <v>24</v>
      </c>
      <c r="BO31" s="70" t="str">
        <f>IF(PV!AM98=3,"2,3,","3,1,")</f>
        <v>3,1,</v>
      </c>
      <c r="BP31" s="13">
        <f>INDEX($BR$29:$BT$32,MATCH($BB$22,$BR$29:$BR$32,0),2)</f>
        <v>0</v>
      </c>
      <c r="BR31" s="782">
        <v>0</v>
      </c>
      <c r="BS31" s="782"/>
      <c r="BT31" s="782"/>
      <c r="CA31" s="782"/>
      <c r="CB31" s="782"/>
      <c r="CC31" s="782"/>
      <c r="CD31" s="782"/>
      <c r="CE31" s="782"/>
      <c r="CF31" s="782"/>
      <c r="CG31" s="782"/>
      <c r="CH31" s="782"/>
      <c r="CI31" s="782"/>
      <c r="CJ31" s="782"/>
      <c r="CK31" s="782"/>
      <c r="CL31" s="782"/>
      <c r="CM31" s="782"/>
      <c r="CN31" s="782"/>
      <c r="CO31" s="782"/>
      <c r="CP31" s="782"/>
      <c r="CQ31" s="782"/>
      <c r="CR31" s="782"/>
      <c r="CS31" s="782"/>
      <c r="CT31" s="782"/>
      <c r="CU31" s="782"/>
      <c r="CV31" s="782"/>
      <c r="CW31" s="782"/>
      <c r="CX31" s="782"/>
      <c r="CY31" s="782"/>
      <c r="CZ31" s="782"/>
      <c r="DA31" s="782"/>
      <c r="DB31" s="782"/>
      <c r="DC31" s="782"/>
    </row>
    <row r="32" spans="1:107" ht="9.9499999999999993" customHeight="1">
      <c r="A32" s="833"/>
      <c r="B32" s="782"/>
      <c r="AC32" s="24"/>
      <c r="AE32" s="29"/>
      <c r="AF32" s="16"/>
      <c r="AI32" s="19"/>
      <c r="AL32" s="870" t="s">
        <v>601</v>
      </c>
      <c r="AM32" s="871"/>
      <c r="AN32" s="872"/>
      <c r="AU32" s="19"/>
      <c r="AY32" s="121"/>
      <c r="BG32" s="13">
        <f t="shared" si="0"/>
        <v>1</v>
      </c>
      <c r="BH32" s="13">
        <v>63</v>
      </c>
      <c r="BI32" s="71">
        <f t="shared" si="1"/>
        <v>24</v>
      </c>
      <c r="BO32" s="70" t="s">
        <v>318</v>
      </c>
      <c r="BP32" s="13">
        <f>INDEX($BR$29:$BT$32,MATCH($BB$23,$BR$29:$BR$32,0),2)</f>
        <v>0</v>
      </c>
      <c r="BR32" s="782"/>
      <c r="BS32" s="782"/>
      <c r="BT32" s="782"/>
      <c r="CA32" s="782"/>
      <c r="CB32" s="782"/>
      <c r="CC32" s="782"/>
      <c r="CD32" s="782"/>
      <c r="CE32" s="782"/>
      <c r="CF32" s="782"/>
      <c r="CG32" s="782"/>
      <c r="CH32" s="782"/>
      <c r="CI32" s="782"/>
      <c r="CJ32" s="782"/>
      <c r="CK32" s="782"/>
      <c r="CL32" s="782"/>
      <c r="CM32" s="782"/>
      <c r="CN32" s="782"/>
      <c r="CO32" s="782"/>
      <c r="CP32" s="782"/>
      <c r="CQ32" s="782"/>
      <c r="CR32" s="782"/>
      <c r="CS32" s="782"/>
      <c r="CT32" s="782"/>
      <c r="CU32" s="782"/>
      <c r="CV32" s="782"/>
      <c r="CW32" s="782"/>
      <c r="CX32" s="782"/>
      <c r="CY32" s="782"/>
      <c r="CZ32" s="782"/>
      <c r="DA32" s="782"/>
      <c r="DB32" s="782"/>
      <c r="DC32" s="782"/>
    </row>
    <row r="33" spans="1:83" ht="9.9499999999999993" customHeight="1">
      <c r="A33" s="833"/>
      <c r="B33" s="782"/>
      <c r="AC33" s="24"/>
      <c r="AE33" s="29"/>
      <c r="AF33" s="16"/>
      <c r="AI33" s="19"/>
      <c r="AL33" s="873"/>
      <c r="AM33" s="874"/>
      <c r="AN33" s="875"/>
      <c r="AU33" s="19"/>
      <c r="AY33" s="121"/>
      <c r="BN33"/>
    </row>
    <row r="34" spans="1:83" ht="9.9499999999999993" customHeight="1">
      <c r="A34" s="184"/>
      <c r="G34" s="782" t="str">
        <f>IF(BB22&gt;0,PV!P96,"")</f>
        <v/>
      </c>
      <c r="H34" s="782"/>
      <c r="Y34" s="13" t="s">
        <v>290</v>
      </c>
      <c r="AC34" s="24"/>
      <c r="AE34" s="29"/>
      <c r="AF34" s="16"/>
      <c r="AI34" s="19"/>
      <c r="AK34" s="14"/>
      <c r="AL34" s="807" t="s">
        <v>602</v>
      </c>
      <c r="AM34" s="808"/>
      <c r="AN34" s="809"/>
      <c r="AO34" s="15"/>
      <c r="AP34" s="15"/>
      <c r="AQ34" s="15" t="str">
        <f>PV!A222</f>
        <v>Przewód AC 5x4mm2</v>
      </c>
      <c r="AR34" s="15"/>
      <c r="AS34" s="15"/>
      <c r="AT34" s="15"/>
      <c r="AU34" s="15"/>
      <c r="AY34" s="121"/>
      <c r="CB34" s="782"/>
      <c r="CC34" s="782"/>
      <c r="CD34" s="782"/>
    </row>
    <row r="35" spans="1:83" ht="9.9499999999999993" customHeight="1">
      <c r="A35" s="184"/>
      <c r="G35" s="785" t="str">
        <f>IF(BB22=0,"",PV!P100)</f>
        <v/>
      </c>
      <c r="H35" s="782"/>
      <c r="I35" s="13" t="str">
        <f>IF(BB22&gt;=1,IF(BC22&gt;=1,"V",""),"")</f>
        <v/>
      </c>
      <c r="Q35" s="782"/>
      <c r="R35" s="782"/>
      <c r="T35" s="782" t="str">
        <f>IF(BB22&gt;=1,IF(BC22&gt;=1,"Rozdzielnia",""),"")</f>
        <v/>
      </c>
      <c r="U35" s="782"/>
      <c r="V35" s="782"/>
      <c r="W35" s="782"/>
      <c r="AC35" s="24"/>
      <c r="AE35" s="29"/>
      <c r="AF35" s="16"/>
      <c r="AI35" s="19"/>
      <c r="AK35" s="16"/>
      <c r="AL35" s="21"/>
      <c r="AM35" s="17"/>
      <c r="AN35" s="20"/>
      <c r="AY35" s="121"/>
      <c r="BT35" s="13">
        <f>INDEX('Schematy elektryczne'!$CA$12:$DA$32,MATCH('Schematy elektryczne'!$BD$18,'Schematy elektryczne'!$CA$12:$CA$32,0),2)</f>
        <v>0</v>
      </c>
    </row>
    <row r="36" spans="1:83" ht="9.9499999999999993" customHeight="1">
      <c r="A36" s="184"/>
      <c r="G36" s="785" t="str">
        <f>IF(BB22=0,"",PV!P101)</f>
        <v/>
      </c>
      <c r="H36" s="782"/>
      <c r="I36" s="13" t="str">
        <f>IF(BB22&gt;=1,IF(BC22&gt;=1,"V",""),"")</f>
        <v/>
      </c>
      <c r="Q36" s="782"/>
      <c r="R36" s="782"/>
      <c r="T36" s="782" t="str">
        <f>IF(BB22&gt;=1,IF(BC22&gt;=1,"DC",""),"")</f>
        <v/>
      </c>
      <c r="U36" s="782"/>
      <c r="V36" s="782" t="str">
        <f>IF(BB22&gt;=1,IF(BC22&gt;=1,BA22,""),"")</f>
        <v/>
      </c>
      <c r="W36" s="782"/>
      <c r="AC36" s="24"/>
      <c r="AE36" s="29"/>
      <c r="AF36" s="16"/>
      <c r="AI36" s="19"/>
      <c r="AK36" s="16"/>
      <c r="AY36" s="121"/>
      <c r="BG36" s="13" t="s">
        <v>327</v>
      </c>
      <c r="BH36" s="13" t="s">
        <v>270</v>
      </c>
      <c r="BI36" s="13" t="s">
        <v>271</v>
      </c>
      <c r="BJ36" s="13" t="s">
        <v>329</v>
      </c>
    </row>
    <row r="37" spans="1:83" ht="9.9499999999999993" customHeight="1">
      <c r="A37" s="184"/>
      <c r="G37" s="785" t="str">
        <f>IF(BB22=0,"",PV!P102)</f>
        <v/>
      </c>
      <c r="H37" s="782"/>
      <c r="I37" s="13" t="str">
        <f>IF(BB22&gt;=1,IF(BC22&gt;=1,"V",""),"")</f>
        <v/>
      </c>
      <c r="AC37" s="24"/>
      <c r="AE37" s="29"/>
      <c r="AF37" s="16"/>
      <c r="AI37" s="19"/>
      <c r="AK37" s="16"/>
      <c r="AV37" s="13" t="s">
        <v>603</v>
      </c>
      <c r="AY37" s="121"/>
      <c r="BF37" s="13">
        <f>IF(BJ37&lt;=IF(AT42=3,BI37,BH37),1,0)</f>
        <v>0</v>
      </c>
      <c r="BG37" s="70">
        <v>1.5</v>
      </c>
      <c r="BH37" s="13">
        <v>16.5</v>
      </c>
      <c r="BI37" s="13">
        <v>15</v>
      </c>
      <c r="BJ37" s="897">
        <f>$BN$4*1.25</f>
        <v>25</v>
      </c>
      <c r="BK37" s="897"/>
    </row>
    <row r="38" spans="1:83" ht="9.9499999999999993" customHeight="1">
      <c r="A38" s="184"/>
      <c r="T38" s="13" t="str">
        <f>IF(BB22=1,"2x","")</f>
        <v/>
      </c>
      <c r="U38" s="189" t="str">
        <f>IF(BB22=1,"gPV","")</f>
        <v/>
      </c>
      <c r="AC38" s="24"/>
      <c r="AE38" s="29"/>
      <c r="AF38" s="16"/>
      <c r="AI38" s="19"/>
      <c r="AK38" s="16"/>
      <c r="AL38" s="25"/>
      <c r="AM38" s="23"/>
      <c r="AN38" s="23"/>
      <c r="AO38" s="23"/>
      <c r="AP38" s="23"/>
      <c r="AQ38" s="23"/>
      <c r="AR38" s="23"/>
      <c r="AS38" s="23"/>
      <c r="AT38" s="23"/>
      <c r="AU38" s="23"/>
      <c r="AV38" s="23"/>
      <c r="AW38" s="23"/>
      <c r="AX38" s="155"/>
      <c r="AY38" s="121"/>
      <c r="BF38" s="13">
        <f t="shared" ref="BF38:BF45" si="2">IF(BJ38&lt;=IF(AT43=3,BI38,BH38),1,0)</f>
        <v>0</v>
      </c>
      <c r="BG38" s="70">
        <v>2.5</v>
      </c>
      <c r="BH38" s="13">
        <v>23</v>
      </c>
      <c r="BI38" s="13">
        <v>20</v>
      </c>
      <c r="BJ38" s="897">
        <f t="shared" ref="BJ38:BJ45" si="3">$BN$4*1.25</f>
        <v>25</v>
      </c>
      <c r="BK38" s="897"/>
      <c r="BN38" s="71"/>
    </row>
    <row r="39" spans="1:83" ht="9.9499999999999993" customHeight="1">
      <c r="A39" s="184"/>
      <c r="D39" s="13" t="str">
        <f>IF($BB$22=1,"G","")</f>
        <v/>
      </c>
      <c r="E39" s="13" t="str">
        <f>IF($BB$22=1,$BA$22,"")</f>
        <v/>
      </c>
      <c r="F39" s="13" t="str">
        <f>IF($BB$22=1,$BC$22,"")</f>
        <v/>
      </c>
      <c r="I39" s="13" t="str">
        <f>IF($BB$22=1,"G","")</f>
        <v/>
      </c>
      <c r="J39" s="13" t="str">
        <f>IF($BB$22=1,$BA$22,"")</f>
        <v/>
      </c>
      <c r="K39" s="13" t="str">
        <f>IF($BB$22=1,$BC$22-1,"")</f>
        <v/>
      </c>
      <c r="O39" s="13" t="str">
        <f>IF($BB$22=1,"G","")</f>
        <v/>
      </c>
      <c r="P39" s="13" t="str">
        <f>IF($BB$22=1,$BA$22,"")</f>
        <v/>
      </c>
      <c r="Q39" s="13" t="str">
        <f>IF($BB$22=1,1,"")</f>
        <v/>
      </c>
      <c r="T39" s="13" t="str">
        <f>IF(BB22=1,"15","")</f>
        <v/>
      </c>
      <c r="U39" s="191" t="str">
        <f>IF(BB22=1,"A","")</f>
        <v/>
      </c>
      <c r="AC39" s="24"/>
      <c r="AE39" s="29"/>
      <c r="AF39" s="16"/>
      <c r="AI39" s="19"/>
      <c r="AK39" s="16"/>
      <c r="AL39" s="24"/>
      <c r="AM39" s="13" t="s">
        <v>319</v>
      </c>
      <c r="AT39" s="13" t="s">
        <v>241</v>
      </c>
      <c r="AX39" s="156"/>
      <c r="AY39" s="121"/>
      <c r="BA39" s="13">
        <f>IF(PV!N97="szt.",0,IF( PV!N97=0,0,1))</f>
        <v>0</v>
      </c>
      <c r="BF39" s="13">
        <f t="shared" si="2"/>
        <v>1</v>
      </c>
      <c r="BG39" s="70">
        <v>4</v>
      </c>
      <c r="BH39" s="13">
        <v>30</v>
      </c>
      <c r="BI39" s="13">
        <v>27</v>
      </c>
      <c r="BJ39" s="897">
        <f t="shared" si="3"/>
        <v>25</v>
      </c>
      <c r="BK39" s="897"/>
      <c r="BN39" s="66"/>
    </row>
    <row r="40" spans="1:83" ht="9.9499999999999993" customHeight="1">
      <c r="A40" s="184"/>
      <c r="AC40" s="24"/>
      <c r="AE40" s="29" t="str">
        <f>IF(PV!N98=3,"B",IF(BB22&gt;=1,"C",""))</f>
        <v/>
      </c>
      <c r="AF40" s="16"/>
      <c r="AI40" s="19"/>
      <c r="AK40" s="16"/>
      <c r="AL40" s="24"/>
      <c r="AX40" s="156"/>
      <c r="AY40" s="121"/>
      <c r="BA40" s="13">
        <f>IF(PV!L98&gt;1,2,1)</f>
        <v>1</v>
      </c>
      <c r="BB40" s="13">
        <f>IF(PV!N98&gt;1,2,1)</f>
        <v>2</v>
      </c>
      <c r="BF40" s="13">
        <f t="shared" si="2"/>
        <v>1</v>
      </c>
      <c r="BG40" s="70">
        <v>6</v>
      </c>
      <c r="BH40" s="13">
        <v>38</v>
      </c>
      <c r="BI40" s="13">
        <v>34</v>
      </c>
      <c r="BJ40" s="897">
        <f t="shared" si="3"/>
        <v>25</v>
      </c>
      <c r="BK40" s="897"/>
      <c r="BN40" s="70"/>
    </row>
    <row r="41" spans="1:83" ht="9.9499999999999993" customHeight="1">
      <c r="A41" s="833"/>
      <c r="B41" s="782"/>
      <c r="T41" s="13" t="str">
        <f>IF(BB22&gt;=1,IF(BC22&gt;=1,"SPD T2",""),"")</f>
        <v/>
      </c>
      <c r="AC41" s="24"/>
      <c r="AE41" s="29"/>
      <c r="AF41" s="16"/>
      <c r="AI41" s="27"/>
      <c r="AK41" s="16"/>
      <c r="AL41" s="24"/>
      <c r="AM41" s="14"/>
      <c r="AN41" s="15"/>
      <c r="AO41" s="15"/>
      <c r="AP41" s="18"/>
      <c r="AT41" s="13" t="s">
        <v>235</v>
      </c>
      <c r="AX41" s="156"/>
      <c r="AY41" s="121"/>
      <c r="BF41" s="13">
        <f t="shared" si="2"/>
        <v>1</v>
      </c>
      <c r="BG41" s="70">
        <v>10</v>
      </c>
      <c r="BH41" s="13">
        <v>52</v>
      </c>
      <c r="BI41" s="13">
        <v>46</v>
      </c>
      <c r="BJ41" s="897">
        <f t="shared" si="3"/>
        <v>25</v>
      </c>
      <c r="BK41" s="897"/>
      <c r="BN41" s="66"/>
    </row>
    <row r="42" spans="1:83" ht="9.9499999999999993" customHeight="1">
      <c r="A42" s="833"/>
      <c r="B42" s="782"/>
      <c r="AC42" s="24"/>
      <c r="AE42" s="29"/>
      <c r="AF42" s="16"/>
      <c r="AI42" s="19"/>
      <c r="AK42" s="16"/>
      <c r="AL42" s="24"/>
      <c r="AM42" s="16"/>
      <c r="AP42" s="19"/>
      <c r="AT42" s="13">
        <f>PV!P75</f>
        <v>3</v>
      </c>
      <c r="AU42" s="175" t="s">
        <v>143</v>
      </c>
      <c r="AV42" s="782">
        <f>IF(AT42=3,400,230)</f>
        <v>400</v>
      </c>
      <c r="AW42" s="782"/>
      <c r="AX42" s="156" t="s">
        <v>233</v>
      </c>
      <c r="AY42" s="121"/>
      <c r="BF42" s="13">
        <f t="shared" si="2"/>
        <v>1</v>
      </c>
      <c r="BG42" s="70">
        <v>16</v>
      </c>
      <c r="BH42" s="13">
        <v>69</v>
      </c>
      <c r="BI42" s="13">
        <v>62</v>
      </c>
      <c r="BJ42" s="897">
        <f t="shared" si="3"/>
        <v>25</v>
      </c>
      <c r="BK42" s="897"/>
    </row>
    <row r="43" spans="1:83" ht="9.9499999999999993" customHeight="1">
      <c r="A43" s="184"/>
      <c r="T43" s="782" t="str">
        <f>IF(BB23&gt;=1,IF(BC23&gt;=1,"Rozdzielnia",""),"")</f>
        <v/>
      </c>
      <c r="U43" s="782"/>
      <c r="V43" s="782"/>
      <c r="W43" s="782"/>
      <c r="AC43" s="84"/>
      <c r="AD43" s="19"/>
      <c r="AE43" s="29"/>
      <c r="AF43" s="16"/>
      <c r="AI43" s="19"/>
      <c r="AK43" s="16"/>
      <c r="AL43" s="24"/>
      <c r="AM43" s="16"/>
      <c r="AP43" s="19"/>
      <c r="AT43" s="782" t="s">
        <v>236</v>
      </c>
      <c r="AU43" s="782"/>
      <c r="AX43" s="156"/>
      <c r="AY43" s="121"/>
      <c r="BF43" s="13">
        <f t="shared" si="2"/>
        <v>1</v>
      </c>
      <c r="BG43" s="70">
        <v>25</v>
      </c>
      <c r="BH43" s="13">
        <v>90</v>
      </c>
      <c r="BI43" s="13">
        <v>80</v>
      </c>
      <c r="BJ43" s="897">
        <f t="shared" si="3"/>
        <v>25</v>
      </c>
      <c r="BK43" s="897"/>
    </row>
    <row r="44" spans="1:83" ht="9.9499999999999993" customHeight="1">
      <c r="A44" s="184"/>
      <c r="Q44" s="782"/>
      <c r="R44" s="782"/>
      <c r="T44" s="782" t="str">
        <f>IF(BB23&gt;=1,IF(BC23&gt;=1,"DC",""),"")</f>
        <v/>
      </c>
      <c r="U44" s="782"/>
      <c r="V44" s="782" t="str">
        <f>IF(BB23&gt;=1,IF(BC23&gt;=1,BA23,""),"")</f>
        <v/>
      </c>
      <c r="W44" s="782"/>
      <c r="AC44" s="84"/>
      <c r="AE44" s="29"/>
      <c r="AF44" s="16"/>
      <c r="AI44" s="19"/>
      <c r="AK44" s="21"/>
      <c r="AL44" s="157"/>
      <c r="AM44" s="807" t="s">
        <v>40</v>
      </c>
      <c r="AN44" s="808"/>
      <c r="AO44" s="808"/>
      <c r="AP44" s="809"/>
      <c r="AT44" s="782" t="s">
        <v>237</v>
      </c>
      <c r="AU44" s="782"/>
      <c r="AX44" s="156"/>
      <c r="AY44" s="121"/>
      <c r="BF44" s="13">
        <f t="shared" si="2"/>
        <v>1</v>
      </c>
      <c r="BG44" s="70">
        <v>35</v>
      </c>
      <c r="BH44" s="13">
        <v>111</v>
      </c>
      <c r="BI44" s="13">
        <v>99</v>
      </c>
      <c r="BJ44" s="897">
        <f t="shared" si="3"/>
        <v>25</v>
      </c>
      <c r="BK44" s="897"/>
    </row>
    <row r="45" spans="1:83" ht="9.9499999999999993" customHeight="1">
      <c r="A45" s="184"/>
      <c r="Q45" s="782"/>
      <c r="R45" s="782"/>
      <c r="AC45" s="84"/>
      <c r="AE45" s="29"/>
      <c r="AF45" s="16"/>
      <c r="AI45" s="19"/>
      <c r="AL45" s="24"/>
      <c r="AM45" s="810"/>
      <c r="AN45" s="782"/>
      <c r="AO45" s="782"/>
      <c r="AP45" s="811"/>
      <c r="AQ45" s="22"/>
      <c r="AT45" s="15"/>
      <c r="AU45" s="15"/>
      <c r="AV45" s="15"/>
      <c r="AW45" s="15"/>
      <c r="AX45" s="158"/>
      <c r="AY45" s="121"/>
      <c r="BF45" s="13">
        <f t="shared" si="2"/>
        <v>1</v>
      </c>
      <c r="BG45" s="70">
        <v>50</v>
      </c>
      <c r="BH45" s="13">
        <v>133</v>
      </c>
      <c r="BI45" s="13">
        <v>118</v>
      </c>
      <c r="BJ45" s="897">
        <f t="shared" si="3"/>
        <v>25</v>
      </c>
      <c r="BK45" s="897"/>
    </row>
    <row r="46" spans="1:83" ht="9.9499999999999993" customHeight="1">
      <c r="A46" s="184"/>
      <c r="T46" s="13" t="str">
        <f>IF(BB23=1,"2x","")</f>
        <v/>
      </c>
      <c r="U46" s="189" t="str">
        <f>IF(BB23=1,"gPV","")</f>
        <v/>
      </c>
      <c r="AC46" s="84"/>
      <c r="AE46" s="29"/>
      <c r="AF46" s="16"/>
      <c r="AI46" s="19"/>
      <c r="AL46" s="24"/>
      <c r="AM46" s="810"/>
      <c r="AN46" s="782"/>
      <c r="AO46" s="782"/>
      <c r="AP46" s="811"/>
      <c r="AX46" s="156"/>
      <c r="AY46" s="121"/>
    </row>
    <row r="47" spans="1:83" ht="9.9499999999999993" customHeight="1">
      <c r="A47" s="184"/>
      <c r="D47" s="13" t="str">
        <f>IF($BB$23=1,"G","")</f>
        <v/>
      </c>
      <c r="E47" s="13" t="str">
        <f>IF($BB$23=1,$BA$23,"")</f>
        <v/>
      </c>
      <c r="F47" s="13" t="str">
        <f>IF($BB$23=1,$BC$23,"")</f>
        <v/>
      </c>
      <c r="I47" s="13" t="str">
        <f>IF($BB$23=1,"G","")</f>
        <v/>
      </c>
      <c r="J47" s="13" t="str">
        <f>IF($BB$23=1,$BA$23,"")</f>
        <v/>
      </c>
      <c r="K47" s="13" t="str">
        <f>IF($BB$23=1,$BC$23-1,"")</f>
        <v/>
      </c>
      <c r="O47" s="13" t="str">
        <f>IF($BB$23=1,"G","")</f>
        <v/>
      </c>
      <c r="P47" s="13" t="str">
        <f>IF($BB$23=1,$BA$23,"")</f>
        <v/>
      </c>
      <c r="Q47" s="13" t="str">
        <f>IF($BB$23=1,1,"")</f>
        <v/>
      </c>
      <c r="T47" s="13" t="str">
        <f>IF(BB23=1,"15","")</f>
        <v/>
      </c>
      <c r="U47" s="191" t="str">
        <f>IF(BB23=1,"A","")</f>
        <v/>
      </c>
      <c r="AC47" s="84"/>
      <c r="AE47" s="29"/>
      <c r="AF47" s="16"/>
      <c r="AI47" s="19"/>
      <c r="AL47" s="24"/>
      <c r="AM47" s="810"/>
      <c r="AN47" s="782"/>
      <c r="AO47" s="782"/>
      <c r="AP47" s="811"/>
      <c r="AX47" s="156"/>
      <c r="AY47" s="121"/>
      <c r="BG47" s="13" t="s">
        <v>330</v>
      </c>
      <c r="CB47" s="180"/>
      <c r="CC47" s="180"/>
      <c r="CD47" s="180"/>
      <c r="CE47" s="180"/>
    </row>
    <row r="48" spans="1:83" ht="9.9499999999999993" customHeight="1">
      <c r="A48" s="184"/>
      <c r="AC48" s="84"/>
      <c r="AE48" s="29" t="str">
        <f>IF(BB23&gt;=1,"C","")</f>
        <v/>
      </c>
      <c r="AF48" s="16"/>
      <c r="AI48" s="19"/>
      <c r="AL48" s="24"/>
      <c r="AM48" s="812"/>
      <c r="AN48" s="813"/>
      <c r="AO48" s="813"/>
      <c r="AP48" s="814"/>
      <c r="AX48" s="156"/>
      <c r="AY48" s="121"/>
      <c r="BG48" s="70">
        <v>1.5</v>
      </c>
      <c r="BH48" s="13">
        <f t="shared" ref="BH48:BH56" si="4">IF($AT$42=3,$BJ$12,$BJ$11)</f>
        <v>0.40093768693724008</v>
      </c>
      <c r="CB48" s="26"/>
      <c r="CC48" s="26"/>
      <c r="CD48" s="26"/>
      <c r="CE48" s="26"/>
    </row>
    <row r="49" spans="1:83" ht="9.9499999999999993" customHeight="1">
      <c r="A49" s="184"/>
      <c r="T49" s="13" t="str">
        <f>IF(BB23&gt;=1,IF(BC23&gt;=1,"SPD T2",""),"")</f>
        <v/>
      </c>
      <c r="AC49" s="84"/>
      <c r="AE49" s="29"/>
      <c r="AF49" s="16"/>
      <c r="AI49" s="19"/>
      <c r="AL49" s="159"/>
      <c r="AM49" s="160"/>
      <c r="AN49" s="160"/>
      <c r="AO49" s="160"/>
      <c r="AP49" s="160"/>
      <c r="AQ49" s="160"/>
      <c r="AR49" s="160"/>
      <c r="AS49" s="160"/>
      <c r="AT49" s="160"/>
      <c r="AU49" s="160"/>
      <c r="AV49" s="160"/>
      <c r="AW49" s="160"/>
      <c r="AX49" s="161"/>
      <c r="AY49" s="121"/>
      <c r="BG49" s="70">
        <v>2.5</v>
      </c>
      <c r="BH49" s="13">
        <f t="shared" si="4"/>
        <v>0.40093768693724008</v>
      </c>
      <c r="CB49" s="26"/>
      <c r="CC49" s="26"/>
      <c r="CD49" s="26"/>
      <c r="CE49" s="26"/>
    </row>
    <row r="50" spans="1:83" ht="9.9499999999999993" customHeight="1">
      <c r="A50" s="878" t="s">
        <v>681</v>
      </c>
      <c r="B50" s="784"/>
      <c r="C50" s="784"/>
      <c r="D50" s="784">
        <f>PV!U52</f>
        <v>0</v>
      </c>
      <c r="E50" s="784"/>
      <c r="F50" s="784"/>
      <c r="G50" s="784"/>
      <c r="H50" s="784"/>
      <c r="I50" s="784"/>
      <c r="J50" s="784"/>
      <c r="K50" s="784"/>
      <c r="L50" s="784"/>
      <c r="M50" s="784"/>
      <c r="N50" s="784"/>
      <c r="O50" s="784"/>
      <c r="P50" s="784"/>
      <c r="Q50" s="784"/>
      <c r="R50" s="784"/>
      <c r="AC50" s="84"/>
      <c r="AD50" s="19"/>
      <c r="AE50" s="29"/>
      <c r="AF50" s="21"/>
      <c r="AG50" s="17"/>
      <c r="AH50" s="17"/>
      <c r="AI50" s="20"/>
      <c r="AY50" s="121"/>
      <c r="BG50" s="70">
        <v>4</v>
      </c>
      <c r="BH50" s="13">
        <f t="shared" si="4"/>
        <v>0.40093768693724008</v>
      </c>
      <c r="CB50" s="26"/>
      <c r="CC50" s="26"/>
      <c r="CD50" s="26"/>
      <c r="CE50" s="26"/>
    </row>
    <row r="51" spans="1:83" ht="9.9499999999999993" customHeight="1" thickBot="1">
      <c r="A51" s="185"/>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G51" s="182"/>
      <c r="AH51" s="182"/>
      <c r="AI51" s="182"/>
      <c r="AJ51" s="182"/>
      <c r="AK51" s="182"/>
      <c r="AL51" s="182"/>
      <c r="AM51" s="182"/>
      <c r="AN51" s="182"/>
      <c r="AO51" s="182"/>
      <c r="AP51" s="182"/>
      <c r="AQ51" s="182"/>
      <c r="AR51" s="182"/>
      <c r="AS51" s="182"/>
      <c r="AT51" s="182"/>
      <c r="AU51" s="182"/>
      <c r="AV51" s="182"/>
      <c r="AW51" s="182"/>
      <c r="AX51" s="182"/>
      <c r="AY51" s="186"/>
      <c r="BG51" s="70">
        <v>6</v>
      </c>
      <c r="BH51" s="13">
        <f t="shared" si="4"/>
        <v>0.40093768693724008</v>
      </c>
    </row>
    <row r="52" spans="1:83" ht="9.9499999999999993" customHeight="1" thickBot="1">
      <c r="A52" s="837" t="s">
        <v>363</v>
      </c>
      <c r="B52" s="838"/>
      <c r="C52" s="838"/>
      <c r="D52" s="838"/>
      <c r="E52" s="838"/>
      <c r="F52" s="838"/>
      <c r="G52" s="838"/>
      <c r="H52" s="839"/>
      <c r="I52" s="183"/>
      <c r="J52" s="183"/>
      <c r="K52" s="183"/>
      <c r="L52" s="183"/>
      <c r="M52" s="183"/>
      <c r="N52" s="183"/>
      <c r="O52" s="183"/>
      <c r="P52" s="183"/>
      <c r="Q52" s="183"/>
      <c r="R52" s="187"/>
      <c r="S52" s="837" t="s">
        <v>658</v>
      </c>
      <c r="T52" s="838"/>
      <c r="U52" s="838"/>
      <c r="V52" s="838"/>
      <c r="W52" s="838"/>
      <c r="X52" s="838"/>
      <c r="Y52" s="838"/>
      <c r="Z52" s="838"/>
      <c r="AA52" s="838"/>
      <c r="AB52" s="849" t="s">
        <v>647</v>
      </c>
      <c r="AC52" s="850"/>
      <c r="AD52" s="850"/>
      <c r="AE52" s="850"/>
      <c r="AF52" s="851"/>
      <c r="AG52" s="894" t="s">
        <v>645</v>
      </c>
      <c r="AH52" s="895"/>
      <c r="AI52" s="895"/>
      <c r="AJ52" s="895"/>
      <c r="AK52" s="896"/>
      <c r="AL52" s="895">
        <f>PV!U51</f>
        <v>0</v>
      </c>
      <c r="AM52" s="895"/>
      <c r="AN52" s="895"/>
      <c r="AO52" s="895"/>
      <c r="AP52" s="895"/>
      <c r="AQ52" s="895"/>
      <c r="AR52" s="895"/>
      <c r="AS52" s="895"/>
      <c r="AT52" s="895"/>
      <c r="AU52" s="896"/>
      <c r="AV52" s="895" t="s">
        <v>225</v>
      </c>
      <c r="AW52" s="895"/>
      <c r="AX52" s="895"/>
      <c r="AY52" s="896"/>
      <c r="BG52" s="70">
        <v>10</v>
      </c>
      <c r="BH52" s="13">
        <f t="shared" si="4"/>
        <v>0.40093768693724008</v>
      </c>
    </row>
    <row r="53" spans="1:83" ht="9.9499999999999993" customHeight="1" thickBot="1">
      <c r="A53" s="840"/>
      <c r="B53" s="841"/>
      <c r="C53" s="841"/>
      <c r="D53" s="841"/>
      <c r="E53" s="841"/>
      <c r="F53" s="841"/>
      <c r="G53" s="841"/>
      <c r="H53" s="842"/>
      <c r="R53" s="121"/>
      <c r="S53" s="840"/>
      <c r="T53" s="841"/>
      <c r="U53" s="841"/>
      <c r="V53" s="841"/>
      <c r="W53" s="841"/>
      <c r="X53" s="841"/>
      <c r="Y53" s="841"/>
      <c r="Z53" s="841"/>
      <c r="AA53" s="841"/>
      <c r="AB53" s="849" t="str">
        <f>PV!P76</f>
        <v>tak</v>
      </c>
      <c r="AC53" s="850"/>
      <c r="AD53" s="850"/>
      <c r="AE53" s="850"/>
      <c r="AF53" s="851"/>
      <c r="AG53" s="855"/>
      <c r="AH53" s="856"/>
      <c r="AI53" s="856"/>
      <c r="AJ53" s="856"/>
      <c r="AK53" s="857"/>
      <c r="AL53" s="856"/>
      <c r="AM53" s="856"/>
      <c r="AN53" s="856"/>
      <c r="AO53" s="856"/>
      <c r="AP53" s="856"/>
      <c r="AQ53" s="856"/>
      <c r="AR53" s="856"/>
      <c r="AS53" s="856"/>
      <c r="AT53" s="856"/>
      <c r="AU53" s="857"/>
      <c r="AV53" s="856"/>
      <c r="AW53" s="856"/>
      <c r="AX53" s="856"/>
      <c r="AY53" s="857"/>
      <c r="BG53" s="70">
        <v>16</v>
      </c>
      <c r="BH53" s="13">
        <f t="shared" si="4"/>
        <v>0.40093768693724008</v>
      </c>
    </row>
    <row r="54" spans="1:83" ht="9.9499999999999993" customHeight="1" thickBot="1">
      <c r="A54" s="859" t="str">
        <f>PV!P68</f>
        <v>AMPERE Sp. z o.o.</v>
      </c>
      <c r="B54" s="860"/>
      <c r="C54" s="860"/>
      <c r="D54" s="860"/>
      <c r="E54" s="860"/>
      <c r="F54" s="860"/>
      <c r="G54" s="860"/>
      <c r="H54" s="860"/>
      <c r="I54" s="184"/>
      <c r="O54" s="182"/>
      <c r="P54" s="182"/>
      <c r="Q54" s="182"/>
      <c r="R54" s="186"/>
      <c r="S54" s="885"/>
      <c r="T54" s="886"/>
      <c r="U54" s="886"/>
      <c r="V54" s="886"/>
      <c r="W54" s="886"/>
      <c r="X54" s="886"/>
      <c r="Y54" s="886"/>
      <c r="Z54" s="886"/>
      <c r="AA54" s="887"/>
      <c r="AB54" s="849" t="s">
        <v>630</v>
      </c>
      <c r="AC54" s="850"/>
      <c r="AD54" s="850"/>
      <c r="AE54" s="850"/>
      <c r="AF54" s="851"/>
      <c r="AG54" s="801" t="str">
        <f>PV!P78</f>
        <v>NIP: 6472602198</v>
      </c>
      <c r="AH54" s="802"/>
      <c r="AI54" s="802"/>
      <c r="AJ54" s="802"/>
      <c r="AK54" s="803"/>
      <c r="AL54" s="801" t="s">
        <v>227</v>
      </c>
      <c r="AM54" s="803"/>
      <c r="AN54" s="882">
        <v>533352555</v>
      </c>
      <c r="AO54" s="883"/>
      <c r="AP54" s="883"/>
      <c r="AQ54" s="883"/>
      <c r="AR54" s="883"/>
      <c r="AS54" s="883"/>
      <c r="AT54" s="883"/>
      <c r="AU54" s="884"/>
      <c r="AV54" s="869">
        <f ca="1">TODAY()+1</f>
        <v>45307</v>
      </c>
      <c r="AW54" s="853"/>
      <c r="AX54" s="853"/>
      <c r="AY54" s="854"/>
      <c r="BG54" s="70">
        <v>25</v>
      </c>
      <c r="BH54" s="13">
        <f t="shared" si="4"/>
        <v>0.40093768693724008</v>
      </c>
    </row>
    <row r="55" spans="1:83" ht="9.9499999999999993" customHeight="1" thickBot="1">
      <c r="A55" s="859"/>
      <c r="B55" s="860"/>
      <c r="C55" s="860"/>
      <c r="D55" s="860"/>
      <c r="E55" s="860"/>
      <c r="F55" s="860"/>
      <c r="G55" s="860"/>
      <c r="H55" s="860"/>
      <c r="I55" s="837" t="s">
        <v>659</v>
      </c>
      <c r="J55" s="838"/>
      <c r="K55" s="838"/>
      <c r="L55" s="838"/>
      <c r="M55" s="838"/>
      <c r="N55" s="839"/>
      <c r="O55" s="867">
        <f>PV!P64</f>
        <v>13.32</v>
      </c>
      <c r="P55" s="863"/>
      <c r="Q55" s="863" t="s">
        <v>4</v>
      </c>
      <c r="R55" s="864"/>
      <c r="S55" s="888"/>
      <c r="T55" s="889"/>
      <c r="U55" s="889"/>
      <c r="V55" s="889"/>
      <c r="W55" s="889"/>
      <c r="X55" s="889"/>
      <c r="Y55" s="889"/>
      <c r="Z55" s="889"/>
      <c r="AA55" s="890"/>
      <c r="AB55" s="852">
        <f>PV!P77</f>
        <v>0</v>
      </c>
      <c r="AC55" s="853"/>
      <c r="AD55" s="853"/>
      <c r="AE55" s="853"/>
      <c r="AF55" s="854"/>
      <c r="AG55" s="801" t="s">
        <v>1183</v>
      </c>
      <c r="AH55" s="802"/>
      <c r="AI55" s="802"/>
      <c r="AJ55" s="802"/>
      <c r="AK55" s="803"/>
      <c r="AL55" s="801" t="s">
        <v>228</v>
      </c>
      <c r="AM55" s="803"/>
      <c r="AN55" s="1386" t="s">
        <v>1277</v>
      </c>
      <c r="AO55" s="1387"/>
      <c r="AP55" s="1387"/>
      <c r="AQ55" s="1387"/>
      <c r="AR55" s="1387"/>
      <c r="AS55" s="1387"/>
      <c r="AT55" s="1387"/>
      <c r="AU55" s="1388"/>
      <c r="AV55" s="853"/>
      <c r="AW55" s="853"/>
      <c r="AX55" s="853"/>
      <c r="AY55" s="854"/>
      <c r="BG55" s="70">
        <v>35</v>
      </c>
      <c r="BH55" s="13">
        <f t="shared" si="4"/>
        <v>0.40093768693724008</v>
      </c>
    </row>
    <row r="56" spans="1:83" ht="9.9499999999999993" customHeight="1" thickBot="1">
      <c r="A56" s="861"/>
      <c r="B56" s="862"/>
      <c r="C56" s="862"/>
      <c r="D56" s="862"/>
      <c r="E56" s="862"/>
      <c r="F56" s="862"/>
      <c r="G56" s="862"/>
      <c r="H56" s="862"/>
      <c r="I56" s="840"/>
      <c r="J56" s="841"/>
      <c r="K56" s="841"/>
      <c r="L56" s="841"/>
      <c r="M56" s="841"/>
      <c r="N56" s="842"/>
      <c r="O56" s="868"/>
      <c r="P56" s="865"/>
      <c r="Q56" s="865"/>
      <c r="R56" s="866"/>
      <c r="S56" s="891"/>
      <c r="T56" s="892"/>
      <c r="U56" s="892"/>
      <c r="V56" s="892"/>
      <c r="W56" s="892"/>
      <c r="X56" s="892"/>
      <c r="Y56" s="892"/>
      <c r="Z56" s="892"/>
      <c r="AA56" s="893"/>
      <c r="AB56" s="855"/>
      <c r="AC56" s="856"/>
      <c r="AD56" s="856"/>
      <c r="AE56" s="856"/>
      <c r="AF56" s="857"/>
      <c r="AG56" s="804" t="s">
        <v>1182</v>
      </c>
      <c r="AH56" s="805"/>
      <c r="AI56" s="805"/>
      <c r="AJ56" s="805"/>
      <c r="AK56" s="806"/>
      <c r="AL56" s="804" t="s">
        <v>229</v>
      </c>
      <c r="AM56" s="806"/>
      <c r="AN56" s="879" t="s">
        <v>230</v>
      </c>
      <c r="AO56" s="880"/>
      <c r="AP56" s="880"/>
      <c r="AQ56" s="880"/>
      <c r="AR56" s="880"/>
      <c r="AS56" s="880"/>
      <c r="AT56" s="880"/>
      <c r="AU56" s="881"/>
      <c r="AV56" s="856"/>
      <c r="AW56" s="856"/>
      <c r="AX56" s="856"/>
      <c r="AY56" s="857"/>
      <c r="BG56" s="70">
        <v>50</v>
      </c>
      <c r="BH56" s="13">
        <f t="shared" si="4"/>
        <v>0.40093768693724008</v>
      </c>
    </row>
    <row r="57" spans="1:83" ht="9.9499999999999993" customHeight="1" thickBot="1">
      <c r="A57" s="26"/>
      <c r="B57" s="26"/>
      <c r="C57" s="26"/>
      <c r="D57" s="26"/>
      <c r="E57" s="26"/>
      <c r="F57" s="26"/>
      <c r="G57" s="26"/>
      <c r="H57" s="26"/>
      <c r="I57" s="26"/>
      <c r="J57" s="26"/>
    </row>
    <row r="58" spans="1:83" ht="9.9499999999999993" customHeight="1">
      <c r="A58" s="824" t="s">
        <v>482</v>
      </c>
      <c r="B58" s="825"/>
      <c r="C58" s="825"/>
      <c r="D58" s="825"/>
      <c r="E58" s="825"/>
      <c r="F58" s="825"/>
      <c r="G58" s="825"/>
      <c r="H58" s="825"/>
      <c r="I58" s="825"/>
      <c r="J58" s="825"/>
      <c r="K58" s="825"/>
      <c r="L58" s="825"/>
      <c r="M58" s="825"/>
      <c r="N58" s="825"/>
      <c r="O58" s="825"/>
      <c r="P58" s="825"/>
      <c r="Q58" s="825"/>
      <c r="R58" s="825"/>
      <c r="S58" s="825"/>
      <c r="T58" s="825"/>
      <c r="U58" s="825"/>
      <c r="V58" s="825"/>
      <c r="W58" s="825"/>
      <c r="X58" s="825"/>
      <c r="Y58" s="825"/>
      <c r="Z58" s="825"/>
      <c r="AA58" s="826"/>
      <c r="AG58" s="858" t="s">
        <v>656</v>
      </c>
      <c r="AH58" s="858"/>
      <c r="AI58" s="858"/>
      <c r="AJ58" s="858"/>
      <c r="AK58" s="858"/>
      <c r="AL58" s="858"/>
      <c r="AM58" s="858"/>
      <c r="AN58" s="858"/>
      <c r="AO58" s="858"/>
      <c r="AP58" s="858"/>
      <c r="BE58" s="181"/>
      <c r="BF58" s="181"/>
      <c r="BG58" s="181"/>
      <c r="BH58" s="181"/>
      <c r="BI58" s="181"/>
      <c r="BJ58" s="181"/>
      <c r="BK58" s="181"/>
      <c r="BL58" s="181"/>
      <c r="BM58" s="181"/>
      <c r="BN58" s="181"/>
      <c r="BO58" s="181"/>
      <c r="BP58" s="181"/>
      <c r="BQ58" s="181"/>
      <c r="BR58" s="181"/>
      <c r="BS58" s="181"/>
      <c r="BT58" s="181"/>
      <c r="BU58" s="181"/>
      <c r="BV58" s="181"/>
      <c r="BW58" s="181"/>
      <c r="BX58" s="181"/>
      <c r="BY58" s="181"/>
      <c r="BZ58" s="181"/>
      <c r="CA58" s="181"/>
      <c r="CB58" s="181"/>
      <c r="CC58" s="181"/>
      <c r="CD58" s="181"/>
    </row>
    <row r="59" spans="1:83" ht="9.9499999999999993" customHeight="1">
      <c r="A59" s="827"/>
      <c r="B59" s="828"/>
      <c r="C59" s="828"/>
      <c r="D59" s="828"/>
      <c r="E59" s="828"/>
      <c r="F59" s="828"/>
      <c r="G59" s="828"/>
      <c r="H59" s="828"/>
      <c r="I59" s="828"/>
      <c r="J59" s="828"/>
      <c r="K59" s="828"/>
      <c r="L59" s="828"/>
      <c r="M59" s="828"/>
      <c r="N59" s="828"/>
      <c r="O59" s="828"/>
      <c r="P59" s="828"/>
      <c r="Q59" s="828"/>
      <c r="R59" s="828"/>
      <c r="S59" s="828"/>
      <c r="T59" s="828"/>
      <c r="U59" s="828"/>
      <c r="V59" s="828"/>
      <c r="W59" s="828"/>
      <c r="X59" s="828"/>
      <c r="Y59" s="828"/>
      <c r="Z59" s="828"/>
      <c r="AA59" s="829"/>
      <c r="AG59" s="858"/>
      <c r="AH59" s="858"/>
      <c r="AI59" s="858"/>
      <c r="AJ59" s="858"/>
      <c r="AK59" s="858"/>
      <c r="AL59" s="858"/>
      <c r="AM59" s="858"/>
      <c r="AN59" s="858"/>
      <c r="AO59" s="858"/>
      <c r="AP59" s="858"/>
      <c r="BE59" s="181"/>
      <c r="BF59" s="790" t="s">
        <v>630</v>
      </c>
      <c r="BG59" s="790"/>
      <c r="BH59" s="790"/>
      <c r="BI59" s="790"/>
    </row>
    <row r="60" spans="1:83" ht="9.9499999999999993" customHeight="1">
      <c r="A60" s="827"/>
      <c r="B60" s="828"/>
      <c r="C60" s="828"/>
      <c r="D60" s="828"/>
      <c r="E60" s="828"/>
      <c r="F60" s="828"/>
      <c r="G60" s="828"/>
      <c r="H60" s="828"/>
      <c r="I60" s="828"/>
      <c r="J60" s="828"/>
      <c r="K60" s="828"/>
      <c r="L60" s="828"/>
      <c r="M60" s="828"/>
      <c r="N60" s="828"/>
      <c r="O60" s="828"/>
      <c r="P60" s="828"/>
      <c r="Q60" s="828"/>
      <c r="R60" s="828"/>
      <c r="S60" s="828"/>
      <c r="T60" s="828"/>
      <c r="U60" s="828"/>
      <c r="V60" s="828"/>
      <c r="W60" s="828"/>
      <c r="X60" s="828"/>
      <c r="Y60" s="828"/>
      <c r="Z60" s="828"/>
      <c r="AA60" s="829"/>
      <c r="BE60" s="181"/>
      <c r="BF60" s="790"/>
      <c r="BG60" s="790"/>
      <c r="BH60" s="790"/>
      <c r="BI60" s="790"/>
    </row>
    <row r="61" spans="1:83" ht="9.9499999999999993" customHeight="1">
      <c r="A61" s="830"/>
      <c r="B61" s="831"/>
      <c r="C61" s="831"/>
      <c r="D61" s="831"/>
      <c r="E61" s="831"/>
      <c r="F61" s="831"/>
      <c r="G61" s="831"/>
      <c r="H61" s="831"/>
      <c r="I61" s="831"/>
      <c r="J61" s="831"/>
      <c r="K61" s="831"/>
      <c r="L61" s="831"/>
      <c r="M61" s="831"/>
      <c r="N61" s="831"/>
      <c r="O61" s="831"/>
      <c r="P61" s="831"/>
      <c r="Q61" s="831"/>
      <c r="R61" s="831"/>
      <c r="S61" s="831"/>
      <c r="T61" s="831"/>
      <c r="U61" s="831"/>
      <c r="V61" s="831"/>
      <c r="W61" s="831"/>
      <c r="X61" s="831"/>
      <c r="Y61" s="831"/>
      <c r="Z61" s="831"/>
      <c r="AA61" s="832"/>
      <c r="AI61" s="77"/>
      <c r="AJ61" s="786"/>
      <c r="AK61" s="786"/>
      <c r="AL61" s="786"/>
      <c r="AM61" s="786"/>
      <c r="AN61" s="786"/>
      <c r="BE61" s="181"/>
      <c r="BG61" s="179" t="s">
        <v>631</v>
      </c>
      <c r="BH61" s="180"/>
    </row>
    <row r="62" spans="1:83" ht="9.9499999999999993" customHeight="1">
      <c r="A62" s="120"/>
      <c r="B62" s="26"/>
      <c r="C62" s="26"/>
      <c r="AA62" s="121"/>
      <c r="AI62" s="77"/>
      <c r="AJ62" s="786"/>
      <c r="AK62" s="786"/>
      <c r="AL62" s="786"/>
      <c r="AM62" s="786"/>
      <c r="AN62" s="786"/>
      <c r="BE62" s="181"/>
      <c r="BG62" s="179" t="s">
        <v>632</v>
      </c>
      <c r="BH62" s="180"/>
    </row>
    <row r="63" spans="1:83" ht="12" customHeight="1">
      <c r="A63" s="793" t="s">
        <v>300</v>
      </c>
      <c r="B63" s="794"/>
      <c r="C63" s="794"/>
      <c r="D63" s="794"/>
      <c r="E63" s="794"/>
      <c r="F63" s="794"/>
      <c r="G63" s="794"/>
      <c r="H63" s="794"/>
      <c r="I63" s="794"/>
      <c r="J63" s="794"/>
      <c r="K63" s="794"/>
      <c r="L63" s="794"/>
      <c r="M63" s="794"/>
      <c r="N63" s="794"/>
      <c r="O63" s="818" t="str">
        <f>Inwerter1</f>
        <v>Sofar 12KTLX-G3</v>
      </c>
      <c r="P63" s="818"/>
      <c r="Q63" s="818"/>
      <c r="R63" s="818"/>
      <c r="S63" s="818"/>
      <c r="T63" s="818"/>
      <c r="U63" s="818"/>
      <c r="V63" s="818"/>
      <c r="W63" s="818"/>
      <c r="X63" s="818"/>
      <c r="Y63" s="818"/>
      <c r="Z63" s="818"/>
      <c r="AA63" s="819"/>
      <c r="AI63" s="782"/>
      <c r="AJ63" s="782"/>
      <c r="AK63" s="782"/>
      <c r="AL63" s="782"/>
      <c r="AM63" s="782"/>
      <c r="AN63" s="782"/>
      <c r="AO63" s="782"/>
      <c r="AP63" s="782"/>
      <c r="AQ63" s="782"/>
      <c r="AR63" s="782"/>
      <c r="AS63" s="782"/>
      <c r="AT63" s="782"/>
      <c r="AU63" s="782"/>
      <c r="BE63" s="181"/>
      <c r="BG63" s="179" t="s">
        <v>633</v>
      </c>
    </row>
    <row r="64" spans="1:83" ht="12" customHeight="1">
      <c r="A64" s="793" t="s">
        <v>483</v>
      </c>
      <c r="B64" s="794"/>
      <c r="C64" s="794"/>
      <c r="D64" s="794"/>
      <c r="E64" s="794"/>
      <c r="F64" s="794"/>
      <c r="G64" s="794"/>
      <c r="H64" s="794"/>
      <c r="I64" s="794"/>
      <c r="J64" s="794"/>
      <c r="K64" s="794"/>
      <c r="L64" s="794"/>
      <c r="M64" s="794"/>
      <c r="N64" s="794"/>
      <c r="O64" s="818"/>
      <c r="P64" s="818"/>
      <c r="Q64" s="818"/>
      <c r="R64" s="818"/>
      <c r="S64" s="818"/>
      <c r="T64" s="818"/>
      <c r="U64" s="818"/>
      <c r="V64" s="818"/>
      <c r="W64" s="818"/>
      <c r="X64" s="818"/>
      <c r="Y64" s="818"/>
      <c r="Z64" s="818"/>
      <c r="AA64" s="819"/>
      <c r="AI64" s="782"/>
      <c r="AJ64" s="782"/>
      <c r="AK64" s="782"/>
      <c r="AL64" s="782"/>
      <c r="AM64" s="782"/>
      <c r="AN64" s="782"/>
      <c r="AO64" s="782"/>
      <c r="AP64" s="782"/>
      <c r="AQ64" s="782"/>
      <c r="AR64" s="782"/>
      <c r="AS64" s="782"/>
      <c r="AT64" s="782"/>
      <c r="AU64" s="782"/>
      <c r="BE64" s="181"/>
      <c r="BG64" s="179" t="s">
        <v>644</v>
      </c>
    </row>
    <row r="65" spans="1:77" ht="12" customHeight="1">
      <c r="A65" s="793" t="s">
        <v>484</v>
      </c>
      <c r="B65" s="794"/>
      <c r="C65" s="794"/>
      <c r="D65" s="794"/>
      <c r="E65" s="794"/>
      <c r="F65" s="794"/>
      <c r="G65" s="794"/>
      <c r="H65" s="794"/>
      <c r="I65" s="794"/>
      <c r="J65" s="794"/>
      <c r="K65" s="794"/>
      <c r="L65" s="794"/>
      <c r="M65" s="794"/>
      <c r="N65" s="794"/>
      <c r="O65" s="843">
        <f>VLOOKUP(Inwerter1,[1]!Inwerter[#All],MATCH("nom W",[1]!Inwerter[#Headers],0),FALSE)</f>
        <v>12000</v>
      </c>
      <c r="P65" s="843"/>
      <c r="Q65" s="843"/>
      <c r="R65" s="843"/>
      <c r="S65" s="843"/>
      <c r="T65" s="843"/>
      <c r="U65" s="843"/>
      <c r="V65" s="843"/>
      <c r="W65" s="818" t="s">
        <v>79</v>
      </c>
      <c r="X65" s="818"/>
      <c r="Y65" s="818"/>
      <c r="Z65" s="818"/>
      <c r="AA65" s="819"/>
      <c r="AI65" s="782"/>
      <c r="AJ65" s="782"/>
      <c r="AK65" s="782"/>
      <c r="AL65" s="782"/>
      <c r="AM65" s="782"/>
      <c r="AN65" s="782"/>
      <c r="AO65" s="782"/>
      <c r="AP65" s="782"/>
      <c r="AQ65" s="782"/>
      <c r="AR65" s="782"/>
      <c r="AS65" s="782"/>
      <c r="AT65" s="782"/>
      <c r="AU65" s="782"/>
      <c r="BE65" s="181"/>
      <c r="BG65" s="180" t="s">
        <v>652</v>
      </c>
      <c r="BH65" s="180"/>
      <c r="BI65" s="180"/>
    </row>
    <row r="66" spans="1:77" ht="12" customHeight="1">
      <c r="A66" s="798" t="s">
        <v>485</v>
      </c>
      <c r="B66" s="799"/>
      <c r="C66" s="799"/>
      <c r="D66" s="799"/>
      <c r="E66" s="799"/>
      <c r="F66" s="799"/>
      <c r="G66" s="799"/>
      <c r="H66" s="799"/>
      <c r="I66" s="799"/>
      <c r="J66" s="799"/>
      <c r="K66" s="799"/>
      <c r="L66" s="799"/>
      <c r="M66" s="799"/>
      <c r="N66" s="799"/>
      <c r="O66" s="799"/>
      <c r="P66" s="799"/>
      <c r="Q66" s="799"/>
      <c r="R66" s="799"/>
      <c r="S66" s="799"/>
      <c r="T66" s="799"/>
      <c r="U66" s="799"/>
      <c r="V66" s="799"/>
      <c r="W66" s="799"/>
      <c r="X66" s="799"/>
      <c r="Y66" s="799"/>
      <c r="Z66" s="799"/>
      <c r="AA66" s="800"/>
      <c r="AJ66" s="26"/>
      <c r="BE66" s="181"/>
      <c r="BF66" s="180"/>
      <c r="BN66" s="180"/>
      <c r="BO66" s="180"/>
      <c r="BP66" s="180"/>
      <c r="BQ66" s="180"/>
      <c r="BR66" s="180"/>
      <c r="BS66" s="180"/>
    </row>
    <row r="67" spans="1:77" ht="12" customHeight="1">
      <c r="A67" s="793" t="s">
        <v>485</v>
      </c>
      <c r="B67" s="794"/>
      <c r="C67" s="794"/>
      <c r="D67" s="794"/>
      <c r="E67" s="794"/>
      <c r="F67" s="794"/>
      <c r="G67" s="794"/>
      <c r="H67" s="794"/>
      <c r="I67" s="794"/>
      <c r="J67" s="794"/>
      <c r="K67" s="794"/>
      <c r="L67" s="794"/>
      <c r="M67" s="794"/>
      <c r="N67" s="794"/>
      <c r="O67" s="818" t="str">
        <f>panel</f>
        <v>TW Solar TW555-MAP M10-144-H</v>
      </c>
      <c r="P67" s="818"/>
      <c r="Q67" s="818"/>
      <c r="R67" s="818"/>
      <c r="S67" s="818"/>
      <c r="T67" s="818"/>
      <c r="U67" s="818"/>
      <c r="V67" s="818"/>
      <c r="W67" s="818"/>
      <c r="X67" s="818"/>
      <c r="Y67" s="818"/>
      <c r="Z67" s="818"/>
      <c r="AA67" s="819"/>
      <c r="AJ67" s="26"/>
      <c r="BE67" s="181"/>
    </row>
    <row r="68" spans="1:77" ht="12" customHeight="1">
      <c r="A68" s="793" t="s">
        <v>486</v>
      </c>
      <c r="B68" s="794"/>
      <c r="C68" s="794"/>
      <c r="D68" s="794"/>
      <c r="E68" s="794"/>
      <c r="F68" s="794"/>
      <c r="G68" s="794"/>
      <c r="H68" s="794"/>
      <c r="I68" s="794"/>
      <c r="J68" s="794"/>
      <c r="K68" s="794"/>
      <c r="L68" s="794"/>
      <c r="M68" s="794"/>
      <c r="N68" s="794"/>
      <c r="O68" s="795">
        <v>1000</v>
      </c>
      <c r="P68" s="795"/>
      <c r="Q68" s="795"/>
      <c r="R68" s="795"/>
      <c r="S68" s="795"/>
      <c r="T68" s="795"/>
      <c r="U68" s="795"/>
      <c r="V68" s="795"/>
      <c r="W68" s="796" t="s">
        <v>233</v>
      </c>
      <c r="X68" s="796"/>
      <c r="Y68" s="796"/>
      <c r="Z68" s="796"/>
      <c r="AA68" s="797"/>
      <c r="AJ68" s="26"/>
      <c r="BE68" s="181"/>
    </row>
    <row r="69" spans="1:77" ht="12" customHeight="1">
      <c r="A69" s="793" t="s">
        <v>503</v>
      </c>
      <c r="B69" s="794"/>
      <c r="C69" s="794"/>
      <c r="D69" s="794"/>
      <c r="E69" s="794"/>
      <c r="F69" s="794"/>
      <c r="G69" s="794"/>
      <c r="H69" s="794"/>
      <c r="I69" s="794"/>
      <c r="J69" s="794"/>
      <c r="K69" s="794"/>
      <c r="L69" s="794"/>
      <c r="M69" s="794"/>
      <c r="N69" s="794"/>
      <c r="O69" s="815">
        <f>(VLOOKUP(panel,[1]!Panele[#All],MATCH("MPP_25",[1]!Panele[#Headers],0),FALSE))</f>
        <v>41.45</v>
      </c>
      <c r="P69" s="815"/>
      <c r="Q69" s="815"/>
      <c r="R69" s="815"/>
      <c r="S69" s="815"/>
      <c r="T69" s="815"/>
      <c r="U69" s="815"/>
      <c r="V69" s="815"/>
      <c r="W69" s="796" t="s">
        <v>233</v>
      </c>
      <c r="X69" s="796"/>
      <c r="Y69" s="796"/>
      <c r="Z69" s="796"/>
      <c r="AA69" s="797"/>
      <c r="AJ69" s="26"/>
      <c r="BE69" s="181"/>
    </row>
    <row r="70" spans="1:77" ht="12" customHeight="1">
      <c r="A70" s="793" t="s">
        <v>487</v>
      </c>
      <c r="B70" s="794"/>
      <c r="C70" s="794"/>
      <c r="D70" s="794"/>
      <c r="E70" s="794"/>
      <c r="F70" s="794"/>
      <c r="G70" s="794"/>
      <c r="H70" s="794"/>
      <c r="I70" s="794"/>
      <c r="J70" s="794"/>
      <c r="K70" s="794"/>
      <c r="L70" s="794"/>
      <c r="M70" s="794"/>
      <c r="N70" s="794"/>
      <c r="O70" s="815">
        <f>(VLOOKUP(panel,[1]!Panele[#All],MATCH("open_V",[1]!Panele[#Headers],0),FALSE))</f>
        <v>50.11</v>
      </c>
      <c r="P70" s="815"/>
      <c r="Q70" s="815"/>
      <c r="R70" s="815"/>
      <c r="S70" s="815"/>
      <c r="T70" s="815"/>
      <c r="U70" s="815"/>
      <c r="V70" s="815"/>
      <c r="W70" s="796" t="s">
        <v>233</v>
      </c>
      <c r="X70" s="796"/>
      <c r="Y70" s="796"/>
      <c r="Z70" s="796"/>
      <c r="AA70" s="797"/>
      <c r="BE70" s="181"/>
      <c r="BF70" s="790" t="s">
        <v>636</v>
      </c>
      <c r="BG70" s="790"/>
      <c r="BH70" s="790"/>
      <c r="BI70" s="790"/>
    </row>
    <row r="71" spans="1:77" ht="12" customHeight="1">
      <c r="A71" s="793" t="s">
        <v>488</v>
      </c>
      <c r="B71" s="794"/>
      <c r="C71" s="794"/>
      <c r="D71" s="794"/>
      <c r="E71" s="794"/>
      <c r="F71" s="794"/>
      <c r="G71" s="794"/>
      <c r="H71" s="794"/>
      <c r="I71" s="794"/>
      <c r="J71" s="794"/>
      <c r="K71" s="794"/>
      <c r="L71" s="794"/>
      <c r="M71" s="794"/>
      <c r="N71" s="794"/>
      <c r="O71" s="815">
        <f>(VLOOKUP(panel,[1]!Panele[#All],MATCH("prąd_zwarciowy",[1]!Panele[#Headers],0),FALSE))</f>
        <v>13.96</v>
      </c>
      <c r="P71" s="815"/>
      <c r="Q71" s="815"/>
      <c r="R71" s="815"/>
      <c r="S71" s="815"/>
      <c r="T71" s="815"/>
      <c r="U71" s="815"/>
      <c r="V71" s="815"/>
      <c r="W71" s="796" t="s">
        <v>275</v>
      </c>
      <c r="X71" s="796"/>
      <c r="Y71" s="796"/>
      <c r="Z71" s="796"/>
      <c r="AA71" s="797"/>
      <c r="BE71" s="181"/>
      <c r="BF71" s="790"/>
      <c r="BG71" s="790"/>
      <c r="BH71" s="790"/>
      <c r="BI71" s="790"/>
    </row>
    <row r="72" spans="1:77" ht="12" customHeight="1">
      <c r="A72" s="122"/>
      <c r="B72" s="118"/>
      <c r="C72" s="118"/>
      <c r="D72" s="119"/>
      <c r="E72" s="119"/>
      <c r="F72" s="119"/>
      <c r="G72" s="119"/>
      <c r="H72" s="119"/>
      <c r="I72" s="119"/>
      <c r="J72" s="119"/>
      <c r="K72" s="119"/>
      <c r="L72" s="119"/>
      <c r="M72" s="119"/>
      <c r="N72" s="119"/>
      <c r="O72" s="844"/>
      <c r="P72" s="844"/>
      <c r="Q72" s="844"/>
      <c r="R72" s="844"/>
      <c r="S72" s="844"/>
      <c r="T72" s="844"/>
      <c r="U72" s="844"/>
      <c r="V72" s="844"/>
      <c r="W72" s="784"/>
      <c r="X72" s="784"/>
      <c r="Y72" s="784"/>
      <c r="Z72" s="784"/>
      <c r="AA72" s="845"/>
      <c r="BE72" s="181"/>
      <c r="BG72" s="13" t="s">
        <v>976</v>
      </c>
    </row>
    <row r="73" spans="1:77" ht="12" customHeight="1">
      <c r="A73" s="798" t="s">
        <v>489</v>
      </c>
      <c r="B73" s="799"/>
      <c r="C73" s="799"/>
      <c r="D73" s="799"/>
      <c r="E73" s="799"/>
      <c r="F73" s="799"/>
      <c r="G73" s="799"/>
      <c r="H73" s="799"/>
      <c r="I73" s="799"/>
      <c r="J73" s="799"/>
      <c r="K73" s="799"/>
      <c r="L73" s="799"/>
      <c r="M73" s="799"/>
      <c r="N73" s="799"/>
      <c r="O73" s="799"/>
      <c r="P73" s="799"/>
      <c r="Q73" s="799"/>
      <c r="R73" s="799"/>
      <c r="S73" s="799"/>
      <c r="T73" s="799"/>
      <c r="U73" s="799"/>
      <c r="V73" s="799"/>
      <c r="W73" s="799"/>
      <c r="X73" s="799"/>
      <c r="Y73" s="799"/>
      <c r="Z73" s="799"/>
      <c r="AA73" s="800"/>
      <c r="BE73" s="181"/>
      <c r="BG73" s="13" t="s">
        <v>1002</v>
      </c>
      <c r="BR73" s="782" t="e">
        <f>VLOOKUP(NIP,[1]!Panele[#All],MATCH("W",[1]!Panele[#Headers],FALSE),FALSE)</f>
        <v>#NAME?</v>
      </c>
      <c r="BS73" s="782"/>
      <c r="BT73" s="782"/>
      <c r="BU73" s="782"/>
      <c r="BV73" s="782"/>
      <c r="BW73" s="782"/>
      <c r="BX73" s="782"/>
      <c r="BY73" s="782"/>
    </row>
    <row r="74" spans="1:77" ht="12" customHeight="1">
      <c r="A74" s="793" t="s">
        <v>490</v>
      </c>
      <c r="B74" s="794"/>
      <c r="C74" s="794"/>
      <c r="D74" s="794"/>
      <c r="E74" s="794"/>
      <c r="F74" s="794"/>
      <c r="G74" s="794"/>
      <c r="H74" s="794"/>
      <c r="I74" s="794"/>
      <c r="J74" s="794"/>
      <c r="K74" s="794"/>
      <c r="L74" s="794"/>
      <c r="M74" s="794"/>
      <c r="N74" s="794"/>
      <c r="O74" s="795">
        <f>VLOOKUP(Inwerter1,[1]!Inwerter[#All],MATCH("max W",[1]!Inwerter[#Headers],0),FALSE)</f>
        <v>18000</v>
      </c>
      <c r="P74" s="795"/>
      <c r="Q74" s="795"/>
      <c r="R74" s="795"/>
      <c r="S74" s="795"/>
      <c r="T74" s="795"/>
      <c r="U74" s="795"/>
      <c r="V74" s="795"/>
      <c r="W74" s="796" t="s">
        <v>233</v>
      </c>
      <c r="X74" s="796"/>
      <c r="Y74" s="796"/>
      <c r="Z74" s="796"/>
      <c r="AA74" s="797"/>
      <c r="BE74" s="181"/>
    </row>
    <row r="75" spans="1:77" ht="12" customHeight="1">
      <c r="A75" s="793" t="s">
        <v>491</v>
      </c>
      <c r="B75" s="794"/>
      <c r="C75" s="794"/>
      <c r="D75" s="794"/>
      <c r="E75" s="794"/>
      <c r="F75" s="794"/>
      <c r="G75" s="794"/>
      <c r="H75" s="794"/>
      <c r="I75" s="794"/>
      <c r="J75" s="794"/>
      <c r="K75" s="794"/>
      <c r="L75" s="794"/>
      <c r="M75" s="794"/>
      <c r="N75" s="794"/>
      <c r="O75" s="795" t="str">
        <f>VLOOKUP(Inwerter1,[1]!Inwerter[#All],MATCH("zakres_DC",[1]!Inwerter[#Headers],0),FALSE)</f>
        <v>140-1000</v>
      </c>
      <c r="P75" s="795"/>
      <c r="Q75" s="795"/>
      <c r="R75" s="795"/>
      <c r="S75" s="795"/>
      <c r="T75" s="795"/>
      <c r="U75" s="795"/>
      <c r="V75" s="795"/>
      <c r="W75" s="796" t="s">
        <v>233</v>
      </c>
      <c r="X75" s="796"/>
      <c r="Y75" s="796"/>
      <c r="Z75" s="796"/>
      <c r="AA75" s="797"/>
      <c r="BE75" s="181"/>
      <c r="BF75" s="790" t="s">
        <v>646</v>
      </c>
      <c r="BG75" s="790"/>
      <c r="BH75" s="790"/>
      <c r="BI75" s="790"/>
    </row>
    <row r="76" spans="1:77" ht="12" customHeight="1">
      <c r="A76" s="793" t="s">
        <v>492</v>
      </c>
      <c r="B76" s="794"/>
      <c r="C76" s="794"/>
      <c r="D76" s="794"/>
      <c r="E76" s="794"/>
      <c r="F76" s="794"/>
      <c r="G76" s="794"/>
      <c r="H76" s="794"/>
      <c r="I76" s="794"/>
      <c r="J76" s="794"/>
      <c r="K76" s="794"/>
      <c r="L76" s="794"/>
      <c r="M76" s="794"/>
      <c r="N76" s="794"/>
      <c r="O76" s="795">
        <f>VLOOKUP(Inwerter1,[1]!Inwerter[#All],MATCH("min_DC",[1]!Inwerter[#Headers],0),FALSE)</f>
        <v>160</v>
      </c>
      <c r="P76" s="795"/>
      <c r="Q76" s="795"/>
      <c r="R76" s="795"/>
      <c r="S76" s="795"/>
      <c r="T76" s="795"/>
      <c r="U76" s="795"/>
      <c r="V76" s="795"/>
      <c r="W76" s="796" t="s">
        <v>233</v>
      </c>
      <c r="X76" s="796"/>
      <c r="Y76" s="796"/>
      <c r="Z76" s="796"/>
      <c r="AA76" s="797"/>
      <c r="BE76" s="181"/>
      <c r="BF76" s="790"/>
      <c r="BG76" s="790"/>
      <c r="BH76" s="790"/>
      <c r="BI76" s="790"/>
    </row>
    <row r="77" spans="1:77" ht="12" customHeight="1">
      <c r="A77" s="793" t="s">
        <v>504</v>
      </c>
      <c r="B77" s="794"/>
      <c r="C77" s="794"/>
      <c r="D77" s="794"/>
      <c r="E77" s="794"/>
      <c r="F77" s="794"/>
      <c r="G77" s="794"/>
      <c r="H77" s="794"/>
      <c r="I77" s="794"/>
      <c r="J77" s="794"/>
      <c r="K77" s="794"/>
      <c r="L77" s="794"/>
      <c r="M77" s="794"/>
      <c r="N77" s="794"/>
      <c r="O77" s="843">
        <f>VLOOKUP(Inwerter1,[1]!Inwerter[#All],MATCH("max_A_DC",[1]!Inwerter[#Headers],0),FALSE)</f>
        <v>30</v>
      </c>
      <c r="P77" s="843"/>
      <c r="Q77" s="843"/>
      <c r="R77" s="843"/>
      <c r="S77" s="843"/>
      <c r="T77" s="843"/>
      <c r="U77" s="843"/>
      <c r="V77" s="843"/>
      <c r="W77" s="796" t="s">
        <v>275</v>
      </c>
      <c r="X77" s="796"/>
      <c r="Y77" s="796"/>
      <c r="Z77" s="796"/>
      <c r="AA77" s="797"/>
      <c r="BE77" s="193"/>
      <c r="BG77" s="337" t="s">
        <v>977</v>
      </c>
    </row>
    <row r="78" spans="1:77" ht="12" customHeight="1">
      <c r="A78" s="793" t="s">
        <v>493</v>
      </c>
      <c r="B78" s="794"/>
      <c r="C78" s="794"/>
      <c r="D78" s="794"/>
      <c r="E78" s="794"/>
      <c r="F78" s="794"/>
      <c r="G78" s="794"/>
      <c r="H78" s="794"/>
      <c r="I78" s="794"/>
      <c r="J78" s="794"/>
      <c r="K78" s="794"/>
      <c r="L78" s="794"/>
      <c r="M78" s="794"/>
      <c r="N78" s="794"/>
      <c r="O78" s="795">
        <f>O65</f>
        <v>12000</v>
      </c>
      <c r="P78" s="795"/>
      <c r="Q78" s="795"/>
      <c r="R78" s="795"/>
      <c r="S78" s="795"/>
      <c r="T78" s="795"/>
      <c r="U78" s="795"/>
      <c r="V78" s="795"/>
      <c r="W78" s="796" t="s">
        <v>79</v>
      </c>
      <c r="X78" s="796"/>
      <c r="Y78" s="796"/>
      <c r="Z78" s="796"/>
      <c r="AA78" s="797"/>
      <c r="BE78" s="193"/>
      <c r="BG78" s="338" t="s">
        <v>978</v>
      </c>
    </row>
    <row r="79" spans="1:77" ht="12" customHeight="1">
      <c r="A79" s="793" t="s">
        <v>494</v>
      </c>
      <c r="B79" s="794"/>
      <c r="C79" s="794"/>
      <c r="D79" s="794"/>
      <c r="E79" s="794"/>
      <c r="F79" s="794"/>
      <c r="G79" s="794"/>
      <c r="H79" s="794"/>
      <c r="I79" s="794"/>
      <c r="J79" s="794"/>
      <c r="K79" s="794"/>
      <c r="L79" s="794"/>
      <c r="M79" s="794"/>
      <c r="N79" s="794"/>
      <c r="O79" s="795">
        <f>BN5</f>
        <v>400</v>
      </c>
      <c r="P79" s="795"/>
      <c r="Q79" s="795"/>
      <c r="R79" s="795"/>
      <c r="S79" s="795"/>
      <c r="T79" s="795"/>
      <c r="U79" s="795"/>
      <c r="V79" s="795"/>
      <c r="W79" s="796" t="s">
        <v>233</v>
      </c>
      <c r="X79" s="796"/>
      <c r="Y79" s="796"/>
      <c r="Z79" s="796"/>
      <c r="AA79" s="797"/>
      <c r="BE79" s="193"/>
      <c r="BG79" s="337" t="s">
        <v>979</v>
      </c>
    </row>
    <row r="80" spans="1:77" ht="12" customHeight="1">
      <c r="A80" s="820" t="s">
        <v>495</v>
      </c>
      <c r="B80" s="821"/>
      <c r="C80" s="821"/>
      <c r="D80" s="821"/>
      <c r="E80" s="821"/>
      <c r="F80" s="821"/>
      <c r="G80" s="821"/>
      <c r="H80" s="821"/>
      <c r="I80" s="821"/>
      <c r="J80" s="821"/>
      <c r="K80" s="821"/>
      <c r="L80" s="821"/>
      <c r="M80" s="821"/>
      <c r="N80" s="821"/>
      <c r="O80" s="836">
        <f>BN4</f>
        <v>20</v>
      </c>
      <c r="P80" s="836"/>
      <c r="Q80" s="836"/>
      <c r="R80" s="836"/>
      <c r="S80" s="836"/>
      <c r="T80" s="836"/>
      <c r="U80" s="836"/>
      <c r="V80" s="836"/>
      <c r="W80" s="784" t="s">
        <v>233</v>
      </c>
      <c r="X80" s="784"/>
      <c r="Y80" s="784"/>
      <c r="Z80" s="784"/>
      <c r="AA80" s="845"/>
      <c r="BE80" s="193"/>
      <c r="BG80" s="338" t="s">
        <v>980</v>
      </c>
    </row>
    <row r="81" spans="1:59" ht="12" customHeight="1">
      <c r="A81" s="793" t="s">
        <v>496</v>
      </c>
      <c r="B81" s="794"/>
      <c r="C81" s="794"/>
      <c r="D81" s="794"/>
      <c r="E81" s="794"/>
      <c r="F81" s="794"/>
      <c r="G81" s="794"/>
      <c r="H81" s="794"/>
      <c r="I81" s="794"/>
      <c r="J81" s="794"/>
      <c r="K81" s="794"/>
      <c r="L81" s="794"/>
      <c r="M81" s="794"/>
      <c r="N81" s="794"/>
      <c r="O81" s="795">
        <v>50</v>
      </c>
      <c r="P81" s="795"/>
      <c r="Q81" s="795"/>
      <c r="R81" s="795"/>
      <c r="S81" s="795"/>
      <c r="T81" s="795"/>
      <c r="U81" s="795"/>
      <c r="V81" s="795"/>
      <c r="W81" s="796" t="s">
        <v>505</v>
      </c>
      <c r="X81" s="796"/>
      <c r="Y81" s="796"/>
      <c r="Z81" s="796"/>
      <c r="AA81" s="797"/>
      <c r="BE81" s="193"/>
      <c r="BG81" s="337" t="s">
        <v>981</v>
      </c>
    </row>
    <row r="82" spans="1:59" ht="12" customHeight="1">
      <c r="A82" s="820" t="s">
        <v>497</v>
      </c>
      <c r="B82" s="821"/>
      <c r="C82" s="821"/>
      <c r="D82" s="821"/>
      <c r="E82" s="821"/>
      <c r="F82" s="821"/>
      <c r="G82" s="821"/>
      <c r="H82" s="821"/>
      <c r="I82" s="821"/>
      <c r="J82" s="821"/>
      <c r="K82" s="821"/>
      <c r="L82" s="821"/>
      <c r="M82" s="821"/>
      <c r="N82" s="821"/>
      <c r="O82" s="848" t="s">
        <v>512</v>
      </c>
      <c r="P82" s="844"/>
      <c r="Q82" s="844"/>
      <c r="R82" s="844"/>
      <c r="S82" s="844"/>
      <c r="T82" s="844"/>
      <c r="U82" s="844"/>
      <c r="V82" s="844"/>
      <c r="W82" s="784" t="s">
        <v>6</v>
      </c>
      <c r="X82" s="784"/>
      <c r="Y82" s="784"/>
      <c r="Z82" s="784"/>
      <c r="AA82" s="845"/>
      <c r="BE82" s="193"/>
      <c r="BG82" s="338" t="s">
        <v>982</v>
      </c>
    </row>
    <row r="83" spans="1:59" ht="12" customHeight="1">
      <c r="A83" s="793" t="s">
        <v>498</v>
      </c>
      <c r="B83" s="794"/>
      <c r="C83" s="794"/>
      <c r="D83" s="794"/>
      <c r="E83" s="794"/>
      <c r="F83" s="794"/>
      <c r="G83" s="794"/>
      <c r="H83" s="794"/>
      <c r="I83" s="794"/>
      <c r="J83" s="794"/>
      <c r="K83" s="794"/>
      <c r="L83" s="794"/>
      <c r="M83" s="794"/>
      <c r="N83" s="794"/>
      <c r="O83" s="795" t="s">
        <v>510</v>
      </c>
      <c r="P83" s="795"/>
      <c r="Q83" s="795"/>
      <c r="R83" s="795"/>
      <c r="S83" s="795"/>
      <c r="T83" s="795"/>
      <c r="U83" s="795"/>
      <c r="V83" s="795"/>
      <c r="W83" s="796" t="s">
        <v>6</v>
      </c>
      <c r="X83" s="796"/>
      <c r="Y83" s="796"/>
      <c r="Z83" s="796"/>
      <c r="AA83" s="797"/>
      <c r="BE83" s="193"/>
      <c r="BG83" s="337" t="s">
        <v>983</v>
      </c>
    </row>
    <row r="84" spans="1:59" ht="12" customHeight="1">
      <c r="A84" s="793" t="s">
        <v>499</v>
      </c>
      <c r="B84" s="794"/>
      <c r="C84" s="794"/>
      <c r="D84" s="794"/>
      <c r="E84" s="794"/>
      <c r="F84" s="794"/>
      <c r="G84" s="794"/>
      <c r="H84" s="794"/>
      <c r="I84" s="794"/>
      <c r="J84" s="794"/>
      <c r="K84" s="794"/>
      <c r="L84" s="794"/>
      <c r="M84" s="794"/>
      <c r="N84" s="794"/>
      <c r="O84" s="818" t="s">
        <v>511</v>
      </c>
      <c r="P84" s="818"/>
      <c r="Q84" s="818"/>
      <c r="R84" s="818"/>
      <c r="S84" s="818"/>
      <c r="T84" s="818"/>
      <c r="U84" s="818"/>
      <c r="V84" s="818"/>
      <c r="W84" s="818"/>
      <c r="X84" s="818"/>
      <c r="Y84" s="818"/>
      <c r="Z84" s="818"/>
      <c r="AA84" s="819"/>
      <c r="BE84" s="193"/>
      <c r="BG84" s="338" t="s">
        <v>984</v>
      </c>
    </row>
    <row r="85" spans="1:59" ht="12" customHeight="1">
      <c r="A85" s="122"/>
      <c r="B85" s="118"/>
      <c r="C85" s="118"/>
      <c r="D85" s="119"/>
      <c r="E85" s="119"/>
      <c r="F85" s="119"/>
      <c r="G85" s="119"/>
      <c r="H85" s="119"/>
      <c r="I85" s="119"/>
      <c r="J85" s="119"/>
      <c r="K85" s="119"/>
      <c r="L85" s="119"/>
      <c r="M85" s="119"/>
      <c r="N85" s="119"/>
      <c r="O85" s="66"/>
      <c r="P85" s="66"/>
      <c r="Q85" s="66"/>
      <c r="R85" s="66"/>
      <c r="S85" s="66"/>
      <c r="T85" s="66"/>
      <c r="U85" s="66"/>
      <c r="V85" s="66"/>
      <c r="AA85" s="121"/>
      <c r="BE85" s="193"/>
      <c r="BG85" s="337" t="s">
        <v>985</v>
      </c>
    </row>
    <row r="86" spans="1:59" ht="12" customHeight="1">
      <c r="A86" s="798" t="s">
        <v>500</v>
      </c>
      <c r="B86" s="799"/>
      <c r="C86" s="799"/>
      <c r="D86" s="799"/>
      <c r="E86" s="799"/>
      <c r="F86" s="799"/>
      <c r="G86" s="799"/>
      <c r="H86" s="799"/>
      <c r="I86" s="799"/>
      <c r="J86" s="799"/>
      <c r="K86" s="799"/>
      <c r="L86" s="799"/>
      <c r="M86" s="799"/>
      <c r="N86" s="799"/>
      <c r="O86" s="799"/>
      <c r="P86" s="799"/>
      <c r="Q86" s="799"/>
      <c r="R86" s="799"/>
      <c r="S86" s="799"/>
      <c r="T86" s="799"/>
      <c r="U86" s="799"/>
      <c r="V86" s="799"/>
      <c r="W86" s="799"/>
      <c r="X86" s="799"/>
      <c r="Y86" s="799"/>
      <c r="Z86" s="799"/>
      <c r="AA86" s="800"/>
      <c r="BE86" s="193"/>
      <c r="BG86" s="338" t="s">
        <v>986</v>
      </c>
    </row>
    <row r="87" spans="1:59" ht="12" customHeight="1">
      <c r="A87" s="820" t="s">
        <v>501</v>
      </c>
      <c r="B87" s="821"/>
      <c r="C87" s="821"/>
      <c r="D87" s="821"/>
      <c r="E87" s="821"/>
      <c r="F87" s="821"/>
      <c r="G87" s="821"/>
      <c r="H87" s="821"/>
      <c r="I87" s="821"/>
      <c r="J87" s="821"/>
      <c r="K87" s="821"/>
      <c r="L87" s="821"/>
      <c r="M87" s="821"/>
      <c r="N87" s="821"/>
      <c r="O87" s="782" t="s">
        <v>509</v>
      </c>
      <c r="P87" s="782"/>
      <c r="Q87" s="782"/>
      <c r="R87" s="782"/>
      <c r="S87" s="782"/>
      <c r="T87" s="782"/>
      <c r="U87" s="782"/>
      <c r="V87" s="782"/>
      <c r="W87" s="782"/>
      <c r="X87" s="782"/>
      <c r="Y87" s="782"/>
      <c r="Z87" s="782"/>
      <c r="AA87" s="846"/>
      <c r="BG87" s="337" t="s">
        <v>987</v>
      </c>
    </row>
    <row r="88" spans="1:59" ht="12" customHeight="1">
      <c r="A88" s="793" t="s">
        <v>502</v>
      </c>
      <c r="B88" s="794"/>
      <c r="C88" s="794"/>
      <c r="D88" s="794"/>
      <c r="E88" s="794"/>
      <c r="F88" s="794"/>
      <c r="G88" s="794"/>
      <c r="H88" s="794"/>
      <c r="I88" s="794"/>
      <c r="J88" s="794"/>
      <c r="K88" s="794"/>
      <c r="L88" s="794"/>
      <c r="M88" s="794"/>
      <c r="N88" s="794"/>
      <c r="O88" s="816" t="s">
        <v>508</v>
      </c>
      <c r="P88" s="816"/>
      <c r="Q88" s="816"/>
      <c r="R88" s="816"/>
      <c r="S88" s="816"/>
      <c r="T88" s="816"/>
      <c r="U88" s="816"/>
      <c r="V88" s="816"/>
      <c r="W88" s="816"/>
      <c r="X88" s="816"/>
      <c r="Y88" s="816"/>
      <c r="Z88" s="816"/>
      <c r="AA88" s="817"/>
    </row>
    <row r="89" spans="1:59" ht="12" customHeight="1" thickBot="1">
      <c r="A89" s="822" t="s">
        <v>506</v>
      </c>
      <c r="B89" s="823"/>
      <c r="C89" s="823"/>
      <c r="D89" s="823"/>
      <c r="E89" s="823"/>
      <c r="F89" s="823"/>
      <c r="G89" s="823"/>
      <c r="H89" s="823"/>
      <c r="I89" s="823"/>
      <c r="J89" s="823"/>
      <c r="K89" s="823"/>
      <c r="L89" s="823"/>
      <c r="M89" s="823"/>
      <c r="N89" s="823"/>
      <c r="O89" s="834" t="s">
        <v>507</v>
      </c>
      <c r="P89" s="834"/>
      <c r="Q89" s="834"/>
      <c r="R89" s="834"/>
      <c r="S89" s="834"/>
      <c r="T89" s="834"/>
      <c r="U89" s="834"/>
      <c r="V89" s="834"/>
      <c r="W89" s="834"/>
      <c r="X89" s="834"/>
      <c r="Y89" s="834"/>
      <c r="Z89" s="834"/>
      <c r="AA89" s="835"/>
    </row>
    <row r="90" spans="1:59" ht="9.9499999999999993" customHeight="1">
      <c r="C90" s="26"/>
      <c r="D90" s="26"/>
      <c r="E90" s="26"/>
      <c r="F90" s="26"/>
      <c r="G90" s="26"/>
      <c r="H90" s="26"/>
      <c r="I90" s="26"/>
      <c r="J90" s="26"/>
      <c r="K90" s="26"/>
      <c r="L90" s="26"/>
      <c r="M90" s="26"/>
      <c r="N90" s="26"/>
      <c r="O90" s="66"/>
      <c r="P90" s="66"/>
      <c r="Q90" s="66"/>
      <c r="R90" s="66"/>
      <c r="S90" s="66"/>
      <c r="T90" s="66"/>
      <c r="U90" s="66"/>
      <c r="V90" s="66"/>
    </row>
    <row r="91" spans="1:59" ht="9.9499999999999993" customHeight="1">
      <c r="C91" s="26"/>
      <c r="D91" s="26"/>
      <c r="E91" s="26"/>
      <c r="F91" s="26"/>
      <c r="G91" s="26"/>
      <c r="H91" s="26"/>
      <c r="I91" s="26"/>
      <c r="J91" s="26"/>
      <c r="K91" s="26"/>
      <c r="L91" s="26"/>
      <c r="M91" s="26"/>
      <c r="N91" s="26"/>
      <c r="O91" s="66"/>
      <c r="P91" s="66"/>
      <c r="Q91" s="66"/>
      <c r="R91" s="66"/>
      <c r="S91" s="66"/>
      <c r="T91" s="66"/>
      <c r="U91" s="66"/>
      <c r="V91" s="66"/>
    </row>
    <row r="92" spans="1:59" ht="9.9499999999999993" customHeight="1">
      <c r="C92" s="26"/>
      <c r="D92" s="26"/>
      <c r="E92" s="26"/>
      <c r="F92" s="26"/>
      <c r="G92" s="26"/>
      <c r="H92" s="26"/>
      <c r="I92" s="26"/>
      <c r="J92" s="26"/>
      <c r="K92" s="26"/>
      <c r="L92" s="26"/>
      <c r="M92" s="26"/>
      <c r="N92" s="26"/>
      <c r="O92" s="66"/>
      <c r="P92" s="66"/>
      <c r="Q92" s="66"/>
      <c r="R92" s="66"/>
      <c r="S92" s="66"/>
      <c r="T92" s="66"/>
      <c r="U92" s="66"/>
      <c r="V92" s="66"/>
    </row>
    <row r="93" spans="1:59" ht="9.9499999999999993" customHeight="1">
      <c r="C93" s="26"/>
      <c r="D93" s="26"/>
      <c r="E93" s="26"/>
      <c r="F93" s="26"/>
      <c r="G93" s="26"/>
      <c r="H93" s="26"/>
      <c r="I93" s="26"/>
      <c r="J93" s="26"/>
      <c r="K93" s="26"/>
      <c r="L93" s="26"/>
      <c r="M93" s="26"/>
      <c r="N93" s="26"/>
      <c r="O93" s="66"/>
      <c r="P93" s="66"/>
      <c r="Q93" s="66"/>
      <c r="R93" s="66"/>
      <c r="S93" s="66"/>
      <c r="T93" s="66"/>
      <c r="U93" s="66"/>
      <c r="V93" s="66"/>
    </row>
    <row r="94" spans="1:59" ht="9.9499999999999993" customHeight="1">
      <c r="C94" s="26"/>
      <c r="D94" s="26"/>
      <c r="E94" s="26"/>
      <c r="F94" s="26"/>
      <c r="G94" s="26"/>
      <c r="H94" s="26"/>
      <c r="I94" s="26"/>
      <c r="J94" s="26"/>
      <c r="K94" s="26"/>
      <c r="L94" s="26"/>
      <c r="M94" s="26"/>
      <c r="N94" s="26"/>
      <c r="O94" s="66"/>
      <c r="P94" s="66"/>
      <c r="Q94" s="66"/>
      <c r="R94" s="66"/>
      <c r="S94" s="66"/>
      <c r="T94" s="66"/>
      <c r="U94" s="66"/>
      <c r="V94" s="66"/>
    </row>
    <row r="95" spans="1:59" ht="9.9499999999999993" customHeight="1">
      <c r="C95" s="26"/>
      <c r="D95" s="26"/>
      <c r="E95" s="26"/>
      <c r="F95" s="26"/>
      <c r="G95" s="26"/>
      <c r="H95" s="26"/>
      <c r="I95" s="26"/>
      <c r="J95" s="26"/>
      <c r="K95" s="26"/>
      <c r="L95" s="26"/>
      <c r="M95" s="26"/>
      <c r="N95" s="26"/>
      <c r="O95" s="66"/>
      <c r="P95" s="66"/>
      <c r="Q95" s="66"/>
      <c r="R95" s="66"/>
      <c r="S95" s="66"/>
      <c r="T95" s="66"/>
      <c r="U95" s="66"/>
      <c r="V95" s="66"/>
    </row>
    <row r="96" spans="1:59" ht="9.9499999999999993" customHeight="1">
      <c r="C96" s="26"/>
      <c r="D96" s="26"/>
      <c r="E96" s="26"/>
      <c r="F96" s="26"/>
      <c r="G96" s="26"/>
      <c r="H96" s="26"/>
      <c r="I96" s="26"/>
      <c r="J96" s="26"/>
      <c r="K96" s="26"/>
      <c r="L96" s="26"/>
      <c r="M96" s="26"/>
      <c r="N96" s="26"/>
      <c r="O96" s="66"/>
      <c r="P96" s="66"/>
      <c r="Q96" s="66"/>
      <c r="R96" s="66"/>
      <c r="S96" s="66"/>
      <c r="T96" s="66"/>
      <c r="U96" s="66"/>
      <c r="V96" s="66"/>
    </row>
    <row r="97" spans="1:51" ht="9.9499999999999993" customHeight="1">
      <c r="C97" s="26"/>
      <c r="D97" s="26"/>
      <c r="E97" s="26"/>
      <c r="F97" s="26"/>
      <c r="G97" s="26"/>
      <c r="H97" s="26"/>
      <c r="I97" s="26"/>
      <c r="J97" s="26"/>
      <c r="K97" s="26"/>
      <c r="L97" s="26"/>
      <c r="M97" s="26"/>
      <c r="N97" s="26"/>
      <c r="O97" s="66"/>
      <c r="P97" s="66"/>
      <c r="Q97" s="66"/>
      <c r="R97" s="66"/>
      <c r="S97" s="66"/>
      <c r="T97" s="66"/>
      <c r="U97" s="66"/>
      <c r="V97" s="66"/>
    </row>
    <row r="98" spans="1:51" ht="9.9499999999999993" customHeight="1">
      <c r="C98" s="26"/>
      <c r="D98" s="26"/>
      <c r="E98" s="26"/>
      <c r="F98" s="26"/>
      <c r="G98" s="26"/>
      <c r="H98" s="26"/>
      <c r="I98" s="26"/>
      <c r="J98" s="26"/>
      <c r="K98" s="26"/>
      <c r="L98" s="26"/>
      <c r="M98" s="26"/>
      <c r="N98" s="26"/>
      <c r="O98" s="66"/>
      <c r="P98" s="66"/>
      <c r="Q98" s="66"/>
      <c r="R98" s="66"/>
      <c r="S98" s="66"/>
      <c r="T98" s="66"/>
      <c r="U98" s="66"/>
      <c r="V98" s="66"/>
    </row>
    <row r="99" spans="1:51" ht="9.9499999999999993" customHeight="1">
      <c r="C99" s="26"/>
      <c r="D99" s="26"/>
      <c r="E99" s="26"/>
      <c r="F99" s="26"/>
      <c r="G99" s="26"/>
      <c r="H99" s="26"/>
      <c r="I99" s="26"/>
      <c r="J99" s="26"/>
      <c r="K99" s="26"/>
      <c r="L99" s="26"/>
      <c r="M99" s="26"/>
      <c r="N99" s="26"/>
      <c r="O99" s="66"/>
      <c r="P99" s="66"/>
      <c r="Q99" s="66"/>
      <c r="R99" s="66"/>
      <c r="S99" s="66"/>
      <c r="T99" s="66"/>
      <c r="U99" s="66"/>
      <c r="V99" s="66"/>
    </row>
    <row r="100" spans="1:51" ht="9.9499999999999993" customHeight="1">
      <c r="C100" s="26"/>
      <c r="D100" s="26"/>
      <c r="E100" s="26"/>
      <c r="F100" s="26"/>
      <c r="G100" s="26"/>
      <c r="H100" s="26"/>
      <c r="I100" s="26"/>
      <c r="J100" s="26"/>
      <c r="K100" s="26"/>
      <c r="L100" s="26"/>
      <c r="M100" s="26"/>
      <c r="N100" s="26"/>
      <c r="O100" s="26"/>
      <c r="P100" s="26"/>
      <c r="Q100" s="26"/>
    </row>
    <row r="101" spans="1:51" ht="9.9499999999999993" customHeight="1">
      <c r="C101" s="26"/>
      <c r="D101" s="26"/>
      <c r="E101" s="26"/>
      <c r="F101" s="26"/>
      <c r="G101" s="26"/>
      <c r="H101" s="26"/>
      <c r="I101" s="26"/>
      <c r="J101" s="26"/>
      <c r="K101" s="26"/>
      <c r="L101" s="26"/>
      <c r="M101" s="26"/>
      <c r="N101" s="26"/>
      <c r="O101" s="26"/>
      <c r="P101" s="26"/>
      <c r="Q101" s="26"/>
    </row>
    <row r="111" spans="1:51" ht="9.9499999999999993" customHeight="1">
      <c r="A111" s="26"/>
      <c r="B111" s="821" t="s">
        <v>513</v>
      </c>
      <c r="C111" s="821"/>
      <c r="D111" s="821"/>
      <c r="E111" s="821"/>
      <c r="F111" s="821"/>
      <c r="G111" s="821"/>
      <c r="H111" s="821"/>
      <c r="I111" s="821"/>
      <c r="J111" s="821"/>
      <c r="K111" s="821"/>
      <c r="AE111" s="11"/>
      <c r="AF111" s="11"/>
      <c r="AG111" s="11"/>
      <c r="AH111" s="11"/>
      <c r="AI111" s="11"/>
      <c r="AJ111" s="11"/>
      <c r="AK111" s="11"/>
      <c r="AL111" s="11"/>
      <c r="AM111" s="11"/>
      <c r="AN111" s="11"/>
      <c r="AO111" s="11"/>
      <c r="AP111" s="11"/>
      <c r="AQ111" s="11"/>
      <c r="AR111" s="11"/>
      <c r="AS111" s="11"/>
      <c r="AT111" s="11"/>
      <c r="AU111" s="11"/>
      <c r="AV111" s="104"/>
      <c r="AW111" s="104"/>
      <c r="AX111" s="104"/>
      <c r="AY111" s="104"/>
    </row>
    <row r="112" spans="1:51" ht="9.9499999999999993" customHeight="1">
      <c r="A112" s="26"/>
      <c r="B112" s="821"/>
      <c r="C112" s="821"/>
      <c r="D112" s="821"/>
      <c r="E112" s="821"/>
      <c r="F112" s="821"/>
      <c r="G112" s="821"/>
      <c r="H112" s="821"/>
      <c r="I112" s="821"/>
      <c r="J112" s="821"/>
      <c r="K112" s="821"/>
      <c r="AE112" s="11"/>
      <c r="AF112" s="11"/>
      <c r="AG112" s="11"/>
      <c r="AH112" s="11"/>
      <c r="AI112" s="11"/>
      <c r="AJ112" s="11"/>
      <c r="AK112" s="11"/>
      <c r="AL112" s="11"/>
      <c r="AM112" s="11"/>
      <c r="AN112" s="11"/>
      <c r="AO112" s="11"/>
      <c r="AP112" s="11"/>
      <c r="AQ112" s="11"/>
      <c r="AR112" s="11"/>
      <c r="AS112" s="11"/>
      <c r="AT112" s="11"/>
      <c r="AU112" s="11"/>
      <c r="AV112" s="104"/>
      <c r="AW112" s="104"/>
      <c r="AX112" s="104"/>
      <c r="AY112" s="104"/>
    </row>
    <row r="113" spans="1:51" ht="9.9499999999999993" customHeight="1">
      <c r="A113" s="104"/>
      <c r="B113" s="782"/>
      <c r="C113" s="782"/>
      <c r="D113" s="783" t="str">
        <f>AH2</f>
        <v>Sofar 12KTLX-G3</v>
      </c>
      <c r="E113" s="783"/>
      <c r="F113" s="783"/>
      <c r="G113" s="783"/>
      <c r="H113" s="783"/>
      <c r="I113" s="783"/>
      <c r="J113" s="783"/>
      <c r="K113" s="783"/>
      <c r="L113" s="783"/>
      <c r="M113" s="783"/>
      <c r="N113" s="783"/>
      <c r="O113" s="783"/>
      <c r="P113" s="783"/>
      <c r="Q113" s="783"/>
      <c r="R113" s="783"/>
      <c r="S113" s="782">
        <f>PV!R219</f>
        <v>1</v>
      </c>
      <c r="T113" s="782"/>
      <c r="U113" s="782"/>
      <c r="V113" s="782" t="s">
        <v>60</v>
      </c>
      <c r="W113" s="782"/>
      <c r="X113" s="106"/>
      <c r="Y113" s="106"/>
      <c r="Z113" s="106"/>
      <c r="AA113" s="106"/>
      <c r="AB113" s="106"/>
      <c r="AC113" s="106"/>
      <c r="AD113" s="11"/>
      <c r="AE113" s="11"/>
      <c r="AF113" s="11"/>
      <c r="AG113" s="11"/>
      <c r="AH113" s="11"/>
      <c r="AI113" s="11"/>
      <c r="AJ113" s="11"/>
      <c r="AK113" s="11"/>
      <c r="AL113" s="11"/>
      <c r="AM113" s="11"/>
      <c r="AN113" s="11"/>
      <c r="AO113" s="11"/>
      <c r="AP113" s="11"/>
      <c r="AQ113" s="11"/>
      <c r="AR113" s="11"/>
      <c r="AS113" s="11"/>
      <c r="AT113" s="11"/>
      <c r="AU113" s="11"/>
      <c r="AV113" s="107"/>
      <c r="AW113" s="104"/>
      <c r="AX113" s="104"/>
      <c r="AY113" s="104"/>
    </row>
    <row r="114" spans="1:51" ht="9.9499999999999993" customHeight="1">
      <c r="A114" s="104"/>
      <c r="B114" s="782"/>
      <c r="C114" s="782"/>
      <c r="D114" s="783"/>
      <c r="E114" s="783"/>
      <c r="F114" s="783"/>
      <c r="G114" s="783"/>
      <c r="H114" s="783"/>
      <c r="I114" s="783"/>
      <c r="J114" s="783"/>
      <c r="K114" s="783"/>
      <c r="L114" s="783"/>
      <c r="M114" s="783"/>
      <c r="N114" s="783"/>
      <c r="O114" s="783"/>
      <c r="P114" s="783"/>
      <c r="Q114" s="783"/>
      <c r="R114" s="783"/>
      <c r="S114" s="782"/>
      <c r="T114" s="782"/>
      <c r="U114" s="782"/>
      <c r="V114" s="782"/>
      <c r="W114" s="782"/>
      <c r="X114" s="105"/>
      <c r="Y114" s="105"/>
      <c r="Z114" s="105"/>
      <c r="AA114" s="105"/>
      <c r="AB114" s="105"/>
      <c r="AC114" s="105"/>
      <c r="AD114" s="11"/>
      <c r="AE114" s="11"/>
      <c r="AF114" s="11"/>
      <c r="AG114" s="11"/>
      <c r="AH114" s="11"/>
      <c r="AI114" s="11"/>
      <c r="AJ114" s="11"/>
      <c r="AK114" s="11"/>
      <c r="AL114" s="11"/>
      <c r="AM114" s="11"/>
      <c r="AN114" s="11"/>
      <c r="AO114" s="11"/>
      <c r="AP114" s="11"/>
      <c r="AQ114" s="11"/>
      <c r="AR114" s="11"/>
      <c r="AS114" s="11"/>
      <c r="AT114" s="11"/>
      <c r="AU114" s="11"/>
      <c r="AV114" s="104"/>
      <c r="AW114" s="104"/>
      <c r="AX114" s="104"/>
      <c r="AY114" s="104"/>
    </row>
    <row r="115" spans="1:51" ht="9.9499999999999993" customHeight="1">
      <c r="A115" s="104"/>
      <c r="B115" s="782"/>
      <c r="C115" s="782"/>
      <c r="D115" s="783" t="str">
        <f>D9</f>
        <v>Przewód DC 4mm2</v>
      </c>
      <c r="E115" s="783"/>
      <c r="F115" s="783"/>
      <c r="G115" s="783"/>
      <c r="H115" s="783"/>
      <c r="I115" s="783"/>
      <c r="J115" s="783"/>
      <c r="K115" s="783"/>
      <c r="L115" s="783"/>
      <c r="M115" s="783"/>
      <c r="N115" s="783"/>
      <c r="O115" s="783"/>
      <c r="P115" s="783"/>
      <c r="Q115" s="783"/>
      <c r="R115" s="783"/>
      <c r="S115" s="782">
        <f>PV!R221</f>
        <v>150</v>
      </c>
      <c r="T115" s="782"/>
      <c r="U115" s="782"/>
      <c r="V115" s="782" t="s">
        <v>86</v>
      </c>
      <c r="W115" s="782"/>
      <c r="X115" s="105"/>
      <c r="Y115" s="105"/>
      <c r="Z115" s="105"/>
      <c r="AA115" s="105"/>
      <c r="AB115" s="105"/>
      <c r="AC115" s="105"/>
      <c r="AD115" s="11"/>
      <c r="AE115" s="11"/>
      <c r="AF115" s="11"/>
      <c r="AG115" s="11"/>
      <c r="AH115" s="11"/>
      <c r="AI115" s="11"/>
      <c r="AJ115" s="11"/>
      <c r="AK115" s="11"/>
      <c r="AL115" s="11"/>
      <c r="AM115" s="11"/>
      <c r="AN115" s="11"/>
      <c r="AO115" s="11"/>
      <c r="AP115" s="11"/>
      <c r="AQ115" s="11"/>
      <c r="AR115" s="11"/>
      <c r="AS115" s="11"/>
      <c r="AT115" s="11"/>
      <c r="AU115" s="11"/>
      <c r="AV115" s="104"/>
      <c r="AW115" s="104"/>
      <c r="AX115" s="104"/>
      <c r="AY115" s="104"/>
    </row>
    <row r="116" spans="1:51" ht="9.9499999999999993" customHeight="1">
      <c r="B116" s="782"/>
      <c r="C116" s="782"/>
      <c r="D116" s="783"/>
      <c r="E116" s="783"/>
      <c r="F116" s="783"/>
      <c r="G116" s="783"/>
      <c r="H116" s="783"/>
      <c r="I116" s="783"/>
      <c r="J116" s="783"/>
      <c r="K116" s="783"/>
      <c r="L116" s="783"/>
      <c r="M116" s="783"/>
      <c r="N116" s="783"/>
      <c r="O116" s="783"/>
      <c r="P116" s="783"/>
      <c r="Q116" s="783"/>
      <c r="R116" s="783"/>
      <c r="S116" s="782"/>
      <c r="T116" s="782"/>
      <c r="U116" s="782"/>
      <c r="V116" s="782"/>
      <c r="W116" s="782"/>
    </row>
    <row r="117" spans="1:51" ht="9.9499999999999993" customHeight="1">
      <c r="B117" s="782"/>
      <c r="C117" s="782"/>
      <c r="D117" s="783" t="str">
        <f>PV!A222</f>
        <v>Przewód AC 5x4mm2</v>
      </c>
      <c r="E117" s="783"/>
      <c r="F117" s="783"/>
      <c r="G117" s="783"/>
      <c r="H117" s="783"/>
      <c r="I117" s="783"/>
      <c r="J117" s="783"/>
      <c r="K117" s="783"/>
      <c r="L117" s="783"/>
      <c r="M117" s="783"/>
      <c r="N117" s="783"/>
      <c r="O117" s="783"/>
      <c r="P117" s="783"/>
      <c r="Q117" s="783"/>
      <c r="R117" s="783"/>
      <c r="S117" s="782">
        <f>PV!R222</f>
        <v>10</v>
      </c>
      <c r="T117" s="782"/>
      <c r="U117" s="782"/>
      <c r="V117" s="782" t="s">
        <v>60</v>
      </c>
      <c r="W117" s="782"/>
    </row>
    <row r="118" spans="1:51" ht="9.9499999999999993" customHeight="1">
      <c r="B118" s="782"/>
      <c r="C118" s="782"/>
      <c r="D118" s="783"/>
      <c r="E118" s="783"/>
      <c r="F118" s="783"/>
      <c r="G118" s="783"/>
      <c r="H118" s="783"/>
      <c r="I118" s="783"/>
      <c r="J118" s="783"/>
      <c r="K118" s="783"/>
      <c r="L118" s="783"/>
      <c r="M118" s="783"/>
      <c r="N118" s="783"/>
      <c r="O118" s="783"/>
      <c r="P118" s="783"/>
      <c r="Q118" s="783"/>
      <c r="R118" s="783"/>
      <c r="S118" s="782"/>
      <c r="T118" s="782"/>
      <c r="U118" s="782"/>
      <c r="V118" s="782"/>
      <c r="W118" s="782"/>
    </row>
    <row r="119" spans="1:51" ht="9.9499999999999993" customHeight="1">
      <c r="B119" s="782"/>
      <c r="C119" s="782"/>
      <c r="D119" s="783" t="s">
        <v>514</v>
      </c>
      <c r="E119" s="783"/>
      <c r="F119" s="783"/>
      <c r="G119" s="783"/>
      <c r="H119" s="783"/>
      <c r="I119" s="783"/>
      <c r="J119" s="783"/>
      <c r="K119" s="783" t="s">
        <v>515</v>
      </c>
      <c r="L119" s="783"/>
      <c r="M119" s="783"/>
      <c r="N119" s="783"/>
      <c r="O119" s="783">
        <v>1000</v>
      </c>
      <c r="P119" s="783"/>
      <c r="Q119" s="783"/>
      <c r="R119" s="783" t="s">
        <v>233</v>
      </c>
      <c r="S119" s="782">
        <f>PV!R224</f>
        <v>1</v>
      </c>
      <c r="T119" s="782"/>
      <c r="U119" s="782"/>
      <c r="V119" s="782" t="s">
        <v>60</v>
      </c>
      <c r="W119" s="782"/>
    </row>
    <row r="120" spans="1:51" ht="9.9499999999999993" customHeight="1">
      <c r="B120" s="782"/>
      <c r="C120" s="782"/>
      <c r="D120" s="783"/>
      <c r="E120" s="783"/>
      <c r="F120" s="783"/>
      <c r="G120" s="783"/>
      <c r="H120" s="783"/>
      <c r="I120" s="783"/>
      <c r="J120" s="783"/>
      <c r="K120" s="783"/>
      <c r="L120" s="783"/>
      <c r="M120" s="783"/>
      <c r="N120" s="783"/>
      <c r="O120" s="783"/>
      <c r="P120" s="783"/>
      <c r="Q120" s="783"/>
      <c r="R120" s="783"/>
      <c r="S120" s="782"/>
      <c r="T120" s="782"/>
      <c r="U120" s="782"/>
      <c r="V120" s="782"/>
      <c r="W120" s="782"/>
    </row>
    <row r="121" spans="1:51" ht="9.9499999999999993" customHeight="1">
      <c r="B121" s="782"/>
      <c r="C121" s="782"/>
      <c r="D121" s="783" t="s">
        <v>516</v>
      </c>
      <c r="E121" s="783"/>
      <c r="F121" s="783"/>
      <c r="G121" s="783"/>
      <c r="H121" s="783"/>
      <c r="I121" s="783"/>
      <c r="J121" s="783"/>
      <c r="K121" s="783" t="s">
        <v>517</v>
      </c>
      <c r="L121" s="783"/>
      <c r="M121" s="783"/>
      <c r="N121" s="783"/>
      <c r="O121" s="783" t="s">
        <v>518</v>
      </c>
      <c r="P121" s="783"/>
      <c r="Q121" s="783"/>
      <c r="R121" s="783"/>
      <c r="S121" s="782">
        <v>1</v>
      </c>
      <c r="T121" s="782"/>
      <c r="U121" s="782"/>
      <c r="V121" s="782" t="s">
        <v>60</v>
      </c>
      <c r="W121" s="782"/>
    </row>
    <row r="122" spans="1:51" ht="9.9499999999999993" customHeight="1">
      <c r="B122" s="782"/>
      <c r="C122" s="782"/>
      <c r="D122" s="783"/>
      <c r="E122" s="783"/>
      <c r="F122" s="783"/>
      <c r="G122" s="783"/>
      <c r="H122" s="783"/>
      <c r="I122" s="783"/>
      <c r="J122" s="783"/>
      <c r="K122" s="783"/>
      <c r="L122" s="783"/>
      <c r="M122" s="783"/>
      <c r="N122" s="783"/>
      <c r="O122" s="783"/>
      <c r="P122" s="783"/>
      <c r="Q122" s="783"/>
      <c r="R122" s="783"/>
      <c r="S122" s="782"/>
      <c r="T122" s="782"/>
      <c r="U122" s="782"/>
      <c r="V122" s="782"/>
      <c r="W122" s="782"/>
    </row>
    <row r="123" spans="1:51" ht="9.9499999999999993" customHeight="1">
      <c r="B123" s="782"/>
      <c r="C123" s="782"/>
      <c r="D123" s="783" t="s">
        <v>519</v>
      </c>
      <c r="E123" s="783"/>
      <c r="F123" s="783"/>
      <c r="G123" s="783"/>
      <c r="H123" s="783"/>
      <c r="I123" s="783"/>
      <c r="J123" s="783"/>
      <c r="K123" s="783"/>
      <c r="L123" s="783"/>
      <c r="M123" s="783"/>
      <c r="N123" s="783"/>
      <c r="O123" s="783"/>
      <c r="P123" s="783"/>
      <c r="Q123" s="783"/>
      <c r="R123" s="783"/>
      <c r="S123" s="782">
        <f>10</f>
        <v>10</v>
      </c>
      <c r="T123" s="782"/>
      <c r="U123" s="782"/>
      <c r="V123" s="782" t="s">
        <v>86</v>
      </c>
      <c r="W123" s="782"/>
    </row>
    <row r="124" spans="1:51" ht="9.9499999999999993" customHeight="1">
      <c r="B124" s="782"/>
      <c r="C124" s="782"/>
      <c r="D124" s="783"/>
      <c r="E124" s="783"/>
      <c r="F124" s="783"/>
      <c r="G124" s="783"/>
      <c r="H124" s="783"/>
      <c r="I124" s="783"/>
      <c r="J124" s="783"/>
      <c r="K124" s="783"/>
      <c r="L124" s="783"/>
      <c r="M124" s="783"/>
      <c r="N124" s="783"/>
      <c r="O124" s="783"/>
      <c r="P124" s="783"/>
      <c r="Q124" s="783"/>
      <c r="R124" s="783"/>
      <c r="S124" s="782"/>
      <c r="T124" s="782"/>
      <c r="U124" s="782"/>
      <c r="V124" s="782"/>
      <c r="W124" s="782"/>
    </row>
    <row r="125" spans="1:51" ht="9.9499999999999993" customHeight="1">
      <c r="B125" s="782"/>
      <c r="C125" s="782"/>
      <c r="D125" s="783" t="s">
        <v>520</v>
      </c>
      <c r="E125" s="783"/>
      <c r="F125" s="783"/>
      <c r="G125" s="783"/>
      <c r="H125" s="783"/>
      <c r="I125" s="783"/>
      <c r="J125" s="783"/>
      <c r="K125" s="783"/>
      <c r="L125" s="783"/>
      <c r="M125" s="783"/>
      <c r="N125" s="783"/>
      <c r="O125" s="783"/>
      <c r="P125" s="783"/>
      <c r="Q125" s="783"/>
      <c r="R125" s="783"/>
      <c r="S125" s="782">
        <f>S115/2-5</f>
        <v>70</v>
      </c>
      <c r="T125" s="782"/>
      <c r="U125" s="782"/>
      <c r="V125" s="782" t="s">
        <v>86</v>
      </c>
      <c r="W125" s="782"/>
    </row>
    <row r="126" spans="1:51" ht="9.9499999999999993" customHeight="1">
      <c r="B126" s="782"/>
      <c r="C126" s="782"/>
      <c r="D126" s="783"/>
      <c r="E126" s="783"/>
      <c r="F126" s="783"/>
      <c r="G126" s="783"/>
      <c r="H126" s="783"/>
      <c r="I126" s="783"/>
      <c r="J126" s="783"/>
      <c r="K126" s="783"/>
      <c r="L126" s="783"/>
      <c r="M126" s="783"/>
      <c r="N126" s="783"/>
      <c r="O126" s="783"/>
      <c r="P126" s="783"/>
      <c r="Q126" s="783"/>
      <c r="R126" s="783"/>
      <c r="S126" s="782"/>
      <c r="T126" s="782"/>
      <c r="U126" s="782"/>
      <c r="V126" s="782"/>
      <c r="W126" s="782"/>
    </row>
    <row r="127" spans="1:51" ht="9.9499999999999993" customHeight="1">
      <c r="B127" s="782"/>
      <c r="C127" s="782"/>
      <c r="D127" s="783" t="s">
        <v>521</v>
      </c>
      <c r="E127" s="783"/>
      <c r="F127" s="783"/>
      <c r="G127" s="783"/>
      <c r="H127" s="783"/>
      <c r="I127" s="783"/>
      <c r="J127" s="783"/>
      <c r="K127" s="783"/>
      <c r="L127" s="783"/>
      <c r="M127" s="783"/>
      <c r="N127" s="783"/>
      <c r="O127" s="783"/>
      <c r="P127" s="783"/>
      <c r="Q127" s="783"/>
      <c r="R127" s="783"/>
      <c r="S127" s="785">
        <f>S123/0.7</f>
        <v>14.285714285714286</v>
      </c>
      <c r="T127" s="785"/>
      <c r="U127" s="785"/>
      <c r="V127" s="782" t="s">
        <v>60</v>
      </c>
      <c r="W127" s="782"/>
    </row>
    <row r="128" spans="1:51" ht="9.9499999999999993" customHeight="1">
      <c r="B128" s="782"/>
      <c r="C128" s="782"/>
      <c r="D128" s="783"/>
      <c r="E128" s="783"/>
      <c r="F128" s="783"/>
      <c r="G128" s="783"/>
      <c r="H128" s="783"/>
      <c r="I128" s="783"/>
      <c r="J128" s="783"/>
      <c r="K128" s="783"/>
      <c r="L128" s="783"/>
      <c r="M128" s="783"/>
      <c r="N128" s="783"/>
      <c r="O128" s="783"/>
      <c r="P128" s="783"/>
      <c r="Q128" s="783"/>
      <c r="R128" s="783"/>
      <c r="S128" s="785"/>
      <c r="T128" s="785"/>
      <c r="U128" s="785"/>
      <c r="V128" s="782"/>
      <c r="W128" s="782"/>
    </row>
    <row r="129" spans="2:45" ht="9.9499999999999993" customHeight="1">
      <c r="B129" s="782"/>
      <c r="C129" s="782"/>
      <c r="D129" s="783" t="s">
        <v>522</v>
      </c>
      <c r="E129" s="783"/>
      <c r="F129" s="783"/>
      <c r="G129" s="783"/>
      <c r="H129" s="783"/>
      <c r="I129" s="783"/>
      <c r="J129" s="783"/>
      <c r="K129" s="783"/>
      <c r="L129" s="783"/>
      <c r="M129" s="783"/>
      <c r="N129" s="783"/>
      <c r="O129" s="783"/>
      <c r="P129" s="783">
        <v>12</v>
      </c>
      <c r="Q129" s="783"/>
      <c r="R129" s="783" t="s">
        <v>523</v>
      </c>
      <c r="S129" s="782">
        <v>1</v>
      </c>
      <c r="T129" s="782"/>
      <c r="U129" s="782"/>
      <c r="V129" s="782" t="s">
        <v>60</v>
      </c>
      <c r="W129" s="782"/>
    </row>
    <row r="130" spans="2:45" ht="9.9499999999999993" customHeight="1">
      <c r="B130" s="782"/>
      <c r="C130" s="782"/>
      <c r="D130" s="783"/>
      <c r="E130" s="783"/>
      <c r="F130" s="783"/>
      <c r="G130" s="783"/>
      <c r="H130" s="783"/>
      <c r="I130" s="783"/>
      <c r="J130" s="783"/>
      <c r="K130" s="783"/>
      <c r="L130" s="783"/>
      <c r="M130" s="783"/>
      <c r="N130" s="783"/>
      <c r="O130" s="783"/>
      <c r="P130" s="783"/>
      <c r="Q130" s="783"/>
      <c r="R130" s="783"/>
      <c r="S130" s="782"/>
      <c r="T130" s="782"/>
      <c r="U130" s="782"/>
      <c r="V130" s="782"/>
      <c r="W130" s="782"/>
    </row>
    <row r="131" spans="2:45" ht="9.9499999999999993" customHeight="1">
      <c r="B131" s="782"/>
      <c r="C131" s="782"/>
      <c r="D131" s="783" t="s">
        <v>524</v>
      </c>
      <c r="E131" s="783"/>
      <c r="F131" s="783"/>
      <c r="G131" s="783"/>
      <c r="H131" s="783"/>
      <c r="I131" s="783"/>
      <c r="J131" s="783"/>
      <c r="K131" s="783"/>
      <c r="L131" s="783"/>
      <c r="M131" s="783"/>
      <c r="N131" s="783"/>
      <c r="O131" s="783"/>
      <c r="P131" s="783">
        <f>AP24</f>
        <v>0</v>
      </c>
      <c r="Q131" s="783"/>
      <c r="R131" s="783" t="s">
        <v>275</v>
      </c>
      <c r="S131" s="782">
        <v>1</v>
      </c>
      <c r="T131" s="782"/>
      <c r="U131" s="782"/>
      <c r="V131" s="782" t="s">
        <v>60</v>
      </c>
      <c r="W131" s="782"/>
    </row>
    <row r="132" spans="2:45" ht="9.9499999999999993" customHeight="1">
      <c r="B132" s="782"/>
      <c r="C132" s="782"/>
      <c r="D132" s="783"/>
      <c r="E132" s="783"/>
      <c r="F132" s="783"/>
      <c r="G132" s="783"/>
      <c r="H132" s="783"/>
      <c r="I132" s="783"/>
      <c r="J132" s="783"/>
      <c r="K132" s="783"/>
      <c r="L132" s="783"/>
      <c r="M132" s="783"/>
      <c r="N132" s="783"/>
      <c r="O132" s="783"/>
      <c r="P132" s="783"/>
      <c r="Q132" s="783"/>
      <c r="R132" s="783"/>
      <c r="S132" s="782"/>
      <c r="T132" s="782"/>
      <c r="U132" s="782"/>
      <c r="V132" s="782"/>
      <c r="W132" s="782"/>
    </row>
    <row r="133" spans="2:45" ht="9.9499999999999993" customHeight="1">
      <c r="B133" s="782"/>
      <c r="C133" s="782"/>
      <c r="D133" s="783" t="s">
        <v>525</v>
      </c>
      <c r="E133" s="783"/>
      <c r="F133" s="783"/>
      <c r="G133" s="783"/>
      <c r="H133" s="783"/>
      <c r="I133" s="783"/>
      <c r="J133" s="783"/>
      <c r="K133" s="783"/>
      <c r="L133" s="783"/>
      <c r="M133" s="783"/>
      <c r="N133" s="783"/>
      <c r="O133" s="783"/>
      <c r="P133" s="783"/>
      <c r="Q133" s="783"/>
      <c r="R133" s="783"/>
      <c r="S133" s="782">
        <v>2</v>
      </c>
      <c r="T133" s="782"/>
      <c r="U133" s="782"/>
      <c r="V133" s="782" t="s">
        <v>60</v>
      </c>
      <c r="W133" s="782"/>
    </row>
    <row r="134" spans="2:45" ht="9.9499999999999993" customHeight="1">
      <c r="B134" s="782"/>
      <c r="C134" s="782"/>
      <c r="D134" s="783"/>
      <c r="E134" s="783"/>
      <c r="F134" s="783"/>
      <c r="G134" s="783"/>
      <c r="H134" s="783"/>
      <c r="I134" s="783"/>
      <c r="J134" s="783"/>
      <c r="K134" s="783"/>
      <c r="L134" s="783"/>
      <c r="M134" s="783"/>
      <c r="N134" s="783"/>
      <c r="O134" s="783"/>
      <c r="P134" s="783"/>
      <c r="Q134" s="783"/>
      <c r="R134" s="783"/>
      <c r="S134" s="782"/>
      <c r="T134" s="782"/>
      <c r="U134" s="782"/>
      <c r="V134" s="782"/>
      <c r="W134" s="782"/>
    </row>
    <row r="135" spans="2:45" ht="9.9499999999999993" customHeight="1">
      <c r="B135" s="782"/>
      <c r="C135" s="782"/>
      <c r="D135" s="783" t="s">
        <v>526</v>
      </c>
      <c r="E135" s="783"/>
      <c r="F135" s="783"/>
      <c r="G135" s="783"/>
      <c r="H135" s="783"/>
      <c r="I135" s="783"/>
      <c r="J135" s="783"/>
      <c r="K135" s="783"/>
      <c r="L135" s="783"/>
      <c r="M135" s="783"/>
      <c r="N135" s="783"/>
      <c r="O135" s="783"/>
      <c r="P135" s="783"/>
      <c r="Q135" s="783"/>
      <c r="R135" s="783"/>
      <c r="S135" s="782">
        <f>PV!R220</f>
        <v>10</v>
      </c>
      <c r="T135" s="782"/>
      <c r="U135" s="782"/>
      <c r="V135" s="782" t="s">
        <v>60</v>
      </c>
      <c r="W135" s="782"/>
      <c r="AB135" s="783"/>
      <c r="AC135" s="26"/>
      <c r="AD135" s="783"/>
    </row>
    <row r="136" spans="2:45" ht="9.9499999999999993" customHeight="1">
      <c r="B136" s="782"/>
      <c r="C136" s="782"/>
      <c r="D136" s="783"/>
      <c r="E136" s="783"/>
      <c r="F136" s="783"/>
      <c r="G136" s="783"/>
      <c r="H136" s="783"/>
      <c r="I136" s="783"/>
      <c r="J136" s="783"/>
      <c r="K136" s="783"/>
      <c r="L136" s="783"/>
      <c r="M136" s="783"/>
      <c r="N136" s="783"/>
      <c r="O136" s="783"/>
      <c r="P136" s="783"/>
      <c r="Q136" s="783"/>
      <c r="R136" s="783"/>
      <c r="S136" s="782"/>
      <c r="T136" s="782"/>
      <c r="U136" s="782"/>
      <c r="V136" s="782"/>
      <c r="W136" s="782"/>
      <c r="AB136" s="783"/>
      <c r="AC136" s="26"/>
      <c r="AD136" s="783"/>
    </row>
    <row r="137" spans="2:45" ht="9.9499999999999993" customHeight="1">
      <c r="B137" s="782"/>
      <c r="C137" s="782"/>
      <c r="D137" s="783" t="s">
        <v>527</v>
      </c>
      <c r="E137" s="783"/>
      <c r="F137" s="783"/>
      <c r="G137" s="783"/>
      <c r="H137" s="783"/>
      <c r="I137" s="783"/>
      <c r="J137" s="783"/>
      <c r="K137" s="783"/>
      <c r="L137" s="783"/>
      <c r="M137" s="783"/>
      <c r="N137" s="783"/>
      <c r="O137" s="783"/>
      <c r="P137" s="783"/>
      <c r="Q137" s="783"/>
      <c r="R137" s="783"/>
      <c r="S137" s="782">
        <f>30</f>
        <v>30</v>
      </c>
      <c r="T137" s="782"/>
      <c r="U137" s="782"/>
      <c r="V137" s="782" t="s">
        <v>60</v>
      </c>
      <c r="W137" s="782"/>
      <c r="AB137" s="782"/>
      <c r="AC137" s="782"/>
      <c r="AD137" s="782"/>
    </row>
    <row r="138" spans="2:45" ht="9.9499999999999993" customHeight="1">
      <c r="B138" s="782"/>
      <c r="C138" s="782"/>
      <c r="D138" s="783"/>
      <c r="E138" s="783"/>
      <c r="F138" s="783"/>
      <c r="G138" s="783"/>
      <c r="H138" s="783"/>
      <c r="I138" s="783"/>
      <c r="J138" s="783"/>
      <c r="K138" s="783"/>
      <c r="L138" s="783"/>
      <c r="M138" s="783"/>
      <c r="N138" s="783"/>
      <c r="O138" s="783"/>
      <c r="P138" s="783"/>
      <c r="Q138" s="783"/>
      <c r="R138" s="783"/>
      <c r="S138" s="782"/>
      <c r="T138" s="782"/>
      <c r="U138" s="782"/>
      <c r="V138" s="782"/>
      <c r="W138" s="782"/>
      <c r="AB138" s="783"/>
      <c r="AC138" s="26"/>
      <c r="AD138" s="783"/>
    </row>
    <row r="139" spans="2:45" ht="9.9499999999999993" customHeight="1">
      <c r="B139" s="782"/>
      <c r="C139" s="782"/>
      <c r="D139" s="783" t="s">
        <v>528</v>
      </c>
      <c r="E139" s="783"/>
      <c r="F139" s="783"/>
      <c r="G139" s="783"/>
      <c r="H139" s="783"/>
      <c r="I139" s="783"/>
      <c r="J139" s="783"/>
      <c r="K139" s="783"/>
      <c r="L139" s="783"/>
      <c r="M139" s="783"/>
      <c r="N139" s="783"/>
      <c r="O139" s="783"/>
      <c r="P139" s="783"/>
      <c r="Q139" s="783"/>
      <c r="R139" s="783"/>
      <c r="S139" s="782">
        <f>S117-3</f>
        <v>7</v>
      </c>
      <c r="T139" s="782"/>
      <c r="U139" s="782"/>
      <c r="V139" s="782" t="s">
        <v>86</v>
      </c>
      <c r="W139" s="782"/>
      <c r="AB139" s="783"/>
      <c r="AC139" s="26"/>
      <c r="AD139" s="783"/>
      <c r="AR139" s="782"/>
      <c r="AS139" s="782"/>
    </row>
    <row r="140" spans="2:45" ht="9.9499999999999993" customHeight="1">
      <c r="B140" s="782"/>
      <c r="C140" s="782"/>
      <c r="D140" s="783"/>
      <c r="E140" s="783"/>
      <c r="F140" s="783"/>
      <c r="G140" s="783"/>
      <c r="H140" s="783"/>
      <c r="I140" s="783"/>
      <c r="J140" s="783"/>
      <c r="K140" s="783"/>
      <c r="L140" s="783"/>
      <c r="M140" s="783"/>
      <c r="N140" s="783"/>
      <c r="O140" s="783"/>
      <c r="P140" s="783"/>
      <c r="Q140" s="783"/>
      <c r="R140" s="783"/>
      <c r="S140" s="782"/>
      <c r="T140" s="782"/>
      <c r="U140" s="782"/>
      <c r="V140" s="782"/>
      <c r="W140" s="782"/>
    </row>
    <row r="141" spans="2:45" ht="9.9499999999999993" customHeight="1">
      <c r="B141" s="782"/>
      <c r="C141" s="782"/>
      <c r="D141" s="783" t="s">
        <v>529</v>
      </c>
      <c r="E141" s="783"/>
      <c r="F141" s="783"/>
      <c r="G141" s="783"/>
      <c r="H141" s="783"/>
      <c r="I141" s="783"/>
      <c r="J141" s="783"/>
      <c r="K141" s="783"/>
      <c r="L141" s="783"/>
      <c r="M141" s="783"/>
      <c r="N141" s="783"/>
      <c r="O141" s="783"/>
      <c r="P141" s="783"/>
      <c r="Q141" s="783"/>
      <c r="R141" s="783"/>
      <c r="S141" s="782">
        <f>S139*2</f>
        <v>14</v>
      </c>
      <c r="T141" s="782"/>
      <c r="U141" s="782"/>
      <c r="V141" s="782" t="s">
        <v>60</v>
      </c>
      <c r="W141" s="782"/>
      <c r="AB141" s="783"/>
      <c r="AC141" s="26"/>
      <c r="AD141" s="783"/>
    </row>
    <row r="142" spans="2:45" ht="9.9499999999999993" customHeight="1">
      <c r="B142" s="782"/>
      <c r="C142" s="782"/>
      <c r="D142" s="783"/>
      <c r="E142" s="783"/>
      <c r="F142" s="783"/>
      <c r="G142" s="783"/>
      <c r="H142" s="783"/>
      <c r="I142" s="783"/>
      <c r="J142" s="783"/>
      <c r="K142" s="783"/>
      <c r="L142" s="783"/>
      <c r="M142" s="783"/>
      <c r="N142" s="783"/>
      <c r="O142" s="783"/>
      <c r="P142" s="783"/>
      <c r="Q142" s="783"/>
      <c r="R142" s="783"/>
      <c r="S142" s="782"/>
      <c r="T142" s="782"/>
      <c r="U142" s="782"/>
      <c r="V142" s="782"/>
      <c r="W142" s="782"/>
      <c r="AB142" s="783"/>
      <c r="AC142" s="26"/>
      <c r="AD142" s="783"/>
    </row>
    <row r="143" spans="2:45" ht="9.9499999999999993" customHeight="1">
      <c r="B143" s="782"/>
      <c r="C143" s="782"/>
      <c r="D143" s="783" t="s">
        <v>530</v>
      </c>
      <c r="E143" s="783"/>
      <c r="F143" s="783"/>
      <c r="G143" s="783"/>
      <c r="H143" s="783"/>
      <c r="I143" s="783"/>
      <c r="J143" s="783"/>
      <c r="K143" s="783"/>
      <c r="L143" s="783"/>
      <c r="M143" s="783"/>
      <c r="N143" s="783"/>
      <c r="O143" s="783"/>
      <c r="P143" s="783"/>
      <c r="Q143" s="783"/>
      <c r="R143" s="783"/>
      <c r="S143" s="785">
        <f>S141/0.6</f>
        <v>23.333333333333336</v>
      </c>
      <c r="T143" s="785"/>
      <c r="U143" s="785"/>
      <c r="V143" s="782" t="s">
        <v>60</v>
      </c>
      <c r="W143" s="782"/>
      <c r="AB143" s="783"/>
      <c r="AC143" s="26"/>
      <c r="AD143" s="783"/>
    </row>
    <row r="144" spans="2:45" ht="9.9499999999999993" customHeight="1">
      <c r="B144" s="782"/>
      <c r="C144" s="782"/>
      <c r="D144" s="783"/>
      <c r="E144" s="783"/>
      <c r="F144" s="783"/>
      <c r="G144" s="783"/>
      <c r="H144" s="783"/>
      <c r="I144" s="783"/>
      <c r="J144" s="783"/>
      <c r="K144" s="783"/>
      <c r="L144" s="783"/>
      <c r="M144" s="783"/>
      <c r="N144" s="783"/>
      <c r="O144" s="783"/>
      <c r="P144" s="783"/>
      <c r="Q144" s="783"/>
      <c r="R144" s="783"/>
      <c r="S144" s="785"/>
      <c r="T144" s="785"/>
      <c r="U144" s="785"/>
      <c r="V144" s="782"/>
      <c r="W144" s="782"/>
      <c r="AB144" s="783"/>
      <c r="AC144" s="26"/>
      <c r="AD144" s="783"/>
    </row>
    <row r="145" spans="2:23" ht="9.9499999999999993" customHeight="1">
      <c r="B145" s="782"/>
      <c r="C145" s="782"/>
      <c r="D145" s="783" t="s">
        <v>531</v>
      </c>
      <c r="E145" s="783"/>
      <c r="F145" s="783"/>
      <c r="G145" s="783"/>
      <c r="H145" s="783"/>
      <c r="I145" s="783"/>
      <c r="J145" s="783"/>
      <c r="K145" s="783"/>
      <c r="L145" s="783"/>
      <c r="M145" s="783"/>
      <c r="N145" s="783"/>
      <c r="O145" s="783"/>
      <c r="P145" s="783"/>
      <c r="Q145" s="783"/>
      <c r="R145" s="783"/>
      <c r="S145" s="785">
        <f>S143*1.1</f>
        <v>25.666666666666671</v>
      </c>
      <c r="T145" s="785"/>
      <c r="U145" s="785"/>
      <c r="V145" s="782" t="s">
        <v>60</v>
      </c>
      <c r="W145" s="782"/>
    </row>
    <row r="146" spans="2:23" ht="9.9499999999999993" customHeight="1">
      <c r="B146" s="782"/>
      <c r="C146" s="782"/>
      <c r="D146" s="783"/>
      <c r="E146" s="783"/>
      <c r="F146" s="783"/>
      <c r="G146" s="783"/>
      <c r="H146" s="783"/>
      <c r="I146" s="783"/>
      <c r="J146" s="783"/>
      <c r="K146" s="783"/>
      <c r="L146" s="783"/>
      <c r="M146" s="783"/>
      <c r="N146" s="783"/>
      <c r="O146" s="783"/>
      <c r="P146" s="783"/>
      <c r="Q146" s="783"/>
      <c r="R146" s="783"/>
      <c r="S146" s="785"/>
      <c r="T146" s="785"/>
      <c r="U146" s="785"/>
      <c r="V146" s="782"/>
      <c r="W146" s="782"/>
    </row>
    <row r="147" spans="2:23" ht="9.9499999999999993" customHeight="1">
      <c r="B147" s="782"/>
      <c r="C147" s="782"/>
      <c r="D147" s="783" t="s">
        <v>532</v>
      </c>
      <c r="E147" s="783"/>
      <c r="F147" s="783"/>
      <c r="G147" s="783"/>
      <c r="H147" s="783"/>
      <c r="I147" s="783"/>
      <c r="J147" s="783"/>
      <c r="K147" s="783"/>
      <c r="L147" s="783"/>
      <c r="M147" s="783"/>
      <c r="N147" s="783"/>
      <c r="O147" s="783"/>
      <c r="P147" s="783"/>
      <c r="Q147" s="783"/>
      <c r="R147" s="783"/>
      <c r="S147" s="782">
        <v>2</v>
      </c>
      <c r="T147" s="782"/>
      <c r="U147" s="782"/>
      <c r="V147" s="782" t="s">
        <v>60</v>
      </c>
      <c r="W147" s="782"/>
    </row>
    <row r="148" spans="2:23" ht="9.9499999999999993" customHeight="1">
      <c r="B148" s="782"/>
      <c r="C148" s="782"/>
      <c r="D148" s="783"/>
      <c r="E148" s="783"/>
      <c r="F148" s="783"/>
      <c r="G148" s="783"/>
      <c r="H148" s="783"/>
      <c r="I148" s="783"/>
      <c r="J148" s="783"/>
      <c r="K148" s="783"/>
      <c r="L148" s="783"/>
      <c r="M148" s="783"/>
      <c r="N148" s="783"/>
      <c r="O148" s="783"/>
      <c r="P148" s="783"/>
      <c r="Q148" s="783"/>
      <c r="R148" s="783"/>
      <c r="S148" s="782"/>
      <c r="T148" s="782"/>
      <c r="U148" s="782"/>
      <c r="V148" s="782"/>
      <c r="W148" s="782"/>
    </row>
    <row r="149" spans="2:23" ht="9.9499999999999993" customHeight="1">
      <c r="B149" s="782"/>
      <c r="C149" s="782"/>
      <c r="D149" s="783" t="s">
        <v>533</v>
      </c>
      <c r="E149" s="783"/>
      <c r="F149" s="783"/>
      <c r="G149" s="783"/>
      <c r="H149" s="783"/>
      <c r="I149" s="783"/>
      <c r="J149" s="783"/>
      <c r="K149" s="783"/>
      <c r="L149" s="783"/>
      <c r="M149" s="783"/>
      <c r="N149" s="783"/>
      <c r="O149" s="783"/>
      <c r="P149" s="783"/>
      <c r="Q149" s="783"/>
      <c r="R149" s="783"/>
      <c r="S149" s="782">
        <v>1</v>
      </c>
      <c r="T149" s="782"/>
      <c r="U149" s="782"/>
      <c r="V149" s="782" t="s">
        <v>60</v>
      </c>
      <c r="W149" s="782"/>
    </row>
    <row r="150" spans="2:23" ht="9.9499999999999993" customHeight="1">
      <c r="B150" s="782"/>
      <c r="C150" s="782"/>
      <c r="D150" s="783"/>
      <c r="E150" s="783"/>
      <c r="F150" s="783"/>
      <c r="G150" s="783"/>
      <c r="H150" s="783"/>
      <c r="I150" s="783"/>
      <c r="J150" s="783"/>
      <c r="K150" s="783"/>
      <c r="L150" s="783"/>
      <c r="M150" s="783"/>
      <c r="N150" s="783"/>
      <c r="O150" s="783"/>
      <c r="P150" s="783"/>
      <c r="Q150" s="783"/>
      <c r="R150" s="783"/>
      <c r="S150" s="782"/>
      <c r="T150" s="782"/>
      <c r="U150" s="782"/>
      <c r="V150" s="782"/>
      <c r="W150" s="782"/>
    </row>
    <row r="151" spans="2:23" ht="9.9499999999999993" customHeight="1">
      <c r="B151" s="782"/>
      <c r="C151" s="782"/>
      <c r="D151" s="783" t="s">
        <v>534</v>
      </c>
      <c r="E151" s="783"/>
      <c r="F151" s="783"/>
      <c r="G151" s="783"/>
      <c r="H151" s="783"/>
      <c r="I151" s="783"/>
      <c r="J151" s="783"/>
      <c r="K151" s="783"/>
      <c r="L151" s="783"/>
      <c r="M151" s="783"/>
      <c r="N151" s="783"/>
      <c r="O151" s="783"/>
      <c r="P151" s="783"/>
      <c r="Q151" s="783"/>
      <c r="R151" s="783"/>
      <c r="S151" s="782">
        <f>IF((AND(PV!G226="modem WI-FI",PV!R226=1)),1,IF((AND(PV!G227="modem WI-FI",PV!R227=1)),1,IF((AND(PV!G228="modem WI-FI",PV!R228=1)),1,IF((AND(PV!G229="modem WI-FI",PV!R229=1)),1,IF((AND(PV!G230="modem WI-FI",PV!R230=1)),1,0)))))</f>
        <v>0</v>
      </c>
      <c r="T151" s="782"/>
      <c r="U151" s="782"/>
      <c r="V151" s="782" t="s">
        <v>60</v>
      </c>
      <c r="W151" s="782"/>
    </row>
    <row r="152" spans="2:23" ht="9.9499999999999993" customHeight="1">
      <c r="B152" s="782"/>
      <c r="C152" s="782"/>
      <c r="D152" s="783"/>
      <c r="E152" s="783"/>
      <c r="F152" s="783"/>
      <c r="G152" s="783"/>
      <c r="H152" s="783"/>
      <c r="I152" s="783"/>
      <c r="J152" s="783"/>
      <c r="K152" s="783"/>
      <c r="L152" s="783"/>
      <c r="M152" s="783"/>
      <c r="N152" s="783"/>
      <c r="O152" s="783"/>
      <c r="P152" s="783"/>
      <c r="Q152" s="783"/>
      <c r="R152" s="783"/>
      <c r="S152" s="782"/>
      <c r="T152" s="782"/>
      <c r="U152" s="782"/>
      <c r="V152" s="782"/>
      <c r="W152" s="782"/>
    </row>
    <row r="153" spans="2:23" ht="9.9499999999999993" customHeight="1">
      <c r="B153" s="782"/>
      <c r="C153" s="782"/>
      <c r="D153" s="783" t="s">
        <v>535</v>
      </c>
      <c r="E153" s="783"/>
      <c r="F153" s="783"/>
      <c r="G153" s="783"/>
      <c r="H153" s="783"/>
      <c r="I153" s="783"/>
      <c r="J153" s="783"/>
      <c r="K153" s="783"/>
      <c r="L153" s="783"/>
      <c r="M153" s="783"/>
      <c r="N153" s="783"/>
      <c r="O153" s="783"/>
      <c r="P153" s="783"/>
      <c r="Q153" s="783"/>
      <c r="R153" s="783"/>
      <c r="S153" s="782">
        <f>S115/2</f>
        <v>75</v>
      </c>
      <c r="T153" s="782"/>
      <c r="U153" s="782"/>
      <c r="V153" s="782" t="s">
        <v>86</v>
      </c>
      <c r="W153" s="782"/>
    </row>
    <row r="154" spans="2:23" ht="9.9499999999999993" customHeight="1">
      <c r="B154" s="782"/>
      <c r="C154" s="782"/>
      <c r="D154" s="783"/>
      <c r="E154" s="783"/>
      <c r="F154" s="783"/>
      <c r="G154" s="783"/>
      <c r="H154" s="783"/>
      <c r="I154" s="783"/>
      <c r="J154" s="783"/>
      <c r="K154" s="783"/>
      <c r="L154" s="783"/>
      <c r="M154" s="783"/>
      <c r="N154" s="783"/>
      <c r="O154" s="783"/>
      <c r="P154" s="783"/>
      <c r="Q154" s="783"/>
      <c r="R154" s="783"/>
      <c r="S154" s="782"/>
      <c r="T154" s="782"/>
      <c r="U154" s="782"/>
      <c r="V154" s="782"/>
      <c r="W154" s="782"/>
    </row>
    <row r="165" spans="1:51" ht="9.9499999999999993" customHeight="1">
      <c r="J165" s="782"/>
      <c r="K165" s="782"/>
    </row>
    <row r="167" spans="1:51" ht="9.9499999999999993"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11"/>
      <c r="AE167" s="11"/>
      <c r="AF167" s="11"/>
      <c r="AG167" s="11"/>
      <c r="AH167" s="11"/>
      <c r="AI167" s="11"/>
      <c r="AJ167" s="11"/>
      <c r="AK167" s="11"/>
      <c r="AL167" s="11"/>
      <c r="AM167" s="11"/>
      <c r="AN167" s="11"/>
      <c r="AO167" s="11"/>
      <c r="AP167" s="11"/>
      <c r="AQ167" s="11"/>
      <c r="AR167" s="11"/>
      <c r="AS167" s="11"/>
      <c r="AT167" s="11"/>
      <c r="AU167" s="11"/>
      <c r="AV167" s="104"/>
      <c r="AW167" s="104"/>
      <c r="AX167" s="104"/>
      <c r="AY167" s="104"/>
    </row>
    <row r="168" spans="1:51" ht="9.9499999999999993"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11"/>
      <c r="AE168" s="11"/>
      <c r="AF168" s="11"/>
      <c r="AG168" s="11"/>
      <c r="AH168" s="11"/>
      <c r="AI168" s="11"/>
      <c r="AJ168" s="11"/>
      <c r="AK168" s="11"/>
      <c r="AL168" s="11"/>
      <c r="AM168" s="11"/>
      <c r="AN168" s="11"/>
      <c r="AO168" s="11"/>
      <c r="AP168" s="11"/>
      <c r="AQ168" s="11"/>
      <c r="AR168" s="11"/>
      <c r="AS168" s="11"/>
      <c r="AT168" s="11"/>
      <c r="AU168" s="11"/>
      <c r="AV168" s="104"/>
      <c r="AW168" s="104"/>
      <c r="AX168" s="104"/>
      <c r="AY168" s="104"/>
    </row>
    <row r="169" spans="1:51" ht="9.9499999999999993" customHeight="1">
      <c r="A169" s="104"/>
      <c r="B169" s="104"/>
      <c r="C169" s="104"/>
      <c r="D169" s="104"/>
      <c r="E169" s="104"/>
      <c r="F169" s="104"/>
      <c r="G169" s="104"/>
      <c r="H169" s="104"/>
      <c r="I169" s="104"/>
      <c r="J169" s="104"/>
      <c r="L169" s="11"/>
      <c r="M169" s="11"/>
      <c r="T169" s="75"/>
      <c r="U169" s="75"/>
      <c r="V169" s="106"/>
      <c r="W169" s="106"/>
      <c r="X169" s="106"/>
      <c r="Y169" s="106"/>
      <c r="Z169" s="106"/>
      <c r="AA169" s="106"/>
      <c r="AB169" s="106"/>
      <c r="AC169" s="106"/>
      <c r="AD169" s="11"/>
      <c r="AE169" s="11"/>
      <c r="AF169" s="11"/>
      <c r="AG169" s="11"/>
      <c r="AH169" s="11"/>
      <c r="AI169" s="11"/>
      <c r="AJ169" s="11"/>
      <c r="AK169" s="11"/>
      <c r="AL169" s="11"/>
      <c r="AM169" s="11"/>
      <c r="AN169" s="11"/>
      <c r="AO169" s="11"/>
      <c r="AP169" s="11"/>
      <c r="AQ169" s="11"/>
      <c r="AR169" s="11"/>
      <c r="AS169" s="11"/>
      <c r="AT169" s="11"/>
      <c r="AU169" s="11"/>
      <c r="AV169" s="107"/>
      <c r="AW169" s="104"/>
      <c r="AX169" s="104"/>
      <c r="AY169" s="104"/>
    </row>
    <row r="170" spans="1:51" ht="9.9499999999999993" customHeight="1">
      <c r="A170" s="104"/>
      <c r="B170" s="104"/>
      <c r="C170" s="104"/>
      <c r="D170" s="104"/>
      <c r="E170" s="104"/>
      <c r="F170" s="104"/>
      <c r="G170" s="104"/>
      <c r="H170" s="104"/>
      <c r="I170" s="104"/>
      <c r="J170" s="104"/>
      <c r="L170" s="11"/>
      <c r="M170" s="11"/>
      <c r="T170" s="75"/>
      <c r="U170" s="75"/>
      <c r="V170" s="105"/>
      <c r="W170" s="105"/>
      <c r="X170" s="105"/>
      <c r="Y170" s="105"/>
      <c r="Z170" s="105"/>
      <c r="AA170" s="105"/>
      <c r="AB170" s="105"/>
      <c r="AC170" s="105"/>
      <c r="AD170" s="11"/>
      <c r="AE170" s="11"/>
      <c r="AF170" s="11"/>
      <c r="AG170" s="11"/>
      <c r="AH170" s="11"/>
      <c r="AI170" s="11"/>
      <c r="AJ170" s="11"/>
      <c r="AK170" s="11"/>
      <c r="AL170" s="11"/>
      <c r="AM170" s="11"/>
      <c r="AN170" s="11"/>
      <c r="AO170" s="11"/>
      <c r="AP170" s="11"/>
      <c r="AQ170" s="11"/>
      <c r="AR170" s="11"/>
      <c r="AS170" s="11"/>
      <c r="AT170" s="11"/>
      <c r="AU170" s="11"/>
      <c r="AV170" s="104"/>
      <c r="AW170" s="104"/>
      <c r="AX170" s="104"/>
      <c r="AY170" s="104"/>
    </row>
    <row r="171" spans="1:51" ht="9.9499999999999993" customHeight="1">
      <c r="A171" s="104"/>
      <c r="B171" s="104"/>
      <c r="C171" s="104"/>
      <c r="D171" s="104"/>
      <c r="E171" s="104"/>
      <c r="F171" s="104"/>
      <c r="G171" s="104"/>
      <c r="H171" s="104"/>
      <c r="I171" s="104"/>
      <c r="J171" s="104"/>
      <c r="L171" s="11"/>
      <c r="M171" s="11"/>
      <c r="T171" s="75"/>
      <c r="U171" s="75"/>
      <c r="V171" s="105"/>
      <c r="W171" s="105"/>
      <c r="X171" s="105"/>
      <c r="Y171" s="105"/>
      <c r="Z171" s="105"/>
      <c r="AA171" s="105"/>
      <c r="AB171" s="105"/>
      <c r="AC171" s="105"/>
      <c r="AD171" s="11"/>
      <c r="AE171" s="11"/>
      <c r="AF171" s="11"/>
      <c r="AG171" s="11"/>
      <c r="AH171" s="11"/>
      <c r="AI171" s="11"/>
      <c r="AJ171" s="11"/>
      <c r="AK171" s="11"/>
      <c r="AL171" s="11"/>
      <c r="AM171" s="11"/>
      <c r="AN171" s="11"/>
      <c r="AO171" s="11"/>
      <c r="AP171" s="11"/>
      <c r="AQ171" s="11"/>
      <c r="AR171" s="11"/>
      <c r="AS171" s="11"/>
      <c r="AT171" s="11"/>
      <c r="AU171" s="11"/>
      <c r="AV171" s="104"/>
      <c r="AW171" s="104"/>
      <c r="AX171" s="104"/>
      <c r="AY171" s="104"/>
    </row>
  </sheetData>
  <mergeCells count="306">
    <mergeCell ref="BJ37:BK37"/>
    <mergeCell ref="BJ38:BK38"/>
    <mergeCell ref="BJ39:BK39"/>
    <mergeCell ref="BJ40:BK40"/>
    <mergeCell ref="BJ41:BK41"/>
    <mergeCell ref="BJ42:BK42"/>
    <mergeCell ref="BJ43:BK43"/>
    <mergeCell ref="BJ44:BK44"/>
    <mergeCell ref="BJ45:BK45"/>
    <mergeCell ref="AM29:AN30"/>
    <mergeCell ref="G20:H20"/>
    <mergeCell ref="A50:C50"/>
    <mergeCell ref="D50:R50"/>
    <mergeCell ref="BR73:BY73"/>
    <mergeCell ref="A24:B25"/>
    <mergeCell ref="G17:H17"/>
    <mergeCell ref="D17:F17"/>
    <mergeCell ref="D18:F18"/>
    <mergeCell ref="O25:P25"/>
    <mergeCell ref="T35:W35"/>
    <mergeCell ref="AN55:AU55"/>
    <mergeCell ref="AN54:AU54"/>
    <mergeCell ref="AN56:AU56"/>
    <mergeCell ref="AL56:AM56"/>
    <mergeCell ref="S52:AA53"/>
    <mergeCell ref="AB52:AF52"/>
    <mergeCell ref="AB53:AF53"/>
    <mergeCell ref="S54:AA56"/>
    <mergeCell ref="AG52:AK53"/>
    <mergeCell ref="AL52:AU53"/>
    <mergeCell ref="AV52:AY53"/>
    <mergeCell ref="G36:H36"/>
    <mergeCell ref="G37:H37"/>
    <mergeCell ref="AI64:AP64"/>
    <mergeCell ref="AI65:AP65"/>
    <mergeCell ref="AQ64:AU64"/>
    <mergeCell ref="AQ65:AU65"/>
    <mergeCell ref="AI63:AP63"/>
    <mergeCell ref="A65:N65"/>
    <mergeCell ref="CB34:CD34"/>
    <mergeCell ref="BQ8:BS8"/>
    <mergeCell ref="G34:H34"/>
    <mergeCell ref="AL32:AN33"/>
    <mergeCell ref="AO20:AR20"/>
    <mergeCell ref="AO21:AP21"/>
    <mergeCell ref="A8:B9"/>
    <mergeCell ref="BD15:BE15"/>
    <mergeCell ref="BR23:BR26"/>
    <mergeCell ref="BS23:BT26"/>
    <mergeCell ref="AQ21:AR21"/>
    <mergeCell ref="Y24:Z24"/>
    <mergeCell ref="BS29:BT30"/>
    <mergeCell ref="AL34:AN34"/>
    <mergeCell ref="AP23:AQ23"/>
    <mergeCell ref="AO24:AP24"/>
    <mergeCell ref="AQ24:AR24"/>
    <mergeCell ref="A16:B17"/>
    <mergeCell ref="O82:V82"/>
    <mergeCell ref="W82:AA82"/>
    <mergeCell ref="O83:V83"/>
    <mergeCell ref="W83:AA83"/>
    <mergeCell ref="AQ63:AU63"/>
    <mergeCell ref="O84:AA84"/>
    <mergeCell ref="BF75:BI76"/>
    <mergeCell ref="AB54:AF54"/>
    <mergeCell ref="AB55:AF56"/>
    <mergeCell ref="BF59:BI60"/>
    <mergeCell ref="A66:AA66"/>
    <mergeCell ref="A70:N70"/>
    <mergeCell ref="A71:N71"/>
    <mergeCell ref="BF70:BI71"/>
    <mergeCell ref="AJ61:AN61"/>
    <mergeCell ref="AJ62:AN62"/>
    <mergeCell ref="AG58:AP59"/>
    <mergeCell ref="A54:H56"/>
    <mergeCell ref="I55:N56"/>
    <mergeCell ref="Q55:R56"/>
    <mergeCell ref="O55:P56"/>
    <mergeCell ref="AV54:AY56"/>
    <mergeCell ref="AL54:AM54"/>
    <mergeCell ref="AL55:AM55"/>
    <mergeCell ref="CU4:CV10"/>
    <mergeCell ref="CB19:DC25"/>
    <mergeCell ref="CB26:DC32"/>
    <mergeCell ref="CA19:CA25"/>
    <mergeCell ref="CA26:CA32"/>
    <mergeCell ref="BB11:BD11"/>
    <mergeCell ref="BJ11:BL11"/>
    <mergeCell ref="BJ12:BL12"/>
    <mergeCell ref="BC13:BD13"/>
    <mergeCell ref="CA12:CA18"/>
    <mergeCell ref="CB12:DC18"/>
    <mergeCell ref="BS31:BT32"/>
    <mergeCell ref="BR29:BR30"/>
    <mergeCell ref="BR31:BR32"/>
    <mergeCell ref="BS19:BT22"/>
    <mergeCell ref="BR19:BR22"/>
    <mergeCell ref="BT3:BU4"/>
    <mergeCell ref="BT8:BU9"/>
    <mergeCell ref="AB143:AB144"/>
    <mergeCell ref="AD143:AD144"/>
    <mergeCell ref="AR139:AS139"/>
    <mergeCell ref="AB138:AB139"/>
    <mergeCell ref="AB135:AB136"/>
    <mergeCell ref="AG54:AK54"/>
    <mergeCell ref="V113:W114"/>
    <mergeCell ref="AV42:AW42"/>
    <mergeCell ref="V115:W116"/>
    <mergeCell ref="A86:AA86"/>
    <mergeCell ref="O65:V65"/>
    <mergeCell ref="W65:AA65"/>
    <mergeCell ref="O77:V77"/>
    <mergeCell ref="B115:C116"/>
    <mergeCell ref="D115:R116"/>
    <mergeCell ref="A74:N74"/>
    <mergeCell ref="A75:N75"/>
    <mergeCell ref="O72:V72"/>
    <mergeCell ref="W72:AA72"/>
    <mergeCell ref="O64:AA64"/>
    <mergeCell ref="O79:V79"/>
    <mergeCell ref="W79:AA79"/>
    <mergeCell ref="W80:AA80"/>
    <mergeCell ref="O87:AA87"/>
    <mergeCell ref="A88:N88"/>
    <mergeCell ref="A89:N89"/>
    <mergeCell ref="B111:K112"/>
    <mergeCell ref="B113:C114"/>
    <mergeCell ref="D113:R114"/>
    <mergeCell ref="S113:U114"/>
    <mergeCell ref="A58:AA61"/>
    <mergeCell ref="A63:N63"/>
    <mergeCell ref="A32:B33"/>
    <mergeCell ref="A41:B42"/>
    <mergeCell ref="O63:AA63"/>
    <mergeCell ref="A82:N82"/>
    <mergeCell ref="A83:N83"/>
    <mergeCell ref="A84:N84"/>
    <mergeCell ref="O89:AA89"/>
    <mergeCell ref="W76:AA76"/>
    <mergeCell ref="O80:V80"/>
    <mergeCell ref="W77:AA77"/>
    <mergeCell ref="O78:V78"/>
    <mergeCell ref="W78:AA78"/>
    <mergeCell ref="G35:H35"/>
    <mergeCell ref="A64:N64"/>
    <mergeCell ref="A52:H53"/>
    <mergeCell ref="Q44:R45"/>
    <mergeCell ref="J165:K165"/>
    <mergeCell ref="AD135:AD136"/>
    <mergeCell ref="AB137:AD137"/>
    <mergeCell ref="AD138:AD139"/>
    <mergeCell ref="O68:V68"/>
    <mergeCell ref="W68:AA68"/>
    <mergeCell ref="O67:AA67"/>
    <mergeCell ref="A87:N87"/>
    <mergeCell ref="A79:N79"/>
    <mergeCell ref="A80:N80"/>
    <mergeCell ref="A81:N81"/>
    <mergeCell ref="A67:N67"/>
    <mergeCell ref="A68:N68"/>
    <mergeCell ref="A69:N69"/>
    <mergeCell ref="S115:U116"/>
    <mergeCell ref="B117:C118"/>
    <mergeCell ref="D117:R118"/>
    <mergeCell ref="S117:U118"/>
    <mergeCell ref="V117:W118"/>
    <mergeCell ref="B119:C120"/>
    <mergeCell ref="D119:J120"/>
    <mergeCell ref="K119:N120"/>
    <mergeCell ref="O119:Q120"/>
    <mergeCell ref="R119:R120"/>
    <mergeCell ref="T36:U36"/>
    <mergeCell ref="V36:W36"/>
    <mergeCell ref="T43:W43"/>
    <mergeCell ref="T44:U44"/>
    <mergeCell ref="V44:W44"/>
    <mergeCell ref="AB141:AB142"/>
    <mergeCell ref="AT43:AU43"/>
    <mergeCell ref="AT44:AU44"/>
    <mergeCell ref="AG55:AK55"/>
    <mergeCell ref="AG56:AK56"/>
    <mergeCell ref="AM44:AP48"/>
    <mergeCell ref="O69:V69"/>
    <mergeCell ref="W69:AA69"/>
    <mergeCell ref="O70:V70"/>
    <mergeCell ref="W70:AA70"/>
    <mergeCell ref="O71:V71"/>
    <mergeCell ref="W71:AA71"/>
    <mergeCell ref="Q35:R36"/>
    <mergeCell ref="S119:U120"/>
    <mergeCell ref="V119:W120"/>
    <mergeCell ref="AD141:AD142"/>
    <mergeCell ref="O88:AA88"/>
    <mergeCell ref="O81:V81"/>
    <mergeCell ref="W81:AA81"/>
    <mergeCell ref="A77:N77"/>
    <mergeCell ref="A78:N78"/>
    <mergeCell ref="O76:V76"/>
    <mergeCell ref="O74:V74"/>
    <mergeCell ref="W74:AA74"/>
    <mergeCell ref="O75:V75"/>
    <mergeCell ref="W75:AA75"/>
    <mergeCell ref="A76:N76"/>
    <mergeCell ref="A73:AA73"/>
    <mergeCell ref="D3:F3"/>
    <mergeCell ref="D4:F4"/>
    <mergeCell ref="D19:F19"/>
    <mergeCell ref="D20:F20"/>
    <mergeCell ref="O9:P9"/>
    <mergeCell ref="D2:F2"/>
    <mergeCell ref="G2:H2"/>
    <mergeCell ref="G3:H3"/>
    <mergeCell ref="G4:H4"/>
    <mergeCell ref="X2:AA2"/>
    <mergeCell ref="V19:W19"/>
    <mergeCell ref="BF15:BJ15"/>
    <mergeCell ref="BF16:BJ16"/>
    <mergeCell ref="AH2:AM2"/>
    <mergeCell ref="G1:H1"/>
    <mergeCell ref="G18:H18"/>
    <mergeCell ref="G19:H19"/>
    <mergeCell ref="AC12:AD17"/>
    <mergeCell ref="T5:V5"/>
    <mergeCell ref="T4:V4"/>
    <mergeCell ref="AQ2:AX3"/>
    <mergeCell ref="AQ4:AX4"/>
    <mergeCell ref="V11:W12"/>
    <mergeCell ref="B121:C122"/>
    <mergeCell ref="D121:J122"/>
    <mergeCell ref="K121:N122"/>
    <mergeCell ref="O121:Q122"/>
    <mergeCell ref="R121:R122"/>
    <mergeCell ref="S121:U122"/>
    <mergeCell ref="V121:W122"/>
    <mergeCell ref="B123:C124"/>
    <mergeCell ref="D123:R124"/>
    <mergeCell ref="S123:U124"/>
    <mergeCell ref="V123:W124"/>
    <mergeCell ref="B125:C126"/>
    <mergeCell ref="D125:R126"/>
    <mergeCell ref="S125:U126"/>
    <mergeCell ref="V125:W126"/>
    <mergeCell ref="B127:C128"/>
    <mergeCell ref="D127:R128"/>
    <mergeCell ref="S127:U128"/>
    <mergeCell ref="V127:W128"/>
    <mergeCell ref="B145:C146"/>
    <mergeCell ref="D145:R146"/>
    <mergeCell ref="S145:U146"/>
    <mergeCell ref="V145:W146"/>
    <mergeCell ref="B135:C136"/>
    <mergeCell ref="D135:R136"/>
    <mergeCell ref="S135:U136"/>
    <mergeCell ref="V135:W136"/>
    <mergeCell ref="B137:C138"/>
    <mergeCell ref="D137:R138"/>
    <mergeCell ref="S137:U138"/>
    <mergeCell ref="V137:W138"/>
    <mergeCell ref="B139:C140"/>
    <mergeCell ref="D139:R140"/>
    <mergeCell ref="S139:U140"/>
    <mergeCell ref="V139:W140"/>
    <mergeCell ref="B141:C142"/>
    <mergeCell ref="D141:R142"/>
    <mergeCell ref="S141:U142"/>
    <mergeCell ref="V141:W142"/>
    <mergeCell ref="B153:C154"/>
    <mergeCell ref="D153:R154"/>
    <mergeCell ref="S153:U154"/>
    <mergeCell ref="V153:W154"/>
    <mergeCell ref="B147:C148"/>
    <mergeCell ref="D147:R148"/>
    <mergeCell ref="S147:U148"/>
    <mergeCell ref="V147:W148"/>
    <mergeCell ref="B149:C150"/>
    <mergeCell ref="D149:R150"/>
    <mergeCell ref="S149:U150"/>
    <mergeCell ref="V149:W150"/>
    <mergeCell ref="B151:C152"/>
    <mergeCell ref="D151:R152"/>
    <mergeCell ref="S151:U152"/>
    <mergeCell ref="V151:W152"/>
    <mergeCell ref="B133:C134"/>
    <mergeCell ref="D133:R134"/>
    <mergeCell ref="S133:U134"/>
    <mergeCell ref="Y4:Z4"/>
    <mergeCell ref="Y3:Z3"/>
    <mergeCell ref="Y19:Z19"/>
    <mergeCell ref="Y20:Z20"/>
    <mergeCell ref="B143:C144"/>
    <mergeCell ref="V133:W134"/>
    <mergeCell ref="D143:R144"/>
    <mergeCell ref="S143:U144"/>
    <mergeCell ref="V143:W144"/>
    <mergeCell ref="B129:C130"/>
    <mergeCell ref="D129:O130"/>
    <mergeCell ref="P129:Q130"/>
    <mergeCell ref="R129:R130"/>
    <mergeCell ref="S129:U130"/>
    <mergeCell ref="V129:W130"/>
    <mergeCell ref="B131:C132"/>
    <mergeCell ref="D131:O132"/>
    <mergeCell ref="P131:Q132"/>
    <mergeCell ref="R131:R132"/>
    <mergeCell ref="S131:U132"/>
    <mergeCell ref="V131:W132"/>
  </mergeCells>
  <phoneticPr fontId="28" type="noConversion"/>
  <conditionalFormatting sqref="B15 R18">
    <cfRule type="expression" dxfId="13" priority="13">
      <formula>$BB$19=1</formula>
    </cfRule>
  </conditionalFormatting>
  <conditionalFormatting sqref="B23">
    <cfRule type="expression" dxfId="12" priority="15">
      <formula>$BB$20=1</formula>
    </cfRule>
  </conditionalFormatting>
  <conditionalFormatting sqref="B31 R34">
    <cfRule type="expression" dxfId="11" priority="7">
      <formula>$BB$21=1</formula>
    </cfRule>
  </conditionalFormatting>
  <conditionalFormatting sqref="B39 R42">
    <cfRule type="expression" dxfId="10" priority="6">
      <formula>$BB$22=1</formula>
    </cfRule>
  </conditionalFormatting>
  <conditionalFormatting sqref="B47">
    <cfRule type="expression" dxfId="9" priority="5">
      <formula>$BB$23=1</formula>
    </cfRule>
  </conditionalFormatting>
  <conditionalFormatting sqref="B15:C15 R18:S18">
    <cfRule type="expression" dxfId="8" priority="14">
      <formula>$BB$19=1</formula>
    </cfRule>
  </conditionalFormatting>
  <conditionalFormatting sqref="B23:C23">
    <cfRule type="expression" dxfId="7" priority="16">
      <formula>$BB$20=1</formula>
    </cfRule>
  </conditionalFormatting>
  <conditionalFormatting sqref="B31:C31 R34:S34">
    <cfRule type="expression" dxfId="6" priority="12">
      <formula>$BB$21=1</formula>
    </cfRule>
  </conditionalFormatting>
  <conditionalFormatting sqref="B39:C39 R42:S42">
    <cfRule type="expression" dxfId="5" priority="11">
      <formula>$BB$22=1</formula>
    </cfRule>
  </conditionalFormatting>
  <conditionalFormatting sqref="B47:C47 S50">
    <cfRule type="expression" dxfId="4" priority="10">
      <formula>$BB$23=1</formula>
    </cfRule>
  </conditionalFormatting>
  <conditionalFormatting sqref="W10:X10">
    <cfRule type="expression" dxfId="3" priority="2">
      <formula>$BD$18&lt;=1</formula>
    </cfRule>
  </conditionalFormatting>
  <dataValidations count="4">
    <dataValidation type="list" allowBlank="1" showInputMessage="1" showErrorMessage="1" sqref="BF16" xr:uid="{85BC3769-A813-4964-994E-71F6EBB01AD2}">
      <formula1>$CC$1:$CC$2</formula1>
    </dataValidation>
    <dataValidation type="list" allowBlank="1" showInputMessage="1" showErrorMessage="1" sqref="AO24:AP24" xr:uid="{917C6FAF-6776-4952-AC41-65D3D4ADF67C}">
      <formula1>$BG$72:$BG$73</formula1>
    </dataValidation>
    <dataValidation type="list" allowBlank="1" showInputMessage="1" showErrorMessage="1" sqref="CB34:CD34" xr:uid="{87DB4275-0B53-4E13-A475-354DFE100AEA}">
      <formula1>$BT$8</formula1>
    </dataValidation>
    <dataValidation type="list" allowBlank="1" showInputMessage="1" showErrorMessage="1" sqref="AQ24:AR24" xr:uid="{E5EC3E02-E997-4A33-A2FA-8D0759F6E441}">
      <formula1>$BG$77:$BG$87</formula1>
    </dataValidation>
  </dataValidations>
  <hyperlinks>
    <hyperlink ref="AN55" r:id="rId1" xr:uid="{00000000-0004-0000-0500-000000000000}"/>
    <hyperlink ref="AN56" r:id="rId2" xr:uid="{00000000-0004-0000-0500-000001000000}"/>
  </hyperlinks>
  <pageMargins left="0.51" right="0.32196969696969696" top="0.51136363636363635" bottom="0.20833333333333334" header="0.3" footer="0.3"/>
  <pageSetup paperSize="9" scale="96" orientation="landscape" r:id="rId3"/>
  <rowBreaks count="1" manualBreakCount="1">
    <brk id="56" max="50" man="1"/>
  </rowBreaks>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A0B85DD3-D8A8-497A-B879-DCFB065FCF31}">
          <x14:formula1>
            <xm:f>PV!$AQ$63:$AQ$64</xm:f>
          </x14:formula1>
          <xm:sqref>S54:AA56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Arkusz5">
    <tabColor rgb="FFFFFF00"/>
    <pageSetUpPr fitToPage="1"/>
  </sheetPr>
  <dimension ref="A1:BZ219"/>
  <sheetViews>
    <sheetView topLeftCell="A148" zoomScale="85" zoomScaleNormal="85" zoomScaleSheetLayoutView="70" zoomScalePageLayoutView="25" workbookViewId="0">
      <selection activeCell="Z56" sqref="Z56:AI56"/>
    </sheetView>
  </sheetViews>
  <sheetFormatPr defaultColWidth="3" defaultRowHeight="15"/>
  <cols>
    <col min="1" max="40" width="5.140625" customWidth="1"/>
    <col min="41" max="61" width="5" customWidth="1"/>
    <col min="62" max="62" width="7" customWidth="1"/>
    <col min="63" max="66" width="5" customWidth="1"/>
    <col min="67" max="67" width="50.140625" customWidth="1"/>
    <col min="68" max="68" width="7.28515625" bestFit="1" customWidth="1"/>
    <col min="69" max="69" width="17.42578125" bestFit="1" customWidth="1"/>
    <col min="70" max="70" width="5" customWidth="1"/>
  </cols>
  <sheetData>
    <row r="1" spans="1:76" ht="18" customHeight="1">
      <c r="A1" s="931" t="s">
        <v>335</v>
      </c>
      <c r="B1" s="932"/>
      <c r="C1" s="932"/>
      <c r="D1" s="932"/>
      <c r="E1" s="932"/>
      <c r="F1" s="932"/>
      <c r="G1" s="932"/>
      <c r="H1" s="932"/>
      <c r="I1" s="932"/>
      <c r="J1" s="932"/>
      <c r="K1" s="932"/>
      <c r="L1" s="932"/>
      <c r="M1" s="932"/>
      <c r="N1" s="932"/>
      <c r="O1" s="932"/>
      <c r="P1" s="932"/>
      <c r="Q1" s="932"/>
      <c r="R1" s="932"/>
      <c r="S1" s="932"/>
      <c r="T1" s="933"/>
      <c r="U1" s="957" t="s">
        <v>335</v>
      </c>
      <c r="V1" s="957"/>
      <c r="W1" s="957"/>
      <c r="X1" s="957"/>
      <c r="Y1" s="957"/>
      <c r="Z1" s="957"/>
      <c r="AA1" s="957"/>
      <c r="AB1" s="957"/>
      <c r="AC1" s="957"/>
      <c r="AD1" s="957"/>
      <c r="AE1" s="957"/>
      <c r="AF1" s="957"/>
      <c r="AG1" s="957"/>
      <c r="AH1" s="957"/>
      <c r="AI1" s="957"/>
      <c r="AJ1" s="957"/>
      <c r="AK1" s="957"/>
      <c r="AL1" s="957"/>
      <c r="AM1" s="957"/>
      <c r="AN1" s="958"/>
      <c r="AO1" s="956" t="s">
        <v>536</v>
      </c>
      <c r="AP1" s="957"/>
      <c r="AQ1" s="957"/>
      <c r="AR1" s="957"/>
      <c r="AS1" s="957"/>
      <c r="AT1" s="957"/>
      <c r="AU1" s="957"/>
      <c r="AV1" s="957"/>
      <c r="AW1" s="957"/>
      <c r="AX1" s="957"/>
      <c r="AY1" s="957"/>
      <c r="AZ1" s="957"/>
      <c r="BA1" s="957"/>
      <c r="BB1" s="957"/>
      <c r="BC1" s="957"/>
      <c r="BD1" s="957"/>
      <c r="BE1" s="957"/>
      <c r="BF1" s="957"/>
      <c r="BG1" s="957"/>
      <c r="BH1" s="958"/>
    </row>
    <row r="2" spans="1:76" ht="18" customHeight="1">
      <c r="A2" s="934"/>
      <c r="B2" s="926"/>
      <c r="C2" s="926"/>
      <c r="D2" s="926"/>
      <c r="E2" s="926"/>
      <c r="F2" s="926"/>
      <c r="G2" s="926"/>
      <c r="H2" s="926"/>
      <c r="I2" s="926"/>
      <c r="J2" s="926"/>
      <c r="K2" s="926"/>
      <c r="L2" s="926"/>
      <c r="M2" s="926"/>
      <c r="N2" s="926"/>
      <c r="O2" s="926"/>
      <c r="P2" s="926"/>
      <c r="Q2" s="926"/>
      <c r="R2" s="926"/>
      <c r="S2" s="926"/>
      <c r="T2" s="927"/>
      <c r="U2" s="926"/>
      <c r="V2" s="926"/>
      <c r="W2" s="926"/>
      <c r="X2" s="926"/>
      <c r="Y2" s="926"/>
      <c r="Z2" s="926"/>
      <c r="AA2" s="926"/>
      <c r="AB2" s="926"/>
      <c r="AC2" s="926"/>
      <c r="AD2" s="926"/>
      <c r="AE2" s="926"/>
      <c r="AF2" s="926"/>
      <c r="AG2" s="926"/>
      <c r="AH2" s="926"/>
      <c r="AI2" s="926"/>
      <c r="AJ2" s="926"/>
      <c r="AK2" s="926"/>
      <c r="AL2" s="926"/>
      <c r="AM2" s="926"/>
      <c r="AN2" s="955"/>
      <c r="AO2" s="959"/>
      <c r="AP2" s="926"/>
      <c r="AQ2" s="926"/>
      <c r="AR2" s="926"/>
      <c r="AS2" s="926"/>
      <c r="AT2" s="926"/>
      <c r="AU2" s="926"/>
      <c r="AV2" s="926"/>
      <c r="AW2" s="926"/>
      <c r="AX2" s="926"/>
      <c r="AY2" s="926"/>
      <c r="AZ2" s="926"/>
      <c r="BA2" s="926"/>
      <c r="BB2" s="926"/>
      <c r="BC2" s="926"/>
      <c r="BD2" s="926"/>
      <c r="BE2" s="926"/>
      <c r="BF2" s="926"/>
      <c r="BG2" s="926"/>
      <c r="BH2" s="955"/>
    </row>
    <row r="3" spans="1:76" ht="18" customHeight="1">
      <c r="A3" s="934"/>
      <c r="B3" s="926"/>
      <c r="C3" s="926"/>
      <c r="D3" s="926"/>
      <c r="E3" s="926"/>
      <c r="F3" s="926"/>
      <c r="G3" s="926"/>
      <c r="H3" s="926"/>
      <c r="I3" s="926"/>
      <c r="J3" s="926"/>
      <c r="K3" s="926"/>
      <c r="L3" s="926"/>
      <c r="M3" s="926"/>
      <c r="N3" s="926"/>
      <c r="O3" s="926"/>
      <c r="P3" s="926"/>
      <c r="Q3" s="926"/>
      <c r="R3" s="926"/>
      <c r="S3" s="926"/>
      <c r="T3" s="927"/>
      <c r="U3" s="926"/>
      <c r="V3" s="926"/>
      <c r="W3" s="926"/>
      <c r="X3" s="926"/>
      <c r="Y3" s="926"/>
      <c r="Z3" s="926"/>
      <c r="AA3" s="926"/>
      <c r="AB3" s="926"/>
      <c r="AC3" s="926"/>
      <c r="AD3" s="926"/>
      <c r="AE3" s="926"/>
      <c r="AF3" s="926"/>
      <c r="AG3" s="926"/>
      <c r="AH3" s="926"/>
      <c r="AI3" s="926"/>
      <c r="AJ3" s="926"/>
      <c r="AK3" s="926"/>
      <c r="AL3" s="926"/>
      <c r="AM3" s="926"/>
      <c r="AN3" s="955"/>
      <c r="AO3" s="978" t="s">
        <v>537</v>
      </c>
      <c r="AP3" s="979"/>
      <c r="AQ3" s="979"/>
      <c r="AR3" s="980"/>
      <c r="AS3" s="123" t="str">
        <f>F4</f>
        <v>AMPERE Sp. z o.o.</v>
      </c>
      <c r="AT3" s="124"/>
      <c r="AU3" s="124"/>
      <c r="AV3" s="124"/>
      <c r="AW3" s="124"/>
      <c r="AX3" s="124"/>
      <c r="AY3" s="124"/>
      <c r="AZ3" s="124"/>
      <c r="BA3" s="124" t="str">
        <f>F6</f>
        <v>NIP: 6472602198</v>
      </c>
      <c r="BB3" s="124"/>
      <c r="BC3" s="124"/>
      <c r="BD3" s="124"/>
      <c r="BE3" s="124"/>
      <c r="BF3" s="124"/>
      <c r="BG3" s="124"/>
      <c r="BH3" s="125"/>
    </row>
    <row r="4" spans="1:76" ht="18" customHeight="1">
      <c r="A4" s="195"/>
      <c r="B4" s="89"/>
      <c r="C4" s="89"/>
      <c r="D4" s="89"/>
      <c r="E4" s="89"/>
      <c r="F4" s="908" t="str">
        <f>PV!P68</f>
        <v>AMPERE Sp. z o.o.</v>
      </c>
      <c r="G4" s="908"/>
      <c r="H4" s="908"/>
      <c r="I4" s="908"/>
      <c r="J4" s="908"/>
      <c r="K4" s="908"/>
      <c r="L4" s="908"/>
      <c r="M4" s="908"/>
      <c r="N4" s="908"/>
      <c r="O4" s="908"/>
      <c r="P4" s="89"/>
      <c r="Q4" s="89"/>
      <c r="R4" s="89"/>
      <c r="S4" s="89"/>
      <c r="T4" s="196"/>
      <c r="U4" s="89"/>
      <c r="V4" s="89"/>
      <c r="W4" s="89"/>
      <c r="X4" s="89"/>
      <c r="Y4" s="89"/>
      <c r="Z4" s="908" t="str">
        <f>PV!P68</f>
        <v>AMPERE Sp. z o.o.</v>
      </c>
      <c r="AA4" s="908"/>
      <c r="AB4" s="908"/>
      <c r="AC4" s="908"/>
      <c r="AD4" s="908"/>
      <c r="AE4" s="908"/>
      <c r="AF4" s="908"/>
      <c r="AG4" s="908"/>
      <c r="AH4" s="908"/>
      <c r="AI4" s="908"/>
      <c r="AJ4" s="89"/>
      <c r="AK4" s="89"/>
      <c r="AL4" s="89"/>
      <c r="AM4" s="89"/>
      <c r="AN4" s="90"/>
      <c r="AO4" s="981"/>
      <c r="AP4" s="831"/>
      <c r="AQ4" s="831"/>
      <c r="AR4" s="982"/>
      <c r="AS4" s="93" t="str">
        <f>F5</f>
        <v>44-313 Wodzisław Śląski, Letnia 212</v>
      </c>
      <c r="AT4" s="94"/>
      <c r="AU4" s="94"/>
      <c r="AV4" s="94"/>
      <c r="AW4" s="94"/>
      <c r="AX4" s="94"/>
      <c r="AY4" s="94"/>
      <c r="AZ4" s="94"/>
      <c r="BA4" s="94"/>
      <c r="BB4" s="94"/>
      <c r="BC4" s="94"/>
      <c r="BD4" s="94"/>
      <c r="BE4" s="94"/>
      <c r="BF4" s="94"/>
      <c r="BG4" s="94"/>
      <c r="BH4" s="95"/>
    </row>
    <row r="5" spans="1:76" ht="18" customHeight="1">
      <c r="A5" s="195"/>
      <c r="B5" s="89"/>
      <c r="C5" s="89"/>
      <c r="D5" s="89"/>
      <c r="E5" s="89"/>
      <c r="F5" s="908" t="s">
        <v>1278</v>
      </c>
      <c r="G5" s="908"/>
      <c r="H5" s="908"/>
      <c r="I5" s="908"/>
      <c r="J5" s="908"/>
      <c r="K5" s="908"/>
      <c r="L5" s="908"/>
      <c r="M5" s="908"/>
      <c r="N5" s="908"/>
      <c r="O5" s="908"/>
      <c r="P5" s="89"/>
      <c r="Q5" s="89"/>
      <c r="R5" s="89"/>
      <c r="S5" s="89"/>
      <c r="T5" s="196"/>
      <c r="U5" s="89"/>
      <c r="V5" s="89"/>
      <c r="W5" s="89"/>
      <c r="X5" s="89"/>
      <c r="Y5" s="89"/>
      <c r="Z5" s="908" t="s">
        <v>1278</v>
      </c>
      <c r="AA5" s="908"/>
      <c r="AB5" s="908"/>
      <c r="AC5" s="908"/>
      <c r="AD5" s="908"/>
      <c r="AE5" s="908"/>
      <c r="AF5" s="908"/>
      <c r="AG5" s="908"/>
      <c r="AH5" s="908"/>
      <c r="AI5" s="908"/>
      <c r="AJ5" s="89"/>
      <c r="AK5" s="89"/>
      <c r="AL5" s="89"/>
      <c r="AM5" s="89"/>
      <c r="AN5" s="90"/>
      <c r="AO5" s="978" t="s">
        <v>538</v>
      </c>
      <c r="AP5" s="979"/>
      <c r="AQ5" s="979"/>
      <c r="AR5" s="980"/>
      <c r="AS5" s="123">
        <f>D8</f>
        <v>0</v>
      </c>
      <c r="AT5" s="124"/>
      <c r="AU5" s="124"/>
      <c r="AV5" s="124"/>
      <c r="AW5" s="124"/>
      <c r="AX5" s="124"/>
      <c r="AY5" s="124"/>
      <c r="AZ5" s="124"/>
      <c r="BA5" s="124"/>
      <c r="BB5" s="124"/>
      <c r="BC5" s="124"/>
      <c r="BD5" s="124"/>
      <c r="BE5" s="124"/>
      <c r="BF5" s="124"/>
      <c r="BG5" s="124"/>
      <c r="BH5" s="125"/>
      <c r="BW5" t="s">
        <v>226</v>
      </c>
      <c r="BX5" t="s">
        <v>337</v>
      </c>
    </row>
    <row r="6" spans="1:76" ht="18" customHeight="1">
      <c r="A6" s="195"/>
      <c r="B6" s="89"/>
      <c r="C6" s="89"/>
      <c r="D6" s="89"/>
      <c r="E6" s="89"/>
      <c r="F6" s="908" t="str">
        <f>PV!P78</f>
        <v>NIP: 6472602198</v>
      </c>
      <c r="G6" s="908"/>
      <c r="H6" s="908"/>
      <c r="I6" s="908"/>
      <c r="J6" s="908"/>
      <c r="K6" s="908"/>
      <c r="L6" s="908"/>
      <c r="M6" s="908"/>
      <c r="N6" s="908"/>
      <c r="O6" s="908"/>
      <c r="P6" s="89"/>
      <c r="Q6" s="89"/>
      <c r="R6" s="89"/>
      <c r="S6" s="89"/>
      <c r="T6" s="196"/>
      <c r="U6" s="89"/>
      <c r="V6" s="89"/>
      <c r="W6" s="89"/>
      <c r="X6" s="89"/>
      <c r="Y6" s="89"/>
      <c r="Z6" s="908"/>
      <c r="AA6" s="908"/>
      <c r="AB6" s="908"/>
      <c r="AC6" s="908"/>
      <c r="AD6" s="908"/>
      <c r="AE6" s="908"/>
      <c r="AF6" s="908"/>
      <c r="AG6" s="908"/>
      <c r="AH6" s="908"/>
      <c r="AI6" s="908"/>
      <c r="AJ6" s="89"/>
      <c r="AK6" s="89"/>
      <c r="AL6" s="89"/>
      <c r="AM6" s="89"/>
      <c r="AN6" s="90"/>
      <c r="AO6" s="983"/>
      <c r="AP6" s="828"/>
      <c r="AQ6" s="828"/>
      <c r="AR6" s="954"/>
      <c r="AS6" s="93">
        <f>D9</f>
        <v>0</v>
      </c>
      <c r="AT6" s="94"/>
      <c r="AU6" s="94"/>
      <c r="AV6" s="94"/>
      <c r="AW6" s="94"/>
      <c r="AX6" s="94"/>
      <c r="AY6" s="94"/>
      <c r="AZ6" s="94"/>
      <c r="BA6" s="94"/>
      <c r="BB6" s="94"/>
      <c r="BC6" s="94"/>
      <c r="BD6" s="94"/>
      <c r="BE6" s="94"/>
      <c r="BF6" s="94"/>
      <c r="BG6" s="94"/>
      <c r="BH6" s="95"/>
      <c r="BW6" t="s">
        <v>365</v>
      </c>
      <c r="BX6" t="s">
        <v>366</v>
      </c>
    </row>
    <row r="7" spans="1:76" ht="18" customHeight="1">
      <c r="A7" s="195" t="s">
        <v>338</v>
      </c>
      <c r="B7" s="89"/>
      <c r="C7" s="89"/>
      <c r="D7" s="89"/>
      <c r="E7" s="89"/>
      <c r="F7" s="89"/>
      <c r="G7" s="89"/>
      <c r="H7" s="89"/>
      <c r="I7" s="89"/>
      <c r="J7" s="89"/>
      <c r="K7" s="89"/>
      <c r="L7" s="89"/>
      <c r="M7" s="89"/>
      <c r="N7" s="89"/>
      <c r="O7" s="89"/>
      <c r="P7" s="89"/>
      <c r="Q7" s="89"/>
      <c r="R7" s="89"/>
      <c r="S7" s="89"/>
      <c r="T7" s="196"/>
      <c r="U7" s="89"/>
      <c r="V7" s="89"/>
      <c r="W7" s="89"/>
      <c r="X7" s="89"/>
      <c r="Y7" s="89"/>
      <c r="Z7" s="89"/>
      <c r="AA7" s="89"/>
      <c r="AB7" s="89"/>
      <c r="AC7" s="89"/>
      <c r="AD7" s="89"/>
      <c r="AE7" s="89"/>
      <c r="AF7" s="89"/>
      <c r="AG7" s="89"/>
      <c r="AH7" s="89"/>
      <c r="AI7" s="89"/>
      <c r="AJ7" s="89"/>
      <c r="AK7" s="89"/>
      <c r="AL7" s="89"/>
      <c r="AM7" s="89"/>
      <c r="AN7" s="90"/>
      <c r="AO7" s="983"/>
      <c r="AP7" s="828"/>
      <c r="AQ7" s="828"/>
      <c r="AR7" s="954"/>
      <c r="AS7" s="130" t="s">
        <v>539</v>
      </c>
      <c r="AT7" s="124"/>
      <c r="AU7" s="124"/>
      <c r="AV7" s="124"/>
      <c r="AW7" s="124"/>
      <c r="AX7" s="124"/>
      <c r="AY7" s="124"/>
      <c r="AZ7" s="124"/>
      <c r="BA7" s="124"/>
      <c r="BB7" s="126"/>
      <c r="BC7" s="126"/>
      <c r="BD7" s="127"/>
      <c r="BE7" s="131" t="s">
        <v>4</v>
      </c>
      <c r="BF7" s="124"/>
      <c r="BG7" s="124"/>
      <c r="BH7" s="125"/>
    </row>
    <row r="8" spans="1:76" ht="18" customHeight="1">
      <c r="A8" s="924" t="s">
        <v>213</v>
      </c>
      <c r="B8" s="916"/>
      <c r="C8" s="916"/>
      <c r="D8" s="916">
        <f>PV!U51</f>
        <v>0</v>
      </c>
      <c r="E8" s="916"/>
      <c r="F8" s="916"/>
      <c r="G8" s="916"/>
      <c r="H8" s="916"/>
      <c r="I8" s="916"/>
      <c r="J8" s="916"/>
      <c r="K8" s="916"/>
      <c r="L8" s="916"/>
      <c r="M8" s="916"/>
      <c r="N8" s="916"/>
      <c r="O8" s="916"/>
      <c r="P8" s="916"/>
      <c r="Q8" s="916"/>
      <c r="R8" s="916"/>
      <c r="S8" s="916"/>
      <c r="T8" s="917"/>
      <c r="U8" s="89" t="s">
        <v>338</v>
      </c>
      <c r="V8" s="89"/>
      <c r="W8" s="89"/>
      <c r="X8" s="89"/>
      <c r="Y8" s="89"/>
      <c r="Z8" s="89"/>
      <c r="AA8" s="89"/>
      <c r="AB8" s="89"/>
      <c r="AC8" s="89"/>
      <c r="AD8" s="89"/>
      <c r="AE8" s="89"/>
      <c r="AF8" s="89"/>
      <c r="AG8" s="89"/>
      <c r="AH8" s="89"/>
      <c r="AI8" s="89"/>
      <c r="AJ8" s="89"/>
      <c r="AK8" s="89"/>
      <c r="AL8" s="89"/>
      <c r="AM8" s="89"/>
      <c r="AN8" s="90"/>
      <c r="AO8" s="983"/>
      <c r="AP8" s="828"/>
      <c r="AQ8" s="828"/>
      <c r="AR8" s="954"/>
      <c r="AS8" s="132" t="s">
        <v>540</v>
      </c>
      <c r="AT8" s="89"/>
      <c r="AU8" s="89"/>
      <c r="AV8" s="89"/>
      <c r="AW8" s="89"/>
      <c r="AX8" s="89"/>
      <c r="AY8" s="89"/>
      <c r="AZ8" s="89"/>
      <c r="BA8" s="89"/>
      <c r="BB8" s="128"/>
      <c r="BC8" s="128"/>
      <c r="BD8" s="129"/>
      <c r="BE8" s="133" t="s">
        <v>542</v>
      </c>
      <c r="BF8" s="89"/>
      <c r="BG8" s="89"/>
      <c r="BH8" s="90"/>
    </row>
    <row r="9" spans="1:76" ht="18" customHeight="1">
      <c r="A9" s="914" t="s">
        <v>333</v>
      </c>
      <c r="B9" s="915"/>
      <c r="C9" s="915"/>
      <c r="D9" s="916">
        <f>PV!U52</f>
        <v>0</v>
      </c>
      <c r="E9" s="916"/>
      <c r="F9" s="916"/>
      <c r="G9" s="916"/>
      <c r="H9" s="916"/>
      <c r="I9" s="916"/>
      <c r="J9" s="916"/>
      <c r="K9" s="916"/>
      <c r="L9" s="916"/>
      <c r="M9" s="916"/>
      <c r="N9" s="916"/>
      <c r="O9" s="916"/>
      <c r="P9" s="916"/>
      <c r="Q9" s="916"/>
      <c r="R9" s="916"/>
      <c r="S9" s="916"/>
      <c r="T9" s="917"/>
      <c r="U9" s="908" t="s">
        <v>213</v>
      </c>
      <c r="V9" s="908"/>
      <c r="W9" s="908"/>
      <c r="X9" s="916">
        <f>D8</f>
        <v>0</v>
      </c>
      <c r="Y9" s="916"/>
      <c r="Z9" s="916"/>
      <c r="AA9" s="916"/>
      <c r="AB9" s="916"/>
      <c r="AC9" s="916"/>
      <c r="AD9" s="916"/>
      <c r="AE9" s="916"/>
      <c r="AF9" s="916"/>
      <c r="AG9" s="916"/>
      <c r="AH9" s="916"/>
      <c r="AI9" s="916"/>
      <c r="AJ9" s="916"/>
      <c r="AK9" s="916"/>
      <c r="AL9" s="916"/>
      <c r="AM9" s="916"/>
      <c r="AN9" s="960"/>
      <c r="AO9" s="981"/>
      <c r="AP9" s="831"/>
      <c r="AQ9" s="831"/>
      <c r="AR9" s="982"/>
      <c r="AS9" s="134" t="s">
        <v>541</v>
      </c>
      <c r="AT9" s="94"/>
      <c r="AU9" s="94"/>
      <c r="AV9" s="94"/>
      <c r="AW9" s="94"/>
      <c r="AX9" s="94"/>
      <c r="AY9" s="94"/>
      <c r="AZ9" s="94"/>
      <c r="BA9" s="94"/>
      <c r="BB9" s="94"/>
      <c r="BC9" s="94"/>
      <c r="BD9" s="94"/>
      <c r="BE9" s="94"/>
      <c r="BF9" s="94"/>
      <c r="BG9" s="94"/>
      <c r="BH9" s="95"/>
    </row>
    <row r="10" spans="1:76" ht="18" customHeight="1">
      <c r="A10" s="940" t="s">
        <v>334</v>
      </c>
      <c r="B10" s="941"/>
      <c r="C10" s="941"/>
      <c r="D10" s="942">
        <f>PV!U53</f>
        <v>0</v>
      </c>
      <c r="E10" s="916"/>
      <c r="F10" s="916"/>
      <c r="G10" s="916"/>
      <c r="H10" s="916"/>
      <c r="I10" s="916"/>
      <c r="J10" s="916"/>
      <c r="K10" s="916"/>
      <c r="L10" s="916"/>
      <c r="M10" s="916"/>
      <c r="N10" s="916"/>
      <c r="O10" s="916"/>
      <c r="P10" s="916"/>
      <c r="Q10" s="916"/>
      <c r="R10" s="916"/>
      <c r="S10" s="916"/>
      <c r="T10" s="917"/>
      <c r="U10" s="961" t="s">
        <v>333</v>
      </c>
      <c r="V10" s="961"/>
      <c r="W10" s="961"/>
      <c r="X10" s="916">
        <f>D9</f>
        <v>0</v>
      </c>
      <c r="Y10" s="916"/>
      <c r="Z10" s="916"/>
      <c r="AA10" s="916"/>
      <c r="AB10" s="916"/>
      <c r="AC10" s="916"/>
      <c r="AD10" s="916"/>
      <c r="AE10" s="916"/>
      <c r="AF10" s="916"/>
      <c r="AG10" s="916"/>
      <c r="AH10" s="916"/>
      <c r="AI10" s="916"/>
      <c r="AJ10" s="916"/>
      <c r="AK10" s="916"/>
      <c r="AL10" s="916"/>
      <c r="AM10" s="916"/>
      <c r="AN10" s="960"/>
      <c r="AO10" s="149" t="s">
        <v>543</v>
      </c>
      <c r="BH10" s="4"/>
    </row>
    <row r="11" spans="1:76" ht="18" customHeight="1">
      <c r="A11" s="164"/>
      <c r="T11" s="163"/>
      <c r="U11" s="961" t="s">
        <v>334</v>
      </c>
      <c r="V11" s="961"/>
      <c r="W11" s="961"/>
      <c r="X11" s="942">
        <f>D10</f>
        <v>0</v>
      </c>
      <c r="Y11" s="916"/>
      <c r="Z11" s="916"/>
      <c r="AA11" s="916"/>
      <c r="AB11" s="916"/>
      <c r="AC11" s="916"/>
      <c r="AD11" s="916"/>
      <c r="AE11" s="916"/>
      <c r="AF11" s="916"/>
      <c r="AG11" s="916"/>
      <c r="AH11" s="916"/>
      <c r="AI11" s="916"/>
      <c r="AJ11" s="916"/>
      <c r="AK11" s="916"/>
      <c r="AL11" s="916"/>
      <c r="AM11" s="916"/>
      <c r="AN11" s="960"/>
      <c r="AO11" s="5"/>
      <c r="AU11" s="984" t="s">
        <v>544</v>
      </c>
      <c r="AV11" s="984"/>
      <c r="AW11" s="984"/>
      <c r="AX11" s="984"/>
      <c r="AY11" s="984"/>
      <c r="AZ11" s="984"/>
      <c r="BA11" s="984"/>
      <c r="BB11" s="984"/>
      <c r="BC11" s="984"/>
      <c r="BH11" s="4"/>
    </row>
    <row r="12" spans="1:76" ht="18" customHeight="1">
      <c r="A12" s="912" t="s">
        <v>339</v>
      </c>
      <c r="B12" s="908"/>
      <c r="C12" s="908"/>
      <c r="D12" s="908"/>
      <c r="E12" s="312"/>
      <c r="F12" s="312"/>
      <c r="G12" s="312"/>
      <c r="H12" s="312"/>
      <c r="I12" s="312"/>
      <c r="J12" s="89" t="s">
        <v>340</v>
      </c>
      <c r="K12" s="312"/>
      <c r="L12" s="312"/>
      <c r="M12" s="312"/>
      <c r="N12" s="312"/>
      <c r="O12" s="312"/>
      <c r="P12" s="312"/>
      <c r="Q12" s="312"/>
      <c r="R12" s="312"/>
      <c r="S12" s="89"/>
      <c r="T12" s="196"/>
      <c r="U12" s="89"/>
      <c r="V12" s="89"/>
      <c r="W12" s="89"/>
      <c r="X12" s="89"/>
      <c r="Y12" s="89"/>
      <c r="Z12" s="89"/>
      <c r="AA12" s="89"/>
      <c r="AB12" s="89"/>
      <c r="AC12" s="89"/>
      <c r="AD12" s="89"/>
      <c r="AE12" s="89"/>
      <c r="AF12" s="89"/>
      <c r="AG12" s="89"/>
      <c r="AH12" s="89"/>
      <c r="AI12" s="89"/>
      <c r="AJ12" s="89"/>
      <c r="AK12" s="89"/>
      <c r="AL12" s="89"/>
      <c r="AM12" s="89"/>
      <c r="AN12" s="90"/>
      <c r="AO12" s="5"/>
      <c r="AP12" s="133" t="s">
        <v>545</v>
      </c>
      <c r="AQ12" s="915">
        <f>AS5</f>
        <v>0</v>
      </c>
      <c r="AR12" s="915"/>
      <c r="AS12" s="915"/>
      <c r="AT12" s="915"/>
      <c r="AU12" s="915"/>
      <c r="AV12" s="915"/>
      <c r="AW12" s="915"/>
      <c r="AX12" s="915">
        <f>AS6</f>
        <v>0</v>
      </c>
      <c r="AY12" s="915"/>
      <c r="AZ12" s="915"/>
      <c r="BA12" s="915"/>
      <c r="BB12" s="915"/>
      <c r="BC12" s="915"/>
      <c r="BD12" s="915"/>
      <c r="BE12" s="915"/>
      <c r="BF12" s="915"/>
      <c r="BG12" s="915"/>
      <c r="BH12" s="4"/>
    </row>
    <row r="13" spans="1:76" ht="18" customHeight="1" thickBot="1">
      <c r="A13" s="195"/>
      <c r="B13" s="89"/>
      <c r="C13" s="89"/>
      <c r="D13" s="89"/>
      <c r="E13" s="89"/>
      <c r="F13" s="89"/>
      <c r="G13" s="89"/>
      <c r="H13" s="89"/>
      <c r="I13" s="89"/>
      <c r="J13" s="89"/>
      <c r="K13" s="89"/>
      <c r="L13" s="89"/>
      <c r="M13" s="11" t="s">
        <v>341</v>
      </c>
      <c r="N13" s="89"/>
      <c r="O13" s="89"/>
      <c r="P13" s="89"/>
      <c r="Q13" s="89"/>
      <c r="R13" s="89"/>
      <c r="S13" s="89"/>
      <c r="T13" s="196"/>
      <c r="U13" s="908" t="s">
        <v>339</v>
      </c>
      <c r="V13" s="908"/>
      <c r="W13" s="908"/>
      <c r="X13" s="908"/>
      <c r="Y13" s="913"/>
      <c r="Z13" s="913"/>
      <c r="AA13" s="913"/>
      <c r="AB13" s="913"/>
      <c r="AC13" s="913"/>
      <c r="AD13" s="89" t="s">
        <v>340</v>
      </c>
      <c r="AE13" s="913"/>
      <c r="AF13" s="913"/>
      <c r="AG13" s="913"/>
      <c r="AH13" s="913"/>
      <c r="AI13" s="913"/>
      <c r="AJ13" s="913"/>
      <c r="AK13" s="913"/>
      <c r="AL13" s="913"/>
      <c r="AM13" s="89"/>
      <c r="AN13" s="90"/>
      <c r="AO13" s="5"/>
      <c r="AP13" s="150" t="s">
        <v>546</v>
      </c>
      <c r="AT13" s="989">
        <f>PV!K81</f>
        <v>13.32</v>
      </c>
      <c r="AU13" s="990"/>
      <c r="AV13" s="89" t="s">
        <v>4</v>
      </c>
      <c r="AY13" s="150" t="s">
        <v>547</v>
      </c>
      <c r="BD13" s="990"/>
      <c r="BE13" s="990"/>
      <c r="BF13" t="s">
        <v>49</v>
      </c>
      <c r="BH13" s="4"/>
    </row>
    <row r="14" spans="1:76" ht="18" customHeight="1" thickBot="1">
      <c r="A14" s="195" t="s">
        <v>342</v>
      </c>
      <c r="T14" s="196"/>
      <c r="U14" s="89"/>
      <c r="V14" s="89"/>
      <c r="W14" s="89"/>
      <c r="X14" s="89"/>
      <c r="Y14" s="89"/>
      <c r="Z14" s="89"/>
      <c r="AA14" s="89"/>
      <c r="AB14" s="89"/>
      <c r="AC14" s="89"/>
      <c r="AD14" s="89"/>
      <c r="AE14" s="89"/>
      <c r="AF14" s="89"/>
      <c r="AG14" s="11" t="s">
        <v>341</v>
      </c>
      <c r="AH14" s="89"/>
      <c r="AI14" s="89"/>
      <c r="AJ14" s="89"/>
      <c r="AK14" s="89"/>
      <c r="AL14" s="89"/>
      <c r="AM14" s="89"/>
      <c r="AN14" s="90"/>
      <c r="AO14" s="5"/>
      <c r="BH14" s="4"/>
      <c r="BN14" s="135"/>
      <c r="BO14" s="136" t="s">
        <v>548</v>
      </c>
      <c r="BP14" s="137" t="s">
        <v>144</v>
      </c>
      <c r="BQ14" s="138" t="s">
        <v>549</v>
      </c>
    </row>
    <row r="15" spans="1:76" ht="18" customHeight="1" thickBot="1">
      <c r="A15" s="827" t="s">
        <v>1023</v>
      </c>
      <c r="B15" s="828"/>
      <c r="C15" s="828"/>
      <c r="D15" s="828"/>
      <c r="E15" s="828"/>
      <c r="F15" s="828"/>
      <c r="G15" s="828"/>
      <c r="H15" s="828"/>
      <c r="I15" s="828"/>
      <c r="J15" s="828"/>
      <c r="K15" s="828"/>
      <c r="L15" s="828"/>
      <c r="M15" s="828"/>
      <c r="N15" s="828"/>
      <c r="O15" s="828"/>
      <c r="P15" s="828"/>
      <c r="Q15" s="828"/>
      <c r="R15" s="828"/>
      <c r="S15" s="828"/>
      <c r="T15" s="829"/>
      <c r="U15" s="89" t="s">
        <v>342</v>
      </c>
      <c r="V15" s="89"/>
      <c r="W15" s="89"/>
      <c r="X15" s="89"/>
      <c r="Y15" s="89"/>
      <c r="Z15" s="89"/>
      <c r="AA15" s="89"/>
      <c r="AB15" s="89"/>
      <c r="AC15" s="89"/>
      <c r="AD15" s="89"/>
      <c r="AE15" s="89"/>
      <c r="AF15" s="89"/>
      <c r="AG15" s="89"/>
      <c r="AH15" s="89"/>
      <c r="AI15" s="89"/>
      <c r="AJ15" s="89"/>
      <c r="AK15" s="89"/>
      <c r="AL15" s="89"/>
      <c r="AM15" s="89"/>
      <c r="AN15" s="90"/>
      <c r="AO15" s="5"/>
      <c r="AP15" s="145"/>
      <c r="AQ15" s="988" t="s">
        <v>548</v>
      </c>
      <c r="AR15" s="988"/>
      <c r="AS15" s="988"/>
      <c r="AT15" s="988"/>
      <c r="AU15" s="988"/>
      <c r="AV15" s="988"/>
      <c r="AW15" s="988"/>
      <c r="AX15" s="988"/>
      <c r="AY15" s="988"/>
      <c r="AZ15" s="988"/>
      <c r="BA15" s="988"/>
      <c r="BB15" s="988"/>
      <c r="BC15" s="988" t="s">
        <v>144</v>
      </c>
      <c r="BD15" s="988"/>
      <c r="BE15" s="988" t="s">
        <v>568</v>
      </c>
      <c r="BF15" s="988"/>
      <c r="BG15" s="988"/>
      <c r="BH15" s="90"/>
      <c r="BN15" s="139" t="s">
        <v>567</v>
      </c>
      <c r="BO15" s="140" t="s">
        <v>550</v>
      </c>
      <c r="BP15" s="141" t="s">
        <v>203</v>
      </c>
      <c r="BQ15" s="135"/>
    </row>
    <row r="16" spans="1:76" ht="18" customHeight="1" thickBot="1">
      <c r="A16" s="827" t="s">
        <v>344</v>
      </c>
      <c r="B16" s="828"/>
      <c r="C16" s="828"/>
      <c r="D16" s="925">
        <f>PV!K81</f>
        <v>13.32</v>
      </c>
      <c r="E16" s="925"/>
      <c r="F16" s="925"/>
      <c r="G16" s="828" t="s">
        <v>49</v>
      </c>
      <c r="H16" s="828"/>
      <c r="I16" s="828" t="s">
        <v>345</v>
      </c>
      <c r="J16" s="828"/>
      <c r="K16" s="828"/>
      <c r="L16" s="828"/>
      <c r="M16" s="926">
        <f>D9</f>
        <v>0</v>
      </c>
      <c r="N16" s="926"/>
      <c r="O16" s="926"/>
      <c r="P16" s="926"/>
      <c r="Q16" s="926"/>
      <c r="R16" s="926"/>
      <c r="S16" s="926"/>
      <c r="T16" s="927"/>
      <c r="U16" s="828" t="str">
        <f>IF(PV!AC50="PC","Projekt oraz wykonanie instalacji pompy ciepła + C.W.U","Projekt oraz wykonanie instalacji kotła peletowego")</f>
        <v>Projekt oraz wykonanie instalacji kotła peletowego</v>
      </c>
      <c r="V16" s="828"/>
      <c r="W16" s="828"/>
      <c r="X16" s="828"/>
      <c r="Y16" s="828"/>
      <c r="Z16" s="828"/>
      <c r="AA16" s="828"/>
      <c r="AB16" s="828"/>
      <c r="AC16" s="828"/>
      <c r="AD16" s="828"/>
      <c r="AE16" s="828"/>
      <c r="AF16" s="828"/>
      <c r="AG16" s="828"/>
      <c r="AH16" s="828"/>
      <c r="AI16" s="828"/>
      <c r="AJ16" s="828"/>
      <c r="AK16" s="828"/>
      <c r="AL16" s="828"/>
      <c r="AM16" s="828"/>
      <c r="AN16" s="954"/>
      <c r="AO16" s="5"/>
      <c r="AP16" s="145">
        <v>1</v>
      </c>
      <c r="AQ16" s="968" t="s">
        <v>550</v>
      </c>
      <c r="AR16" s="968"/>
      <c r="AS16" s="968"/>
      <c r="AT16" s="968"/>
      <c r="AU16" s="968"/>
      <c r="AV16" s="968"/>
      <c r="AW16" s="968"/>
      <c r="AX16" s="968"/>
      <c r="AY16" s="968"/>
      <c r="AZ16" s="968"/>
      <c r="BA16" s="968"/>
      <c r="BB16" s="968"/>
      <c r="BC16" s="151">
        <f>PV!R218</f>
        <v>24</v>
      </c>
      <c r="BD16" s="145" t="s">
        <v>203</v>
      </c>
      <c r="BE16" s="1015" t="e">
        <f>$BE$27*BJ18</f>
        <v>#N/A</v>
      </c>
      <c r="BF16" s="1015"/>
      <c r="BG16" s="1015"/>
      <c r="BH16" s="90"/>
      <c r="BN16" s="135"/>
      <c r="BO16" s="140" t="s">
        <v>551</v>
      </c>
      <c r="BP16" s="135"/>
      <c r="BQ16" s="135"/>
    </row>
    <row r="17" spans="1:78" ht="18" customHeight="1" thickBot="1">
      <c r="A17" s="827"/>
      <c r="B17" s="828"/>
      <c r="C17" s="828"/>
      <c r="D17" s="925"/>
      <c r="E17" s="925"/>
      <c r="F17" s="925"/>
      <c r="G17" s="828"/>
      <c r="H17" s="828"/>
      <c r="I17" s="828"/>
      <c r="J17" s="828"/>
      <c r="K17" s="828"/>
      <c r="L17" s="828"/>
      <c r="M17" s="926"/>
      <c r="N17" s="926"/>
      <c r="O17" s="926"/>
      <c r="P17" s="926"/>
      <c r="Q17" s="926"/>
      <c r="R17" s="926"/>
      <c r="S17" s="926"/>
      <c r="T17" s="927"/>
      <c r="U17" s="828"/>
      <c r="V17" s="828"/>
      <c r="W17" s="828"/>
      <c r="X17" s="828"/>
      <c r="Y17" s="828"/>
      <c r="Z17" s="828"/>
      <c r="AA17" s="828"/>
      <c r="AB17" s="828"/>
      <c r="AC17" s="828"/>
      <c r="AD17" s="828"/>
      <c r="AE17" s="828"/>
      <c r="AF17" s="828"/>
      <c r="AG17" s="828"/>
      <c r="AH17" s="828"/>
      <c r="AI17" s="828"/>
      <c r="AJ17" s="828"/>
      <c r="AK17" s="828"/>
      <c r="AL17" s="828"/>
      <c r="AM17" s="828"/>
      <c r="AN17" s="954"/>
      <c r="AO17" s="5"/>
      <c r="AP17" s="145"/>
      <c r="AQ17" s="968" t="str">
        <f>PV!J84</f>
        <v>TW Solar TW555-MAP M10-144-H</v>
      </c>
      <c r="AR17" s="968"/>
      <c r="AS17" s="968"/>
      <c r="AT17" s="968"/>
      <c r="AU17" s="968"/>
      <c r="AV17" s="968"/>
      <c r="AW17" s="968"/>
      <c r="AX17" s="968"/>
      <c r="AY17" s="968"/>
      <c r="AZ17" s="968"/>
      <c r="BA17" s="968"/>
      <c r="BB17" s="968"/>
      <c r="BC17" s="991"/>
      <c r="BD17" s="992"/>
      <c r="BE17" s="1016"/>
      <c r="BF17" s="1016"/>
      <c r="BG17" s="1016"/>
      <c r="BH17" s="90"/>
      <c r="BN17" s="140">
        <v>2</v>
      </c>
      <c r="BO17" s="140" t="s">
        <v>552</v>
      </c>
      <c r="BP17" s="141" t="s">
        <v>553</v>
      </c>
      <c r="BQ17" s="135"/>
    </row>
    <row r="18" spans="1:78" ht="18" customHeight="1" thickBot="1">
      <c r="A18" s="912" t="s">
        <v>346</v>
      </c>
      <c r="B18" s="908"/>
      <c r="C18" s="908"/>
      <c r="D18" s="908"/>
      <c r="E18" s="908"/>
      <c r="F18" s="908"/>
      <c r="G18" s="928">
        <f>PV!U55</f>
        <v>0</v>
      </c>
      <c r="H18" s="928"/>
      <c r="I18" s="928"/>
      <c r="J18" s="928"/>
      <c r="K18" s="928"/>
      <c r="L18" s="89" t="s">
        <v>332</v>
      </c>
      <c r="M18" s="89"/>
      <c r="N18" s="929">
        <f>PV!U56</f>
        <v>0</v>
      </c>
      <c r="O18" s="929"/>
      <c r="P18" s="929"/>
      <c r="Q18" s="929"/>
      <c r="R18" s="929"/>
      <c r="T18" s="163"/>
      <c r="U18" s="828" t="s">
        <v>344</v>
      </c>
      <c r="V18" s="828"/>
      <c r="W18" s="828"/>
      <c r="X18" s="1024">
        <f>D16</f>
        <v>13.32</v>
      </c>
      <c r="Y18" s="828"/>
      <c r="Z18" s="828"/>
      <c r="AA18" s="828" t="s">
        <v>49</v>
      </c>
      <c r="AB18" s="828"/>
      <c r="AC18" s="828" t="s">
        <v>345</v>
      </c>
      <c r="AD18" s="828"/>
      <c r="AE18" s="828"/>
      <c r="AF18" s="828"/>
      <c r="AG18" s="828">
        <f>PV!U52</f>
        <v>0</v>
      </c>
      <c r="AH18" s="828"/>
      <c r="AI18" s="828"/>
      <c r="AJ18" s="828"/>
      <c r="AK18" s="828"/>
      <c r="AL18" s="828"/>
      <c r="AM18" s="828"/>
      <c r="AN18" s="954"/>
      <c r="AO18" s="5"/>
      <c r="AP18" s="145">
        <v>2</v>
      </c>
      <c r="AQ18" s="968" t="s">
        <v>552</v>
      </c>
      <c r="AR18" s="968"/>
      <c r="AS18" s="968"/>
      <c r="AT18" s="968"/>
      <c r="AU18" s="968"/>
      <c r="AV18" s="968"/>
      <c r="AW18" s="968"/>
      <c r="AX18" s="968"/>
      <c r="AY18" s="968"/>
      <c r="AZ18" s="968"/>
      <c r="BA18" s="968"/>
      <c r="BB18" s="968"/>
      <c r="BC18" s="153">
        <f>PV!R227</f>
        <v>1</v>
      </c>
      <c r="BD18" s="145" t="s">
        <v>203</v>
      </c>
      <c r="BE18" s="1015" t="e">
        <f>$BE$27*BJ20</f>
        <v>#N/A</v>
      </c>
      <c r="BF18" s="1015"/>
      <c r="BG18" s="1015"/>
      <c r="BH18" s="90"/>
      <c r="BJ18" s="146">
        <v>0.4</v>
      </c>
      <c r="BN18" s="140">
        <v>3</v>
      </c>
      <c r="BO18" s="140" t="s">
        <v>198</v>
      </c>
      <c r="BP18" s="141" t="s">
        <v>203</v>
      </c>
      <c r="BQ18" s="135"/>
    </row>
    <row r="19" spans="1:78" ht="18" customHeight="1" thickBot="1">
      <c r="A19" s="195" t="s">
        <v>347</v>
      </c>
      <c r="B19" s="89"/>
      <c r="C19" s="89"/>
      <c r="D19" s="89"/>
      <c r="E19" s="89"/>
      <c r="F19" s="89"/>
      <c r="G19" s="89"/>
      <c r="H19" s="89"/>
      <c r="I19" s="938" t="e">
        <f>PV!P237</f>
        <v>#N/A</v>
      </c>
      <c r="J19" s="939"/>
      <c r="K19" s="939"/>
      <c r="L19" s="939"/>
      <c r="M19" s="939"/>
      <c r="N19" s="939"/>
      <c r="O19" s="939"/>
      <c r="P19" s="939"/>
      <c r="Q19" s="89" t="s">
        <v>2</v>
      </c>
      <c r="R19" s="89" t="s">
        <v>348</v>
      </c>
      <c r="S19" s="89"/>
      <c r="T19" s="163"/>
      <c r="U19" s="828"/>
      <c r="V19" s="828"/>
      <c r="W19" s="828"/>
      <c r="X19" s="828"/>
      <c r="Y19" s="828"/>
      <c r="Z19" s="828"/>
      <c r="AA19" s="828"/>
      <c r="AB19" s="828"/>
      <c r="AC19" s="828"/>
      <c r="AD19" s="828"/>
      <c r="AE19" s="828"/>
      <c r="AF19" s="828"/>
      <c r="AG19" s="828"/>
      <c r="AH19" s="828"/>
      <c r="AI19" s="828"/>
      <c r="AJ19" s="828"/>
      <c r="AK19" s="828"/>
      <c r="AL19" s="828"/>
      <c r="AM19" s="828"/>
      <c r="AN19" s="954"/>
      <c r="AO19" s="5"/>
      <c r="AP19" s="145">
        <v>3</v>
      </c>
      <c r="AQ19" s="968" t="s">
        <v>198</v>
      </c>
      <c r="AR19" s="968"/>
      <c r="AS19" s="968"/>
      <c r="AT19" s="968"/>
      <c r="AU19" s="968"/>
      <c r="AV19" s="968"/>
      <c r="AW19" s="968"/>
      <c r="AX19" s="968"/>
      <c r="AY19" s="968"/>
      <c r="AZ19" s="968"/>
      <c r="BA19" s="968"/>
      <c r="BB19" s="968"/>
      <c r="BC19" s="89">
        <f>PV!R219</f>
        <v>1</v>
      </c>
      <c r="BD19" s="145" t="s">
        <v>203</v>
      </c>
      <c r="BE19" s="1015" t="e">
        <f>$BE$27*BJ21</f>
        <v>#N/A</v>
      </c>
      <c r="BF19" s="1015"/>
      <c r="BG19" s="1015"/>
      <c r="BH19" s="90"/>
      <c r="BN19" s="135"/>
      <c r="BO19" s="140" t="s">
        <v>554</v>
      </c>
      <c r="BP19" s="135"/>
      <c r="BQ19" s="137"/>
    </row>
    <row r="20" spans="1:78" ht="18" customHeight="1">
      <c r="A20" s="316" t="s">
        <v>349</v>
      </c>
      <c r="B20" s="313"/>
      <c r="C20" s="313"/>
      <c r="D20" s="313"/>
      <c r="E20" s="313"/>
      <c r="F20" s="313"/>
      <c r="G20" s="313"/>
      <c r="H20" s="313"/>
      <c r="I20" s="89"/>
      <c r="J20" s="89"/>
      <c r="K20" s="89"/>
      <c r="L20" s="89"/>
      <c r="M20" s="89"/>
      <c r="N20" s="89"/>
      <c r="O20" s="314"/>
      <c r="P20" s="314"/>
      <c r="Q20" s="89"/>
      <c r="R20" s="89"/>
      <c r="S20" s="89"/>
      <c r="T20" s="196"/>
      <c r="U20" s="908" t="s">
        <v>346</v>
      </c>
      <c r="V20" s="908"/>
      <c r="W20" s="908"/>
      <c r="X20" s="908"/>
      <c r="Y20" s="908"/>
      <c r="Z20" s="908"/>
      <c r="AA20" s="928">
        <f>PV!U55</f>
        <v>0</v>
      </c>
      <c r="AB20" s="928"/>
      <c r="AC20" s="928"/>
      <c r="AD20" s="928"/>
      <c r="AE20" s="928"/>
      <c r="AF20" s="89" t="s">
        <v>332</v>
      </c>
      <c r="AG20" s="89"/>
      <c r="AH20" s="929">
        <f>PV!U56</f>
        <v>0</v>
      </c>
      <c r="AI20" s="908"/>
      <c r="AJ20" s="908"/>
      <c r="AK20" s="908"/>
      <c r="AL20" s="908"/>
      <c r="AM20" s="89"/>
      <c r="AN20" s="90"/>
      <c r="AO20" s="5"/>
      <c r="AP20" s="145"/>
      <c r="AQ20" s="968" t="str">
        <f>PV!H93</f>
        <v>Sofar 12KTLX-G3</v>
      </c>
      <c r="AR20" s="968"/>
      <c r="AS20" s="968"/>
      <c r="AT20" s="968"/>
      <c r="AU20" s="968"/>
      <c r="AV20" s="968"/>
      <c r="AW20" s="968"/>
      <c r="AX20" s="968"/>
      <c r="AY20" s="968"/>
      <c r="AZ20" s="968"/>
      <c r="BA20" s="968"/>
      <c r="BB20" s="968"/>
      <c r="BC20" s="991"/>
      <c r="BD20" s="992"/>
      <c r="BE20" s="1016"/>
      <c r="BF20" s="1016"/>
      <c r="BG20" s="1016"/>
      <c r="BH20" s="90"/>
      <c r="BJ20" s="146">
        <f>IF(BC18=0,0,10%)</f>
        <v>0.1</v>
      </c>
      <c r="BN20" s="1006">
        <v>4</v>
      </c>
      <c r="BO20" s="140" t="s">
        <v>555</v>
      </c>
      <c r="BP20" s="1009" t="s">
        <v>558</v>
      </c>
      <c r="BQ20" s="1012"/>
    </row>
    <row r="21" spans="1:78" ht="18" customHeight="1">
      <c r="A21" s="195"/>
      <c r="B21" s="906" t="s">
        <v>351</v>
      </c>
      <c r="C21" s="906"/>
      <c r="D21" s="906"/>
      <c r="E21" s="906"/>
      <c r="F21" s="906"/>
      <c r="G21" s="906"/>
      <c r="H21" s="906"/>
      <c r="I21" s="331">
        <f>PV!B84</f>
        <v>24</v>
      </c>
      <c r="J21" s="331"/>
      <c r="K21" s="313" t="s">
        <v>60</v>
      </c>
      <c r="L21" s="313"/>
      <c r="M21" s="313"/>
      <c r="N21" s="313"/>
      <c r="O21" s="89"/>
      <c r="P21" s="89"/>
      <c r="Q21" s="89"/>
      <c r="R21" s="89"/>
      <c r="S21" s="89"/>
      <c r="T21" s="196"/>
      <c r="U21" s="89"/>
      <c r="V21" s="89"/>
      <c r="W21" s="89"/>
      <c r="X21" s="89"/>
      <c r="Y21" s="89"/>
      <c r="Z21" s="89"/>
      <c r="AB21" s="89"/>
      <c r="AC21" s="89"/>
      <c r="AD21" s="89"/>
      <c r="AE21" s="89"/>
      <c r="AF21" s="89"/>
      <c r="AG21" s="89"/>
      <c r="AH21" s="89"/>
      <c r="AI21" s="89"/>
      <c r="AJ21" s="89"/>
      <c r="AK21" s="89"/>
      <c r="AL21" s="89"/>
      <c r="AM21" s="89"/>
      <c r="AN21" s="90"/>
      <c r="AO21" s="5"/>
      <c r="AP21" s="145">
        <v>4</v>
      </c>
      <c r="AQ21" s="968" t="s">
        <v>569</v>
      </c>
      <c r="AR21" s="968"/>
      <c r="AS21" s="968"/>
      <c r="AT21" s="968"/>
      <c r="AU21" s="968"/>
      <c r="AV21" s="968"/>
      <c r="AW21" s="968"/>
      <c r="AX21" s="968"/>
      <c r="AY21" s="968"/>
      <c r="AZ21" s="968"/>
      <c r="BA21" s="968"/>
      <c r="BB21" s="968"/>
      <c r="BC21" s="1002">
        <v>1</v>
      </c>
      <c r="BD21" s="1002" t="s">
        <v>570</v>
      </c>
      <c r="BE21" s="993" t="e">
        <f>$BE$27*BJ23</f>
        <v>#N/A</v>
      </c>
      <c r="BF21" s="994"/>
      <c r="BG21" s="995"/>
      <c r="BH21" s="90"/>
      <c r="BJ21" s="146">
        <f>IF(BC18=0,20%,10%)</f>
        <v>0.1</v>
      </c>
      <c r="BN21" s="1007"/>
      <c r="BO21" s="142" t="s">
        <v>556</v>
      </c>
      <c r="BP21" s="1010"/>
      <c r="BQ21" s="1013"/>
    </row>
    <row r="22" spans="1:78" ht="18" customHeight="1" thickBot="1">
      <c r="A22" s="195"/>
      <c r="B22" s="906" t="s">
        <v>352</v>
      </c>
      <c r="C22" s="906"/>
      <c r="D22" s="906"/>
      <c r="E22" s="906"/>
      <c r="F22" s="317">
        <f>PV!R219</f>
        <v>1</v>
      </c>
      <c r="G22" s="317"/>
      <c r="H22" s="317" t="s">
        <v>60</v>
      </c>
      <c r="I22" s="317"/>
      <c r="J22" s="317"/>
      <c r="K22" s="317"/>
      <c r="L22" s="317"/>
      <c r="M22" s="317"/>
      <c r="N22" s="313"/>
      <c r="O22" s="89"/>
      <c r="P22" s="89"/>
      <c r="Q22" s="89"/>
      <c r="R22" s="89"/>
      <c r="S22" s="89"/>
      <c r="T22" s="196"/>
      <c r="U22" s="89" t="s">
        <v>347</v>
      </c>
      <c r="V22" s="89"/>
      <c r="W22" s="89"/>
      <c r="X22" s="89"/>
      <c r="Y22" s="89"/>
      <c r="Z22" s="89"/>
      <c r="AA22" s="89"/>
      <c r="AB22" s="89"/>
      <c r="AC22" s="952" t="e">
        <f>I19</f>
        <v>#N/A</v>
      </c>
      <c r="AD22" s="952"/>
      <c r="AE22" s="952"/>
      <c r="AF22" s="952"/>
      <c r="AG22" s="952"/>
      <c r="AH22" s="952"/>
      <c r="AI22" s="952"/>
      <c r="AJ22" s="952"/>
      <c r="AK22" s="89" t="s">
        <v>2</v>
      </c>
      <c r="AL22" s="89" t="s">
        <v>348</v>
      </c>
      <c r="AM22" s="89"/>
      <c r="AN22" s="90"/>
      <c r="AO22" s="5"/>
      <c r="AP22" s="145"/>
      <c r="AQ22" s="968" t="str">
        <f>PV!P71</f>
        <v>Dachówka</v>
      </c>
      <c r="AR22" s="968"/>
      <c r="AS22" s="968"/>
      <c r="AT22" s="968"/>
      <c r="AU22" s="968"/>
      <c r="AV22" s="968"/>
      <c r="AW22" s="968"/>
      <c r="AX22" s="968"/>
      <c r="AY22" s="968"/>
      <c r="AZ22" s="968"/>
      <c r="BA22" s="968"/>
      <c r="BB22" s="968"/>
      <c r="BC22" s="1003"/>
      <c r="BD22" s="1003"/>
      <c r="BE22" s="996"/>
      <c r="BF22" s="997"/>
      <c r="BG22" s="998"/>
      <c r="BH22" s="90"/>
      <c r="BN22" s="1008"/>
      <c r="BO22" s="143" t="s">
        <v>557</v>
      </c>
      <c r="BP22" s="1011"/>
      <c r="BQ22" s="1014"/>
    </row>
    <row r="23" spans="1:78" ht="18" customHeight="1" thickBot="1">
      <c r="A23" s="195"/>
      <c r="B23" s="906" t="s">
        <v>657</v>
      </c>
      <c r="C23" s="906"/>
      <c r="D23" s="906"/>
      <c r="E23" s="906"/>
      <c r="F23" s="906"/>
      <c r="G23" s="906"/>
      <c r="H23" s="906"/>
      <c r="I23" s="906"/>
      <c r="J23" s="906"/>
      <c r="K23" s="906"/>
      <c r="L23" s="906"/>
      <c r="M23" s="906"/>
      <c r="N23" s="906"/>
      <c r="O23" s="89"/>
      <c r="P23" s="89"/>
      <c r="Q23" s="89"/>
      <c r="R23" s="89"/>
      <c r="S23" s="89"/>
      <c r="T23" s="196"/>
      <c r="U23" s="89"/>
      <c r="V23" s="89"/>
      <c r="W23" s="89"/>
      <c r="X23" s="89"/>
      <c r="Y23" s="89"/>
      <c r="Z23" s="89"/>
      <c r="AA23" s="89"/>
      <c r="AB23" s="89"/>
      <c r="AC23" s="89"/>
      <c r="AD23" s="89"/>
      <c r="AE23" s="89"/>
      <c r="AF23" s="89"/>
      <c r="AG23" s="89"/>
      <c r="AH23" s="89"/>
      <c r="AI23" s="89"/>
      <c r="AJ23" s="89"/>
      <c r="AK23" s="89"/>
      <c r="AL23" s="89"/>
      <c r="AM23" s="89"/>
      <c r="AN23" s="90"/>
      <c r="AO23" s="5"/>
      <c r="AP23" s="145">
        <v>5</v>
      </c>
      <c r="AQ23" s="999" t="s">
        <v>559</v>
      </c>
      <c r="AR23" s="1000"/>
      <c r="AS23" s="1000"/>
      <c r="AT23" s="1000"/>
      <c r="AU23" s="1000"/>
      <c r="AV23" s="1000"/>
      <c r="AW23" s="1000"/>
      <c r="AX23" s="1000"/>
      <c r="AY23" s="1000"/>
      <c r="AZ23" s="1000"/>
      <c r="BA23" s="1000"/>
      <c r="BB23" s="1001"/>
      <c r="BC23" s="145">
        <v>1</v>
      </c>
      <c r="BD23" s="145" t="s">
        <v>570</v>
      </c>
      <c r="BE23" s="985" t="e">
        <f>$BE$27*BJ26</f>
        <v>#N/A</v>
      </c>
      <c r="BF23" s="986"/>
      <c r="BG23" s="987"/>
      <c r="BH23" s="90"/>
      <c r="BJ23" s="1019">
        <v>0.05</v>
      </c>
      <c r="BN23" s="140">
        <v>5</v>
      </c>
      <c r="BO23" s="140" t="s">
        <v>559</v>
      </c>
      <c r="BP23" s="141" t="s">
        <v>558</v>
      </c>
    </row>
    <row r="24" spans="1:78" ht="18" customHeight="1" thickBot="1">
      <c r="A24" s="195"/>
      <c r="B24" s="906" t="s">
        <v>354</v>
      </c>
      <c r="C24" s="906"/>
      <c r="D24" s="906"/>
      <c r="E24" s="906"/>
      <c r="F24" s="906"/>
      <c r="G24" s="906"/>
      <c r="H24" s="906"/>
      <c r="I24" s="906"/>
      <c r="J24" s="906"/>
      <c r="K24" s="906"/>
      <c r="L24" s="906"/>
      <c r="M24" s="906"/>
      <c r="N24" s="906"/>
      <c r="O24" s="89"/>
      <c r="P24" s="89"/>
      <c r="Q24" s="89"/>
      <c r="R24" s="89"/>
      <c r="S24" s="89"/>
      <c r="T24" s="196"/>
      <c r="U24" s="916" t="s">
        <v>349</v>
      </c>
      <c r="V24" s="916"/>
      <c r="W24" s="916"/>
      <c r="X24" s="916"/>
      <c r="Y24" s="916"/>
      <c r="Z24" s="916"/>
      <c r="AA24" s="916"/>
      <c r="AB24" s="916"/>
      <c r="AC24" s="89"/>
      <c r="AD24" s="89"/>
      <c r="AE24" s="89"/>
      <c r="AF24" s="89"/>
      <c r="AG24" s="89"/>
      <c r="AH24" s="89"/>
      <c r="AI24" s="908"/>
      <c r="AJ24" s="908"/>
      <c r="AK24" s="89"/>
      <c r="AL24" s="89"/>
      <c r="AM24" s="89"/>
      <c r="AN24" s="90"/>
      <c r="AO24" s="5"/>
      <c r="AP24" s="145">
        <v>6</v>
      </c>
      <c r="AQ24" s="999" t="s">
        <v>561</v>
      </c>
      <c r="AR24" s="1000"/>
      <c r="AS24" s="1000"/>
      <c r="AT24" s="1000"/>
      <c r="AU24" s="1000"/>
      <c r="AV24" s="1000"/>
      <c r="AW24" s="1000"/>
      <c r="AX24" s="1000"/>
      <c r="AY24" s="1000"/>
      <c r="AZ24" s="1000"/>
      <c r="BA24" s="1000"/>
      <c r="BB24" s="1001"/>
      <c r="BC24" s="145">
        <v>1</v>
      </c>
      <c r="BD24" s="145" t="s">
        <v>570</v>
      </c>
      <c r="BE24" s="985" t="e">
        <f>$BE$27*BJ27</f>
        <v>#N/A</v>
      </c>
      <c r="BF24" s="986"/>
      <c r="BG24" s="987"/>
      <c r="BH24" s="90"/>
      <c r="BJ24" s="941"/>
      <c r="BN24" s="140" t="s">
        <v>560</v>
      </c>
      <c r="BO24" s="140" t="s">
        <v>561</v>
      </c>
      <c r="BP24" s="141" t="s">
        <v>562</v>
      </c>
    </row>
    <row r="25" spans="1:78" ht="18" customHeight="1" thickBot="1">
      <c r="A25" s="195"/>
      <c r="B25" s="907" t="s">
        <v>355</v>
      </c>
      <c r="C25" s="907"/>
      <c r="D25" s="907"/>
      <c r="E25" s="907"/>
      <c r="F25" s="907"/>
      <c r="G25" s="907"/>
      <c r="H25" s="907"/>
      <c r="I25" s="907"/>
      <c r="J25" s="907"/>
      <c r="K25" s="907"/>
      <c r="L25" s="907"/>
      <c r="M25" s="907"/>
      <c r="N25" s="907"/>
      <c r="O25" s="111"/>
      <c r="P25" s="111"/>
      <c r="Q25" s="111"/>
      <c r="R25" s="111"/>
      <c r="S25" s="111"/>
      <c r="T25" s="199"/>
      <c r="U25" s="330"/>
      <c r="V25" s="906" t="s">
        <v>931</v>
      </c>
      <c r="W25" s="906"/>
      <c r="X25" s="906"/>
      <c r="Y25" s="906"/>
      <c r="Z25" s="906"/>
      <c r="AA25" s="906"/>
      <c r="AB25" s="906"/>
      <c r="AC25" s="906"/>
      <c r="AD25" s="906"/>
      <c r="AE25" s="906"/>
      <c r="AF25" s="91"/>
      <c r="AG25" s="91"/>
      <c r="AH25" s="91"/>
      <c r="AI25" s="91"/>
      <c r="AJ25" s="91"/>
      <c r="AK25" s="89"/>
      <c r="AL25" s="89"/>
      <c r="AM25" s="89"/>
      <c r="AN25" s="90"/>
      <c r="AO25" s="5"/>
      <c r="AP25" s="145">
        <v>7</v>
      </c>
      <c r="AQ25" s="999" t="s">
        <v>563</v>
      </c>
      <c r="AR25" s="1000"/>
      <c r="AS25" s="1000"/>
      <c r="AT25" s="1000"/>
      <c r="AU25" s="1000"/>
      <c r="AV25" s="1000"/>
      <c r="AW25" s="1000"/>
      <c r="AX25" s="1000"/>
      <c r="AY25" s="1000"/>
      <c r="AZ25" s="1000"/>
      <c r="BA25" s="1000"/>
      <c r="BB25" s="1001"/>
      <c r="BC25" s="145">
        <v>1</v>
      </c>
      <c r="BD25" s="145" t="s">
        <v>570</v>
      </c>
      <c r="BE25" s="985" t="e">
        <f>$BE$27*BJ28</f>
        <v>#N/A</v>
      </c>
      <c r="BF25" s="986"/>
      <c r="BG25" s="987"/>
      <c r="BH25" s="90"/>
      <c r="BJ25" s="941"/>
      <c r="BN25" s="140">
        <v>7</v>
      </c>
      <c r="BO25" s="140" t="s">
        <v>563</v>
      </c>
      <c r="BP25" s="141" t="s">
        <v>564</v>
      </c>
    </row>
    <row r="26" spans="1:78" ht="18" customHeight="1">
      <c r="A26" s="195"/>
      <c r="B26" s="907" t="s">
        <v>356</v>
      </c>
      <c r="C26" s="907"/>
      <c r="D26" s="907"/>
      <c r="E26" s="907"/>
      <c r="F26" s="907"/>
      <c r="G26" s="907"/>
      <c r="H26" s="907"/>
      <c r="I26" s="907"/>
      <c r="J26" s="907"/>
      <c r="K26" s="907"/>
      <c r="L26" s="907"/>
      <c r="M26" s="907"/>
      <c r="N26" s="907"/>
      <c r="O26" s="112"/>
      <c r="P26" s="112"/>
      <c r="Q26" s="112"/>
      <c r="R26" s="112"/>
      <c r="S26" s="112"/>
      <c r="T26" s="197"/>
      <c r="U26" s="330"/>
      <c r="V26" s="1027" t="s">
        <v>678</v>
      </c>
      <c r="W26" s="1027"/>
      <c r="X26" s="1027"/>
      <c r="Y26" s="1027"/>
      <c r="Z26" s="1027"/>
      <c r="AA26" s="1027"/>
      <c r="AB26" s="1027"/>
      <c r="AC26" s="1027"/>
      <c r="AD26" s="1027"/>
      <c r="AE26" s="1027"/>
      <c r="AF26" s="89"/>
      <c r="AG26" s="89"/>
      <c r="AH26" s="89"/>
      <c r="AI26" s="89"/>
      <c r="AJ26" s="89"/>
      <c r="AK26" s="89"/>
      <c r="AL26" s="89"/>
      <c r="AM26" s="89"/>
      <c r="AN26" s="90"/>
      <c r="AO26" s="5"/>
      <c r="AP26" s="145">
        <v>8</v>
      </c>
      <c r="AQ26" s="999" t="s">
        <v>566</v>
      </c>
      <c r="AR26" s="1000"/>
      <c r="AS26" s="1000"/>
      <c r="AT26" s="1000"/>
      <c r="AU26" s="1000"/>
      <c r="AV26" s="1000"/>
      <c r="AW26" s="1000"/>
      <c r="AX26" s="1000"/>
      <c r="AY26" s="1000"/>
      <c r="AZ26" s="1000"/>
      <c r="BA26" s="1000"/>
      <c r="BB26" s="1001"/>
      <c r="BC26" s="145">
        <v>1</v>
      </c>
      <c r="BD26" s="145" t="s">
        <v>570</v>
      </c>
      <c r="BE26" s="985" t="e">
        <f>$BE$27*BJ29</f>
        <v>#N/A</v>
      </c>
      <c r="BF26" s="986"/>
      <c r="BG26" s="987"/>
      <c r="BH26" s="90"/>
      <c r="BJ26" s="146">
        <v>0.1</v>
      </c>
      <c r="BN26" s="139" t="s">
        <v>565</v>
      </c>
      <c r="BO26" s="140" t="s">
        <v>566</v>
      </c>
      <c r="BP26" s="144" t="s">
        <v>558</v>
      </c>
    </row>
    <row r="27" spans="1:78" ht="18" customHeight="1">
      <c r="A27" s="198"/>
      <c r="B27" s="905" t="s">
        <v>1031</v>
      </c>
      <c r="C27" s="905"/>
      <c r="D27" s="905"/>
      <c r="E27" s="905"/>
      <c r="F27" s="905"/>
      <c r="G27" s="905"/>
      <c r="H27" s="905"/>
      <c r="I27" s="905"/>
      <c r="J27" s="905"/>
      <c r="K27" s="905"/>
      <c r="L27" s="905"/>
      <c r="M27" s="905"/>
      <c r="N27" s="905"/>
      <c r="T27" s="163"/>
      <c r="U27" s="330"/>
      <c r="V27" s="906" t="s">
        <v>354</v>
      </c>
      <c r="W27" s="906"/>
      <c r="X27" s="906"/>
      <c r="Y27" s="906"/>
      <c r="Z27" s="906"/>
      <c r="AA27" s="906"/>
      <c r="AB27" s="906"/>
      <c r="AC27" s="906"/>
      <c r="AD27" s="906"/>
      <c r="AE27" s="906"/>
      <c r="AF27" s="91"/>
      <c r="AG27" s="91"/>
      <c r="AH27" s="89"/>
      <c r="AI27" s="89"/>
      <c r="AJ27" s="89"/>
      <c r="AK27" s="89"/>
      <c r="AL27" s="89"/>
      <c r="AM27" s="89"/>
      <c r="AN27" s="90"/>
      <c r="AO27" s="5"/>
      <c r="AP27" s="89"/>
      <c r="AQ27" s="89"/>
      <c r="AR27" s="89"/>
      <c r="AS27" s="89"/>
      <c r="AT27" s="89"/>
      <c r="AU27" s="89"/>
      <c r="AV27" s="89"/>
      <c r="AW27" s="89"/>
      <c r="AX27" s="89"/>
      <c r="AY27" s="89" t="s">
        <v>572</v>
      </c>
      <c r="AZ27" s="89"/>
      <c r="BA27" s="89"/>
      <c r="BB27" s="89" t="s">
        <v>571</v>
      </c>
      <c r="BC27" s="89"/>
      <c r="BD27" s="89"/>
      <c r="BE27" s="985" t="e">
        <f>PV!T234</f>
        <v>#N/A</v>
      </c>
      <c r="BF27" s="986"/>
      <c r="BG27" s="987"/>
      <c r="BH27" s="90"/>
      <c r="BJ27" s="146">
        <v>0.05</v>
      </c>
    </row>
    <row r="28" spans="1:78" ht="18" customHeight="1">
      <c r="A28" s="195" t="s">
        <v>357</v>
      </c>
      <c r="B28" s="89"/>
      <c r="C28" s="89"/>
      <c r="D28" s="89"/>
      <c r="E28" s="89"/>
      <c r="F28" s="89"/>
      <c r="G28" s="89"/>
      <c r="H28" s="89"/>
      <c r="I28" s="89"/>
      <c r="J28" s="89"/>
      <c r="K28" s="89"/>
      <c r="L28" s="89"/>
      <c r="M28" s="89"/>
      <c r="N28" s="89"/>
      <c r="O28" s="89"/>
      <c r="P28" s="89"/>
      <c r="Q28" s="89"/>
      <c r="R28" s="89"/>
      <c r="S28" s="89"/>
      <c r="T28" s="196"/>
      <c r="U28" s="330"/>
      <c r="V28" s="1026" t="s">
        <v>371</v>
      </c>
      <c r="W28" s="1026"/>
      <c r="X28" s="1026"/>
      <c r="Y28" s="1026"/>
      <c r="Z28" s="1026"/>
      <c r="AA28" s="1026"/>
      <c r="AB28" s="1026"/>
      <c r="AC28" s="1026"/>
      <c r="AD28" s="1026"/>
      <c r="AE28" s="1026"/>
      <c r="AF28" s="112"/>
      <c r="AG28" s="112"/>
      <c r="AH28" s="112"/>
      <c r="AI28" s="112"/>
      <c r="AJ28" s="112"/>
      <c r="AK28" s="112"/>
      <c r="AL28" s="112"/>
      <c r="AM28" s="112"/>
      <c r="AN28" s="194"/>
      <c r="AO28" s="5"/>
      <c r="AP28" s="89"/>
      <c r="AQ28" s="89"/>
      <c r="AR28" s="89"/>
      <c r="AS28" s="89"/>
      <c r="AT28" s="89"/>
      <c r="AU28" s="89"/>
      <c r="AV28" s="89"/>
      <c r="AW28" s="89"/>
      <c r="AX28" s="89"/>
      <c r="AY28" s="89"/>
      <c r="AZ28" s="89"/>
      <c r="BA28" s="89"/>
      <c r="BB28" s="89" t="s">
        <v>573</v>
      </c>
      <c r="BC28" s="89"/>
      <c r="BD28" s="89"/>
      <c r="BE28" s="985" t="e">
        <f>PV!AB234</f>
        <v>#N/A</v>
      </c>
      <c r="BF28" s="986"/>
      <c r="BG28" s="987"/>
      <c r="BH28" s="90"/>
      <c r="BJ28" s="146">
        <v>0.15</v>
      </c>
    </row>
    <row r="29" spans="1:78" ht="18" customHeight="1">
      <c r="A29" s="195" t="s">
        <v>358</v>
      </c>
      <c r="B29" s="89"/>
      <c r="C29" s="89"/>
      <c r="D29" s="89"/>
      <c r="E29" s="89"/>
      <c r="F29" s="89"/>
      <c r="G29" s="89"/>
      <c r="H29" s="89"/>
      <c r="I29" s="89"/>
      <c r="J29" s="89"/>
      <c r="K29" s="89"/>
      <c r="L29" s="89"/>
      <c r="M29" s="89"/>
      <c r="N29" s="89"/>
      <c r="O29" s="89"/>
      <c r="P29" s="89"/>
      <c r="Q29" s="89"/>
      <c r="R29" s="89"/>
      <c r="S29" s="89"/>
      <c r="T29" s="196"/>
      <c r="U29" s="330"/>
      <c r="V29" s="1026" t="s">
        <v>373</v>
      </c>
      <c r="W29" s="1026"/>
      <c r="X29" s="1026"/>
      <c r="Y29" s="1026"/>
      <c r="Z29" s="1026"/>
      <c r="AA29" s="1026"/>
      <c r="AB29" s="1026"/>
      <c r="AC29" s="1026"/>
      <c r="AD29" s="1026"/>
      <c r="AE29" s="1026"/>
      <c r="AF29" s="112"/>
      <c r="AG29" s="112"/>
      <c r="AH29" s="112"/>
      <c r="AI29" s="112"/>
      <c r="AJ29" s="112"/>
      <c r="AK29" s="112"/>
      <c r="AL29" s="112"/>
      <c r="AM29" s="112"/>
      <c r="AN29" s="194"/>
      <c r="AO29" s="5"/>
      <c r="AP29" s="89"/>
      <c r="AQ29" s="89"/>
      <c r="AR29" s="89"/>
      <c r="AS29" s="89"/>
      <c r="AT29" s="89"/>
      <c r="AU29" s="89"/>
      <c r="AV29" s="89"/>
      <c r="AW29" s="89"/>
      <c r="AX29" s="89"/>
      <c r="AY29" s="89" t="s">
        <v>575</v>
      </c>
      <c r="AZ29" s="89"/>
      <c r="BA29" s="89"/>
      <c r="BB29" s="89" t="s">
        <v>571</v>
      </c>
      <c r="BC29" s="89"/>
      <c r="BD29" s="89"/>
      <c r="BE29" s="1018" t="e">
        <f>BE27/AT13</f>
        <v>#N/A</v>
      </c>
      <c r="BF29" s="1018"/>
      <c r="BG29" s="1018"/>
      <c r="BH29" s="90" t="s">
        <v>574</v>
      </c>
      <c r="BJ29" s="146">
        <v>0.05</v>
      </c>
    </row>
    <row r="30" spans="1:78" ht="18" customHeight="1">
      <c r="A30" s="195"/>
      <c r="B30" s="89" t="s">
        <v>359</v>
      </c>
      <c r="C30" s="89"/>
      <c r="D30" s="89"/>
      <c r="E30" s="89"/>
      <c r="F30" s="89"/>
      <c r="G30" s="89"/>
      <c r="H30" s="89"/>
      <c r="I30" s="89"/>
      <c r="J30" s="89"/>
      <c r="K30" s="89"/>
      <c r="L30" s="89"/>
      <c r="M30" s="89"/>
      <c r="N30" s="89"/>
      <c r="O30" s="89"/>
      <c r="P30" s="89"/>
      <c r="Q30" s="89"/>
      <c r="R30" s="89"/>
      <c r="S30" s="89"/>
      <c r="T30" s="196"/>
      <c r="U30" s="330"/>
      <c r="V30" s="906" t="str">
        <f>IF(PV!AC50="PC","- Montaż pompy ciepła","- Montaż kotła peletowego")</f>
        <v>- Montaż kotła peletowego</v>
      </c>
      <c r="W30" s="906"/>
      <c r="X30" s="906"/>
      <c r="Y30" s="906"/>
      <c r="Z30" s="906"/>
      <c r="AA30" s="906"/>
      <c r="AB30" s="906"/>
      <c r="AC30" s="906"/>
      <c r="AD30" s="906"/>
      <c r="AE30" s="906"/>
      <c r="AF30" s="89">
        <v>1</v>
      </c>
      <c r="AG30" s="89" t="s">
        <v>203</v>
      </c>
      <c r="AH30" s="89"/>
      <c r="AI30" s="89"/>
      <c r="AJ30" s="89"/>
      <c r="AK30" s="89"/>
      <c r="AL30" s="89"/>
      <c r="AM30" s="89"/>
      <c r="AN30" s="90"/>
      <c r="AO30" s="5"/>
      <c r="AP30" s="89"/>
      <c r="AQ30" s="89"/>
      <c r="AR30" s="89"/>
      <c r="AS30" s="89"/>
      <c r="AT30" s="89"/>
      <c r="AU30" s="89"/>
      <c r="AV30" s="89"/>
      <c r="AW30" s="89"/>
      <c r="AX30" s="89"/>
      <c r="AY30" s="89"/>
      <c r="AZ30" s="89"/>
      <c r="BA30" s="89"/>
      <c r="BB30" s="89" t="s">
        <v>573</v>
      </c>
      <c r="BC30" s="89"/>
      <c r="BD30" s="89"/>
      <c r="BE30" s="1017" t="e">
        <f>BE28/AT13</f>
        <v>#N/A</v>
      </c>
      <c r="BF30" s="1017"/>
      <c r="BG30" s="1017"/>
      <c r="BH30" s="90" t="s">
        <v>574</v>
      </c>
      <c r="BJ30" s="146">
        <f>SUM(BJ18:BJ29)</f>
        <v>1</v>
      </c>
      <c r="BO30" s="91"/>
      <c r="BP30" s="91"/>
      <c r="BQ30" s="91"/>
      <c r="BR30" s="91"/>
      <c r="BS30" s="91"/>
      <c r="BT30" s="91"/>
      <c r="BU30" s="91"/>
      <c r="BV30" s="91"/>
      <c r="BW30" s="91"/>
      <c r="BX30" s="91"/>
    </row>
    <row r="31" spans="1:78" ht="18" customHeight="1">
      <c r="A31" s="195"/>
      <c r="B31" s="89" t="s">
        <v>1024</v>
      </c>
      <c r="C31" s="89"/>
      <c r="D31" s="89"/>
      <c r="E31" s="89"/>
      <c r="F31" s="89"/>
      <c r="G31" s="89"/>
      <c r="H31" s="89"/>
      <c r="I31" s="89"/>
      <c r="J31" s="89"/>
      <c r="K31" s="89"/>
      <c r="L31" s="89"/>
      <c r="M31" s="89"/>
      <c r="N31" s="89"/>
      <c r="O31" s="89"/>
      <c r="P31" s="89"/>
      <c r="Q31" s="89"/>
      <c r="R31" s="89"/>
      <c r="S31" s="89"/>
      <c r="T31" s="196"/>
      <c r="U31" s="330"/>
      <c r="V31" s="1027" t="s">
        <v>671</v>
      </c>
      <c r="W31" s="1027"/>
      <c r="X31" s="1027"/>
      <c r="Y31" s="1027"/>
      <c r="Z31" s="1027"/>
      <c r="AA31" s="1027"/>
      <c r="AB31" s="1027"/>
      <c r="AC31" s="1027"/>
      <c r="AD31" s="1027"/>
      <c r="AE31" s="1027"/>
      <c r="AF31" s="89">
        <v>1</v>
      </c>
      <c r="AG31" s="89" t="s">
        <v>203</v>
      </c>
      <c r="AH31" s="111"/>
      <c r="AI31" s="111"/>
      <c r="AJ31" s="111"/>
      <c r="AK31" s="111"/>
      <c r="AL31" s="111"/>
      <c r="AM31" s="111"/>
      <c r="AN31" s="215"/>
      <c r="AO31" s="152" t="s">
        <v>576</v>
      </c>
      <c r="AP31" s="68"/>
      <c r="AQ31" s="68"/>
      <c r="AR31" s="68"/>
      <c r="AS31" s="68"/>
      <c r="AT31" s="68"/>
      <c r="AU31" s="68"/>
      <c r="AV31" s="68"/>
      <c r="AW31" s="68"/>
      <c r="AX31" s="68"/>
      <c r="AY31" s="68"/>
      <c r="AZ31" s="68"/>
      <c r="BA31" s="68"/>
      <c r="BB31" s="68"/>
      <c r="BC31" s="68"/>
      <c r="BD31" s="68"/>
      <c r="BE31" s="68"/>
      <c r="BF31" s="68"/>
      <c r="BG31" s="68"/>
      <c r="BH31" s="2"/>
      <c r="BO31" s="276" t="s">
        <v>651</v>
      </c>
      <c r="BP31" s="276"/>
      <c r="BQ31" s="276"/>
      <c r="BR31" s="276"/>
      <c r="BS31" s="276"/>
      <c r="BT31" s="276"/>
      <c r="BU31" s="276"/>
      <c r="BV31" s="276"/>
      <c r="BW31" s="276"/>
      <c r="BX31" s="276"/>
      <c r="BY31" s="89">
        <v>1</v>
      </c>
      <c r="BZ31" s="89" t="s">
        <v>203</v>
      </c>
    </row>
    <row r="32" spans="1:78" ht="18" customHeight="1">
      <c r="A32" s="195" t="s">
        <v>361</v>
      </c>
      <c r="B32" s="89"/>
      <c r="C32" s="89"/>
      <c r="D32" s="89"/>
      <c r="E32" s="89"/>
      <c r="F32" s="89"/>
      <c r="G32" s="89"/>
      <c r="H32" s="89"/>
      <c r="I32" s="89"/>
      <c r="J32" s="89"/>
      <c r="K32" s="89"/>
      <c r="L32" s="89"/>
      <c r="M32" s="89"/>
      <c r="N32" s="89"/>
      <c r="O32" s="89"/>
      <c r="P32" s="89"/>
      <c r="Q32" s="89"/>
      <c r="R32" s="89"/>
      <c r="S32" s="89"/>
      <c r="T32" s="196"/>
      <c r="U32" s="330"/>
      <c r="V32" s="1027" t="s">
        <v>651</v>
      </c>
      <c r="W32" s="1027"/>
      <c r="X32" s="1027"/>
      <c r="Y32" s="1027"/>
      <c r="Z32" s="1027"/>
      <c r="AA32" s="1027"/>
      <c r="AB32" s="1027"/>
      <c r="AC32" s="1027"/>
      <c r="AD32" s="1027"/>
      <c r="AE32" s="1027"/>
      <c r="AF32" s="89">
        <v>1</v>
      </c>
      <c r="AG32" s="89" t="s">
        <v>203</v>
      </c>
      <c r="AH32" s="111"/>
      <c r="AI32" s="111"/>
      <c r="AJ32" s="111"/>
      <c r="AK32" s="111"/>
      <c r="AL32" s="111"/>
      <c r="AM32" s="111"/>
      <c r="AN32" s="215"/>
      <c r="AO32" s="130" t="s">
        <v>550</v>
      </c>
      <c r="AP32" s="124"/>
      <c r="AQ32" s="124"/>
      <c r="AR32" s="124"/>
      <c r="AS32" s="125"/>
      <c r="AT32" s="974" t="s">
        <v>300</v>
      </c>
      <c r="AU32" s="975"/>
      <c r="AV32" s="975"/>
      <c r="AW32" s="975"/>
      <c r="AX32" s="975"/>
      <c r="AY32" s="976"/>
      <c r="AZ32" s="969" t="str">
        <f>PV!H218</f>
        <v>TW Solar TW555-MAP M10-144-H</v>
      </c>
      <c r="BA32" s="970"/>
      <c r="BB32" s="970"/>
      <c r="BC32" s="970"/>
      <c r="BD32" s="970"/>
      <c r="BE32" s="970"/>
      <c r="BF32" s="970"/>
      <c r="BG32" s="970"/>
      <c r="BH32" s="971"/>
      <c r="BO32" s="112" t="s">
        <v>671</v>
      </c>
      <c r="BP32" s="112"/>
      <c r="BQ32" s="112"/>
      <c r="BR32" s="112"/>
      <c r="BS32" s="112"/>
      <c r="BT32" s="112"/>
      <c r="BU32" s="112"/>
      <c r="BV32" s="112"/>
      <c r="BW32" s="112"/>
      <c r="BX32" s="112"/>
      <c r="BY32" s="89">
        <v>1</v>
      </c>
      <c r="BZ32" s="89" t="s">
        <v>203</v>
      </c>
    </row>
    <row r="33" spans="1:62" ht="18" customHeight="1">
      <c r="A33" s="195"/>
      <c r="B33" s="89"/>
      <c r="C33" s="87"/>
      <c r="D33" s="87"/>
      <c r="E33" s="87"/>
      <c r="F33" s="87"/>
      <c r="G33" s="87"/>
      <c r="H33" s="87"/>
      <c r="I33" s="87"/>
      <c r="J33" s="87"/>
      <c r="K33" s="87"/>
      <c r="L33" s="87"/>
      <c r="M33" s="87"/>
      <c r="N33" s="87"/>
      <c r="O33" s="87"/>
      <c r="P33" s="87"/>
      <c r="Q33" s="87"/>
      <c r="R33" s="87"/>
      <c r="S33" s="87"/>
      <c r="T33" s="200"/>
      <c r="U33" s="89" t="s">
        <v>357</v>
      </c>
      <c r="V33" s="89"/>
      <c r="W33" s="89"/>
      <c r="X33" s="89"/>
      <c r="Y33" s="89"/>
      <c r="Z33" s="89"/>
      <c r="AA33" s="89"/>
      <c r="AB33" s="89"/>
      <c r="AC33" s="89"/>
      <c r="AD33" s="89"/>
      <c r="AE33" s="89"/>
      <c r="AF33" s="89"/>
      <c r="AG33" s="89"/>
      <c r="AH33" s="89"/>
      <c r="AI33" s="89"/>
      <c r="AJ33" s="89"/>
      <c r="AK33" s="89"/>
      <c r="AL33" s="89"/>
      <c r="AM33" s="89"/>
      <c r="AN33" s="90"/>
      <c r="AO33" s="88"/>
      <c r="AP33" s="89"/>
      <c r="AQ33" s="89"/>
      <c r="AR33" s="89"/>
      <c r="AS33" s="90"/>
      <c r="AT33" s="977" t="s">
        <v>577</v>
      </c>
      <c r="AU33" s="966"/>
      <c r="AV33" s="966"/>
      <c r="AW33" s="966"/>
      <c r="AX33" s="966"/>
      <c r="AY33" s="967"/>
      <c r="AZ33" s="969"/>
      <c r="BA33" s="970"/>
      <c r="BB33" s="970"/>
      <c r="BC33" s="970"/>
      <c r="BD33" s="970"/>
      <c r="BE33" s="970"/>
      <c r="BF33" s="970"/>
      <c r="BG33" s="970"/>
      <c r="BH33" s="971"/>
    </row>
    <row r="34" spans="1:62" ht="18" customHeight="1">
      <c r="A34" s="195"/>
      <c r="B34" s="89"/>
      <c r="C34" s="89"/>
      <c r="D34" s="89"/>
      <c r="E34" s="89"/>
      <c r="F34" s="89"/>
      <c r="G34" s="89"/>
      <c r="H34" s="89"/>
      <c r="I34" s="89"/>
      <c r="J34" s="89"/>
      <c r="K34" s="89"/>
      <c r="L34" s="89"/>
      <c r="M34" s="89"/>
      <c r="N34" s="89"/>
      <c r="O34" s="89"/>
      <c r="P34" s="89"/>
      <c r="Q34" s="89"/>
      <c r="R34" s="89"/>
      <c r="S34" s="89"/>
      <c r="T34" s="196"/>
      <c r="U34" s="89" t="s">
        <v>358</v>
      </c>
      <c r="V34" s="89"/>
      <c r="W34" s="89"/>
      <c r="X34" s="89"/>
      <c r="Y34" s="89"/>
      <c r="Z34" s="89"/>
      <c r="AA34" s="89"/>
      <c r="AB34" s="89"/>
      <c r="AC34" s="89"/>
      <c r="AD34" s="89"/>
      <c r="AE34" s="89"/>
      <c r="AF34" s="89"/>
      <c r="AG34" s="89"/>
      <c r="AH34" s="89"/>
      <c r="AI34" s="89"/>
      <c r="AJ34" s="89"/>
      <c r="AK34" s="89"/>
      <c r="AL34" s="89"/>
      <c r="AM34" s="89"/>
      <c r="AN34" s="90"/>
      <c r="AO34" s="88"/>
      <c r="AP34" s="89"/>
      <c r="AQ34" s="89"/>
      <c r="AR34" s="89"/>
      <c r="AS34" s="90"/>
      <c r="AT34" s="977" t="s">
        <v>578</v>
      </c>
      <c r="AU34" s="966"/>
      <c r="AV34" s="966"/>
      <c r="AW34" s="966"/>
      <c r="AX34" s="966"/>
      <c r="AY34" s="967"/>
      <c r="AZ34" s="969" t="s">
        <v>589</v>
      </c>
      <c r="BA34" s="970"/>
      <c r="BB34" s="970"/>
      <c r="BC34" s="970"/>
      <c r="BD34" s="970"/>
      <c r="BE34" s="970"/>
      <c r="BF34" s="970"/>
      <c r="BG34" s="970"/>
      <c r="BH34" s="971"/>
    </row>
    <row r="35" spans="1:62" ht="18" customHeight="1">
      <c r="A35" s="195" t="s">
        <v>1011</v>
      </c>
      <c r="B35" s="89"/>
      <c r="C35" s="89"/>
      <c r="D35" s="315"/>
      <c r="E35" s="315"/>
      <c r="F35" s="315"/>
      <c r="G35" s="315"/>
      <c r="H35" s="315"/>
      <c r="I35" s="315"/>
      <c r="J35" s="315"/>
      <c r="K35" s="89" t="s">
        <v>1012</v>
      </c>
      <c r="L35" s="89"/>
      <c r="M35" s="89"/>
      <c r="N35" s="315"/>
      <c r="O35" s="315"/>
      <c r="P35" s="315"/>
      <c r="Q35" s="315"/>
      <c r="R35" s="315"/>
      <c r="S35" s="315"/>
      <c r="T35" s="324"/>
      <c r="U35" s="89"/>
      <c r="V35" s="89" t="s">
        <v>359</v>
      </c>
      <c r="W35" s="89"/>
      <c r="X35" s="89"/>
      <c r="Y35" s="89"/>
      <c r="Z35" s="89"/>
      <c r="AA35" s="89"/>
      <c r="AB35" s="89"/>
      <c r="AC35" s="89"/>
      <c r="AD35" s="89"/>
      <c r="AE35" s="89"/>
      <c r="AF35" s="89"/>
      <c r="AG35" s="89"/>
      <c r="AH35" s="89"/>
      <c r="AI35" s="89"/>
      <c r="AJ35" s="89"/>
      <c r="AK35" s="89"/>
      <c r="AL35" s="89"/>
      <c r="AM35" s="89"/>
      <c r="AN35" s="90"/>
      <c r="AO35" s="88"/>
      <c r="AP35" s="89"/>
      <c r="AQ35" s="89"/>
      <c r="AR35" s="89"/>
      <c r="AS35" s="90"/>
      <c r="AT35" s="977" t="s">
        <v>579</v>
      </c>
      <c r="AU35" s="966"/>
      <c r="AV35" s="966"/>
      <c r="AW35" s="966"/>
      <c r="AX35" s="966"/>
      <c r="AY35" s="967"/>
      <c r="AZ35" s="969">
        <f>PV!H87</f>
        <v>555</v>
      </c>
      <c r="BA35" s="970"/>
      <c r="BB35" s="970"/>
      <c r="BC35" s="970"/>
      <c r="BD35" s="970"/>
      <c r="BE35" s="970"/>
      <c r="BF35" s="970"/>
      <c r="BG35" s="970"/>
      <c r="BH35" s="971"/>
    </row>
    <row r="36" spans="1:62" ht="18" customHeight="1">
      <c r="A36" s="164"/>
      <c r="T36" s="163"/>
      <c r="U36" s="89"/>
      <c r="V36" s="89" t="s">
        <v>360</v>
      </c>
      <c r="W36" s="89"/>
      <c r="X36" s="89"/>
      <c r="Y36" s="89"/>
      <c r="Z36" s="89"/>
      <c r="AA36" s="89"/>
      <c r="AB36" s="89"/>
      <c r="AC36" s="89"/>
      <c r="AD36" s="89"/>
      <c r="AE36" s="89"/>
      <c r="AF36" s="89"/>
      <c r="AG36" s="89"/>
      <c r="AH36" s="89"/>
      <c r="AI36" s="89"/>
      <c r="AJ36" s="89"/>
      <c r="AK36" s="89"/>
      <c r="AL36" s="89"/>
      <c r="AM36" s="89"/>
      <c r="AN36" s="90"/>
      <c r="AO36" s="88"/>
      <c r="AP36" s="89"/>
      <c r="AQ36" s="89"/>
      <c r="AR36" s="89"/>
      <c r="AS36" s="90"/>
      <c r="AT36" s="972" t="s">
        <v>580</v>
      </c>
      <c r="AU36" s="962"/>
      <c r="AV36" s="962"/>
      <c r="AW36" s="962"/>
      <c r="AX36" s="962"/>
      <c r="AY36" s="963"/>
      <c r="AZ36" s="969"/>
      <c r="BA36" s="970"/>
      <c r="BB36" s="970"/>
      <c r="BC36" s="970"/>
      <c r="BD36" s="970"/>
      <c r="BE36" s="970"/>
      <c r="BF36" s="970"/>
      <c r="BG36" s="970"/>
      <c r="BH36" s="971"/>
    </row>
    <row r="37" spans="1:62" ht="18" customHeight="1">
      <c r="A37" s="195" t="s">
        <v>1013</v>
      </c>
      <c r="B37" s="89"/>
      <c r="C37" s="89"/>
      <c r="D37" s="315"/>
      <c r="E37" s="315"/>
      <c r="F37" s="315"/>
      <c r="G37" s="315"/>
      <c r="H37" s="315"/>
      <c r="I37" s="315"/>
      <c r="J37" s="315"/>
      <c r="K37" s="89" t="s">
        <v>1014</v>
      </c>
      <c r="L37" s="89"/>
      <c r="M37" s="89"/>
      <c r="N37" s="315"/>
      <c r="O37" s="315"/>
      <c r="P37" s="315"/>
      <c r="Q37" s="315"/>
      <c r="R37" s="315"/>
      <c r="S37" s="315"/>
      <c r="T37" s="324"/>
      <c r="U37" s="89" t="s">
        <v>361</v>
      </c>
      <c r="V37" s="89"/>
      <c r="W37" s="89"/>
      <c r="X37" s="89"/>
      <c r="Y37" s="89"/>
      <c r="Z37" s="89"/>
      <c r="AA37" s="89"/>
      <c r="AB37" s="89"/>
      <c r="AC37" s="89"/>
      <c r="AD37" s="89"/>
      <c r="AE37" s="89"/>
      <c r="AF37" s="89"/>
      <c r="AG37" s="89"/>
      <c r="AH37" s="89"/>
      <c r="AI37" s="89"/>
      <c r="AJ37" s="89"/>
      <c r="AK37" s="89"/>
      <c r="AL37" s="89"/>
      <c r="AM37" s="89"/>
      <c r="AN37" s="90"/>
      <c r="AO37" s="93"/>
      <c r="AP37" s="94"/>
      <c r="AQ37" s="94"/>
      <c r="AR37" s="94"/>
      <c r="AS37" s="95"/>
      <c r="AT37" s="973"/>
      <c r="AU37" s="964"/>
      <c r="AV37" s="964"/>
      <c r="AW37" s="964"/>
      <c r="AX37" s="964"/>
      <c r="AY37" s="965"/>
      <c r="AZ37" s="1020"/>
      <c r="BA37" s="1021"/>
      <c r="BB37" s="1021"/>
      <c r="BC37" s="1021"/>
      <c r="BD37" s="1021"/>
      <c r="BE37" s="1021"/>
      <c r="BF37" s="1021"/>
      <c r="BG37" s="1021"/>
      <c r="BH37" s="1022"/>
    </row>
    <row r="38" spans="1:62" ht="18" customHeight="1">
      <c r="A38" s="164"/>
      <c r="T38" s="163"/>
      <c r="U38" s="89"/>
      <c r="V38" s="89"/>
      <c r="W38" s="87"/>
      <c r="X38" s="87"/>
      <c r="Y38" s="87"/>
      <c r="Z38" s="87"/>
      <c r="AA38" s="87"/>
      <c r="AB38" s="87"/>
      <c r="AC38" s="87"/>
      <c r="AD38" s="87"/>
      <c r="AE38" s="87"/>
      <c r="AF38" s="87"/>
      <c r="AG38" s="87"/>
      <c r="AH38" s="87"/>
      <c r="AI38" s="87"/>
      <c r="AJ38" s="87"/>
      <c r="AK38" s="87"/>
      <c r="AL38" s="87"/>
      <c r="AM38" s="87"/>
      <c r="AN38" s="92"/>
      <c r="AO38" s="130" t="s">
        <v>569</v>
      </c>
      <c r="AP38" s="124"/>
      <c r="AQ38" s="124"/>
      <c r="AR38" s="124"/>
      <c r="AS38" s="125"/>
      <c r="AT38" s="977" t="s">
        <v>300</v>
      </c>
      <c r="AU38" s="966"/>
      <c r="AV38" s="966"/>
      <c r="AW38" s="966"/>
      <c r="AX38" s="966"/>
      <c r="AY38" s="967"/>
      <c r="AZ38" s="969" t="s">
        <v>585</v>
      </c>
      <c r="BA38" s="970"/>
      <c r="BB38" s="970"/>
      <c r="BC38" s="970"/>
      <c r="BD38" s="970"/>
      <c r="BE38" s="970"/>
      <c r="BF38" s="970"/>
      <c r="BG38" s="970"/>
      <c r="BH38" s="971"/>
    </row>
    <row r="39" spans="1:62" ht="18" customHeight="1">
      <c r="A39" s="164"/>
      <c r="T39" s="163"/>
      <c r="U39" s="89"/>
      <c r="V39" s="89"/>
      <c r="W39" s="89"/>
      <c r="X39" s="89"/>
      <c r="Y39" s="89"/>
      <c r="Z39" s="89"/>
      <c r="AA39" s="89"/>
      <c r="AB39" s="89"/>
      <c r="AC39" s="89"/>
      <c r="AD39" s="89"/>
      <c r="AE39" s="89"/>
      <c r="AF39" s="89"/>
      <c r="AG39" s="89"/>
      <c r="AH39" s="89"/>
      <c r="AI39" s="89"/>
      <c r="AJ39" s="89"/>
      <c r="AK39" s="89"/>
      <c r="AL39" s="89"/>
      <c r="AM39" s="89"/>
      <c r="AN39" s="90"/>
      <c r="AO39" s="88"/>
      <c r="AP39" s="89"/>
      <c r="AQ39" s="89"/>
      <c r="AR39" s="89"/>
      <c r="AS39" s="90"/>
      <c r="AT39" s="977" t="s">
        <v>577</v>
      </c>
      <c r="AU39" s="966"/>
      <c r="AV39" s="966"/>
      <c r="AW39" s="966"/>
      <c r="AX39" s="966"/>
      <c r="AY39" s="967"/>
      <c r="AZ39" s="969" t="str">
        <f>AQ22</f>
        <v>Dachówka</v>
      </c>
      <c r="BA39" s="970"/>
      <c r="BB39" s="970"/>
      <c r="BC39" s="970"/>
      <c r="BD39" s="970"/>
      <c r="BE39" s="970"/>
      <c r="BF39" s="970"/>
      <c r="BG39" s="970"/>
      <c r="BH39" s="971"/>
    </row>
    <row r="40" spans="1:62" ht="18" customHeight="1">
      <c r="A40" s="918" t="s">
        <v>1028</v>
      </c>
      <c r="B40" s="919"/>
      <c r="C40" s="919"/>
      <c r="D40" s="919"/>
      <c r="E40" s="919"/>
      <c r="F40" s="919"/>
      <c r="G40" s="919"/>
      <c r="H40" s="919"/>
      <c r="I40" s="919"/>
      <c r="J40" s="919"/>
      <c r="K40" s="919"/>
      <c r="L40" s="919"/>
      <c r="M40" s="919"/>
      <c r="N40" s="919"/>
      <c r="O40" s="919"/>
      <c r="P40" s="919"/>
      <c r="Q40" s="919"/>
      <c r="R40" s="919"/>
      <c r="S40" s="919"/>
      <c r="T40" s="920"/>
      <c r="U40" s="919" t="s">
        <v>665</v>
      </c>
      <c r="V40" s="919"/>
      <c r="W40" s="919"/>
      <c r="X40" s="919"/>
      <c r="Y40" s="919"/>
      <c r="Z40" s="919"/>
      <c r="AA40" s="919"/>
      <c r="AB40" s="919"/>
      <c r="AC40" s="919"/>
      <c r="AD40" s="919"/>
      <c r="AE40" s="919"/>
      <c r="AF40" s="919"/>
      <c r="AG40" s="919"/>
      <c r="AH40" s="919"/>
      <c r="AI40" s="919"/>
      <c r="AJ40" s="919"/>
      <c r="AK40" s="919"/>
      <c r="AL40" s="919"/>
      <c r="AM40" s="919"/>
      <c r="AN40" s="945"/>
      <c r="AO40" s="88"/>
      <c r="AP40" s="89"/>
      <c r="AQ40" s="89"/>
      <c r="AR40" s="89"/>
      <c r="AS40" s="90"/>
      <c r="AT40" s="972" t="s">
        <v>580</v>
      </c>
      <c r="AU40" s="962"/>
      <c r="AV40" s="962"/>
      <c r="AW40" s="962"/>
      <c r="AX40" s="962"/>
      <c r="AY40" s="963"/>
      <c r="AZ40" s="969"/>
      <c r="BA40" s="970"/>
      <c r="BB40" s="970"/>
      <c r="BC40" s="970"/>
      <c r="BD40" s="970"/>
      <c r="BE40" s="970"/>
      <c r="BF40" s="970"/>
      <c r="BG40" s="970"/>
      <c r="BH40" s="971"/>
    </row>
    <row r="41" spans="1:62" ht="18" customHeight="1" thickBot="1">
      <c r="A41" s="918"/>
      <c r="B41" s="919"/>
      <c r="C41" s="919"/>
      <c r="D41" s="919"/>
      <c r="E41" s="919"/>
      <c r="F41" s="919"/>
      <c r="G41" s="919"/>
      <c r="H41" s="919"/>
      <c r="I41" s="919"/>
      <c r="J41" s="919"/>
      <c r="K41" s="919"/>
      <c r="L41" s="919"/>
      <c r="M41" s="919"/>
      <c r="N41" s="919"/>
      <c r="O41" s="919"/>
      <c r="P41" s="919"/>
      <c r="Q41" s="919"/>
      <c r="R41" s="919"/>
      <c r="S41" s="919"/>
      <c r="T41" s="920"/>
      <c r="U41" s="919"/>
      <c r="V41" s="919"/>
      <c r="W41" s="919"/>
      <c r="X41" s="919"/>
      <c r="Y41" s="919"/>
      <c r="Z41" s="919"/>
      <c r="AA41" s="919"/>
      <c r="AB41" s="919"/>
      <c r="AC41" s="919"/>
      <c r="AD41" s="919"/>
      <c r="AE41" s="919"/>
      <c r="AF41" s="919"/>
      <c r="AG41" s="919"/>
      <c r="AH41" s="919"/>
      <c r="AI41" s="919"/>
      <c r="AJ41" s="919"/>
      <c r="AK41" s="919"/>
      <c r="AL41" s="919"/>
      <c r="AM41" s="919"/>
      <c r="AN41" s="945"/>
      <c r="AO41" s="93"/>
      <c r="AP41" s="94"/>
      <c r="AQ41" s="94"/>
      <c r="AR41" s="94"/>
      <c r="AS41" s="95"/>
      <c r="AT41" s="973"/>
      <c r="AU41" s="964"/>
      <c r="AV41" s="964"/>
      <c r="AW41" s="964"/>
      <c r="AX41" s="964"/>
      <c r="AY41" s="965"/>
      <c r="AZ41" s="1020"/>
      <c r="BA41" s="1021"/>
      <c r="BB41" s="1021"/>
      <c r="BC41" s="1021"/>
      <c r="BD41" s="1021"/>
      <c r="BE41" s="1021"/>
      <c r="BF41" s="1021"/>
      <c r="BG41" s="1021"/>
      <c r="BH41" s="1022"/>
    </row>
    <row r="42" spans="1:62" ht="18" customHeight="1" thickBot="1">
      <c r="A42" s="918"/>
      <c r="B42" s="919"/>
      <c r="C42" s="919"/>
      <c r="D42" s="919"/>
      <c r="E42" s="919"/>
      <c r="F42" s="919"/>
      <c r="G42" s="919"/>
      <c r="H42" s="919"/>
      <c r="I42" s="919"/>
      <c r="J42" s="919"/>
      <c r="K42" s="919"/>
      <c r="L42" s="919"/>
      <c r="M42" s="919"/>
      <c r="N42" s="919"/>
      <c r="O42" s="919"/>
      <c r="P42" s="919"/>
      <c r="Q42" s="919"/>
      <c r="R42" s="919"/>
      <c r="S42" s="919"/>
      <c r="T42" s="920"/>
      <c r="U42" s="919"/>
      <c r="V42" s="919"/>
      <c r="W42" s="919"/>
      <c r="X42" s="919"/>
      <c r="Y42" s="919"/>
      <c r="Z42" s="919"/>
      <c r="AA42" s="919"/>
      <c r="AB42" s="919"/>
      <c r="AC42" s="919"/>
      <c r="AD42" s="919"/>
      <c r="AE42" s="919"/>
      <c r="AF42" s="919"/>
      <c r="AG42" s="919"/>
      <c r="AH42" s="919"/>
      <c r="AI42" s="919"/>
      <c r="AJ42" s="919"/>
      <c r="AK42" s="919"/>
      <c r="AL42" s="919"/>
      <c r="AM42" s="919"/>
      <c r="AN42" s="945"/>
      <c r="AO42" s="130" t="s">
        <v>198</v>
      </c>
      <c r="AP42" s="124"/>
      <c r="AQ42" s="124"/>
      <c r="AR42" s="124"/>
      <c r="AS42" s="125"/>
      <c r="AT42" s="966" t="s">
        <v>300</v>
      </c>
      <c r="AU42" s="966"/>
      <c r="AV42" s="966"/>
      <c r="AW42" s="966"/>
      <c r="AX42" s="966"/>
      <c r="AY42" s="967"/>
      <c r="AZ42" s="969" t="str">
        <f>PV!H93</f>
        <v>Sofar 12KTLX-G3</v>
      </c>
      <c r="BA42" s="970"/>
      <c r="BB42" s="970"/>
      <c r="BC42" s="970"/>
      <c r="BD42" s="970"/>
      <c r="BE42" s="970"/>
      <c r="BF42" s="970"/>
      <c r="BG42" s="970"/>
      <c r="BH42" s="971"/>
      <c r="BJ42" s="147"/>
    </row>
    <row r="43" spans="1:62" ht="18" customHeight="1" thickBot="1">
      <c r="A43" s="195"/>
      <c r="B43" s="89"/>
      <c r="C43" s="89"/>
      <c r="D43" s="89"/>
      <c r="E43" s="89"/>
      <c r="F43" s="89"/>
      <c r="G43" s="89"/>
      <c r="H43" s="89"/>
      <c r="I43" s="89"/>
      <c r="J43" s="89"/>
      <c r="K43" s="89"/>
      <c r="L43" s="89"/>
      <c r="M43" s="89"/>
      <c r="N43" s="89"/>
      <c r="O43" s="89"/>
      <c r="P43" s="89"/>
      <c r="Q43" s="89"/>
      <c r="R43" s="89"/>
      <c r="S43" s="89"/>
      <c r="T43" s="196"/>
      <c r="U43" s="89"/>
      <c r="V43" s="89"/>
      <c r="W43" s="89"/>
      <c r="X43" s="89"/>
      <c r="Y43" s="89"/>
      <c r="Z43" s="89"/>
      <c r="AA43" s="89"/>
      <c r="AB43" s="89"/>
      <c r="AC43" s="89"/>
      <c r="AD43" s="89"/>
      <c r="AE43" s="89"/>
      <c r="AF43" s="89"/>
      <c r="AG43" s="89"/>
      <c r="AH43" s="89"/>
      <c r="AI43" s="89"/>
      <c r="AJ43" s="89"/>
      <c r="AK43" s="89"/>
      <c r="AL43" s="89"/>
      <c r="AM43" s="89"/>
      <c r="AN43" s="90"/>
      <c r="AO43" s="88"/>
      <c r="AP43" s="89"/>
      <c r="AQ43" s="89"/>
      <c r="AR43" s="89"/>
      <c r="AS43" s="90"/>
      <c r="AT43" s="966" t="s">
        <v>577</v>
      </c>
      <c r="AU43" s="966"/>
      <c r="AV43" s="966"/>
      <c r="AW43" s="966"/>
      <c r="AX43" s="966"/>
      <c r="AY43" s="967"/>
      <c r="AZ43" s="969"/>
      <c r="BA43" s="970"/>
      <c r="BB43" s="970"/>
      <c r="BC43" s="970"/>
      <c r="BD43" s="970"/>
      <c r="BE43" s="970"/>
      <c r="BF43" s="970"/>
      <c r="BG43" s="970"/>
      <c r="BH43" s="971"/>
      <c r="BJ43" s="147"/>
    </row>
    <row r="44" spans="1:62" ht="18" customHeight="1" thickBot="1">
      <c r="A44" s="195" t="s">
        <v>362</v>
      </c>
      <c r="B44" s="89"/>
      <c r="C44" s="89"/>
      <c r="D44" s="89"/>
      <c r="E44" s="89"/>
      <c r="F44" s="89"/>
      <c r="G44" s="89"/>
      <c r="H44" s="89"/>
      <c r="I44" s="89"/>
      <c r="J44" s="89"/>
      <c r="K44" s="89"/>
      <c r="L44" s="89"/>
      <c r="M44" s="89"/>
      <c r="N44" s="89"/>
      <c r="O44" s="89"/>
      <c r="P44" s="89"/>
      <c r="Q44" s="89"/>
      <c r="R44" s="89"/>
      <c r="S44" s="89"/>
      <c r="T44" s="196"/>
      <c r="U44" s="89" t="s">
        <v>362</v>
      </c>
      <c r="V44" s="89"/>
      <c r="W44" s="89"/>
      <c r="X44" s="89"/>
      <c r="Y44" s="89"/>
      <c r="Z44" s="89"/>
      <c r="AA44" s="89"/>
      <c r="AB44" s="89"/>
      <c r="AC44" s="89"/>
      <c r="AD44" s="89"/>
      <c r="AE44" s="89"/>
      <c r="AF44" s="89"/>
      <c r="AG44" s="89"/>
      <c r="AH44" s="89"/>
      <c r="AI44" s="89"/>
      <c r="AJ44" s="89"/>
      <c r="AK44" s="89"/>
      <c r="AL44" s="89"/>
      <c r="AM44" s="89"/>
      <c r="AN44" s="90"/>
      <c r="AO44" s="88"/>
      <c r="AP44" s="89"/>
      <c r="AQ44" s="89"/>
      <c r="AR44" s="89"/>
      <c r="AS44" s="90"/>
      <c r="AT44" s="968" t="s">
        <v>581</v>
      </c>
      <c r="AU44" s="968"/>
      <c r="AV44" s="968"/>
      <c r="AW44" s="968"/>
      <c r="AX44" s="968"/>
      <c r="AY44" s="968"/>
      <c r="AZ44" s="1023">
        <f>VLOOKUP(AZ42,[1]Inwerter!$A$2:$T$87,9,FALSE)</f>
        <v>12000</v>
      </c>
      <c r="BA44" s="1004"/>
      <c r="BB44" s="1004"/>
      <c r="BC44" s="1004"/>
      <c r="BD44" s="1004"/>
      <c r="BE44" s="1004"/>
      <c r="BF44" s="1004"/>
      <c r="BG44" s="1004" t="s">
        <v>79</v>
      </c>
      <c r="BH44" s="1005"/>
      <c r="BJ44" s="147"/>
    </row>
    <row r="45" spans="1:62" ht="18" customHeight="1" thickBot="1">
      <c r="A45" s="164"/>
      <c r="T45" s="163"/>
      <c r="U45" s="89"/>
      <c r="V45" s="89"/>
      <c r="W45" s="89"/>
      <c r="X45" s="89"/>
      <c r="Y45" s="89"/>
      <c r="Z45" s="89"/>
      <c r="AA45" s="89"/>
      <c r="AB45" s="89"/>
      <c r="AC45" s="89"/>
      <c r="AD45" s="89"/>
      <c r="AE45" s="89"/>
      <c r="AF45" s="89"/>
      <c r="AG45" s="89"/>
      <c r="AH45" s="89"/>
      <c r="AI45" s="89"/>
      <c r="AJ45" s="89"/>
      <c r="AK45" s="89"/>
      <c r="AL45" s="89"/>
      <c r="AM45" s="89"/>
      <c r="AN45" s="90"/>
      <c r="AO45" s="88"/>
      <c r="AP45" s="89"/>
      <c r="AQ45" s="89"/>
      <c r="AR45" s="89"/>
      <c r="AS45" s="90"/>
      <c r="AT45" s="968" t="s">
        <v>582</v>
      </c>
      <c r="AU45" s="968"/>
      <c r="AV45" s="968"/>
      <c r="AW45" s="968"/>
      <c r="AX45" s="968"/>
      <c r="AY45" s="968"/>
      <c r="AZ45" s="969" t="s">
        <v>586</v>
      </c>
      <c r="BA45" s="970"/>
      <c r="BB45" s="970"/>
      <c r="BC45" s="970"/>
      <c r="BD45" s="970"/>
      <c r="BE45" s="970"/>
      <c r="BF45" s="970"/>
      <c r="BG45" s="970"/>
      <c r="BH45" s="971"/>
      <c r="BJ45" s="147"/>
    </row>
    <row r="46" spans="1:62" ht="18" customHeight="1" thickBot="1">
      <c r="A46" s="195"/>
      <c r="B46" s="89"/>
      <c r="C46" s="89"/>
      <c r="D46" s="89"/>
      <c r="E46" s="89"/>
      <c r="F46" s="89"/>
      <c r="G46" s="89"/>
      <c r="H46" s="89"/>
      <c r="I46" s="89"/>
      <c r="J46" s="89"/>
      <c r="K46" s="89"/>
      <c r="L46" s="89"/>
      <c r="M46" s="89"/>
      <c r="N46" s="89"/>
      <c r="O46" s="89"/>
      <c r="P46" s="89"/>
      <c r="Q46" s="89"/>
      <c r="R46" s="89"/>
      <c r="S46" s="89"/>
      <c r="T46" s="196"/>
      <c r="U46" s="89"/>
      <c r="V46" s="89"/>
      <c r="W46" s="89"/>
      <c r="X46" s="89"/>
      <c r="Y46" s="89"/>
      <c r="Z46" s="89"/>
      <c r="AA46" s="89"/>
      <c r="AB46" s="89"/>
      <c r="AC46" s="89"/>
      <c r="AD46" s="89"/>
      <c r="AE46" s="89"/>
      <c r="AF46" s="89"/>
      <c r="AG46" s="89"/>
      <c r="AH46" s="89"/>
      <c r="AI46" s="89"/>
      <c r="AJ46" s="89"/>
      <c r="AK46" s="89"/>
      <c r="AL46" s="89"/>
      <c r="AM46" s="89"/>
      <c r="AN46" s="90"/>
      <c r="AO46" s="88"/>
      <c r="AP46" s="89"/>
      <c r="AQ46" s="89"/>
      <c r="AR46" s="89"/>
      <c r="AS46" s="90"/>
      <c r="AT46" s="968" t="s">
        <v>583</v>
      </c>
      <c r="AU46" s="968"/>
      <c r="AV46" s="968"/>
      <c r="AW46" s="968"/>
      <c r="AX46" s="968"/>
      <c r="AY46" s="968"/>
      <c r="AZ46" s="969" t="s">
        <v>586</v>
      </c>
      <c r="BA46" s="970"/>
      <c r="BB46" s="970"/>
      <c r="BC46" s="970"/>
      <c r="BD46" s="970"/>
      <c r="BE46" s="970"/>
      <c r="BF46" s="970"/>
      <c r="BG46" s="970"/>
      <c r="BH46" s="971"/>
      <c r="BJ46" s="147"/>
    </row>
    <row r="47" spans="1:62" ht="18" customHeight="1" thickBot="1">
      <c r="A47" s="195"/>
      <c r="B47" s="89"/>
      <c r="C47" s="89"/>
      <c r="D47" s="89"/>
      <c r="E47" s="89"/>
      <c r="F47" s="89"/>
      <c r="G47" s="89"/>
      <c r="H47" s="89"/>
      <c r="I47" s="89"/>
      <c r="J47" s="89"/>
      <c r="K47" s="89"/>
      <c r="L47" s="89"/>
      <c r="M47" s="89"/>
      <c r="N47" s="89"/>
      <c r="O47" s="89"/>
      <c r="P47" s="89"/>
      <c r="Q47" s="89"/>
      <c r="R47" s="89"/>
      <c r="S47" s="89"/>
      <c r="T47" s="196"/>
      <c r="U47" s="89"/>
      <c r="V47" s="89"/>
      <c r="W47" s="89"/>
      <c r="X47" s="89"/>
      <c r="Y47" s="89"/>
      <c r="Z47" s="89"/>
      <c r="AA47" s="89"/>
      <c r="AB47" s="89"/>
      <c r="AC47" s="89"/>
      <c r="AD47" s="89"/>
      <c r="AE47" s="89"/>
      <c r="AF47" s="89"/>
      <c r="AG47" s="89"/>
      <c r="AH47" s="89"/>
      <c r="AI47" s="89"/>
      <c r="AJ47" s="89"/>
      <c r="AK47" s="89"/>
      <c r="AL47" s="89"/>
      <c r="AM47" s="89"/>
      <c r="AN47" s="90"/>
      <c r="AO47" s="88"/>
      <c r="AP47" s="89"/>
      <c r="AQ47" s="89"/>
      <c r="AR47" s="89"/>
      <c r="AS47" s="90"/>
      <c r="AT47" s="968" t="s">
        <v>584</v>
      </c>
      <c r="AU47" s="968"/>
      <c r="AV47" s="968"/>
      <c r="AW47" s="968"/>
      <c r="AX47" s="968"/>
      <c r="AY47" s="968"/>
      <c r="AZ47" s="969"/>
      <c r="BA47" s="970"/>
      <c r="BB47" s="970"/>
      <c r="BC47" s="970"/>
      <c r="BD47" s="970"/>
      <c r="BE47" s="970"/>
      <c r="BF47" s="970"/>
      <c r="BG47" s="970"/>
      <c r="BH47" s="971"/>
      <c r="BJ47" s="147"/>
    </row>
    <row r="48" spans="1:62" ht="18" customHeight="1" thickBot="1">
      <c r="A48" s="201"/>
      <c r="B48" s="87"/>
      <c r="C48" s="87"/>
      <c r="D48" s="87"/>
      <c r="E48" s="87"/>
      <c r="F48" s="87"/>
      <c r="G48" s="87"/>
      <c r="H48" s="89"/>
      <c r="I48" s="89"/>
      <c r="J48" s="89"/>
      <c r="K48" s="89"/>
      <c r="L48" s="89"/>
      <c r="M48" s="87"/>
      <c r="N48" s="87"/>
      <c r="O48" s="87"/>
      <c r="P48" s="87"/>
      <c r="Q48" s="87"/>
      <c r="R48" s="87"/>
      <c r="S48" s="89"/>
      <c r="T48" s="196"/>
      <c r="U48" s="87"/>
      <c r="V48" s="87"/>
      <c r="W48" s="87"/>
      <c r="X48" s="87"/>
      <c r="Y48" s="87"/>
      <c r="Z48" s="87"/>
      <c r="AA48" s="87"/>
      <c r="AB48" s="89"/>
      <c r="AC48" s="89"/>
      <c r="AD48" s="89"/>
      <c r="AE48" s="89"/>
      <c r="AF48" s="89"/>
      <c r="AG48" s="87"/>
      <c r="AH48" s="87"/>
      <c r="AI48" s="87"/>
      <c r="AJ48" s="87"/>
      <c r="AK48" s="87"/>
      <c r="AL48" s="87"/>
      <c r="AM48" s="89"/>
      <c r="AN48" s="90"/>
      <c r="AO48" s="88"/>
      <c r="AP48" s="89"/>
      <c r="AQ48" s="89"/>
      <c r="AR48" s="89"/>
      <c r="AS48" s="90"/>
      <c r="AT48" s="962" t="s">
        <v>580</v>
      </c>
      <c r="AU48" s="962"/>
      <c r="AV48" s="962"/>
      <c r="AW48" s="962"/>
      <c r="AX48" s="962"/>
      <c r="AY48" s="963"/>
      <c r="AZ48" s="988"/>
      <c r="BA48" s="988"/>
      <c r="BB48" s="988"/>
      <c r="BC48" s="988"/>
      <c r="BD48" s="988"/>
      <c r="BE48" s="988"/>
      <c r="BF48" s="988"/>
      <c r="BG48" s="988"/>
      <c r="BH48" s="988"/>
      <c r="BJ48" s="148"/>
    </row>
    <row r="49" spans="1:60" ht="18" customHeight="1" thickBot="1">
      <c r="A49" s="202"/>
      <c r="B49" s="203"/>
      <c r="C49" s="204" t="s">
        <v>363</v>
      </c>
      <c r="D49" s="203"/>
      <c r="E49" s="203"/>
      <c r="F49" s="203"/>
      <c r="G49" s="203"/>
      <c r="H49" s="203"/>
      <c r="I49" s="203"/>
      <c r="J49" s="203"/>
      <c r="K49" s="203"/>
      <c r="L49" s="203"/>
      <c r="M49" s="203"/>
      <c r="N49" s="203"/>
      <c r="O49" s="204" t="s">
        <v>364</v>
      </c>
      <c r="P49" s="203"/>
      <c r="Q49" s="203"/>
      <c r="R49" s="203"/>
      <c r="S49" s="203"/>
      <c r="T49" s="205"/>
      <c r="U49" s="94"/>
      <c r="V49" s="94"/>
      <c r="W49" s="12" t="s">
        <v>363</v>
      </c>
      <c r="X49" s="94"/>
      <c r="Y49" s="94"/>
      <c r="Z49" s="94"/>
      <c r="AA49" s="94"/>
      <c r="AB49" s="94"/>
      <c r="AC49" s="94"/>
      <c r="AD49" s="94"/>
      <c r="AE49" s="94"/>
      <c r="AF49" s="94"/>
      <c r="AG49" s="94"/>
      <c r="AH49" s="94"/>
      <c r="AI49" s="12" t="s">
        <v>364</v>
      </c>
      <c r="AJ49" s="94"/>
      <c r="AK49" s="94"/>
      <c r="AL49" s="94"/>
      <c r="AM49" s="94"/>
      <c r="AN49" s="95"/>
      <c r="AO49" s="93"/>
      <c r="AP49" s="94"/>
      <c r="AQ49" s="94"/>
      <c r="AR49" s="94"/>
      <c r="AS49" s="95"/>
      <c r="AT49" s="964"/>
      <c r="AU49" s="964"/>
      <c r="AV49" s="964"/>
      <c r="AW49" s="964"/>
      <c r="AX49" s="964"/>
      <c r="AY49" s="965"/>
      <c r="AZ49" s="988"/>
      <c r="BA49" s="988"/>
      <c r="BB49" s="988"/>
      <c r="BC49" s="988"/>
      <c r="BD49" s="988"/>
      <c r="BE49" s="988"/>
      <c r="BF49" s="988"/>
      <c r="BG49" s="988"/>
      <c r="BH49" s="988"/>
    </row>
    <row r="50" spans="1:60" ht="18" customHeight="1" thickBot="1">
      <c r="A50" s="89"/>
      <c r="B50" s="89"/>
      <c r="C50" s="11"/>
      <c r="D50" s="89"/>
      <c r="E50" s="89"/>
      <c r="F50" s="89"/>
      <c r="G50" s="89"/>
      <c r="H50" s="89"/>
      <c r="I50" s="89"/>
      <c r="J50" s="89"/>
      <c r="K50" s="89"/>
      <c r="L50" s="89"/>
      <c r="M50" s="89"/>
      <c r="N50" s="89"/>
      <c r="O50" s="11"/>
      <c r="P50" s="89"/>
      <c r="Q50" s="89"/>
      <c r="R50" s="89"/>
      <c r="S50" s="89"/>
      <c r="T50" s="89"/>
      <c r="AO50" s="978" t="s">
        <v>587</v>
      </c>
      <c r="AP50" s="979"/>
      <c r="AQ50" s="979"/>
      <c r="AR50" s="979"/>
      <c r="AS50" s="979"/>
      <c r="AT50" s="979"/>
      <c r="AU50" s="979"/>
      <c r="AV50" s="979"/>
      <c r="AW50" s="979"/>
      <c r="AX50" s="979"/>
      <c r="AY50" s="979"/>
      <c r="AZ50" s="979"/>
      <c r="BA50" s="979"/>
      <c r="BB50" s="979"/>
      <c r="BC50" s="979"/>
      <c r="BD50" s="979"/>
      <c r="BE50" s="979"/>
      <c r="BF50" s="979"/>
      <c r="BG50" s="979"/>
      <c r="BH50" s="980"/>
    </row>
    <row r="51" spans="1:60" ht="18" customHeight="1">
      <c r="A51" s="931" t="s">
        <v>447</v>
      </c>
      <c r="B51" s="932"/>
      <c r="C51" s="932"/>
      <c r="D51" s="932"/>
      <c r="E51" s="932"/>
      <c r="F51" s="932"/>
      <c r="G51" s="932"/>
      <c r="H51" s="932"/>
      <c r="I51" s="932"/>
      <c r="J51" s="932"/>
      <c r="K51" s="932"/>
      <c r="L51" s="932"/>
      <c r="M51" s="932"/>
      <c r="N51" s="932"/>
      <c r="O51" s="932"/>
      <c r="P51" s="932"/>
      <c r="Q51" s="932"/>
      <c r="R51" s="932"/>
      <c r="S51" s="932"/>
      <c r="T51" s="933"/>
      <c r="AO51" s="983"/>
      <c r="AP51" s="828"/>
      <c r="AQ51" s="828"/>
      <c r="AR51" s="828"/>
      <c r="AS51" s="828"/>
      <c r="AT51" s="828"/>
      <c r="AU51" s="828"/>
      <c r="AV51" s="828"/>
      <c r="AW51" s="828"/>
      <c r="AX51" s="828"/>
      <c r="AY51" s="828"/>
      <c r="AZ51" s="828"/>
      <c r="BA51" s="828"/>
      <c r="BB51" s="828"/>
      <c r="BC51" s="828"/>
      <c r="BD51" s="828"/>
      <c r="BE51" s="828"/>
      <c r="BF51" s="828"/>
      <c r="BG51" s="828"/>
      <c r="BH51" s="954"/>
    </row>
    <row r="52" spans="1:60" ht="18" customHeight="1">
      <c r="A52" s="934"/>
      <c r="B52" s="926"/>
      <c r="C52" s="926"/>
      <c r="D52" s="926"/>
      <c r="E52" s="926"/>
      <c r="F52" s="926"/>
      <c r="G52" s="926"/>
      <c r="H52" s="926"/>
      <c r="I52" s="926"/>
      <c r="J52" s="926"/>
      <c r="K52" s="926"/>
      <c r="L52" s="926"/>
      <c r="M52" s="926"/>
      <c r="N52" s="926"/>
      <c r="O52" s="926"/>
      <c r="P52" s="926"/>
      <c r="Q52" s="926"/>
      <c r="R52" s="926"/>
      <c r="S52" s="926"/>
      <c r="T52" s="927"/>
      <c r="U52" s="957" t="s">
        <v>335</v>
      </c>
      <c r="V52" s="957"/>
      <c r="W52" s="957"/>
      <c r="X52" s="957"/>
      <c r="Y52" s="957"/>
      <c r="Z52" s="957"/>
      <c r="AA52" s="957"/>
      <c r="AB52" s="957"/>
      <c r="AC52" s="957"/>
      <c r="AD52" s="957"/>
      <c r="AE52" s="957"/>
      <c r="AF52" s="957"/>
      <c r="AG52" s="957"/>
      <c r="AH52" s="957"/>
      <c r="AI52" s="957"/>
      <c r="AJ52" s="957"/>
      <c r="AK52" s="957"/>
      <c r="AL52" s="957"/>
      <c r="AM52" s="957"/>
      <c r="AN52" s="957"/>
      <c r="AO52" s="5"/>
      <c r="BH52" s="4"/>
    </row>
    <row r="53" spans="1:60" ht="18" customHeight="1">
      <c r="A53" s="934"/>
      <c r="B53" s="926"/>
      <c r="C53" s="926"/>
      <c r="D53" s="926"/>
      <c r="E53" s="926"/>
      <c r="F53" s="926"/>
      <c r="G53" s="926"/>
      <c r="H53" s="926"/>
      <c r="I53" s="926"/>
      <c r="J53" s="926"/>
      <c r="K53" s="926"/>
      <c r="L53" s="926"/>
      <c r="M53" s="926"/>
      <c r="N53" s="926"/>
      <c r="O53" s="926"/>
      <c r="P53" s="926"/>
      <c r="Q53" s="926"/>
      <c r="R53" s="926"/>
      <c r="S53" s="926"/>
      <c r="T53" s="927"/>
      <c r="U53" s="926"/>
      <c r="V53" s="926"/>
      <c r="W53" s="926"/>
      <c r="X53" s="926"/>
      <c r="Y53" s="926"/>
      <c r="Z53" s="926"/>
      <c r="AA53" s="926"/>
      <c r="AB53" s="926"/>
      <c r="AC53" s="926"/>
      <c r="AD53" s="926"/>
      <c r="AE53" s="926"/>
      <c r="AF53" s="926"/>
      <c r="AG53" s="926"/>
      <c r="AH53" s="926"/>
      <c r="AI53" s="926"/>
      <c r="AJ53" s="926"/>
      <c r="AK53" s="926"/>
      <c r="AL53" s="926"/>
      <c r="AM53" s="926"/>
      <c r="AN53" s="926"/>
      <c r="AO53" s="949" t="s">
        <v>597</v>
      </c>
      <c r="AP53" s="950"/>
      <c r="AQ53" s="950"/>
      <c r="AR53" s="950"/>
      <c r="AS53" s="950"/>
      <c r="AT53" s="950"/>
      <c r="AU53" s="950"/>
      <c r="AV53" s="950"/>
      <c r="AW53" s="950"/>
      <c r="AX53" s="950"/>
      <c r="AY53" s="950"/>
      <c r="AZ53" s="950"/>
      <c r="BA53" s="950"/>
      <c r="BB53" s="950"/>
      <c r="BC53" s="950"/>
      <c r="BD53" s="950"/>
      <c r="BE53" s="950"/>
      <c r="BF53" s="950"/>
      <c r="BG53" s="950"/>
      <c r="BH53" s="951"/>
    </row>
    <row r="54" spans="1:60" ht="18" customHeight="1">
      <c r="A54" s="195"/>
      <c r="B54" s="89"/>
      <c r="C54" s="89"/>
      <c r="D54" s="89"/>
      <c r="E54" s="89"/>
      <c r="F54" s="908" t="str">
        <f>F4</f>
        <v>AMPERE Sp. z o.o.</v>
      </c>
      <c r="G54" s="908"/>
      <c r="H54" s="908"/>
      <c r="I54" s="908"/>
      <c r="J54" s="908"/>
      <c r="K54" s="908"/>
      <c r="L54" s="908"/>
      <c r="M54" s="908"/>
      <c r="N54" s="908"/>
      <c r="O54" s="908"/>
      <c r="P54" s="89"/>
      <c r="Q54" s="89"/>
      <c r="R54" s="89"/>
      <c r="S54" s="89"/>
      <c r="T54" s="196"/>
      <c r="U54" s="926"/>
      <c r="V54" s="926"/>
      <c r="W54" s="926"/>
      <c r="X54" s="926"/>
      <c r="Y54" s="926"/>
      <c r="Z54" s="926"/>
      <c r="AA54" s="926"/>
      <c r="AB54" s="926"/>
      <c r="AC54" s="926"/>
      <c r="AD54" s="926"/>
      <c r="AE54" s="926"/>
      <c r="AF54" s="926"/>
      <c r="AG54" s="926"/>
      <c r="AH54" s="926"/>
      <c r="AI54" s="926"/>
      <c r="AJ54" s="926"/>
      <c r="AK54" s="926"/>
      <c r="AL54" s="926"/>
      <c r="AM54" s="926"/>
      <c r="AN54" s="926"/>
      <c r="AO54" s="949"/>
      <c r="AP54" s="950"/>
      <c r="AQ54" s="950"/>
      <c r="AR54" s="950"/>
      <c r="AS54" s="950"/>
      <c r="AT54" s="950"/>
      <c r="AU54" s="950"/>
      <c r="AV54" s="950"/>
      <c r="AW54" s="950"/>
      <c r="AX54" s="950"/>
      <c r="AY54" s="950"/>
      <c r="AZ54" s="950"/>
      <c r="BA54" s="950"/>
      <c r="BB54" s="950"/>
      <c r="BC54" s="950"/>
      <c r="BD54" s="950"/>
      <c r="BE54" s="950"/>
      <c r="BF54" s="950"/>
      <c r="BG54" s="950"/>
      <c r="BH54" s="951"/>
    </row>
    <row r="55" spans="1:60" ht="18" customHeight="1">
      <c r="A55" s="195"/>
      <c r="B55" s="89"/>
      <c r="C55" s="89"/>
      <c r="D55" s="89"/>
      <c r="E55" s="89"/>
      <c r="F55" s="908" t="str">
        <f>F5</f>
        <v>44-313 Wodzisław Śląski, Letnia 212</v>
      </c>
      <c r="G55" s="908"/>
      <c r="H55" s="908"/>
      <c r="I55" s="908"/>
      <c r="J55" s="908"/>
      <c r="K55" s="908"/>
      <c r="L55" s="908"/>
      <c r="M55" s="908"/>
      <c r="N55" s="908"/>
      <c r="O55" s="908"/>
      <c r="P55" s="89"/>
      <c r="Q55" s="89"/>
      <c r="R55" s="89"/>
      <c r="S55" s="89"/>
      <c r="T55" s="196"/>
      <c r="U55" s="89"/>
      <c r="V55" s="89"/>
      <c r="W55" s="89"/>
      <c r="X55" s="89"/>
      <c r="Y55" s="89"/>
      <c r="Z55" s="908" t="str">
        <f>F4</f>
        <v>AMPERE Sp. z o.o.</v>
      </c>
      <c r="AA55" s="908"/>
      <c r="AB55" s="908"/>
      <c r="AC55" s="908"/>
      <c r="AD55" s="908"/>
      <c r="AE55" s="908"/>
      <c r="AF55" s="908"/>
      <c r="AG55" s="908"/>
      <c r="AH55" s="908"/>
      <c r="AI55" s="908"/>
      <c r="AJ55" s="89"/>
      <c r="AK55" s="89"/>
      <c r="AL55" s="89"/>
      <c r="AM55" s="89"/>
      <c r="AN55" s="89"/>
      <c r="AO55" s="949"/>
      <c r="AP55" s="950"/>
      <c r="AQ55" s="950"/>
      <c r="AR55" s="950"/>
      <c r="AS55" s="950"/>
      <c r="AT55" s="950"/>
      <c r="AU55" s="950"/>
      <c r="AV55" s="950"/>
      <c r="AW55" s="950"/>
      <c r="AX55" s="950"/>
      <c r="AY55" s="950"/>
      <c r="AZ55" s="950"/>
      <c r="BA55" s="950"/>
      <c r="BB55" s="950"/>
      <c r="BC55" s="950"/>
      <c r="BD55" s="950"/>
      <c r="BE55" s="950"/>
      <c r="BF55" s="950"/>
      <c r="BG55" s="950"/>
      <c r="BH55" s="951"/>
    </row>
    <row r="56" spans="1:60" ht="18" customHeight="1">
      <c r="A56" s="195"/>
      <c r="B56" s="89"/>
      <c r="C56" s="89"/>
      <c r="D56" s="89"/>
      <c r="E56" s="89"/>
      <c r="F56" s="908"/>
      <c r="G56" s="908"/>
      <c r="H56" s="908"/>
      <c r="I56" s="908"/>
      <c r="J56" s="908"/>
      <c r="K56" s="908"/>
      <c r="L56" s="908"/>
      <c r="M56" s="908"/>
      <c r="N56" s="908"/>
      <c r="O56" s="908"/>
      <c r="P56" s="89"/>
      <c r="Q56" s="89"/>
      <c r="R56" s="89"/>
      <c r="S56" s="89"/>
      <c r="T56" s="196"/>
      <c r="U56" s="89"/>
      <c r="V56" s="89"/>
      <c r="W56" s="89"/>
      <c r="X56" s="89"/>
      <c r="Y56" s="89"/>
      <c r="Z56" s="908" t="s">
        <v>1278</v>
      </c>
      <c r="AA56" s="908"/>
      <c r="AB56" s="908"/>
      <c r="AC56" s="908"/>
      <c r="AD56" s="908"/>
      <c r="AE56" s="908"/>
      <c r="AF56" s="908"/>
      <c r="AG56" s="908"/>
      <c r="AH56" s="908"/>
      <c r="AI56" s="908"/>
      <c r="AJ56" s="89"/>
      <c r="AK56" s="89"/>
      <c r="AL56" s="89"/>
      <c r="AM56" s="89"/>
      <c r="AN56" s="89"/>
      <c r="AO56" s="949"/>
      <c r="AP56" s="950"/>
      <c r="AQ56" s="950"/>
      <c r="AR56" s="950"/>
      <c r="AS56" s="950"/>
      <c r="AT56" s="950"/>
      <c r="AU56" s="950"/>
      <c r="AV56" s="950"/>
      <c r="AW56" s="950"/>
      <c r="AX56" s="950"/>
      <c r="AY56" s="950"/>
      <c r="AZ56" s="950"/>
      <c r="BA56" s="950"/>
      <c r="BB56" s="950"/>
      <c r="BC56" s="950"/>
      <c r="BD56" s="950"/>
      <c r="BE56" s="950"/>
      <c r="BF56" s="950"/>
      <c r="BG56" s="950"/>
      <c r="BH56" s="951"/>
    </row>
    <row r="57" spans="1:60" ht="18" customHeight="1">
      <c r="A57" s="195"/>
      <c r="B57" s="89"/>
      <c r="C57" s="89"/>
      <c r="D57" s="89"/>
      <c r="E57" s="89"/>
      <c r="F57" s="89"/>
      <c r="G57" s="89"/>
      <c r="H57" s="89"/>
      <c r="I57" s="89"/>
      <c r="J57" s="89"/>
      <c r="K57" s="89"/>
      <c r="L57" s="89"/>
      <c r="M57" s="89"/>
      <c r="N57" s="89"/>
      <c r="O57" s="89"/>
      <c r="P57" s="89"/>
      <c r="Q57" s="89"/>
      <c r="R57" s="89"/>
      <c r="S57" s="89"/>
      <c r="T57" s="196"/>
      <c r="U57" s="89"/>
      <c r="V57" s="89"/>
      <c r="W57" s="89"/>
      <c r="X57" s="89"/>
      <c r="Y57" s="89"/>
      <c r="Z57" s="908"/>
      <c r="AA57" s="908"/>
      <c r="AB57" s="908"/>
      <c r="AC57" s="908"/>
      <c r="AD57" s="908"/>
      <c r="AE57" s="908"/>
      <c r="AF57" s="908"/>
      <c r="AG57" s="908"/>
      <c r="AH57" s="908"/>
      <c r="AI57" s="908"/>
      <c r="AJ57" s="89"/>
      <c r="AK57" s="89"/>
      <c r="AL57" s="89"/>
      <c r="AM57" s="89"/>
      <c r="AN57" s="89"/>
      <c r="AO57" s="949"/>
      <c r="AP57" s="950"/>
      <c r="AQ57" s="950"/>
      <c r="AR57" s="950"/>
      <c r="AS57" s="950"/>
      <c r="AT57" s="950"/>
      <c r="AU57" s="950"/>
      <c r="AV57" s="950"/>
      <c r="AW57" s="950"/>
      <c r="AX57" s="950"/>
      <c r="AY57" s="950"/>
      <c r="AZ57" s="950"/>
      <c r="BA57" s="950"/>
      <c r="BB57" s="950"/>
      <c r="BC57" s="950"/>
      <c r="BD57" s="950"/>
      <c r="BE57" s="950"/>
      <c r="BF57" s="950"/>
      <c r="BG57" s="950"/>
      <c r="BH57" s="951"/>
    </row>
    <row r="58" spans="1:60" ht="18" customHeight="1">
      <c r="A58" s="195" t="s">
        <v>338</v>
      </c>
      <c r="B58" s="89"/>
      <c r="C58" s="89"/>
      <c r="D58" s="89"/>
      <c r="E58" s="89"/>
      <c r="F58" s="89"/>
      <c r="G58" s="89"/>
      <c r="H58" s="89"/>
      <c r="I58" s="89"/>
      <c r="J58" s="89"/>
      <c r="K58" s="89"/>
      <c r="L58" s="89"/>
      <c r="M58" s="89"/>
      <c r="N58" s="89"/>
      <c r="O58" s="89"/>
      <c r="P58" s="89"/>
      <c r="Q58" s="89"/>
      <c r="R58" s="89"/>
      <c r="S58" s="89"/>
      <c r="T58" s="196"/>
      <c r="U58" s="89"/>
      <c r="V58" s="89"/>
      <c r="W58" s="89"/>
      <c r="X58" s="89"/>
      <c r="Y58" s="89"/>
      <c r="Z58" s="89"/>
      <c r="AA58" s="89"/>
      <c r="AB58" s="89"/>
      <c r="AC58" s="89"/>
      <c r="AD58" s="89"/>
      <c r="AE58" s="89"/>
      <c r="AF58" s="89"/>
      <c r="AG58" s="89"/>
      <c r="AH58" s="89"/>
      <c r="AI58" s="89"/>
      <c r="AJ58" s="89"/>
      <c r="AK58" s="89"/>
      <c r="AL58" s="89"/>
      <c r="AM58" s="89"/>
      <c r="AN58" s="89"/>
      <c r="AO58" s="949"/>
      <c r="AP58" s="950"/>
      <c r="AQ58" s="950"/>
      <c r="AR58" s="950"/>
      <c r="AS58" s="950"/>
      <c r="AT58" s="950"/>
      <c r="AU58" s="950"/>
      <c r="AV58" s="950"/>
      <c r="AW58" s="950"/>
      <c r="AX58" s="950"/>
      <c r="AY58" s="950"/>
      <c r="AZ58" s="950"/>
      <c r="BA58" s="950"/>
      <c r="BB58" s="950"/>
      <c r="BC58" s="950"/>
      <c r="BD58" s="950"/>
      <c r="BE58" s="950"/>
      <c r="BF58" s="950"/>
      <c r="BG58" s="950"/>
      <c r="BH58" s="951"/>
    </row>
    <row r="59" spans="1:60" ht="18" customHeight="1">
      <c r="A59" s="912" t="s">
        <v>213</v>
      </c>
      <c r="B59" s="908"/>
      <c r="C59" s="908"/>
      <c r="D59" s="916">
        <f>D8</f>
        <v>0</v>
      </c>
      <c r="E59" s="916"/>
      <c r="F59" s="916"/>
      <c r="G59" s="916"/>
      <c r="H59" s="916"/>
      <c r="I59" s="916"/>
      <c r="J59" s="916"/>
      <c r="K59" s="916"/>
      <c r="L59" s="916"/>
      <c r="M59" s="916"/>
      <c r="N59" s="916"/>
      <c r="O59" s="916"/>
      <c r="P59" s="916"/>
      <c r="Q59" s="916"/>
      <c r="R59" s="916"/>
      <c r="S59" s="916"/>
      <c r="T59" s="917"/>
      <c r="U59" s="89" t="s">
        <v>338</v>
      </c>
      <c r="V59" s="89"/>
      <c r="W59" s="89"/>
      <c r="X59" s="89"/>
      <c r="Y59" s="89"/>
      <c r="Z59" s="89"/>
      <c r="AA59" s="89"/>
      <c r="AB59" s="89"/>
      <c r="AC59" s="89"/>
      <c r="AD59" s="89"/>
      <c r="AE59" s="89"/>
      <c r="AF59" s="89"/>
      <c r="AG59" s="89"/>
      <c r="AH59" s="89"/>
      <c r="AI59" s="89"/>
      <c r="AJ59" s="89"/>
      <c r="AK59" s="89"/>
      <c r="AL59" s="89"/>
      <c r="AM59" s="89"/>
      <c r="AN59" s="89"/>
      <c r="AO59" s="949" t="s">
        <v>588</v>
      </c>
      <c r="AP59" s="950"/>
      <c r="AQ59" s="950"/>
      <c r="AR59" s="950"/>
      <c r="AS59" s="950"/>
      <c r="AT59" s="950"/>
      <c r="AU59" s="950"/>
      <c r="AV59" s="950"/>
      <c r="AW59" s="950"/>
      <c r="AX59" s="950"/>
      <c r="AY59" s="950"/>
      <c r="AZ59" s="950"/>
      <c r="BA59" s="950"/>
      <c r="BB59" s="950"/>
      <c r="BC59" s="950"/>
      <c r="BD59" s="950"/>
      <c r="BE59" s="950"/>
      <c r="BF59" s="950"/>
      <c r="BG59" s="950"/>
      <c r="BH59" s="951"/>
    </row>
    <row r="60" spans="1:60" ht="18" customHeight="1">
      <c r="A60" s="1025" t="s">
        <v>333</v>
      </c>
      <c r="B60" s="961"/>
      <c r="C60" s="961"/>
      <c r="D60" s="916">
        <f>D9</f>
        <v>0</v>
      </c>
      <c r="E60" s="916"/>
      <c r="F60" s="916"/>
      <c r="G60" s="916"/>
      <c r="H60" s="916"/>
      <c r="I60" s="916"/>
      <c r="J60" s="916"/>
      <c r="K60" s="916"/>
      <c r="L60" s="916"/>
      <c r="M60" s="916"/>
      <c r="N60" s="916"/>
      <c r="O60" s="916"/>
      <c r="P60" s="916"/>
      <c r="Q60" s="916"/>
      <c r="R60" s="916"/>
      <c r="S60" s="916"/>
      <c r="T60" s="917"/>
      <c r="U60" s="908" t="s">
        <v>213</v>
      </c>
      <c r="V60" s="908"/>
      <c r="W60" s="908"/>
      <c r="X60" s="916"/>
      <c r="Y60" s="916"/>
      <c r="Z60" s="916"/>
      <c r="AA60" s="916"/>
      <c r="AB60" s="916"/>
      <c r="AC60" s="916"/>
      <c r="AD60" s="916"/>
      <c r="AE60" s="916"/>
      <c r="AF60" s="916"/>
      <c r="AG60" s="916"/>
      <c r="AH60" s="916"/>
      <c r="AI60" s="916"/>
      <c r="AJ60" s="916"/>
      <c r="AK60" s="916"/>
      <c r="AL60" s="916"/>
      <c r="AM60" s="916"/>
      <c r="AN60" s="916"/>
      <c r="AO60" s="949"/>
      <c r="AP60" s="950"/>
      <c r="AQ60" s="950"/>
      <c r="AR60" s="950"/>
      <c r="AS60" s="950"/>
      <c r="AT60" s="950"/>
      <c r="AU60" s="950"/>
      <c r="AV60" s="950"/>
      <c r="AW60" s="950"/>
      <c r="AX60" s="950"/>
      <c r="AY60" s="950"/>
      <c r="AZ60" s="950"/>
      <c r="BA60" s="950"/>
      <c r="BB60" s="950"/>
      <c r="BC60" s="950"/>
      <c r="BD60" s="950"/>
      <c r="BE60" s="950"/>
      <c r="BF60" s="950"/>
      <c r="BG60" s="950"/>
      <c r="BH60" s="951"/>
    </row>
    <row r="61" spans="1:60" ht="18" customHeight="1">
      <c r="A61" s="1025" t="s">
        <v>334</v>
      </c>
      <c r="B61" s="961"/>
      <c r="C61" s="961"/>
      <c r="D61" s="916">
        <f>D10</f>
        <v>0</v>
      </c>
      <c r="E61" s="916"/>
      <c r="F61" s="916"/>
      <c r="G61" s="916"/>
      <c r="H61" s="916"/>
      <c r="I61" s="916"/>
      <c r="J61" s="916"/>
      <c r="K61" s="916"/>
      <c r="L61" s="916"/>
      <c r="M61" s="916"/>
      <c r="N61" s="916"/>
      <c r="O61" s="916"/>
      <c r="P61" s="916"/>
      <c r="Q61" s="916"/>
      <c r="R61" s="916"/>
      <c r="S61" s="916"/>
      <c r="T61" s="917"/>
      <c r="U61" s="961" t="s">
        <v>333</v>
      </c>
      <c r="V61" s="961"/>
      <c r="W61" s="961"/>
      <c r="X61" s="916"/>
      <c r="Y61" s="916"/>
      <c r="Z61" s="916"/>
      <c r="AA61" s="916"/>
      <c r="AB61" s="916"/>
      <c r="AC61" s="916"/>
      <c r="AD61" s="916"/>
      <c r="AE61" s="916"/>
      <c r="AF61" s="916"/>
      <c r="AG61" s="916"/>
      <c r="AH61" s="916"/>
      <c r="AI61" s="916"/>
      <c r="AJ61" s="916"/>
      <c r="AK61" s="916"/>
      <c r="AL61" s="916"/>
      <c r="AM61" s="916"/>
      <c r="AN61" s="916"/>
      <c r="AO61" s="949"/>
      <c r="AP61" s="950"/>
      <c r="AQ61" s="950"/>
      <c r="AR61" s="950"/>
      <c r="AS61" s="950"/>
      <c r="AT61" s="950"/>
      <c r="AU61" s="950"/>
      <c r="AV61" s="950"/>
      <c r="AW61" s="950"/>
      <c r="AX61" s="950"/>
      <c r="AY61" s="950"/>
      <c r="AZ61" s="950"/>
      <c r="BA61" s="950"/>
      <c r="BB61" s="950"/>
      <c r="BC61" s="950"/>
      <c r="BD61" s="950"/>
      <c r="BE61" s="950"/>
      <c r="BF61" s="950"/>
      <c r="BG61" s="950"/>
      <c r="BH61" s="951"/>
    </row>
    <row r="62" spans="1:60" ht="18" customHeight="1">
      <c r="A62" s="195"/>
      <c r="B62" s="89"/>
      <c r="C62" s="89"/>
      <c r="D62" s="89"/>
      <c r="E62" s="89"/>
      <c r="F62" s="89"/>
      <c r="G62" s="89"/>
      <c r="H62" s="89"/>
      <c r="I62" s="89"/>
      <c r="J62" s="89"/>
      <c r="K62" s="89"/>
      <c r="L62" s="89"/>
      <c r="M62" s="89"/>
      <c r="N62" s="89"/>
      <c r="O62" s="89"/>
      <c r="P62" s="89"/>
      <c r="Q62" s="89"/>
      <c r="R62" s="89"/>
      <c r="S62" s="89"/>
      <c r="T62" s="196"/>
      <c r="U62" s="961" t="s">
        <v>334</v>
      </c>
      <c r="V62" s="961"/>
      <c r="W62" s="961"/>
      <c r="X62" s="916"/>
      <c r="Y62" s="916"/>
      <c r="Z62" s="916"/>
      <c r="AA62" s="916"/>
      <c r="AB62" s="916"/>
      <c r="AC62" s="916"/>
      <c r="AD62" s="916"/>
      <c r="AE62" s="916"/>
      <c r="AF62" s="916"/>
      <c r="AG62" s="916"/>
      <c r="AH62" s="916"/>
      <c r="AI62" s="916"/>
      <c r="AJ62" s="916"/>
      <c r="AK62" s="916"/>
      <c r="AL62" s="916"/>
      <c r="AM62" s="916"/>
      <c r="AN62" s="916"/>
      <c r="AO62" s="949"/>
      <c r="AP62" s="950"/>
      <c r="AQ62" s="950"/>
      <c r="AR62" s="950"/>
      <c r="AS62" s="950"/>
      <c r="AT62" s="950"/>
      <c r="AU62" s="950"/>
      <c r="AV62" s="950"/>
      <c r="AW62" s="950"/>
      <c r="AX62" s="950"/>
      <c r="AY62" s="950"/>
      <c r="AZ62" s="950"/>
      <c r="BA62" s="950"/>
      <c r="BB62" s="950"/>
      <c r="BC62" s="950"/>
      <c r="BD62" s="950"/>
      <c r="BE62" s="950"/>
      <c r="BF62" s="950"/>
      <c r="BG62" s="950"/>
      <c r="BH62" s="951"/>
    </row>
    <row r="63" spans="1:60" ht="18" customHeight="1">
      <c r="A63" s="912" t="s">
        <v>339</v>
      </c>
      <c r="B63" s="908"/>
      <c r="C63" s="908"/>
      <c r="D63" s="908"/>
      <c r="E63" s="913"/>
      <c r="F63" s="913"/>
      <c r="G63" s="913"/>
      <c r="H63" s="913"/>
      <c r="I63" s="913"/>
      <c r="J63" s="89" t="s">
        <v>340</v>
      </c>
      <c r="K63" s="913"/>
      <c r="L63" s="913"/>
      <c r="M63" s="913"/>
      <c r="N63" s="913"/>
      <c r="O63" s="913"/>
      <c r="P63" s="913"/>
      <c r="Q63" s="913"/>
      <c r="R63" s="913"/>
      <c r="S63" s="89"/>
      <c r="T63" s="196"/>
      <c r="U63" s="89"/>
      <c r="V63" s="89"/>
      <c r="W63" s="89"/>
      <c r="X63" s="89"/>
      <c r="Y63" s="89"/>
      <c r="Z63" s="89"/>
      <c r="AA63" s="89"/>
      <c r="AB63" s="89"/>
      <c r="AC63" s="89"/>
      <c r="AD63" s="89"/>
      <c r="AE63" s="89"/>
      <c r="AF63" s="89"/>
      <c r="AG63" s="89"/>
      <c r="AH63" s="89"/>
      <c r="AI63" s="89"/>
      <c r="AJ63" s="89"/>
      <c r="AK63" s="89"/>
      <c r="AL63" s="89"/>
      <c r="AM63" s="89"/>
      <c r="AN63" s="89"/>
      <c r="AO63" s="949"/>
      <c r="AP63" s="950"/>
      <c r="AQ63" s="950"/>
      <c r="AR63" s="950"/>
      <c r="AS63" s="950"/>
      <c r="AT63" s="950"/>
      <c r="AU63" s="950"/>
      <c r="AV63" s="950"/>
      <c r="AW63" s="950"/>
      <c r="AX63" s="950"/>
      <c r="AY63" s="950"/>
      <c r="AZ63" s="950"/>
      <c r="BA63" s="950"/>
      <c r="BB63" s="950"/>
      <c r="BC63" s="950"/>
      <c r="BD63" s="950"/>
      <c r="BE63" s="950"/>
      <c r="BF63" s="950"/>
      <c r="BG63" s="950"/>
      <c r="BH63" s="951"/>
    </row>
    <row r="64" spans="1:60" ht="18" customHeight="1">
      <c r="A64" s="195"/>
      <c r="B64" s="89"/>
      <c r="C64" s="89"/>
      <c r="D64" s="89"/>
      <c r="E64" s="89"/>
      <c r="F64" s="89"/>
      <c r="G64" s="89"/>
      <c r="H64" s="89"/>
      <c r="I64" s="89"/>
      <c r="J64" s="89"/>
      <c r="K64" s="89"/>
      <c r="L64" s="89"/>
      <c r="M64" s="11" t="s">
        <v>341</v>
      </c>
      <c r="N64" s="89"/>
      <c r="O64" s="89"/>
      <c r="P64" s="89"/>
      <c r="Q64" s="89"/>
      <c r="R64" s="89"/>
      <c r="S64" s="89"/>
      <c r="T64" s="196"/>
      <c r="U64" s="908" t="s">
        <v>339</v>
      </c>
      <c r="V64" s="908"/>
      <c r="W64" s="908"/>
      <c r="X64" s="908"/>
      <c r="Y64" s="913"/>
      <c r="Z64" s="913"/>
      <c r="AA64" s="913"/>
      <c r="AB64" s="913"/>
      <c r="AC64" s="913"/>
      <c r="AD64" s="89" t="s">
        <v>340</v>
      </c>
      <c r="AE64" s="913"/>
      <c r="AF64" s="913"/>
      <c r="AG64" s="913"/>
      <c r="AH64" s="913"/>
      <c r="AI64" s="913"/>
      <c r="AJ64" s="913"/>
      <c r="AK64" s="913"/>
      <c r="AL64" s="913"/>
      <c r="AM64" s="89"/>
      <c r="AN64" s="89"/>
      <c r="AO64" s="946" t="s">
        <v>590</v>
      </c>
      <c r="AP64" s="947"/>
      <c r="AQ64" s="947"/>
      <c r="AR64" s="947"/>
      <c r="AS64" s="947"/>
      <c r="AT64" s="947"/>
      <c r="AU64" s="947"/>
      <c r="AV64" s="947"/>
      <c r="AW64" s="947"/>
      <c r="AX64" s="947"/>
      <c r="AY64" s="947"/>
      <c r="AZ64" s="947"/>
      <c r="BA64" s="947"/>
      <c r="BB64" s="947"/>
      <c r="BC64" s="947"/>
      <c r="BD64" s="947"/>
      <c r="BE64" s="947"/>
      <c r="BF64" s="947"/>
      <c r="BG64" s="947"/>
      <c r="BH64" s="948"/>
    </row>
    <row r="65" spans="1:60" ht="18" customHeight="1">
      <c r="A65" s="195" t="s">
        <v>342</v>
      </c>
      <c r="B65" s="89"/>
      <c r="C65" s="89"/>
      <c r="D65" s="89"/>
      <c r="E65" s="89"/>
      <c r="F65" s="89"/>
      <c r="G65" s="89"/>
      <c r="H65" s="89"/>
      <c r="I65" s="89"/>
      <c r="J65" s="89"/>
      <c r="K65" s="89"/>
      <c r="L65" s="89"/>
      <c r="M65" s="89"/>
      <c r="N65" s="89"/>
      <c r="O65" s="89"/>
      <c r="P65" s="89"/>
      <c r="Q65" s="89"/>
      <c r="R65" s="89"/>
      <c r="S65" s="89"/>
      <c r="T65" s="196"/>
      <c r="U65" s="89"/>
      <c r="V65" s="89"/>
      <c r="W65" s="89"/>
      <c r="X65" s="89"/>
      <c r="Y65" s="89"/>
      <c r="Z65" s="89"/>
      <c r="AA65" s="89"/>
      <c r="AB65" s="89"/>
      <c r="AC65" s="89"/>
      <c r="AD65" s="89"/>
      <c r="AE65" s="89"/>
      <c r="AF65" s="89"/>
      <c r="AG65" s="11" t="s">
        <v>341</v>
      </c>
      <c r="AH65" s="89"/>
      <c r="AI65" s="89"/>
      <c r="AJ65" s="89"/>
      <c r="AK65" s="89"/>
      <c r="AL65" s="89"/>
      <c r="AM65" s="89"/>
      <c r="AN65" s="89"/>
      <c r="AO65" s="946"/>
      <c r="AP65" s="947"/>
      <c r="AQ65" s="947"/>
      <c r="AR65" s="947"/>
      <c r="AS65" s="947"/>
      <c r="AT65" s="947"/>
      <c r="AU65" s="947"/>
      <c r="AV65" s="947"/>
      <c r="AW65" s="947"/>
      <c r="AX65" s="947"/>
      <c r="AY65" s="947"/>
      <c r="AZ65" s="947"/>
      <c r="BA65" s="947"/>
      <c r="BB65" s="947"/>
      <c r="BC65" s="947"/>
      <c r="BD65" s="947"/>
      <c r="BE65" s="947"/>
      <c r="BF65" s="947"/>
      <c r="BG65" s="947"/>
      <c r="BH65" s="948"/>
    </row>
    <row r="66" spans="1:60" ht="18" customHeight="1">
      <c r="A66" s="827" t="s">
        <v>1023</v>
      </c>
      <c r="B66" s="828"/>
      <c r="C66" s="828"/>
      <c r="D66" s="828"/>
      <c r="E66" s="828"/>
      <c r="F66" s="828"/>
      <c r="G66" s="828"/>
      <c r="H66" s="828"/>
      <c r="I66" s="828"/>
      <c r="J66" s="828"/>
      <c r="K66" s="828"/>
      <c r="L66" s="828"/>
      <c r="M66" s="828"/>
      <c r="N66" s="828"/>
      <c r="O66" s="828"/>
      <c r="P66" s="828"/>
      <c r="Q66" s="828"/>
      <c r="R66" s="828"/>
      <c r="S66" s="828"/>
      <c r="T66" s="829"/>
      <c r="U66" s="89" t="s">
        <v>342</v>
      </c>
      <c r="V66" s="89"/>
      <c r="W66" s="89"/>
      <c r="X66" s="89"/>
      <c r="Y66" s="89"/>
      <c r="Z66" s="89"/>
      <c r="AA66" s="89"/>
      <c r="AB66" s="89"/>
      <c r="AC66" s="89"/>
      <c r="AD66" s="89"/>
      <c r="AE66" s="89"/>
      <c r="AF66" s="89"/>
      <c r="AG66" s="89"/>
      <c r="AH66" s="89"/>
      <c r="AI66" s="89"/>
      <c r="AJ66" s="89"/>
      <c r="AK66" s="89"/>
      <c r="AL66" s="89"/>
      <c r="AM66" s="89"/>
      <c r="AN66" s="89"/>
      <c r="AO66" s="946"/>
      <c r="AP66" s="947"/>
      <c r="AQ66" s="947"/>
      <c r="AR66" s="947"/>
      <c r="AS66" s="947"/>
      <c r="AT66" s="947"/>
      <c r="AU66" s="947"/>
      <c r="AV66" s="947"/>
      <c r="AW66" s="947"/>
      <c r="AX66" s="947"/>
      <c r="AY66" s="947"/>
      <c r="AZ66" s="947"/>
      <c r="BA66" s="947"/>
      <c r="BB66" s="947"/>
      <c r="BC66" s="947"/>
      <c r="BD66" s="947"/>
      <c r="BE66" s="947"/>
      <c r="BF66" s="947"/>
      <c r="BG66" s="947"/>
      <c r="BH66" s="948"/>
    </row>
    <row r="67" spans="1:60" ht="18" customHeight="1">
      <c r="A67" s="827"/>
      <c r="B67" s="828"/>
      <c r="C67" s="828"/>
      <c r="D67" s="828"/>
      <c r="E67" s="828"/>
      <c r="F67" s="828"/>
      <c r="G67" s="828"/>
      <c r="H67" s="828"/>
      <c r="I67" s="828"/>
      <c r="J67" s="828"/>
      <c r="K67" s="828"/>
      <c r="L67" s="828"/>
      <c r="M67" s="828"/>
      <c r="N67" s="828"/>
      <c r="O67" s="828"/>
      <c r="P67" s="828"/>
      <c r="Q67" s="828"/>
      <c r="R67" s="828"/>
      <c r="S67" s="828"/>
      <c r="T67" s="829"/>
      <c r="U67" s="828" t="s">
        <v>369</v>
      </c>
      <c r="V67" s="828"/>
      <c r="W67" s="828"/>
      <c r="X67" s="828"/>
      <c r="Y67" s="828"/>
      <c r="Z67" s="828"/>
      <c r="AA67" s="828"/>
      <c r="AB67" s="828"/>
      <c r="AC67" s="828"/>
      <c r="AD67" s="828"/>
      <c r="AE67" s="828"/>
      <c r="AF67" s="828"/>
      <c r="AG67" s="828"/>
      <c r="AH67" s="828"/>
      <c r="AI67" s="828"/>
      <c r="AJ67" s="828"/>
      <c r="AK67" s="828"/>
      <c r="AL67" s="828"/>
      <c r="AM67" s="828"/>
      <c r="AN67" s="828"/>
      <c r="AO67" s="946"/>
      <c r="AP67" s="947"/>
      <c r="AQ67" s="947"/>
      <c r="AR67" s="947"/>
      <c r="AS67" s="947"/>
      <c r="AT67" s="947"/>
      <c r="AU67" s="947"/>
      <c r="AV67" s="947"/>
      <c r="AW67" s="947"/>
      <c r="AX67" s="947"/>
      <c r="AY67" s="947"/>
      <c r="AZ67" s="947"/>
      <c r="BA67" s="947"/>
      <c r="BB67" s="947"/>
      <c r="BC67" s="947"/>
      <c r="BD67" s="947"/>
      <c r="BE67" s="947"/>
      <c r="BF67" s="947"/>
      <c r="BG67" s="947"/>
      <c r="BH67" s="948"/>
    </row>
    <row r="68" spans="1:60" ht="18" customHeight="1">
      <c r="A68" s="827" t="s">
        <v>344</v>
      </c>
      <c r="B68" s="828"/>
      <c r="C68" s="828"/>
      <c r="D68" s="925">
        <f>D16</f>
        <v>13.32</v>
      </c>
      <c r="E68" s="944"/>
      <c r="F68" s="944"/>
      <c r="G68" s="828" t="s">
        <v>49</v>
      </c>
      <c r="H68" s="828"/>
      <c r="I68" s="828" t="s">
        <v>345</v>
      </c>
      <c r="J68" s="828"/>
      <c r="K68" s="828"/>
      <c r="L68" s="828"/>
      <c r="M68" s="926">
        <f>D60</f>
        <v>0</v>
      </c>
      <c r="N68" s="926"/>
      <c r="O68" s="926"/>
      <c r="P68" s="926"/>
      <c r="Q68" s="926"/>
      <c r="R68" s="926"/>
      <c r="S68" s="926"/>
      <c r="T68" s="927"/>
      <c r="U68" s="828"/>
      <c r="V68" s="828"/>
      <c r="W68" s="828"/>
      <c r="X68" s="828"/>
      <c r="Y68" s="828"/>
      <c r="Z68" s="828"/>
      <c r="AA68" s="828"/>
      <c r="AB68" s="828"/>
      <c r="AC68" s="828"/>
      <c r="AD68" s="828"/>
      <c r="AE68" s="828"/>
      <c r="AF68" s="828"/>
      <c r="AG68" s="828"/>
      <c r="AH68" s="828"/>
      <c r="AI68" s="828"/>
      <c r="AJ68" s="828"/>
      <c r="AK68" s="828"/>
      <c r="AL68" s="828"/>
      <c r="AM68" s="828"/>
      <c r="AN68" s="828"/>
      <c r="AO68" s="946"/>
      <c r="AP68" s="947"/>
      <c r="AQ68" s="947"/>
      <c r="AR68" s="947"/>
      <c r="AS68" s="947"/>
      <c r="AT68" s="947"/>
      <c r="AU68" s="947"/>
      <c r="AV68" s="947"/>
      <c r="AW68" s="947"/>
      <c r="AX68" s="947"/>
      <c r="AY68" s="947"/>
      <c r="AZ68" s="947"/>
      <c r="BA68" s="947"/>
      <c r="BB68" s="947"/>
      <c r="BC68" s="947"/>
      <c r="BD68" s="947"/>
      <c r="BE68" s="947"/>
      <c r="BF68" s="947"/>
      <c r="BG68" s="947"/>
      <c r="BH68" s="948"/>
    </row>
    <row r="69" spans="1:60" ht="18" customHeight="1">
      <c r="A69" s="827"/>
      <c r="B69" s="828"/>
      <c r="C69" s="828"/>
      <c r="D69" s="944"/>
      <c r="E69" s="944"/>
      <c r="F69" s="944"/>
      <c r="G69" s="828"/>
      <c r="H69" s="828"/>
      <c r="I69" s="828"/>
      <c r="J69" s="828"/>
      <c r="K69" s="828"/>
      <c r="L69" s="828"/>
      <c r="M69" s="926"/>
      <c r="N69" s="926"/>
      <c r="O69" s="926"/>
      <c r="P69" s="926"/>
      <c r="Q69" s="926"/>
      <c r="R69" s="926"/>
      <c r="S69" s="926"/>
      <c r="T69" s="927"/>
      <c r="U69" s="828" t="s">
        <v>344</v>
      </c>
      <c r="V69" s="828"/>
      <c r="W69" s="828"/>
      <c r="X69" s="908"/>
      <c r="Y69" s="908"/>
      <c r="Z69" s="908"/>
      <c r="AA69" s="828" t="s">
        <v>49</v>
      </c>
      <c r="AB69" s="828"/>
      <c r="AC69" s="828" t="s">
        <v>345</v>
      </c>
      <c r="AD69" s="828"/>
      <c r="AE69" s="828"/>
      <c r="AF69" s="828"/>
      <c r="AG69" s="908"/>
      <c r="AH69" s="908"/>
      <c r="AI69" s="908"/>
      <c r="AJ69" s="908"/>
      <c r="AK69" s="908"/>
      <c r="AL69" s="908"/>
      <c r="AM69" s="908"/>
      <c r="AN69" s="908"/>
      <c r="AO69" s="946" t="s">
        <v>598</v>
      </c>
      <c r="AP69" s="947"/>
      <c r="AQ69" s="947"/>
      <c r="AR69" s="947"/>
      <c r="AS69" s="947"/>
      <c r="AT69" s="947"/>
      <c r="AU69" s="947"/>
      <c r="AV69" s="947"/>
      <c r="AW69" s="947"/>
      <c r="AX69" s="947"/>
      <c r="AY69" s="947"/>
      <c r="AZ69" s="947"/>
      <c r="BA69" s="947"/>
      <c r="BB69" s="947"/>
      <c r="BC69" s="947"/>
      <c r="BD69" s="947"/>
      <c r="BE69" s="947"/>
      <c r="BF69" s="947"/>
      <c r="BG69" s="947"/>
      <c r="BH69" s="948"/>
    </row>
    <row r="70" spans="1:60" ht="18" customHeight="1">
      <c r="A70" s="912" t="s">
        <v>346</v>
      </c>
      <c r="B70" s="908"/>
      <c r="C70" s="908"/>
      <c r="D70" s="908"/>
      <c r="E70" s="908"/>
      <c r="F70" s="908"/>
      <c r="G70" s="928">
        <f>PV!U55</f>
        <v>0</v>
      </c>
      <c r="H70" s="928"/>
      <c r="I70" s="928"/>
      <c r="J70" s="928"/>
      <c r="K70" s="928"/>
      <c r="L70" s="89" t="s">
        <v>332</v>
      </c>
      <c r="M70" s="89"/>
      <c r="N70" s="929">
        <f>N18</f>
        <v>0</v>
      </c>
      <c r="O70" s="908"/>
      <c r="P70" s="908"/>
      <c r="Q70" s="908"/>
      <c r="R70" s="908"/>
      <c r="S70" s="89"/>
      <c r="T70" s="196"/>
      <c r="U70" s="828"/>
      <c r="V70" s="828"/>
      <c r="W70" s="828"/>
      <c r="X70" s="908"/>
      <c r="Y70" s="908"/>
      <c r="Z70" s="908"/>
      <c r="AA70" s="828"/>
      <c r="AB70" s="828"/>
      <c r="AC70" s="828"/>
      <c r="AD70" s="828"/>
      <c r="AE70" s="828"/>
      <c r="AF70" s="828"/>
      <c r="AG70" s="908"/>
      <c r="AH70" s="908"/>
      <c r="AI70" s="908"/>
      <c r="AJ70" s="908"/>
      <c r="AK70" s="908"/>
      <c r="AL70" s="908"/>
      <c r="AM70" s="908"/>
      <c r="AN70" s="908"/>
      <c r="AO70" s="946"/>
      <c r="AP70" s="947"/>
      <c r="AQ70" s="947"/>
      <c r="AR70" s="947"/>
      <c r="AS70" s="947"/>
      <c r="AT70" s="947"/>
      <c r="AU70" s="947"/>
      <c r="AV70" s="947"/>
      <c r="AW70" s="947"/>
      <c r="AX70" s="947"/>
      <c r="AY70" s="947"/>
      <c r="AZ70" s="947"/>
      <c r="BA70" s="947"/>
      <c r="BB70" s="947"/>
      <c r="BC70" s="947"/>
      <c r="BD70" s="947"/>
      <c r="BE70" s="947"/>
      <c r="BF70" s="947"/>
      <c r="BG70" s="947"/>
      <c r="BH70" s="948"/>
    </row>
    <row r="71" spans="1:60" ht="18" customHeight="1">
      <c r="A71" s="195"/>
      <c r="B71" s="89"/>
      <c r="C71" s="89"/>
      <c r="D71" s="89"/>
      <c r="E71" s="89"/>
      <c r="F71" s="89"/>
      <c r="H71" s="89"/>
      <c r="I71" s="89"/>
      <c r="J71" s="89"/>
      <c r="K71" s="89"/>
      <c r="L71" s="89"/>
      <c r="M71" s="89"/>
      <c r="N71" s="89"/>
      <c r="O71" s="89"/>
      <c r="P71" s="89"/>
      <c r="Q71" s="89"/>
      <c r="R71" s="89"/>
      <c r="S71" s="89"/>
      <c r="T71" s="196"/>
      <c r="U71" s="908" t="s">
        <v>346</v>
      </c>
      <c r="V71" s="908"/>
      <c r="W71" s="908"/>
      <c r="X71" s="908"/>
      <c r="Y71" s="908"/>
      <c r="Z71" s="908"/>
      <c r="AA71" s="928">
        <f>PV!U55</f>
        <v>0</v>
      </c>
      <c r="AB71" s="908"/>
      <c r="AC71" s="908"/>
      <c r="AD71" s="908"/>
      <c r="AE71" s="908"/>
      <c r="AF71" s="89" t="s">
        <v>332</v>
      </c>
      <c r="AG71" s="89"/>
      <c r="AH71" s="929">
        <f>PV!U56</f>
        <v>0</v>
      </c>
      <c r="AI71" s="908"/>
      <c r="AJ71" s="908"/>
      <c r="AK71" s="908"/>
      <c r="AL71" s="908"/>
      <c r="AM71" s="89"/>
      <c r="AN71" s="89"/>
      <c r="AO71" s="946"/>
      <c r="AP71" s="947"/>
      <c r="AQ71" s="947"/>
      <c r="AR71" s="947"/>
      <c r="AS71" s="947"/>
      <c r="AT71" s="947"/>
      <c r="AU71" s="947"/>
      <c r="AV71" s="947"/>
      <c r="AW71" s="947"/>
      <c r="AX71" s="947"/>
      <c r="AY71" s="947"/>
      <c r="AZ71" s="947"/>
      <c r="BA71" s="947"/>
      <c r="BB71" s="947"/>
      <c r="BC71" s="947"/>
      <c r="BD71" s="947"/>
      <c r="BE71" s="947"/>
      <c r="BF71" s="947"/>
      <c r="BG71" s="947"/>
      <c r="BH71" s="948"/>
    </row>
    <row r="72" spans="1:60" ht="18" customHeight="1">
      <c r="A72" s="195"/>
      <c r="B72" s="89"/>
      <c r="C72" s="89"/>
      <c r="D72" s="89"/>
      <c r="E72" s="89"/>
      <c r="F72" s="89"/>
      <c r="G72" s="89"/>
      <c r="H72" s="89"/>
      <c r="I72" s="89"/>
      <c r="J72" s="89"/>
      <c r="K72" s="89"/>
      <c r="L72" s="89"/>
      <c r="M72" s="89"/>
      <c r="N72" s="89"/>
      <c r="O72" s="89"/>
      <c r="P72" s="89"/>
      <c r="Q72" s="89"/>
      <c r="R72" s="89"/>
      <c r="S72" s="89"/>
      <c r="T72" s="196"/>
      <c r="U72" s="89"/>
      <c r="V72" s="89"/>
      <c r="W72" s="89"/>
      <c r="X72" s="89"/>
      <c r="Y72" s="89"/>
      <c r="Z72" s="89"/>
      <c r="AA72" s="89"/>
      <c r="AB72" s="89"/>
      <c r="AC72" s="89"/>
      <c r="AD72" s="89"/>
      <c r="AE72" s="89"/>
      <c r="AF72" s="89"/>
      <c r="AG72" s="89"/>
      <c r="AH72" s="89"/>
      <c r="AI72" s="89"/>
      <c r="AJ72" s="89"/>
      <c r="AK72" s="89"/>
      <c r="AL72" s="89"/>
      <c r="AM72" s="89"/>
      <c r="AN72" s="89"/>
      <c r="AO72" s="946"/>
      <c r="AP72" s="947"/>
      <c r="AQ72" s="947"/>
      <c r="AR72" s="947"/>
      <c r="AS72" s="947"/>
      <c r="AT72" s="947"/>
      <c r="AU72" s="947"/>
      <c r="AV72" s="947"/>
      <c r="AW72" s="947"/>
      <c r="AX72" s="947"/>
      <c r="AY72" s="947"/>
      <c r="AZ72" s="947"/>
      <c r="BA72" s="947"/>
      <c r="BB72" s="947"/>
      <c r="BC72" s="947"/>
      <c r="BD72" s="947"/>
      <c r="BE72" s="947"/>
      <c r="BF72" s="947"/>
      <c r="BG72" s="947"/>
      <c r="BH72" s="948"/>
    </row>
    <row r="73" spans="1:60" ht="18" customHeight="1">
      <c r="A73" s="195"/>
      <c r="B73" s="89"/>
      <c r="C73" s="89"/>
      <c r="D73" s="89"/>
      <c r="E73" s="89"/>
      <c r="F73" s="89"/>
      <c r="G73" s="89"/>
      <c r="H73" s="89"/>
      <c r="I73" s="89"/>
      <c r="J73" s="89"/>
      <c r="K73" s="89"/>
      <c r="L73" s="89"/>
      <c r="M73" s="89"/>
      <c r="N73" s="89"/>
      <c r="O73" s="89"/>
      <c r="P73" s="89"/>
      <c r="Q73" s="89"/>
      <c r="R73" s="89"/>
      <c r="S73" s="89"/>
      <c r="T73" s="196"/>
      <c r="U73" s="89"/>
      <c r="V73" s="89"/>
      <c r="W73" s="89"/>
      <c r="X73" s="89"/>
      <c r="Y73" s="89"/>
      <c r="Z73" s="89"/>
      <c r="AA73" s="89"/>
      <c r="AB73" s="89"/>
      <c r="AC73" s="908"/>
      <c r="AD73" s="908"/>
      <c r="AE73" s="908"/>
      <c r="AF73" s="908"/>
      <c r="AG73" s="908"/>
      <c r="AH73" s="908"/>
      <c r="AI73" s="908"/>
      <c r="AJ73" s="908"/>
      <c r="AK73" s="89"/>
      <c r="AL73" s="89"/>
      <c r="AM73" s="89"/>
      <c r="AN73" s="89"/>
      <c r="AO73" s="946"/>
      <c r="AP73" s="947"/>
      <c r="AQ73" s="947"/>
      <c r="AR73" s="947"/>
      <c r="AS73" s="947"/>
      <c r="AT73" s="947"/>
      <c r="AU73" s="947"/>
      <c r="AV73" s="947"/>
      <c r="AW73" s="947"/>
      <c r="AX73" s="947"/>
      <c r="AY73" s="947"/>
      <c r="AZ73" s="947"/>
      <c r="BA73" s="947"/>
      <c r="BB73" s="947"/>
      <c r="BC73" s="947"/>
      <c r="BD73" s="947"/>
      <c r="BE73" s="947"/>
      <c r="BF73" s="947"/>
      <c r="BG73" s="947"/>
      <c r="BH73" s="948"/>
    </row>
    <row r="74" spans="1:60" ht="18" customHeight="1">
      <c r="A74" s="924" t="s">
        <v>349</v>
      </c>
      <c r="B74" s="916"/>
      <c r="C74" s="916"/>
      <c r="D74" s="916"/>
      <c r="E74" s="916"/>
      <c r="F74" s="916"/>
      <c r="G74" s="916"/>
      <c r="H74" s="916"/>
      <c r="I74" s="89"/>
      <c r="J74" s="89"/>
      <c r="K74" s="89"/>
      <c r="L74" s="89"/>
      <c r="M74" s="89"/>
      <c r="N74" s="89"/>
      <c r="O74" s="908"/>
      <c r="P74" s="908"/>
      <c r="Q74" s="89"/>
      <c r="R74" s="89"/>
      <c r="S74" s="89"/>
      <c r="T74" s="196"/>
      <c r="U74" s="89"/>
      <c r="V74" s="89"/>
      <c r="W74" s="89"/>
      <c r="X74" s="89"/>
      <c r="Y74" s="89"/>
      <c r="Z74" s="89"/>
      <c r="AA74" s="89"/>
      <c r="AB74" s="89"/>
      <c r="AC74" s="89"/>
      <c r="AD74" s="89"/>
      <c r="AE74" s="89"/>
      <c r="AF74" s="89"/>
      <c r="AG74" s="89"/>
      <c r="AH74" s="89"/>
      <c r="AI74" s="89"/>
      <c r="AJ74" s="89"/>
      <c r="AK74" s="89"/>
      <c r="AL74" s="89"/>
      <c r="AM74" s="89"/>
      <c r="AN74" s="89"/>
      <c r="AO74" s="946"/>
      <c r="AP74" s="947"/>
      <c r="AQ74" s="947"/>
      <c r="AR74" s="947"/>
      <c r="AS74" s="947"/>
      <c r="AT74" s="947"/>
      <c r="AU74" s="947"/>
      <c r="AV74" s="947"/>
      <c r="AW74" s="947"/>
      <c r="AX74" s="947"/>
      <c r="AY74" s="947"/>
      <c r="AZ74" s="947"/>
      <c r="BA74" s="947"/>
      <c r="BB74" s="947"/>
      <c r="BC74" s="947"/>
      <c r="BD74" s="947"/>
      <c r="BE74" s="947"/>
      <c r="BF74" s="947"/>
      <c r="BG74" s="947"/>
      <c r="BH74" s="948"/>
    </row>
    <row r="75" spans="1:60" ht="18" customHeight="1">
      <c r="A75" s="195"/>
      <c r="B75" s="91" t="s">
        <v>661</v>
      </c>
      <c r="C75" s="89"/>
      <c r="D75" s="89"/>
      <c r="E75" s="89"/>
      <c r="F75" s="89"/>
      <c r="G75" s="89"/>
      <c r="H75" s="89"/>
      <c r="I75" s="89"/>
      <c r="J75" s="89"/>
      <c r="K75" s="89" t="s">
        <v>448</v>
      </c>
      <c r="L75" s="89"/>
      <c r="M75" s="89"/>
      <c r="N75" s="89"/>
      <c r="O75" s="89"/>
      <c r="P75" s="89"/>
      <c r="Q75" s="89"/>
      <c r="R75" s="89"/>
      <c r="S75" s="89"/>
      <c r="T75" s="196"/>
      <c r="U75" s="916" t="s">
        <v>349</v>
      </c>
      <c r="V75" s="916"/>
      <c r="W75" s="916"/>
      <c r="X75" s="916"/>
      <c r="Y75" s="916"/>
      <c r="Z75" s="916"/>
      <c r="AA75" s="916"/>
      <c r="AB75" s="916"/>
      <c r="AC75" s="89"/>
      <c r="AD75" s="89"/>
      <c r="AE75" s="89"/>
      <c r="AF75" s="89"/>
      <c r="AG75" s="89"/>
      <c r="AH75" s="89"/>
      <c r="AI75" s="908"/>
      <c r="AJ75" s="908"/>
      <c r="AK75" s="89"/>
      <c r="AL75" s="89"/>
      <c r="AM75" s="89"/>
      <c r="AN75" s="89"/>
      <c r="AO75" s="5" t="s">
        <v>591</v>
      </c>
      <c r="AZ75" t="str">
        <f>PV!A224</f>
        <v>Skrzynka przepięciowa 2 łańcuchy DC 1000V</v>
      </c>
      <c r="BH75" s="4"/>
    </row>
    <row r="76" spans="1:60" ht="18" customHeight="1">
      <c r="A76" s="195"/>
      <c r="B76" s="91" t="s">
        <v>351</v>
      </c>
      <c r="C76" s="91"/>
      <c r="D76" s="91"/>
      <c r="E76" s="91"/>
      <c r="F76" s="91"/>
      <c r="G76" s="91"/>
      <c r="H76" s="91"/>
      <c r="I76" s="151">
        <f>PV!B84</f>
        <v>24</v>
      </c>
      <c r="J76" s="151"/>
      <c r="K76" s="89" t="s">
        <v>60</v>
      </c>
      <c r="L76" s="91"/>
      <c r="M76" s="89"/>
      <c r="N76" s="89"/>
      <c r="O76" s="89"/>
      <c r="P76" s="89"/>
      <c r="Q76" s="89"/>
      <c r="R76" s="89"/>
      <c r="S76" s="89"/>
      <c r="T76" s="196"/>
      <c r="U76" s="89"/>
      <c r="V76" s="91"/>
      <c r="W76" s="89"/>
      <c r="X76" s="89"/>
      <c r="Y76" s="89"/>
      <c r="Z76" s="89"/>
      <c r="AA76" s="89"/>
      <c r="AB76" s="89"/>
      <c r="AC76" s="89"/>
      <c r="AD76" s="89"/>
      <c r="AE76" s="89"/>
      <c r="AF76" s="89"/>
      <c r="AG76" s="89"/>
      <c r="AH76" s="89"/>
      <c r="AI76" s="89"/>
      <c r="AJ76" s="89"/>
      <c r="AK76" s="89"/>
      <c r="AL76" s="89"/>
      <c r="AM76" s="89"/>
      <c r="AN76" s="89"/>
      <c r="AO76" s="946" t="s">
        <v>592</v>
      </c>
      <c r="AP76" s="947"/>
      <c r="AQ76" s="947"/>
      <c r="AR76" s="947"/>
      <c r="AS76" s="947"/>
      <c r="AT76" s="947"/>
      <c r="AU76" s="947"/>
      <c r="AV76" s="947"/>
      <c r="AW76" s="947"/>
      <c r="AX76" s="947"/>
      <c r="AY76" s="947"/>
      <c r="AZ76" s="947"/>
      <c r="BA76" s="947"/>
      <c r="BB76" s="947"/>
      <c r="BC76" s="947"/>
      <c r="BD76" s="947"/>
      <c r="BE76" s="947"/>
      <c r="BF76" s="947"/>
      <c r="BG76" s="947"/>
      <c r="BH76" s="948"/>
    </row>
    <row r="77" spans="1:60" ht="18" customHeight="1">
      <c r="A77" s="195"/>
      <c r="B77" s="91" t="s">
        <v>653</v>
      </c>
      <c r="C77" s="91"/>
      <c r="D77" s="91"/>
      <c r="E77" s="91"/>
      <c r="F77" s="91"/>
      <c r="G77" s="91"/>
      <c r="H77" s="91"/>
      <c r="I77" s="91"/>
      <c r="J77" s="91"/>
      <c r="K77" s="91"/>
      <c r="L77" s="89"/>
      <c r="M77" s="91"/>
      <c r="N77" s="89"/>
      <c r="O77" s="89"/>
      <c r="P77" s="89"/>
      <c r="Q77" s="89"/>
      <c r="R77" s="89"/>
      <c r="S77" s="89"/>
      <c r="T77" s="196"/>
      <c r="U77" s="89"/>
      <c r="V77" s="906" t="s">
        <v>459</v>
      </c>
      <c r="W77" s="906"/>
      <c r="X77" s="906"/>
      <c r="Y77" s="906"/>
      <c r="Z77" s="906"/>
      <c r="AA77" s="906"/>
      <c r="AB77" s="906"/>
      <c r="AC77" s="906"/>
      <c r="AD77" s="906"/>
      <c r="AE77" s="906"/>
      <c r="AF77" s="906"/>
      <c r="AG77" s="906"/>
      <c r="AH77" s="906"/>
      <c r="AI77" s="906"/>
      <c r="AJ77" s="906"/>
      <c r="AK77" s="906"/>
      <c r="AL77" s="89">
        <v>1</v>
      </c>
      <c r="AM77" s="89" t="s">
        <v>60</v>
      </c>
      <c r="AN77" s="89"/>
      <c r="AO77" s="946"/>
      <c r="AP77" s="947"/>
      <c r="AQ77" s="947"/>
      <c r="AR77" s="947"/>
      <c r="AS77" s="947"/>
      <c r="AT77" s="947"/>
      <c r="AU77" s="947"/>
      <c r="AV77" s="947"/>
      <c r="AW77" s="947"/>
      <c r="AX77" s="947"/>
      <c r="AY77" s="947"/>
      <c r="AZ77" s="947"/>
      <c r="BA77" s="947"/>
      <c r="BB77" s="947"/>
      <c r="BC77" s="947"/>
      <c r="BD77" s="947"/>
      <c r="BE77" s="947"/>
      <c r="BF77" s="947"/>
      <c r="BG77" s="947"/>
      <c r="BH77" s="948"/>
    </row>
    <row r="78" spans="1:60" ht="18" customHeight="1">
      <c r="A78" s="195"/>
      <c r="B78" s="91" t="s">
        <v>654</v>
      </c>
      <c r="C78" s="89"/>
      <c r="D78" s="89"/>
      <c r="E78" s="89"/>
      <c r="F78" s="89"/>
      <c r="G78" s="89"/>
      <c r="H78" s="89"/>
      <c r="I78" s="89"/>
      <c r="J78" s="89"/>
      <c r="K78" s="89"/>
      <c r="L78" s="89"/>
      <c r="M78" s="89"/>
      <c r="N78" s="89"/>
      <c r="O78" s="89"/>
      <c r="P78" s="89"/>
      <c r="Q78" s="89"/>
      <c r="R78" s="89"/>
      <c r="S78" s="89"/>
      <c r="T78" s="196"/>
      <c r="U78" s="89"/>
      <c r="V78" s="1027" t="s">
        <v>460</v>
      </c>
      <c r="W78" s="1027"/>
      <c r="X78" s="1027"/>
      <c r="Y78" s="1027"/>
      <c r="Z78" s="1027"/>
      <c r="AA78" s="1027"/>
      <c r="AB78" s="1027"/>
      <c r="AC78" s="1027"/>
      <c r="AD78" s="1027"/>
      <c r="AE78" s="1027"/>
      <c r="AI78" s="89"/>
      <c r="AJ78" s="89"/>
      <c r="AK78" s="89"/>
      <c r="AL78" s="91">
        <v>1</v>
      </c>
      <c r="AM78" s="91" t="s">
        <v>60</v>
      </c>
      <c r="AN78" s="89"/>
      <c r="AO78" s="946"/>
      <c r="AP78" s="947"/>
      <c r="AQ78" s="947"/>
      <c r="AR78" s="947"/>
      <c r="AS78" s="947"/>
      <c r="AT78" s="947"/>
      <c r="AU78" s="947"/>
      <c r="AV78" s="947"/>
      <c r="AW78" s="947"/>
      <c r="AX78" s="947"/>
      <c r="AY78" s="947"/>
      <c r="AZ78" s="947"/>
      <c r="BA78" s="947"/>
      <c r="BB78" s="947"/>
      <c r="BC78" s="947"/>
      <c r="BD78" s="947"/>
      <c r="BE78" s="947"/>
      <c r="BF78" s="947"/>
      <c r="BG78" s="947"/>
      <c r="BH78" s="948"/>
    </row>
    <row r="79" spans="1:60" ht="18" customHeight="1">
      <c r="A79" s="195"/>
      <c r="B79" s="91" t="s">
        <v>354</v>
      </c>
      <c r="C79" s="89"/>
      <c r="D79" s="89"/>
      <c r="E79" s="89"/>
      <c r="F79" s="89"/>
      <c r="G79" s="89"/>
      <c r="H79" s="89"/>
      <c r="I79" s="89"/>
      <c r="J79" s="89"/>
      <c r="K79" s="89"/>
      <c r="L79" s="89"/>
      <c r="M79" s="89"/>
      <c r="N79" s="89"/>
      <c r="O79" s="89"/>
      <c r="P79" s="89"/>
      <c r="Q79" s="89"/>
      <c r="R79" s="89"/>
      <c r="S79" s="89"/>
      <c r="T79" s="196"/>
      <c r="U79" s="89"/>
      <c r="V79" s="907" t="s">
        <v>373</v>
      </c>
      <c r="W79" s="907"/>
      <c r="X79" s="907"/>
      <c r="Y79" s="907"/>
      <c r="Z79" s="907"/>
      <c r="AA79" s="907"/>
      <c r="AB79" s="907"/>
      <c r="AC79" s="907"/>
      <c r="AD79" s="907"/>
      <c r="AE79" s="112"/>
      <c r="AF79" s="112"/>
      <c r="AG79" s="112"/>
      <c r="AH79" s="112"/>
      <c r="AI79" s="112"/>
      <c r="AJ79" s="112"/>
      <c r="AK79" s="112"/>
      <c r="AL79" s="112"/>
      <c r="AM79" s="112"/>
      <c r="AN79" s="112"/>
      <c r="AO79" s="946"/>
      <c r="AP79" s="947"/>
      <c r="AQ79" s="947"/>
      <c r="AR79" s="947"/>
      <c r="AS79" s="947"/>
      <c r="AT79" s="947"/>
      <c r="AU79" s="947"/>
      <c r="AV79" s="947"/>
      <c r="AW79" s="947"/>
      <c r="AX79" s="947"/>
      <c r="AY79" s="947"/>
      <c r="AZ79" s="947"/>
      <c r="BA79" s="947"/>
      <c r="BB79" s="947"/>
      <c r="BC79" s="947"/>
      <c r="BD79" s="947"/>
      <c r="BE79" s="947"/>
      <c r="BF79" s="947"/>
      <c r="BG79" s="947"/>
      <c r="BH79" s="948"/>
    </row>
    <row r="80" spans="1:60" ht="18" customHeight="1">
      <c r="A80" s="195"/>
      <c r="M80" s="89"/>
      <c r="N80" s="89"/>
      <c r="O80" s="89"/>
      <c r="P80" s="89"/>
      <c r="Q80" s="89"/>
      <c r="R80" s="89"/>
      <c r="S80" s="89"/>
      <c r="T80" s="163"/>
      <c r="U80" s="89"/>
      <c r="V80" s="112"/>
      <c r="W80" s="112"/>
      <c r="X80" s="112"/>
      <c r="Y80" s="112"/>
      <c r="Z80" s="112"/>
      <c r="AA80" s="112"/>
      <c r="AB80" s="112"/>
      <c r="AC80" s="112"/>
      <c r="AD80" s="112"/>
      <c r="AE80" s="112"/>
      <c r="AF80" s="112"/>
      <c r="AG80" s="112"/>
      <c r="AH80" s="112"/>
      <c r="AI80" s="112"/>
      <c r="AJ80" s="112"/>
      <c r="AK80" s="112"/>
      <c r="AL80" s="112"/>
      <c r="AM80" s="112"/>
      <c r="AN80" s="112"/>
      <c r="AO80" s="946"/>
      <c r="AP80" s="947"/>
      <c r="AQ80" s="947"/>
      <c r="AR80" s="947"/>
      <c r="AS80" s="947"/>
      <c r="AT80" s="947"/>
      <c r="AU80" s="947"/>
      <c r="AV80" s="947"/>
      <c r="AW80" s="947"/>
      <c r="AX80" s="947"/>
      <c r="AY80" s="947"/>
      <c r="AZ80" s="947"/>
      <c r="BA80" s="947"/>
      <c r="BB80" s="947"/>
      <c r="BC80" s="947"/>
      <c r="BD80" s="947"/>
      <c r="BE80" s="947"/>
      <c r="BF80" s="947"/>
      <c r="BG80" s="947"/>
      <c r="BH80" s="948"/>
    </row>
    <row r="81" spans="1:60" ht="18" customHeight="1">
      <c r="A81" s="198"/>
      <c r="B81" s="322" t="s">
        <v>449</v>
      </c>
      <c r="C81" s="322"/>
      <c r="D81" s="322"/>
      <c r="E81" s="322"/>
      <c r="F81" s="321"/>
      <c r="G81" s="321"/>
      <c r="H81" s="321"/>
      <c r="I81" s="321"/>
      <c r="J81" s="320" t="s">
        <v>233</v>
      </c>
      <c r="K81" s="322" t="s">
        <v>450</v>
      </c>
      <c r="L81" s="89"/>
      <c r="M81" s="89"/>
      <c r="N81" s="322"/>
      <c r="O81" s="321"/>
      <c r="P81" s="321"/>
      <c r="Q81" s="321"/>
      <c r="R81" s="321"/>
      <c r="S81" s="320" t="s">
        <v>233</v>
      </c>
      <c r="T81" s="163"/>
      <c r="U81" s="89"/>
      <c r="V81" s="91"/>
      <c r="W81" s="89"/>
      <c r="X81" s="89"/>
      <c r="Y81" s="89"/>
      <c r="Z81" s="89"/>
      <c r="AA81" s="89"/>
      <c r="AB81" s="89"/>
      <c r="AC81" s="89"/>
      <c r="AD81" s="89"/>
      <c r="AE81" s="89"/>
      <c r="AF81" s="89"/>
      <c r="AG81" s="89"/>
      <c r="AH81" s="89"/>
      <c r="AI81" s="89"/>
      <c r="AJ81" s="89"/>
      <c r="AK81" s="89"/>
      <c r="AL81" s="89"/>
      <c r="AM81" s="89"/>
      <c r="AN81" s="89"/>
      <c r="AO81" s="5"/>
      <c r="BH81" s="4"/>
    </row>
    <row r="82" spans="1:60" ht="18" customHeight="1">
      <c r="A82" s="195"/>
      <c r="B82" s="322" t="s">
        <v>1025</v>
      </c>
      <c r="C82" s="322"/>
      <c r="D82" s="322"/>
      <c r="E82" s="322"/>
      <c r="F82" s="321"/>
      <c r="G82" s="321"/>
      <c r="H82" s="321"/>
      <c r="I82" s="321"/>
      <c r="J82" s="320" t="s">
        <v>233</v>
      </c>
      <c r="K82" s="322" t="s">
        <v>1026</v>
      </c>
      <c r="L82" s="89"/>
      <c r="M82" s="89"/>
      <c r="N82" s="322"/>
      <c r="O82" s="321"/>
      <c r="P82" s="321"/>
      <c r="Q82" s="321"/>
      <c r="R82" s="321"/>
      <c r="S82" s="320" t="s">
        <v>233</v>
      </c>
      <c r="T82" s="196"/>
      <c r="U82" s="112"/>
      <c r="V82" s="96"/>
      <c r="W82" s="111"/>
      <c r="X82" s="111"/>
      <c r="Y82" s="111"/>
      <c r="Z82" s="111"/>
      <c r="AA82" s="111"/>
      <c r="AB82" s="111"/>
      <c r="AC82" s="111"/>
      <c r="AD82" s="111"/>
      <c r="AE82" s="111"/>
      <c r="AF82" s="111"/>
      <c r="AG82" s="111"/>
      <c r="AH82" s="111"/>
      <c r="AI82" s="111"/>
      <c r="AJ82" s="111"/>
      <c r="AK82" s="111"/>
      <c r="AL82" s="111"/>
      <c r="AM82" s="111"/>
      <c r="AN82" s="111"/>
      <c r="AO82" s="5"/>
      <c r="BH82" s="4"/>
    </row>
    <row r="83" spans="1:60" ht="18" customHeight="1">
      <c r="A83" s="195" t="s">
        <v>357</v>
      </c>
      <c r="B83" s="89"/>
      <c r="C83" s="89"/>
      <c r="D83" s="89"/>
      <c r="E83" s="89"/>
      <c r="F83" s="89"/>
      <c r="G83" s="89"/>
      <c r="H83" s="89"/>
      <c r="I83" s="89"/>
      <c r="J83" s="89"/>
      <c r="K83" s="89"/>
      <c r="L83" s="89"/>
      <c r="M83" s="89"/>
      <c r="N83" s="89"/>
      <c r="O83" s="89"/>
      <c r="S83" s="89"/>
      <c r="T83" s="196"/>
      <c r="U83" s="89"/>
      <c r="V83" s="96"/>
      <c r="W83" s="111"/>
      <c r="X83" s="111"/>
      <c r="Y83" s="111"/>
      <c r="Z83" s="111"/>
      <c r="AA83" s="111"/>
      <c r="AB83" s="111"/>
      <c r="AC83" s="111"/>
      <c r="AD83" s="111"/>
      <c r="AE83" s="111"/>
      <c r="AF83" s="111"/>
      <c r="AG83" s="111"/>
      <c r="AH83" s="111"/>
      <c r="AI83" s="111"/>
      <c r="AJ83" s="111"/>
      <c r="AK83" s="111"/>
      <c r="AL83" s="111"/>
      <c r="AM83" s="111"/>
      <c r="AN83" s="111"/>
      <c r="AO83" s="5"/>
      <c r="BH83" s="4"/>
    </row>
    <row r="84" spans="1:60" ht="18" customHeight="1">
      <c r="A84" s="195" t="s">
        <v>358</v>
      </c>
      <c r="B84" s="89"/>
      <c r="C84" s="89"/>
      <c r="D84" s="89"/>
      <c r="E84" s="89"/>
      <c r="F84" s="89"/>
      <c r="G84" s="89"/>
      <c r="H84" s="89"/>
      <c r="I84" s="89"/>
      <c r="J84" s="89"/>
      <c r="K84" s="89"/>
      <c r="L84" s="89"/>
      <c r="M84" s="89"/>
      <c r="N84" s="89"/>
      <c r="O84" s="89"/>
      <c r="P84" s="89"/>
      <c r="Q84" s="89"/>
      <c r="R84" s="89"/>
      <c r="S84" s="89"/>
      <c r="T84" s="196"/>
      <c r="U84" s="89" t="s">
        <v>357</v>
      </c>
      <c r="V84" s="89"/>
      <c r="W84" s="89"/>
      <c r="X84" s="89"/>
      <c r="Y84" s="89"/>
      <c r="Z84" s="89"/>
      <c r="AA84" s="89"/>
      <c r="AB84" s="89"/>
      <c r="AC84" s="89"/>
      <c r="AD84" s="89"/>
      <c r="AE84" s="89"/>
      <c r="AF84" s="89"/>
      <c r="AG84" s="89"/>
      <c r="AH84" s="89"/>
      <c r="AI84" s="89"/>
      <c r="AJ84" s="89"/>
      <c r="AK84" s="89"/>
      <c r="AL84" s="89"/>
      <c r="AM84" s="89"/>
      <c r="AN84" s="89"/>
      <c r="AO84" s="5"/>
      <c r="BH84" s="4"/>
    </row>
    <row r="85" spans="1:60" ht="18" customHeight="1">
      <c r="A85" s="195"/>
      <c r="B85" s="89" t="s">
        <v>359</v>
      </c>
      <c r="C85" s="89"/>
      <c r="D85" s="89"/>
      <c r="E85" s="89"/>
      <c r="F85" s="89"/>
      <c r="G85" s="89"/>
      <c r="H85" s="89"/>
      <c r="I85" s="89"/>
      <c r="J85" s="89"/>
      <c r="K85" s="89"/>
      <c r="L85" s="89"/>
      <c r="M85" s="89"/>
      <c r="N85" s="89"/>
      <c r="O85" s="89"/>
      <c r="P85" s="89"/>
      <c r="Q85" s="89"/>
      <c r="R85" s="89"/>
      <c r="S85" s="89"/>
      <c r="T85" s="196"/>
      <c r="U85" s="89" t="s">
        <v>358</v>
      </c>
      <c r="V85" s="89"/>
      <c r="W85" s="89"/>
      <c r="X85" s="89"/>
      <c r="Y85" s="89"/>
      <c r="Z85" s="89"/>
      <c r="AA85" s="89"/>
      <c r="AB85" s="89"/>
      <c r="AC85" s="89"/>
      <c r="AD85" s="89"/>
      <c r="AE85" s="89"/>
      <c r="AF85" s="89"/>
      <c r="AG85" s="89"/>
      <c r="AH85" s="89"/>
      <c r="AI85" s="89"/>
      <c r="AJ85" s="89"/>
      <c r="AK85" s="89"/>
      <c r="AL85" s="89"/>
      <c r="AM85" s="89"/>
      <c r="AN85" s="89"/>
      <c r="AO85" s="5"/>
      <c r="BH85" s="4"/>
    </row>
    <row r="86" spans="1:60" ht="18" customHeight="1">
      <c r="A86" s="195"/>
      <c r="B86" s="89" t="s">
        <v>1024</v>
      </c>
      <c r="C86" s="89"/>
      <c r="D86" s="89"/>
      <c r="E86" s="89"/>
      <c r="F86" s="89"/>
      <c r="G86" s="89"/>
      <c r="H86" s="89"/>
      <c r="I86" s="89"/>
      <c r="J86" s="89"/>
      <c r="K86" s="89"/>
      <c r="L86" s="89"/>
      <c r="M86" s="89"/>
      <c r="N86" s="89"/>
      <c r="O86" s="89"/>
      <c r="P86" s="89"/>
      <c r="Q86" s="89"/>
      <c r="R86" s="89"/>
      <c r="S86" s="89"/>
      <c r="T86" s="196"/>
      <c r="U86" s="89"/>
      <c r="V86" s="89" t="s">
        <v>359</v>
      </c>
      <c r="W86" s="89"/>
      <c r="X86" s="89"/>
      <c r="Y86" s="89"/>
      <c r="Z86" s="89"/>
      <c r="AA86" s="89"/>
      <c r="AB86" s="89"/>
      <c r="AC86" s="89"/>
      <c r="AD86" s="89"/>
      <c r="AE86" s="89"/>
      <c r="AF86" s="89"/>
      <c r="AG86" s="89"/>
      <c r="AH86" s="89"/>
      <c r="AI86" s="89"/>
      <c r="AJ86" s="89"/>
      <c r="AK86" s="89"/>
      <c r="AL86" s="89"/>
      <c r="AM86" s="89"/>
      <c r="AN86" s="89"/>
      <c r="AO86" s="5"/>
      <c r="BH86" s="4"/>
    </row>
    <row r="87" spans="1:60" ht="18" customHeight="1">
      <c r="A87" s="195" t="s">
        <v>361</v>
      </c>
      <c r="B87" s="89"/>
      <c r="C87" s="89"/>
      <c r="D87" s="89"/>
      <c r="E87" s="89"/>
      <c r="F87" s="89"/>
      <c r="G87" s="89"/>
      <c r="H87" s="89"/>
      <c r="I87" s="89"/>
      <c r="J87" s="89"/>
      <c r="K87" s="89"/>
      <c r="L87" s="89"/>
      <c r="M87" s="89"/>
      <c r="N87" s="89"/>
      <c r="O87" s="89"/>
      <c r="P87" s="89"/>
      <c r="Q87" s="89"/>
      <c r="R87" s="89"/>
      <c r="S87" s="89"/>
      <c r="T87" s="196"/>
      <c r="U87" s="89"/>
      <c r="V87" s="89" t="s">
        <v>360</v>
      </c>
      <c r="W87" s="89"/>
      <c r="X87" s="89"/>
      <c r="Y87" s="89"/>
      <c r="Z87" s="89"/>
      <c r="AA87" s="89"/>
      <c r="AB87" s="89"/>
      <c r="AC87" s="89"/>
      <c r="AD87" s="89"/>
      <c r="AE87" s="89"/>
      <c r="AF87" s="89"/>
      <c r="AG87" s="89"/>
      <c r="AH87" s="89"/>
      <c r="AI87" s="89"/>
      <c r="AJ87" s="89"/>
      <c r="AK87" s="89"/>
      <c r="AL87" s="89"/>
      <c r="AM87" s="89"/>
      <c r="AN87" s="89"/>
      <c r="AO87" s="5"/>
      <c r="BH87" s="4"/>
    </row>
    <row r="88" spans="1:60" ht="18" customHeight="1">
      <c r="A88" s="195"/>
      <c r="B88" s="89"/>
      <c r="C88" s="87"/>
      <c r="D88" s="87"/>
      <c r="E88" s="87"/>
      <c r="F88" s="87"/>
      <c r="G88" s="87"/>
      <c r="H88" s="87"/>
      <c r="I88" s="87"/>
      <c r="J88" s="87"/>
      <c r="K88" s="87"/>
      <c r="L88" s="87"/>
      <c r="M88" s="87"/>
      <c r="N88" s="87"/>
      <c r="O88" s="87"/>
      <c r="P88" s="87"/>
      <c r="Q88" s="87"/>
      <c r="R88" s="87"/>
      <c r="S88" s="87"/>
      <c r="T88" s="200"/>
      <c r="U88" s="89" t="s">
        <v>361</v>
      </c>
      <c r="V88" s="89"/>
      <c r="W88" s="89"/>
      <c r="X88" s="89"/>
      <c r="Y88" s="89"/>
      <c r="Z88" s="89"/>
      <c r="AA88" s="89"/>
      <c r="AB88" s="89"/>
      <c r="AC88" s="89"/>
      <c r="AD88" s="89"/>
      <c r="AE88" s="89"/>
      <c r="AF88" s="89"/>
      <c r="AG88" s="89"/>
      <c r="AH88" s="89"/>
      <c r="AI88" s="89"/>
      <c r="AJ88" s="89"/>
      <c r="AK88" s="89"/>
      <c r="AL88" s="89"/>
      <c r="AM88" s="89"/>
      <c r="AN88" s="89"/>
      <c r="AO88" s="5"/>
      <c r="BH88" s="4"/>
    </row>
    <row r="89" spans="1:60" ht="18" customHeight="1">
      <c r="A89" s="195"/>
      <c r="B89" s="89"/>
      <c r="C89" s="89"/>
      <c r="D89" s="89"/>
      <c r="E89" s="89"/>
      <c r="F89" s="89"/>
      <c r="G89" s="89"/>
      <c r="H89" s="89"/>
      <c r="I89" s="89"/>
      <c r="J89" s="89"/>
      <c r="K89" s="89"/>
      <c r="L89" s="89"/>
      <c r="M89" s="89"/>
      <c r="N89" s="89"/>
      <c r="O89" s="89"/>
      <c r="P89" s="89"/>
      <c r="Q89" s="89"/>
      <c r="R89" s="89"/>
      <c r="S89" s="89"/>
      <c r="T89" s="196"/>
      <c r="U89" s="89"/>
      <c r="V89" s="89"/>
      <c r="W89" s="87"/>
      <c r="X89" s="87"/>
      <c r="Y89" s="87"/>
      <c r="Z89" s="87"/>
      <c r="AA89" s="87"/>
      <c r="AB89" s="87"/>
      <c r="AC89" s="87"/>
      <c r="AD89" s="87"/>
      <c r="AE89" s="87"/>
      <c r="AF89" s="87"/>
      <c r="AG89" s="87"/>
      <c r="AH89" s="87"/>
      <c r="AI89" s="87"/>
      <c r="AJ89" s="87"/>
      <c r="AK89" s="87"/>
      <c r="AL89" s="87"/>
      <c r="AM89" s="87"/>
      <c r="AN89" s="87"/>
      <c r="AO89" s="5"/>
      <c r="BH89" s="4"/>
    </row>
    <row r="90" spans="1:60" ht="18" customHeight="1">
      <c r="A90" s="195"/>
      <c r="B90" s="89"/>
      <c r="C90" s="87"/>
      <c r="D90" s="87"/>
      <c r="E90" s="87"/>
      <c r="F90" s="87"/>
      <c r="G90" s="87"/>
      <c r="H90" s="87"/>
      <c r="I90" s="87"/>
      <c r="J90" s="87"/>
      <c r="K90" s="87"/>
      <c r="L90" s="87"/>
      <c r="M90" s="87"/>
      <c r="N90" s="87"/>
      <c r="O90" s="87"/>
      <c r="P90" s="87"/>
      <c r="Q90" s="87"/>
      <c r="R90" s="87"/>
      <c r="S90" s="87"/>
      <c r="T90" s="200"/>
      <c r="U90" s="89"/>
      <c r="V90" s="89"/>
      <c r="W90" s="89"/>
      <c r="X90" s="89"/>
      <c r="Y90" s="89"/>
      <c r="Z90" s="89"/>
      <c r="AA90" s="89"/>
      <c r="AB90" s="89"/>
      <c r="AC90" s="89"/>
      <c r="AD90" s="89"/>
      <c r="AE90" s="89"/>
      <c r="AF90" s="89"/>
      <c r="AG90" s="89"/>
      <c r="AH90" s="89"/>
      <c r="AI90" s="89"/>
      <c r="AJ90" s="89"/>
      <c r="AK90" s="89"/>
      <c r="AL90" s="89"/>
      <c r="AM90" s="89"/>
      <c r="AN90" s="89"/>
      <c r="AO90" s="5"/>
      <c r="BH90" s="4"/>
    </row>
    <row r="91" spans="1:60" ht="18" customHeight="1">
      <c r="A91" s="195"/>
      <c r="B91" s="89"/>
      <c r="C91" s="89"/>
      <c r="D91" s="89"/>
      <c r="E91" s="89"/>
      <c r="F91" s="89"/>
      <c r="G91" s="89"/>
      <c r="H91" s="89"/>
      <c r="I91" s="89"/>
      <c r="J91" s="89"/>
      <c r="K91" s="89"/>
      <c r="L91" s="89"/>
      <c r="M91" s="89"/>
      <c r="N91" s="89"/>
      <c r="O91" s="89"/>
      <c r="P91" s="89"/>
      <c r="Q91" s="89"/>
      <c r="R91" s="89"/>
      <c r="S91" s="89"/>
      <c r="T91" s="196"/>
      <c r="U91" s="919" t="s">
        <v>374</v>
      </c>
      <c r="V91" s="919"/>
      <c r="W91" s="919"/>
      <c r="X91" s="919"/>
      <c r="Y91" s="919"/>
      <c r="Z91" s="919"/>
      <c r="AA91" s="919"/>
      <c r="AB91" s="919"/>
      <c r="AC91" s="919"/>
      <c r="AD91" s="919"/>
      <c r="AE91" s="919"/>
      <c r="AF91" s="919"/>
      <c r="AG91" s="919"/>
      <c r="AH91" s="919"/>
      <c r="AI91" s="919"/>
      <c r="AJ91" s="919"/>
      <c r="AK91" s="919"/>
      <c r="AL91" s="919"/>
      <c r="AM91" s="919"/>
      <c r="AN91" s="919"/>
      <c r="AO91" s="5"/>
      <c r="BH91" s="4"/>
    </row>
    <row r="92" spans="1:60" ht="18" customHeight="1">
      <c r="A92" s="164"/>
      <c r="B92" s="323"/>
      <c r="C92" s="87"/>
      <c r="D92" s="87"/>
      <c r="E92" s="87"/>
      <c r="F92" s="87"/>
      <c r="G92" s="87"/>
      <c r="H92" s="87"/>
      <c r="I92" s="87"/>
      <c r="J92" s="87"/>
      <c r="K92" s="87"/>
      <c r="L92" s="87"/>
      <c r="M92" s="87"/>
      <c r="N92" s="87"/>
      <c r="O92" s="87"/>
      <c r="P92" s="87"/>
      <c r="Q92" s="87"/>
      <c r="R92" s="87"/>
      <c r="S92" s="87"/>
      <c r="T92" s="200"/>
      <c r="U92" s="919"/>
      <c r="V92" s="919"/>
      <c r="W92" s="919"/>
      <c r="X92" s="919"/>
      <c r="Y92" s="919"/>
      <c r="Z92" s="919"/>
      <c r="AA92" s="919"/>
      <c r="AB92" s="919"/>
      <c r="AC92" s="919"/>
      <c r="AD92" s="919"/>
      <c r="AE92" s="919"/>
      <c r="AF92" s="919"/>
      <c r="AG92" s="919"/>
      <c r="AH92" s="919"/>
      <c r="AI92" s="919"/>
      <c r="AJ92" s="919"/>
      <c r="AK92" s="919"/>
      <c r="AL92" s="919"/>
      <c r="AM92" s="919"/>
      <c r="AN92" s="919"/>
      <c r="AO92" s="5"/>
      <c r="BH92" s="4"/>
    </row>
    <row r="93" spans="1:60" ht="18" customHeight="1">
      <c r="A93" s="921" t="s">
        <v>1027</v>
      </c>
      <c r="B93" s="922"/>
      <c r="C93" s="922"/>
      <c r="D93" s="922"/>
      <c r="E93" s="922"/>
      <c r="F93" s="922"/>
      <c r="G93" s="922"/>
      <c r="H93" s="922"/>
      <c r="I93" s="922"/>
      <c r="J93" s="922"/>
      <c r="K93" s="922"/>
      <c r="L93" s="922"/>
      <c r="M93" s="922"/>
      <c r="N93" s="922"/>
      <c r="O93" s="922"/>
      <c r="P93" s="922"/>
      <c r="Q93" s="922"/>
      <c r="R93" s="922"/>
      <c r="S93" s="922"/>
      <c r="T93" s="923"/>
      <c r="U93" s="919"/>
      <c r="V93" s="919"/>
      <c r="W93" s="919"/>
      <c r="X93" s="919"/>
      <c r="Y93" s="919"/>
      <c r="Z93" s="919"/>
      <c r="AA93" s="919"/>
      <c r="AB93" s="919"/>
      <c r="AC93" s="919"/>
      <c r="AD93" s="919"/>
      <c r="AE93" s="919"/>
      <c r="AF93" s="919"/>
      <c r="AG93" s="919"/>
      <c r="AH93" s="919"/>
      <c r="AI93" s="919"/>
      <c r="AJ93" s="919"/>
      <c r="AK93" s="919"/>
      <c r="AL93" s="919"/>
      <c r="AM93" s="919"/>
      <c r="AN93" s="919"/>
      <c r="AO93" s="5"/>
      <c r="BH93" s="4"/>
    </row>
    <row r="94" spans="1:60" ht="18" customHeight="1">
      <c r="A94" s="921"/>
      <c r="B94" s="922"/>
      <c r="C94" s="922"/>
      <c r="D94" s="922"/>
      <c r="E94" s="922"/>
      <c r="F94" s="922"/>
      <c r="G94" s="922"/>
      <c r="H94" s="922"/>
      <c r="I94" s="922"/>
      <c r="J94" s="922"/>
      <c r="K94" s="922"/>
      <c r="L94" s="922"/>
      <c r="M94" s="922"/>
      <c r="N94" s="922"/>
      <c r="O94" s="922"/>
      <c r="P94" s="922"/>
      <c r="Q94" s="922"/>
      <c r="R94" s="922"/>
      <c r="S94" s="922"/>
      <c r="T94" s="923"/>
      <c r="U94" s="89"/>
      <c r="V94" s="89"/>
      <c r="W94" s="89"/>
      <c r="X94" s="89"/>
      <c r="Y94" s="89"/>
      <c r="Z94" s="89"/>
      <c r="AA94" s="89"/>
      <c r="AB94" s="89"/>
      <c r="AC94" s="89"/>
      <c r="AD94" s="89"/>
      <c r="AE94" s="89"/>
      <c r="AF94" s="89"/>
      <c r="AG94" s="89"/>
      <c r="AH94" s="89"/>
      <c r="AI94" s="89"/>
      <c r="AJ94" s="89"/>
      <c r="AK94" s="89"/>
      <c r="AL94" s="89"/>
      <c r="AM94" s="89"/>
      <c r="AN94" s="89"/>
      <c r="AO94" s="5"/>
      <c r="BH94" s="4"/>
    </row>
    <row r="95" spans="1:60" ht="18" customHeight="1">
      <c r="A95" s="921"/>
      <c r="B95" s="922"/>
      <c r="C95" s="922"/>
      <c r="D95" s="922"/>
      <c r="E95" s="922"/>
      <c r="F95" s="922"/>
      <c r="G95" s="922"/>
      <c r="H95" s="922"/>
      <c r="I95" s="922"/>
      <c r="J95" s="922"/>
      <c r="K95" s="922"/>
      <c r="L95" s="922"/>
      <c r="M95" s="922"/>
      <c r="N95" s="922"/>
      <c r="O95" s="922"/>
      <c r="P95" s="922"/>
      <c r="Q95" s="922"/>
      <c r="R95" s="922"/>
      <c r="S95" s="922"/>
      <c r="T95" s="923"/>
      <c r="U95" s="89" t="s">
        <v>362</v>
      </c>
      <c r="V95" s="89"/>
      <c r="W95" s="89"/>
      <c r="X95" s="89"/>
      <c r="Y95" s="89"/>
      <c r="Z95" s="89"/>
      <c r="AA95" s="89"/>
      <c r="AB95" s="89"/>
      <c r="AC95" s="89"/>
      <c r="AD95" s="89"/>
      <c r="AE95" s="89"/>
      <c r="AF95" s="89"/>
      <c r="AG95" s="89"/>
      <c r="AH95" s="89"/>
      <c r="AI95" s="89"/>
      <c r="AJ95" s="89"/>
      <c r="AK95" s="89"/>
      <c r="AL95" s="89"/>
      <c r="AM95" s="89"/>
      <c r="AN95" s="89"/>
      <c r="AO95" s="5"/>
      <c r="BH95" s="4"/>
    </row>
    <row r="96" spans="1:60" ht="18" customHeight="1">
      <c r="A96" s="195" t="s">
        <v>362</v>
      </c>
      <c r="B96" s="89"/>
      <c r="C96" s="89"/>
      <c r="D96" s="89"/>
      <c r="E96" s="89"/>
      <c r="F96" s="89"/>
      <c r="G96" s="89"/>
      <c r="H96" s="89"/>
      <c r="I96" s="89"/>
      <c r="J96" s="89"/>
      <c r="K96" s="89"/>
      <c r="L96" s="89"/>
      <c r="M96" s="89"/>
      <c r="N96" s="89"/>
      <c r="O96" s="89"/>
      <c r="P96" s="89"/>
      <c r="Q96" s="89"/>
      <c r="R96" s="89"/>
      <c r="S96" s="89"/>
      <c r="T96" s="196"/>
      <c r="U96" s="89"/>
      <c r="V96" s="89"/>
      <c r="W96" s="89"/>
      <c r="X96" s="89"/>
      <c r="Y96" s="89"/>
      <c r="Z96" s="89"/>
      <c r="AA96" s="89"/>
      <c r="AB96" s="89"/>
      <c r="AC96" s="89"/>
      <c r="AD96" s="89"/>
      <c r="AE96" s="89"/>
      <c r="AF96" s="89"/>
      <c r="AG96" s="89"/>
      <c r="AH96" s="89"/>
      <c r="AI96" s="89"/>
      <c r="AJ96" s="89"/>
      <c r="AK96" s="89"/>
      <c r="AL96" s="89"/>
      <c r="AM96" s="89"/>
      <c r="AN96" s="89"/>
      <c r="AO96" s="5"/>
      <c r="BH96" s="4"/>
    </row>
    <row r="97" spans="1:60" ht="18" customHeight="1">
      <c r="A97" s="195"/>
      <c r="B97" s="89"/>
      <c r="C97" s="89"/>
      <c r="D97" s="89"/>
      <c r="E97" s="89"/>
      <c r="F97" s="89"/>
      <c r="G97" s="89"/>
      <c r="H97" s="89"/>
      <c r="I97" s="89"/>
      <c r="J97" s="89"/>
      <c r="K97" s="89"/>
      <c r="L97" s="89"/>
      <c r="M97" s="89"/>
      <c r="N97" s="89"/>
      <c r="O97" s="89"/>
      <c r="P97" s="89"/>
      <c r="Q97" s="89"/>
      <c r="R97" s="89"/>
      <c r="S97" s="89"/>
      <c r="T97" s="196"/>
      <c r="U97" s="89"/>
      <c r="V97" s="89"/>
      <c r="W97" s="89"/>
      <c r="X97" s="89"/>
      <c r="Y97" s="89"/>
      <c r="Z97" s="89"/>
      <c r="AA97" s="89"/>
      <c r="AB97" s="89"/>
      <c r="AC97" s="89"/>
      <c r="AD97" s="89"/>
      <c r="AE97" s="89"/>
      <c r="AF97" s="89"/>
      <c r="AG97" s="89"/>
      <c r="AH97" s="89"/>
      <c r="AI97" s="89"/>
      <c r="AJ97" s="89"/>
      <c r="AK97" s="89"/>
      <c r="AL97" s="89"/>
      <c r="AM97" s="89"/>
      <c r="AN97" s="89"/>
      <c r="AO97" s="5"/>
      <c r="BH97" s="4"/>
    </row>
    <row r="98" spans="1:60" ht="18" customHeight="1">
      <c r="A98" s="195"/>
      <c r="B98" s="89"/>
      <c r="C98" s="89"/>
      <c r="D98" s="89"/>
      <c r="E98" s="89"/>
      <c r="F98" s="89"/>
      <c r="G98" s="89"/>
      <c r="H98" s="89"/>
      <c r="I98" s="89"/>
      <c r="J98" s="89"/>
      <c r="K98" s="89"/>
      <c r="L98" s="89"/>
      <c r="M98" s="89"/>
      <c r="N98" s="89"/>
      <c r="O98" s="89"/>
      <c r="P98" s="89"/>
      <c r="Q98" s="89"/>
      <c r="R98" s="89"/>
      <c r="S98" s="89"/>
      <c r="T98" s="196"/>
      <c r="U98" s="89"/>
      <c r="V98" s="89"/>
      <c r="W98" s="89"/>
      <c r="X98" s="89"/>
      <c r="Y98" s="89"/>
      <c r="Z98" s="89"/>
      <c r="AA98" s="89"/>
      <c r="AB98" s="89"/>
      <c r="AC98" s="89"/>
      <c r="AD98" s="89"/>
      <c r="AE98" s="89"/>
      <c r="AF98" s="89"/>
      <c r="AG98" s="89"/>
      <c r="AH98" s="89"/>
      <c r="AI98" s="89"/>
      <c r="AJ98" s="89"/>
      <c r="AK98" s="89"/>
      <c r="AL98" s="89"/>
      <c r="AM98" s="89"/>
      <c r="AN98" s="89"/>
      <c r="AO98" s="6"/>
      <c r="AP98" s="7"/>
      <c r="AQ98" s="7"/>
      <c r="AR98" s="7"/>
      <c r="AS98" s="7"/>
      <c r="AT98" s="7"/>
      <c r="AU98" s="7"/>
      <c r="AV98" s="7"/>
      <c r="AW98" s="7"/>
      <c r="AX98" s="7"/>
      <c r="AY98" s="7"/>
      <c r="AZ98" s="7"/>
      <c r="BA98" s="7"/>
      <c r="BB98" s="7"/>
      <c r="BC98" s="7"/>
      <c r="BD98" s="7"/>
      <c r="BE98" s="7"/>
      <c r="BF98" s="7"/>
      <c r="BG98" s="7"/>
      <c r="BH98" s="8"/>
    </row>
    <row r="99" spans="1:60" ht="18" customHeight="1">
      <c r="A99" s="201"/>
      <c r="B99" s="87"/>
      <c r="C99" s="87"/>
      <c r="D99" s="87"/>
      <c r="E99" s="87"/>
      <c r="F99" s="87"/>
      <c r="G99" s="87"/>
      <c r="H99" s="89"/>
      <c r="I99" s="89"/>
      <c r="J99" s="89"/>
      <c r="K99" s="89"/>
      <c r="L99" s="89"/>
      <c r="M99" s="87"/>
      <c r="N99" s="87"/>
      <c r="O99" s="87"/>
      <c r="P99" s="87"/>
      <c r="Q99" s="87"/>
      <c r="R99" s="87"/>
      <c r="S99" s="89"/>
      <c r="T99" s="196"/>
      <c r="U99" s="87"/>
      <c r="V99" s="87"/>
      <c r="W99" s="87"/>
      <c r="X99" s="87"/>
      <c r="Y99" s="87"/>
      <c r="Z99" s="87"/>
      <c r="AA99" s="87"/>
      <c r="AB99" s="89"/>
      <c r="AC99" s="89"/>
      <c r="AD99" s="89"/>
      <c r="AE99" s="89"/>
      <c r="AF99" s="89"/>
      <c r="AG99" s="87"/>
      <c r="AH99" s="87"/>
      <c r="AI99" s="87"/>
      <c r="AJ99" s="87"/>
      <c r="AK99" s="87"/>
      <c r="AL99" s="87"/>
      <c r="AM99" s="89"/>
      <c r="AN99" s="90"/>
      <c r="AO99" s="956" t="s">
        <v>593</v>
      </c>
      <c r="AP99" s="957"/>
      <c r="AQ99" s="957"/>
      <c r="AR99" s="957"/>
      <c r="AS99" s="957"/>
      <c r="AT99" s="957"/>
      <c r="AU99" s="957"/>
      <c r="AV99" s="957"/>
      <c r="AW99" s="957"/>
      <c r="AX99" s="957"/>
      <c r="AY99" s="957"/>
      <c r="AZ99" s="957"/>
      <c r="BA99" s="957"/>
      <c r="BB99" s="957"/>
      <c r="BC99" s="957"/>
      <c r="BD99" s="957"/>
      <c r="BE99" s="957"/>
      <c r="BF99" s="957"/>
      <c r="BG99" s="957"/>
      <c r="BH99" s="958"/>
    </row>
    <row r="100" spans="1:60" ht="15.75" customHeight="1" thickBot="1">
      <c r="A100" s="202"/>
      <c r="B100" s="203"/>
      <c r="C100" s="204" t="s">
        <v>363</v>
      </c>
      <c r="D100" s="203"/>
      <c r="E100" s="203"/>
      <c r="F100" s="203"/>
      <c r="G100" s="203"/>
      <c r="H100" s="203"/>
      <c r="I100" s="203"/>
      <c r="J100" s="203"/>
      <c r="K100" s="203"/>
      <c r="L100" s="203"/>
      <c r="M100" s="203"/>
      <c r="N100" s="203"/>
      <c r="O100" s="204" t="s">
        <v>364</v>
      </c>
      <c r="P100" s="203"/>
      <c r="Q100" s="203"/>
      <c r="R100" s="203"/>
      <c r="S100" s="203"/>
      <c r="T100" s="205"/>
      <c r="U100" s="94"/>
      <c r="V100" s="94"/>
      <c r="W100" s="12" t="s">
        <v>363</v>
      </c>
      <c r="X100" s="94"/>
      <c r="Y100" s="94"/>
      <c r="Z100" s="94"/>
      <c r="AA100" s="94"/>
      <c r="AB100" s="94"/>
      <c r="AC100" s="94"/>
      <c r="AD100" s="94"/>
      <c r="AE100" s="94"/>
      <c r="AF100" s="94"/>
      <c r="AG100" s="94"/>
      <c r="AH100" s="94"/>
      <c r="AI100" s="12" t="s">
        <v>364</v>
      </c>
      <c r="AJ100" s="94"/>
      <c r="AK100" s="94"/>
      <c r="AL100" s="94"/>
      <c r="AM100" s="94"/>
      <c r="AN100" s="95"/>
      <c r="AO100" s="959"/>
      <c r="AP100" s="926"/>
      <c r="AQ100" s="926"/>
      <c r="AR100" s="926"/>
      <c r="AS100" s="926"/>
      <c r="AT100" s="926"/>
      <c r="AU100" s="926"/>
      <c r="AV100" s="926"/>
      <c r="AW100" s="926"/>
      <c r="AX100" s="926"/>
      <c r="AY100" s="926"/>
      <c r="AZ100" s="926"/>
      <c r="BA100" s="926"/>
      <c r="BB100" s="926"/>
      <c r="BC100" s="926"/>
      <c r="BD100" s="926"/>
      <c r="BE100" s="926"/>
      <c r="BF100" s="926"/>
      <c r="BG100" s="926"/>
      <c r="BH100" s="955"/>
    </row>
    <row r="101" spans="1:60" ht="15.75" customHeight="1">
      <c r="U101" s="9"/>
      <c r="V101" s="9"/>
      <c r="W101" s="9"/>
      <c r="X101" s="9"/>
      <c r="Y101" s="9"/>
      <c r="Z101" s="9"/>
      <c r="AA101" s="9"/>
      <c r="AB101" s="9"/>
      <c r="AC101" s="9"/>
      <c r="AD101" s="9"/>
      <c r="AE101" s="9"/>
      <c r="AF101" s="9"/>
      <c r="AG101" s="9"/>
      <c r="AH101" s="9"/>
      <c r="AI101" s="9"/>
      <c r="AJ101" s="9"/>
      <c r="AK101" s="9"/>
      <c r="AL101" s="9"/>
      <c r="AM101" s="9"/>
      <c r="AN101" s="10"/>
      <c r="AO101" s="959"/>
      <c r="AP101" s="926"/>
      <c r="AQ101" s="926"/>
      <c r="AR101" s="926"/>
      <c r="AS101" s="926"/>
      <c r="AT101" s="926"/>
      <c r="AU101" s="926"/>
      <c r="AV101" s="926"/>
      <c r="AW101" s="926"/>
      <c r="AX101" s="926"/>
      <c r="AY101" s="926"/>
      <c r="AZ101" s="926"/>
      <c r="BA101" s="926"/>
      <c r="BB101" s="926"/>
      <c r="BC101" s="926"/>
      <c r="BD101" s="926"/>
      <c r="BE101" s="926"/>
      <c r="BF101" s="926"/>
      <c r="BG101" s="926"/>
      <c r="BH101" s="955"/>
    </row>
    <row r="102" spans="1:60" ht="15.75" customHeight="1">
      <c r="A102" s="900" t="s">
        <v>1033</v>
      </c>
      <c r="B102" s="900"/>
      <c r="C102" s="900"/>
      <c r="D102" s="900"/>
      <c r="E102" s="900"/>
      <c r="F102" s="900"/>
      <c r="G102" s="900"/>
      <c r="H102" s="900"/>
      <c r="I102" s="900"/>
      <c r="J102" s="900"/>
      <c r="K102" s="900"/>
      <c r="L102" s="900"/>
      <c r="M102" s="900"/>
      <c r="N102" s="900"/>
      <c r="O102" s="900"/>
      <c r="P102" s="900"/>
      <c r="Q102" s="900"/>
      <c r="R102" s="900"/>
      <c r="S102" s="900"/>
      <c r="T102" s="900"/>
      <c r="U102" s="898" t="s">
        <v>1032</v>
      </c>
      <c r="V102" s="898"/>
      <c r="W102" s="898"/>
      <c r="X102" s="898"/>
      <c r="Y102" s="898"/>
      <c r="Z102" s="898"/>
      <c r="AA102" s="898"/>
      <c r="AB102" s="898"/>
      <c r="AC102" s="898"/>
      <c r="AD102" s="898"/>
      <c r="AE102" s="898"/>
      <c r="AF102" s="898"/>
      <c r="AG102" s="898"/>
      <c r="AH102" s="898"/>
      <c r="AI102" s="898"/>
      <c r="AJ102" s="898"/>
      <c r="AK102" s="898"/>
      <c r="AL102" s="898"/>
      <c r="AM102" s="898"/>
      <c r="AN102" s="899"/>
      <c r="AO102" s="88"/>
      <c r="AP102" s="89"/>
      <c r="AQ102" s="89"/>
      <c r="AR102" s="89"/>
      <c r="AS102" s="89"/>
      <c r="AT102" s="908" t="str">
        <f>F4</f>
        <v>AMPERE Sp. z o.o.</v>
      </c>
      <c r="AU102" s="908"/>
      <c r="AV102" s="908"/>
      <c r="AW102" s="908"/>
      <c r="AX102" s="908"/>
      <c r="AY102" s="908"/>
      <c r="AZ102" s="908"/>
      <c r="BA102" s="908"/>
      <c r="BB102" s="908"/>
      <c r="BC102" s="908"/>
      <c r="BD102" s="89"/>
      <c r="BE102" s="89"/>
      <c r="BF102" s="89"/>
      <c r="BG102" s="89"/>
      <c r="BH102" s="90"/>
    </row>
    <row r="103" spans="1:60" ht="15.75" customHeight="1" thickBot="1">
      <c r="A103" s="901"/>
      <c r="B103" s="901"/>
      <c r="C103" s="901"/>
      <c r="D103" s="901"/>
      <c r="E103" s="901"/>
      <c r="F103" s="901"/>
      <c r="G103" s="901"/>
      <c r="H103" s="901"/>
      <c r="I103" s="901"/>
      <c r="J103" s="901"/>
      <c r="K103" s="901"/>
      <c r="L103" s="901"/>
      <c r="M103" s="901"/>
      <c r="N103" s="901"/>
      <c r="O103" s="901"/>
      <c r="P103" s="901"/>
      <c r="Q103" s="901"/>
      <c r="R103" s="901"/>
      <c r="S103" s="901"/>
      <c r="T103" s="901"/>
      <c r="U103" s="898"/>
      <c r="V103" s="898"/>
      <c r="W103" s="898"/>
      <c r="X103" s="898"/>
      <c r="Y103" s="898"/>
      <c r="Z103" s="898"/>
      <c r="AA103" s="898"/>
      <c r="AB103" s="898"/>
      <c r="AC103" s="898"/>
      <c r="AD103" s="898"/>
      <c r="AE103" s="898"/>
      <c r="AF103" s="898"/>
      <c r="AG103" s="898"/>
      <c r="AH103" s="898"/>
      <c r="AI103" s="898"/>
      <c r="AJ103" s="898"/>
      <c r="AK103" s="898"/>
      <c r="AL103" s="898"/>
      <c r="AM103" s="898"/>
      <c r="AN103" s="899"/>
      <c r="AO103" s="88"/>
      <c r="AP103" s="89"/>
      <c r="AQ103" s="89"/>
      <c r="AR103" s="89"/>
      <c r="AS103" s="89"/>
      <c r="AT103" s="908" t="s">
        <v>1278</v>
      </c>
      <c r="AU103" s="908"/>
      <c r="AV103" s="908"/>
      <c r="AW103" s="908"/>
      <c r="AX103" s="908"/>
      <c r="AY103" s="908"/>
      <c r="AZ103" s="908"/>
      <c r="BA103" s="908"/>
      <c r="BB103" s="908"/>
      <c r="BC103" s="908"/>
      <c r="BD103" s="89"/>
      <c r="BE103" s="89"/>
      <c r="BF103" s="89"/>
      <c r="BG103" s="89"/>
      <c r="BH103" s="90"/>
    </row>
    <row r="104" spans="1:60" ht="15.75" customHeight="1">
      <c r="A104" s="824" t="s">
        <v>1029</v>
      </c>
      <c r="B104" s="825"/>
      <c r="C104" s="825"/>
      <c r="D104" s="825"/>
      <c r="E104" s="825"/>
      <c r="F104" s="825"/>
      <c r="G104" s="825"/>
      <c r="H104" s="825"/>
      <c r="I104" s="825"/>
      <c r="J104" s="825"/>
      <c r="K104" s="825"/>
      <c r="L104" s="825"/>
      <c r="M104" s="825"/>
      <c r="N104" s="825"/>
      <c r="O104" s="825"/>
      <c r="P104" s="825"/>
      <c r="Q104" s="825"/>
      <c r="R104" s="825"/>
      <c r="S104" s="825"/>
      <c r="T104" s="826"/>
      <c r="U104" s="931" t="s">
        <v>447</v>
      </c>
      <c r="V104" s="932"/>
      <c r="W104" s="932"/>
      <c r="X104" s="932"/>
      <c r="Y104" s="932"/>
      <c r="Z104" s="932"/>
      <c r="AA104" s="932"/>
      <c r="AB104" s="932"/>
      <c r="AC104" s="932"/>
      <c r="AD104" s="932"/>
      <c r="AE104" s="932"/>
      <c r="AF104" s="932"/>
      <c r="AG104" s="932"/>
      <c r="AH104" s="932"/>
      <c r="AI104" s="932"/>
      <c r="AJ104" s="932"/>
      <c r="AK104" s="932"/>
      <c r="AL104" s="932"/>
      <c r="AM104" s="932"/>
      <c r="AN104" s="933"/>
      <c r="AO104" s="89"/>
      <c r="AP104" s="89"/>
      <c r="AQ104" s="89"/>
      <c r="AR104" s="89"/>
      <c r="AS104" s="89"/>
      <c r="AT104" s="908" t="str">
        <f>F6</f>
        <v>NIP: 6472602198</v>
      </c>
      <c r="AU104" s="908"/>
      <c r="AV104" s="908"/>
      <c r="AW104" s="908"/>
      <c r="AX104" s="908"/>
      <c r="AY104" s="908"/>
      <c r="AZ104" s="908"/>
      <c r="BA104" s="908"/>
      <c r="BB104" s="908"/>
      <c r="BC104" s="908"/>
      <c r="BD104" s="89"/>
      <c r="BE104" s="89"/>
      <c r="BF104" s="89"/>
      <c r="BG104" s="89"/>
      <c r="BH104" s="90"/>
    </row>
    <row r="105" spans="1:60" ht="15.75" customHeight="1">
      <c r="A105" s="827"/>
      <c r="B105" s="828"/>
      <c r="C105" s="828"/>
      <c r="D105" s="828"/>
      <c r="E105" s="828"/>
      <c r="F105" s="828"/>
      <c r="G105" s="828"/>
      <c r="H105" s="828"/>
      <c r="I105" s="828"/>
      <c r="J105" s="828"/>
      <c r="K105" s="828"/>
      <c r="L105" s="828"/>
      <c r="M105" s="828"/>
      <c r="N105" s="828"/>
      <c r="O105" s="828"/>
      <c r="P105" s="828"/>
      <c r="Q105" s="828"/>
      <c r="R105" s="828"/>
      <c r="S105" s="828"/>
      <c r="T105" s="829"/>
      <c r="U105" s="934"/>
      <c r="V105" s="926"/>
      <c r="W105" s="926"/>
      <c r="X105" s="926"/>
      <c r="Y105" s="926"/>
      <c r="Z105" s="926"/>
      <c r="AA105" s="926"/>
      <c r="AB105" s="926"/>
      <c r="AC105" s="926"/>
      <c r="AD105" s="926"/>
      <c r="AE105" s="926"/>
      <c r="AF105" s="926"/>
      <c r="AG105" s="926"/>
      <c r="AH105" s="926"/>
      <c r="AI105" s="926"/>
      <c r="AJ105" s="926"/>
      <c r="AK105" s="926"/>
      <c r="AL105" s="926"/>
      <c r="AM105" s="926"/>
      <c r="AN105" s="927"/>
      <c r="AO105" s="89"/>
      <c r="AP105" s="89"/>
      <c r="AQ105" s="89"/>
      <c r="AR105" s="89"/>
      <c r="AS105" s="89"/>
      <c r="AT105" s="89"/>
      <c r="AU105" s="89"/>
      <c r="AV105" s="89"/>
      <c r="AW105" s="89"/>
      <c r="AX105" s="89"/>
      <c r="AY105" s="89"/>
      <c r="AZ105" s="89"/>
      <c r="BA105" s="89"/>
      <c r="BB105" s="89"/>
      <c r="BC105" s="89"/>
      <c r="BD105" s="89"/>
      <c r="BE105" s="89"/>
      <c r="BF105" s="89"/>
      <c r="BG105" s="89"/>
      <c r="BH105" s="90"/>
    </row>
    <row r="106" spans="1:60" ht="15.75" customHeight="1">
      <c r="A106" s="827"/>
      <c r="B106" s="828"/>
      <c r="C106" s="828"/>
      <c r="D106" s="828"/>
      <c r="E106" s="828"/>
      <c r="F106" s="828"/>
      <c r="G106" s="828"/>
      <c r="H106" s="828"/>
      <c r="I106" s="828"/>
      <c r="J106" s="828"/>
      <c r="K106" s="828"/>
      <c r="L106" s="828"/>
      <c r="M106" s="828"/>
      <c r="N106" s="828"/>
      <c r="O106" s="828"/>
      <c r="P106" s="828"/>
      <c r="Q106" s="828"/>
      <c r="R106" s="828"/>
      <c r="S106" s="828"/>
      <c r="T106" s="829"/>
      <c r="U106" s="934"/>
      <c r="V106" s="926"/>
      <c r="W106" s="926"/>
      <c r="X106" s="926"/>
      <c r="Y106" s="926"/>
      <c r="Z106" s="926"/>
      <c r="AA106" s="926"/>
      <c r="AB106" s="926"/>
      <c r="AC106" s="926"/>
      <c r="AD106" s="926"/>
      <c r="AE106" s="926"/>
      <c r="AF106" s="926"/>
      <c r="AG106" s="926"/>
      <c r="AH106" s="926"/>
      <c r="AI106" s="926"/>
      <c r="AJ106" s="926"/>
      <c r="AK106" s="926"/>
      <c r="AL106" s="926"/>
      <c r="AM106" s="926"/>
      <c r="AN106" s="927"/>
      <c r="AO106" s="89" t="s">
        <v>338</v>
      </c>
      <c r="AP106" s="89"/>
      <c r="AQ106" s="89"/>
      <c r="AR106" s="89"/>
      <c r="AS106" s="89"/>
      <c r="AT106" s="89"/>
      <c r="AU106" s="89"/>
      <c r="AV106" s="89"/>
      <c r="AW106" s="89"/>
      <c r="AX106" s="89"/>
      <c r="AY106" s="89"/>
      <c r="AZ106" s="89"/>
      <c r="BA106" s="89"/>
      <c r="BB106" s="89"/>
      <c r="BC106" s="89"/>
      <c r="BD106" s="89"/>
      <c r="BE106" s="89"/>
      <c r="BF106" s="89"/>
      <c r="BG106" s="89"/>
      <c r="BH106" s="90"/>
    </row>
    <row r="107" spans="1:60" ht="15.75" customHeight="1">
      <c r="A107" s="195"/>
      <c r="B107" s="89"/>
      <c r="C107" s="89"/>
      <c r="D107" s="89"/>
      <c r="E107" s="89"/>
      <c r="F107" s="908" t="str">
        <f>F4</f>
        <v>AMPERE Sp. z o.o.</v>
      </c>
      <c r="G107" s="908"/>
      <c r="H107" s="908"/>
      <c r="I107" s="908"/>
      <c r="J107" s="908"/>
      <c r="K107" s="908"/>
      <c r="L107" s="908"/>
      <c r="M107" s="908"/>
      <c r="N107" s="908"/>
      <c r="O107" s="908"/>
      <c r="P107" s="89"/>
      <c r="Q107" s="89"/>
      <c r="R107" s="89"/>
      <c r="S107" s="89"/>
      <c r="T107" s="196"/>
      <c r="U107" s="195"/>
      <c r="V107" s="89"/>
      <c r="W107" s="89"/>
      <c r="X107" s="89"/>
      <c r="Y107" s="89"/>
      <c r="Z107" s="908" t="str">
        <f>F54</f>
        <v>AMPERE Sp. z o.o.</v>
      </c>
      <c r="AA107" s="908"/>
      <c r="AB107" s="908"/>
      <c r="AC107" s="908"/>
      <c r="AD107" s="908"/>
      <c r="AE107" s="908"/>
      <c r="AF107" s="908"/>
      <c r="AG107" s="908"/>
      <c r="AH107" s="908"/>
      <c r="AI107" s="908"/>
      <c r="AJ107" s="89"/>
      <c r="AK107" s="89"/>
      <c r="AL107" s="89"/>
      <c r="AM107" s="89"/>
      <c r="AN107" s="196"/>
      <c r="AO107" s="908" t="s">
        <v>213</v>
      </c>
      <c r="AP107" s="908"/>
      <c r="AQ107" s="908"/>
      <c r="AR107" s="916">
        <f>D8</f>
        <v>0</v>
      </c>
      <c r="AS107" s="916"/>
      <c r="AT107" s="916"/>
      <c r="AU107" s="916"/>
      <c r="AV107" s="916"/>
      <c r="AW107" s="916"/>
      <c r="AX107" s="916"/>
      <c r="AY107" s="916"/>
      <c r="AZ107" s="916"/>
      <c r="BA107" s="916"/>
      <c r="BB107" s="916"/>
      <c r="BC107" s="916"/>
      <c r="BD107" s="916"/>
      <c r="BE107" s="916"/>
      <c r="BF107" s="916"/>
      <c r="BG107" s="916"/>
      <c r="BH107" s="960"/>
    </row>
    <row r="108" spans="1:60" ht="18.75" customHeight="1">
      <c r="A108" s="195"/>
      <c r="B108" s="89"/>
      <c r="C108" s="89"/>
      <c r="D108" s="89"/>
      <c r="E108" s="89"/>
      <c r="F108" s="908" t="s">
        <v>1278</v>
      </c>
      <c r="G108" s="908"/>
      <c r="H108" s="908"/>
      <c r="I108" s="908"/>
      <c r="J108" s="908"/>
      <c r="K108" s="908"/>
      <c r="L108" s="908"/>
      <c r="M108" s="908"/>
      <c r="N108" s="908"/>
      <c r="O108" s="908"/>
      <c r="P108" s="89"/>
      <c r="Q108" s="89"/>
      <c r="R108" s="89"/>
      <c r="S108" s="89"/>
      <c r="T108" s="196"/>
      <c r="U108" s="195"/>
      <c r="V108" s="89"/>
      <c r="W108" s="89"/>
      <c r="X108" s="89"/>
      <c r="Y108" s="89"/>
      <c r="Z108" s="908" t="str">
        <f>F55</f>
        <v>44-313 Wodzisław Śląski, Letnia 212</v>
      </c>
      <c r="AA108" s="908"/>
      <c r="AB108" s="908"/>
      <c r="AC108" s="908"/>
      <c r="AD108" s="908"/>
      <c r="AE108" s="908"/>
      <c r="AF108" s="908"/>
      <c r="AG108" s="908"/>
      <c r="AH108" s="908"/>
      <c r="AI108" s="908"/>
      <c r="AJ108" s="89"/>
      <c r="AK108" s="89"/>
      <c r="AL108" s="89"/>
      <c r="AM108" s="89"/>
      <c r="AN108" s="196"/>
      <c r="AO108" s="961" t="s">
        <v>333</v>
      </c>
      <c r="AP108" s="961"/>
      <c r="AQ108" s="961"/>
      <c r="AR108" s="916">
        <f>D9</f>
        <v>0</v>
      </c>
      <c r="AS108" s="916"/>
      <c r="AT108" s="916"/>
      <c r="AU108" s="916"/>
      <c r="AV108" s="916"/>
      <c r="AW108" s="916"/>
      <c r="AX108" s="916"/>
      <c r="AY108" s="916"/>
      <c r="AZ108" s="916"/>
      <c r="BA108" s="916"/>
      <c r="BB108" s="916"/>
      <c r="BC108" s="916"/>
      <c r="BD108" s="916"/>
      <c r="BE108" s="916"/>
      <c r="BF108" s="916"/>
      <c r="BG108" s="916"/>
      <c r="BH108" s="960"/>
    </row>
    <row r="109" spans="1:60" ht="15.75" customHeight="1">
      <c r="A109" s="195"/>
      <c r="B109" s="89"/>
      <c r="C109" s="89"/>
      <c r="D109" s="89"/>
      <c r="E109" s="89"/>
      <c r="F109" s="908" t="str">
        <f>F6</f>
        <v>NIP: 6472602198</v>
      </c>
      <c r="G109" s="908"/>
      <c r="H109" s="908"/>
      <c r="I109" s="908"/>
      <c r="J109" s="908"/>
      <c r="K109" s="908"/>
      <c r="L109" s="908"/>
      <c r="M109" s="908"/>
      <c r="N109" s="908"/>
      <c r="O109" s="908"/>
      <c r="P109" s="89"/>
      <c r="Q109" s="89"/>
      <c r="R109" s="89"/>
      <c r="S109" s="89"/>
      <c r="T109" s="196"/>
      <c r="U109" s="195"/>
      <c r="V109" s="89"/>
      <c r="W109" s="89"/>
      <c r="X109" s="89"/>
      <c r="Y109" s="89"/>
      <c r="Z109" s="908" t="str">
        <f>F6</f>
        <v>NIP: 6472602198</v>
      </c>
      <c r="AA109" s="908"/>
      <c r="AB109" s="908"/>
      <c r="AC109" s="908"/>
      <c r="AD109" s="908"/>
      <c r="AE109" s="908"/>
      <c r="AF109" s="908"/>
      <c r="AG109" s="908"/>
      <c r="AH109" s="908"/>
      <c r="AI109" s="908"/>
      <c r="AJ109" s="89"/>
      <c r="AK109" s="89"/>
      <c r="AL109" s="89"/>
      <c r="AM109" s="89"/>
      <c r="AN109" s="196"/>
      <c r="AO109" s="961" t="s">
        <v>334</v>
      </c>
      <c r="AP109" s="961"/>
      <c r="AQ109" s="961"/>
      <c r="AR109" s="916">
        <f>D10</f>
        <v>0</v>
      </c>
      <c r="AS109" s="916"/>
      <c r="AT109" s="916"/>
      <c r="AU109" s="916"/>
      <c r="AV109" s="916"/>
      <c r="AW109" s="916"/>
      <c r="AX109" s="916"/>
      <c r="AY109" s="916"/>
      <c r="AZ109" s="916"/>
      <c r="BA109" s="916"/>
      <c r="BB109" s="916"/>
      <c r="BC109" s="916"/>
      <c r="BD109" s="916"/>
      <c r="BE109" s="916"/>
      <c r="BF109" s="916"/>
      <c r="BG109" s="916"/>
      <c r="BH109" s="960"/>
    </row>
    <row r="110" spans="1:60" ht="15.75" customHeight="1">
      <c r="A110" s="195" t="s">
        <v>338</v>
      </c>
      <c r="B110" s="89"/>
      <c r="C110" s="89"/>
      <c r="D110" s="89"/>
      <c r="E110" s="89"/>
      <c r="F110" s="89"/>
      <c r="G110" s="89"/>
      <c r="H110" s="89"/>
      <c r="I110" s="89"/>
      <c r="J110" s="89"/>
      <c r="K110" s="89"/>
      <c r="L110" s="89"/>
      <c r="M110" s="89"/>
      <c r="N110" s="89"/>
      <c r="O110" s="89"/>
      <c r="P110" s="89"/>
      <c r="Q110" s="89"/>
      <c r="R110" s="89"/>
      <c r="S110" s="89"/>
      <c r="T110" s="196"/>
      <c r="U110" s="329" t="s">
        <v>338</v>
      </c>
      <c r="V110" s="328"/>
      <c r="W110" s="328"/>
      <c r="X110" s="328"/>
      <c r="Y110" s="328"/>
      <c r="Z110" s="328"/>
      <c r="AA110" s="328"/>
      <c r="AB110" s="328"/>
      <c r="AC110" s="328"/>
      <c r="AD110" s="328"/>
      <c r="AE110" s="328"/>
      <c r="AF110" s="328"/>
      <c r="AG110" s="328"/>
      <c r="AH110" s="328"/>
      <c r="AI110" s="328"/>
      <c r="AJ110" s="328"/>
      <c r="AK110" s="328"/>
      <c r="AL110" s="328"/>
      <c r="AM110" s="328"/>
      <c r="AN110" s="332"/>
      <c r="AO110" s="89"/>
      <c r="AP110" s="89"/>
      <c r="AQ110" s="89"/>
      <c r="AR110" s="89"/>
      <c r="AS110" s="89"/>
      <c r="AT110" s="89"/>
      <c r="AU110" s="89"/>
      <c r="AV110" s="89"/>
      <c r="AW110" s="89"/>
      <c r="AX110" s="89"/>
      <c r="AY110" s="89"/>
      <c r="AZ110" s="89"/>
      <c r="BA110" s="89"/>
      <c r="BB110" s="89"/>
      <c r="BC110" s="89"/>
      <c r="BD110" s="89"/>
      <c r="BE110" s="89"/>
      <c r="BF110" s="89"/>
      <c r="BG110" s="89"/>
      <c r="BH110" s="90"/>
    </row>
    <row r="111" spans="1:60" ht="15.75" customHeight="1">
      <c r="A111" s="924" t="s">
        <v>213</v>
      </c>
      <c r="B111" s="916"/>
      <c r="C111" s="916"/>
      <c r="D111" s="916">
        <f>D8</f>
        <v>0</v>
      </c>
      <c r="E111" s="916"/>
      <c r="F111" s="916"/>
      <c r="G111" s="916"/>
      <c r="H111" s="916"/>
      <c r="I111" s="916"/>
      <c r="J111" s="916"/>
      <c r="K111" s="916"/>
      <c r="L111" s="916"/>
      <c r="M111" s="916"/>
      <c r="N111" s="916"/>
      <c r="O111" s="916"/>
      <c r="P111" s="916"/>
      <c r="Q111" s="916"/>
      <c r="R111" s="916"/>
      <c r="S111" s="916"/>
      <c r="T111" s="917"/>
      <c r="U111" s="902" t="s">
        <v>213</v>
      </c>
      <c r="V111" s="903"/>
      <c r="W111" s="903"/>
      <c r="X111" s="903">
        <f>D8</f>
        <v>0</v>
      </c>
      <c r="Y111" s="903"/>
      <c r="Z111" s="903"/>
      <c r="AA111" s="903"/>
      <c r="AB111" s="903"/>
      <c r="AC111" s="903"/>
      <c r="AD111" s="903"/>
      <c r="AE111" s="903"/>
      <c r="AF111" s="903"/>
      <c r="AG111" s="903"/>
      <c r="AH111" s="903"/>
      <c r="AI111" s="903"/>
      <c r="AJ111" s="903"/>
      <c r="AK111" s="903"/>
      <c r="AL111" s="903"/>
      <c r="AM111" s="903"/>
      <c r="AN111" s="904"/>
      <c r="AO111" s="908" t="s">
        <v>339</v>
      </c>
      <c r="AP111" s="908"/>
      <c r="AQ111" s="908"/>
      <c r="AR111" s="908"/>
      <c r="AS111" s="913"/>
      <c r="AT111" s="913"/>
      <c r="AU111" s="913"/>
      <c r="AV111" s="913"/>
      <c r="AW111" s="913"/>
      <c r="AX111" s="89" t="s">
        <v>340</v>
      </c>
      <c r="AY111" s="913"/>
      <c r="AZ111" s="913"/>
      <c r="BA111" s="913"/>
      <c r="BB111" s="913"/>
      <c r="BC111" s="913"/>
      <c r="BD111" s="913"/>
      <c r="BE111" s="913"/>
      <c r="BF111" s="913"/>
      <c r="BG111" s="89"/>
      <c r="BH111" s="90"/>
    </row>
    <row r="112" spans="1:60" ht="15.75" customHeight="1">
      <c r="A112" s="914" t="s">
        <v>333</v>
      </c>
      <c r="B112" s="915"/>
      <c r="C112" s="915"/>
      <c r="D112" s="916">
        <f>D9</f>
        <v>0</v>
      </c>
      <c r="E112" s="916"/>
      <c r="F112" s="916"/>
      <c r="G112" s="916"/>
      <c r="H112" s="916"/>
      <c r="I112" s="916"/>
      <c r="J112" s="916"/>
      <c r="K112" s="916"/>
      <c r="L112" s="916"/>
      <c r="M112" s="916"/>
      <c r="N112" s="916"/>
      <c r="O112" s="916"/>
      <c r="P112" s="916"/>
      <c r="Q112" s="916"/>
      <c r="R112" s="916"/>
      <c r="S112" s="916"/>
      <c r="T112" s="917"/>
      <c r="U112" s="909" t="s">
        <v>333</v>
      </c>
      <c r="V112" s="910"/>
      <c r="W112" s="910"/>
      <c r="X112" s="903">
        <f>D9</f>
        <v>0</v>
      </c>
      <c r="Y112" s="903"/>
      <c r="Z112" s="903"/>
      <c r="AA112" s="903"/>
      <c r="AB112" s="903"/>
      <c r="AC112" s="903"/>
      <c r="AD112" s="903"/>
      <c r="AE112" s="903"/>
      <c r="AF112" s="903"/>
      <c r="AG112" s="903"/>
      <c r="AH112" s="903"/>
      <c r="AI112" s="903"/>
      <c r="AJ112" s="903"/>
      <c r="AK112" s="903"/>
      <c r="AL112" s="903"/>
      <c r="AM112" s="903"/>
      <c r="AN112" s="904"/>
      <c r="AO112" s="89"/>
      <c r="AP112" s="89"/>
      <c r="AQ112" s="89"/>
      <c r="AR112" s="89"/>
      <c r="AS112" s="89"/>
      <c r="AT112" s="89"/>
      <c r="AU112" s="89"/>
      <c r="AV112" s="89"/>
      <c r="AW112" s="89"/>
      <c r="AX112" s="89"/>
      <c r="AY112" s="89"/>
      <c r="AZ112" s="89"/>
      <c r="BA112" s="11" t="s">
        <v>341</v>
      </c>
      <c r="BB112" s="89"/>
      <c r="BC112" s="89"/>
      <c r="BD112" s="89"/>
      <c r="BE112" s="89"/>
      <c r="BF112" s="89"/>
      <c r="BG112" s="89"/>
      <c r="BH112" s="90"/>
    </row>
    <row r="113" spans="1:60" ht="15.75" customHeight="1">
      <c r="A113" s="940" t="s">
        <v>334</v>
      </c>
      <c r="B113" s="941"/>
      <c r="C113" s="941"/>
      <c r="D113" s="942">
        <f>D10</f>
        <v>0</v>
      </c>
      <c r="E113" s="916"/>
      <c r="F113" s="916"/>
      <c r="G113" s="916"/>
      <c r="H113" s="916"/>
      <c r="I113" s="916"/>
      <c r="J113" s="916"/>
      <c r="K113" s="916"/>
      <c r="L113" s="916"/>
      <c r="M113" s="916"/>
      <c r="N113" s="916"/>
      <c r="O113" s="916"/>
      <c r="P113" s="916"/>
      <c r="Q113" s="916"/>
      <c r="R113" s="916"/>
      <c r="S113" s="916"/>
      <c r="T113" s="917"/>
      <c r="U113" s="909" t="s">
        <v>334</v>
      </c>
      <c r="V113" s="910"/>
      <c r="W113" s="910"/>
      <c r="X113" s="911">
        <f>D10</f>
        <v>0</v>
      </c>
      <c r="Y113" s="903"/>
      <c r="Z113" s="903"/>
      <c r="AA113" s="903"/>
      <c r="AB113" s="903"/>
      <c r="AC113" s="903"/>
      <c r="AD113" s="903"/>
      <c r="AE113" s="903"/>
      <c r="AF113" s="903"/>
      <c r="AG113" s="903"/>
      <c r="AH113" s="903"/>
      <c r="AI113" s="903"/>
      <c r="AJ113" s="903"/>
      <c r="AK113" s="903"/>
      <c r="AL113" s="903"/>
      <c r="AM113" s="903"/>
      <c r="AN113" s="904"/>
      <c r="AO113" s="89" t="s">
        <v>342</v>
      </c>
      <c r="AP113" s="89"/>
      <c r="AQ113" s="89"/>
      <c r="AR113" s="89"/>
      <c r="AS113" s="89"/>
      <c r="AT113" s="89"/>
      <c r="AU113" s="89"/>
      <c r="AV113" s="89"/>
      <c r="AW113" s="89"/>
      <c r="AX113" s="89"/>
      <c r="AY113" s="89"/>
      <c r="AZ113" s="89"/>
      <c r="BA113" s="89"/>
      <c r="BB113" s="89"/>
      <c r="BC113" s="89"/>
      <c r="BD113" s="89"/>
      <c r="BE113" s="89"/>
      <c r="BF113" s="89"/>
      <c r="BG113" s="89"/>
      <c r="BH113" s="90"/>
    </row>
    <row r="114" spans="1:60" ht="15.75" customHeight="1">
      <c r="A114" s="164"/>
      <c r="T114" s="163"/>
      <c r="U114" s="164"/>
      <c r="AN114" s="163"/>
      <c r="AO114" s="828" t="s">
        <v>343</v>
      </c>
      <c r="AP114" s="828"/>
      <c r="AQ114" s="828"/>
      <c r="AR114" s="828"/>
      <c r="AS114" s="828"/>
      <c r="AT114" s="828"/>
      <c r="AU114" s="828"/>
      <c r="AV114" s="828"/>
      <c r="AW114" s="828"/>
      <c r="AX114" s="828"/>
      <c r="AY114" s="828"/>
      <c r="AZ114" s="828"/>
      <c r="BA114" s="828"/>
      <c r="BB114" s="828"/>
      <c r="BC114" s="828"/>
      <c r="BD114" s="828"/>
      <c r="BE114" s="828"/>
      <c r="BF114" s="828"/>
      <c r="BG114" s="828"/>
      <c r="BH114" s="954"/>
    </row>
    <row r="115" spans="1:60" ht="15.75" customHeight="1">
      <c r="A115" s="912" t="s">
        <v>339</v>
      </c>
      <c r="B115" s="908"/>
      <c r="C115" s="908"/>
      <c r="D115" s="908"/>
      <c r="E115" s="312"/>
      <c r="F115" s="312"/>
      <c r="G115" s="312"/>
      <c r="H115" s="312"/>
      <c r="I115" s="312"/>
      <c r="J115" s="89" t="s">
        <v>340</v>
      </c>
      <c r="K115" s="312"/>
      <c r="L115" s="312"/>
      <c r="M115" s="312"/>
      <c r="N115" s="312"/>
      <c r="O115" s="312"/>
      <c r="P115" s="312"/>
      <c r="Q115" s="312"/>
      <c r="R115" s="312"/>
      <c r="S115" s="89"/>
      <c r="T115" s="196"/>
      <c r="U115" s="912" t="s">
        <v>339</v>
      </c>
      <c r="V115" s="908"/>
      <c r="W115" s="908"/>
      <c r="X115" s="908"/>
      <c r="Y115" s="913"/>
      <c r="Z115" s="913"/>
      <c r="AA115" s="913"/>
      <c r="AB115" s="913"/>
      <c r="AC115" s="913"/>
      <c r="AD115" s="89" t="s">
        <v>340</v>
      </c>
      <c r="AE115" s="913"/>
      <c r="AF115" s="913"/>
      <c r="AG115" s="913"/>
      <c r="AH115" s="913"/>
      <c r="AI115" s="913"/>
      <c r="AJ115" s="913"/>
      <c r="AK115" s="913"/>
      <c r="AL115" s="913"/>
      <c r="AM115" s="89"/>
      <c r="AN115" s="196"/>
      <c r="AO115" s="828"/>
      <c r="AP115" s="828"/>
      <c r="AQ115" s="828"/>
      <c r="AR115" s="828"/>
      <c r="AS115" s="828"/>
      <c r="AT115" s="828"/>
      <c r="AU115" s="828"/>
      <c r="AV115" s="828"/>
      <c r="AW115" s="828"/>
      <c r="AX115" s="828"/>
      <c r="AY115" s="828"/>
      <c r="AZ115" s="828"/>
      <c r="BA115" s="828"/>
      <c r="BB115" s="828"/>
      <c r="BC115" s="828"/>
      <c r="BD115" s="828"/>
      <c r="BE115" s="828"/>
      <c r="BF115" s="828"/>
      <c r="BG115" s="828"/>
      <c r="BH115" s="954"/>
    </row>
    <row r="116" spans="1:60" ht="15.75" customHeight="1">
      <c r="A116" s="195"/>
      <c r="B116" s="89"/>
      <c r="C116" s="89"/>
      <c r="D116" s="89"/>
      <c r="E116" s="89"/>
      <c r="F116" s="89"/>
      <c r="G116" s="89"/>
      <c r="H116" s="89"/>
      <c r="I116" s="89"/>
      <c r="J116" s="89"/>
      <c r="K116" s="89"/>
      <c r="L116" s="89"/>
      <c r="M116" s="11" t="s">
        <v>341</v>
      </c>
      <c r="N116" s="89"/>
      <c r="O116" s="89"/>
      <c r="P116" s="89"/>
      <c r="Q116" s="89"/>
      <c r="R116" s="89"/>
      <c r="S116" s="89"/>
      <c r="T116" s="196"/>
      <c r="U116" s="195"/>
      <c r="V116" s="89"/>
      <c r="W116" s="89"/>
      <c r="X116" s="89"/>
      <c r="Y116" s="89"/>
      <c r="Z116" s="89"/>
      <c r="AA116" s="89"/>
      <c r="AB116" s="89"/>
      <c r="AC116" s="89"/>
      <c r="AD116" s="89"/>
      <c r="AE116" s="89"/>
      <c r="AF116" s="89"/>
      <c r="AG116" s="11" t="s">
        <v>341</v>
      </c>
      <c r="AH116" s="89"/>
      <c r="AI116" s="89"/>
      <c r="AJ116" s="89"/>
      <c r="AK116" s="89"/>
      <c r="AL116" s="89"/>
      <c r="AM116" s="89"/>
      <c r="AN116" s="196"/>
      <c r="AO116" s="828" t="s">
        <v>344</v>
      </c>
      <c r="AP116" s="828"/>
      <c r="AQ116" s="828"/>
      <c r="AR116" s="925">
        <f>D16</f>
        <v>13.32</v>
      </c>
      <c r="AS116" s="944"/>
      <c r="AT116" s="944"/>
      <c r="AU116" s="828" t="s">
        <v>49</v>
      </c>
      <c r="AV116" s="828"/>
      <c r="AW116" s="828" t="s">
        <v>345</v>
      </c>
      <c r="AX116" s="828"/>
      <c r="AY116" s="828"/>
      <c r="AZ116" s="828"/>
      <c r="BA116" s="926">
        <f>M16</f>
        <v>0</v>
      </c>
      <c r="BB116" s="926"/>
      <c r="BC116" s="926"/>
      <c r="BD116" s="926"/>
      <c r="BE116" s="926"/>
      <c r="BF116" s="926"/>
      <c r="BG116" s="926"/>
      <c r="BH116" s="955"/>
    </row>
    <row r="117" spans="1:60" ht="15.75" customHeight="1">
      <c r="A117" s="195" t="s">
        <v>342</v>
      </c>
      <c r="T117" s="196"/>
      <c r="U117" s="195" t="s">
        <v>342</v>
      </c>
      <c r="V117" s="89"/>
      <c r="W117" s="89"/>
      <c r="X117" s="89"/>
      <c r="Y117" s="89"/>
      <c r="Z117" s="89"/>
      <c r="AA117" s="89"/>
      <c r="AB117" s="89"/>
      <c r="AC117" s="89"/>
      <c r="AD117" s="89"/>
      <c r="AE117" s="89"/>
      <c r="AF117" s="89"/>
      <c r="AG117" s="89"/>
      <c r="AH117" s="89"/>
      <c r="AI117" s="89"/>
      <c r="AJ117" s="89"/>
      <c r="AK117" s="89"/>
      <c r="AL117" s="89"/>
      <c r="AM117" s="89"/>
      <c r="AN117" s="196"/>
      <c r="AO117" s="828"/>
      <c r="AP117" s="828"/>
      <c r="AQ117" s="828"/>
      <c r="AR117" s="944"/>
      <c r="AS117" s="944"/>
      <c r="AT117" s="944"/>
      <c r="AU117" s="828"/>
      <c r="AV117" s="828"/>
      <c r="AW117" s="828"/>
      <c r="AX117" s="828"/>
      <c r="AY117" s="828"/>
      <c r="AZ117" s="828"/>
      <c r="BA117" s="926"/>
      <c r="BB117" s="926"/>
      <c r="BC117" s="926"/>
      <c r="BD117" s="926"/>
      <c r="BE117" s="926"/>
      <c r="BF117" s="926"/>
      <c r="BG117" s="926"/>
      <c r="BH117" s="955"/>
    </row>
    <row r="118" spans="1:60" ht="15.75" customHeight="1">
      <c r="A118" s="827" t="s">
        <v>1023</v>
      </c>
      <c r="B118" s="828"/>
      <c r="C118" s="828"/>
      <c r="D118" s="828"/>
      <c r="E118" s="828"/>
      <c r="F118" s="828"/>
      <c r="G118" s="828"/>
      <c r="H118" s="828"/>
      <c r="I118" s="828"/>
      <c r="J118" s="828"/>
      <c r="K118" s="828"/>
      <c r="L118" s="828"/>
      <c r="M118" s="828"/>
      <c r="N118" s="828"/>
      <c r="O118" s="828"/>
      <c r="P118" s="828"/>
      <c r="Q118" s="828"/>
      <c r="R118" s="828"/>
      <c r="S118" s="828"/>
      <c r="T118" s="829"/>
      <c r="U118" s="827" t="s">
        <v>1023</v>
      </c>
      <c r="V118" s="828"/>
      <c r="W118" s="828"/>
      <c r="X118" s="828"/>
      <c r="Y118" s="828"/>
      <c r="Z118" s="828"/>
      <c r="AA118" s="828"/>
      <c r="AB118" s="828"/>
      <c r="AC118" s="828"/>
      <c r="AD118" s="828"/>
      <c r="AE118" s="828"/>
      <c r="AF118" s="828"/>
      <c r="AG118" s="828"/>
      <c r="AH118" s="828"/>
      <c r="AI118" s="828"/>
      <c r="AJ118" s="828"/>
      <c r="AK118" s="828"/>
      <c r="AL118" s="828"/>
      <c r="AM118" s="828"/>
      <c r="AN118" s="829"/>
      <c r="AO118" s="908" t="s">
        <v>346</v>
      </c>
      <c r="AP118" s="908"/>
      <c r="AQ118" s="908"/>
      <c r="AR118" s="908"/>
      <c r="AS118" s="908"/>
      <c r="AT118" s="908"/>
      <c r="AU118" s="908" t="e">
        <f>#REF!</f>
        <v>#REF!</v>
      </c>
      <c r="AV118" s="908"/>
      <c r="AW118" s="908"/>
      <c r="AX118" s="908"/>
      <c r="AY118" s="908"/>
      <c r="AZ118" s="89" t="s">
        <v>332</v>
      </c>
      <c r="BA118" s="89"/>
      <c r="BB118" s="908">
        <f>N18</f>
        <v>0</v>
      </c>
      <c r="BC118" s="908"/>
      <c r="BD118" s="908"/>
      <c r="BE118" s="908"/>
      <c r="BF118" s="908"/>
      <c r="BG118" s="89"/>
      <c r="BH118" s="90"/>
    </row>
    <row r="119" spans="1:60" ht="15.75" customHeight="1">
      <c r="A119" s="827" t="s">
        <v>344</v>
      </c>
      <c r="B119" s="828"/>
      <c r="C119" s="828"/>
      <c r="D119" s="925">
        <f>D16</f>
        <v>13.32</v>
      </c>
      <c r="E119" s="925"/>
      <c r="F119" s="925"/>
      <c r="G119" s="828" t="s">
        <v>49</v>
      </c>
      <c r="H119" s="828"/>
      <c r="I119" s="828" t="s">
        <v>345</v>
      </c>
      <c r="J119" s="828"/>
      <c r="K119" s="828"/>
      <c r="L119" s="828"/>
      <c r="M119" s="926">
        <f>M16</f>
        <v>0</v>
      </c>
      <c r="N119" s="926"/>
      <c r="O119" s="926"/>
      <c r="P119" s="926"/>
      <c r="Q119" s="926"/>
      <c r="R119" s="926"/>
      <c r="S119" s="926"/>
      <c r="T119" s="927"/>
      <c r="U119" s="827" t="s">
        <v>344</v>
      </c>
      <c r="V119" s="828"/>
      <c r="W119" s="828"/>
      <c r="X119" s="925">
        <f>PV!P64</f>
        <v>13.32</v>
      </c>
      <c r="Y119" s="944"/>
      <c r="Z119" s="944"/>
      <c r="AA119" s="828" t="s">
        <v>49</v>
      </c>
      <c r="AB119" s="828"/>
      <c r="AC119" s="828" t="s">
        <v>345</v>
      </c>
      <c r="AD119" s="828"/>
      <c r="AE119" s="828"/>
      <c r="AF119" s="828"/>
      <c r="AG119" s="926">
        <f>X112</f>
        <v>0</v>
      </c>
      <c r="AH119" s="926"/>
      <c r="AI119" s="926"/>
      <c r="AJ119" s="926"/>
      <c r="AK119" s="926"/>
      <c r="AL119" s="926"/>
      <c r="AM119" s="926"/>
      <c r="AN119" s="927"/>
      <c r="AO119" s="89"/>
      <c r="AP119" s="89"/>
      <c r="AQ119" s="89"/>
      <c r="AR119" s="89"/>
      <c r="AS119" s="89"/>
      <c r="AT119" s="89"/>
      <c r="AU119" s="89"/>
      <c r="AV119" s="89"/>
      <c r="AW119" s="89"/>
      <c r="AX119" s="89"/>
      <c r="AY119" s="89"/>
      <c r="AZ119" s="89"/>
      <c r="BA119" s="89"/>
      <c r="BB119" s="89"/>
      <c r="BC119" s="89"/>
      <c r="BD119" s="89"/>
      <c r="BE119" s="89"/>
      <c r="BF119" s="89"/>
      <c r="BG119" s="89"/>
      <c r="BH119" s="90"/>
    </row>
    <row r="120" spans="1:60" ht="15.75" customHeight="1">
      <c r="A120" s="827"/>
      <c r="B120" s="828"/>
      <c r="C120" s="828"/>
      <c r="D120" s="925"/>
      <c r="E120" s="925"/>
      <c r="F120" s="925"/>
      <c r="G120" s="828"/>
      <c r="H120" s="828"/>
      <c r="I120" s="828"/>
      <c r="J120" s="828"/>
      <c r="K120" s="828"/>
      <c r="L120" s="828"/>
      <c r="M120" s="926"/>
      <c r="N120" s="926"/>
      <c r="O120" s="926"/>
      <c r="P120" s="926"/>
      <c r="Q120" s="926"/>
      <c r="R120" s="926"/>
      <c r="S120" s="926"/>
      <c r="T120" s="927"/>
      <c r="U120" s="827"/>
      <c r="V120" s="828"/>
      <c r="W120" s="828"/>
      <c r="X120" s="944"/>
      <c r="Y120" s="944"/>
      <c r="Z120" s="944"/>
      <c r="AA120" s="828"/>
      <c r="AB120" s="828"/>
      <c r="AC120" s="828"/>
      <c r="AD120" s="828"/>
      <c r="AE120" s="828"/>
      <c r="AF120" s="828"/>
      <c r="AG120" s="926"/>
      <c r="AH120" s="926"/>
      <c r="AI120" s="926"/>
      <c r="AJ120" s="926"/>
      <c r="AK120" s="926"/>
      <c r="AL120" s="926"/>
      <c r="AM120" s="926"/>
      <c r="AN120" s="927"/>
      <c r="AO120" s="89" t="s">
        <v>347</v>
      </c>
      <c r="AP120" s="89"/>
      <c r="AQ120" s="89"/>
      <c r="AR120" s="89"/>
      <c r="AS120" s="89"/>
      <c r="AT120" s="89"/>
      <c r="AU120" s="89"/>
      <c r="AV120" s="89"/>
      <c r="AW120" s="952" t="e">
        <f>I19</f>
        <v>#N/A</v>
      </c>
      <c r="AX120" s="952"/>
      <c r="AY120" s="952"/>
      <c r="AZ120" s="952"/>
      <c r="BA120" s="952"/>
      <c r="BB120" s="952"/>
      <c r="BC120" s="952"/>
      <c r="BD120" s="952"/>
      <c r="BE120" s="89" t="s">
        <v>2</v>
      </c>
      <c r="BF120" s="89" t="s">
        <v>348</v>
      </c>
      <c r="BG120" s="89"/>
      <c r="BH120" s="90"/>
    </row>
    <row r="121" spans="1:60" ht="15.75" customHeight="1">
      <c r="A121" s="912" t="s">
        <v>346</v>
      </c>
      <c r="B121" s="908"/>
      <c r="C121" s="908"/>
      <c r="D121" s="908"/>
      <c r="E121" s="908"/>
      <c r="F121" s="908"/>
      <c r="G121" s="928">
        <f>G18</f>
        <v>0</v>
      </c>
      <c r="H121" s="928"/>
      <c r="I121" s="928"/>
      <c r="J121" s="928"/>
      <c r="K121" s="928"/>
      <c r="L121" s="89" t="s">
        <v>332</v>
      </c>
      <c r="M121" s="89"/>
      <c r="N121" s="929">
        <f>N18</f>
        <v>0</v>
      </c>
      <c r="O121" s="929"/>
      <c r="P121" s="929"/>
      <c r="Q121" s="929"/>
      <c r="R121" s="929"/>
      <c r="T121" s="163"/>
      <c r="U121" s="912" t="s">
        <v>346</v>
      </c>
      <c r="V121" s="908"/>
      <c r="W121" s="908"/>
      <c r="X121" s="908"/>
      <c r="Y121" s="908"/>
      <c r="Z121" s="908"/>
      <c r="AA121" s="928">
        <f>PV!U55</f>
        <v>0</v>
      </c>
      <c r="AB121" s="908"/>
      <c r="AC121" s="908"/>
      <c r="AD121" s="908"/>
      <c r="AE121" s="908"/>
      <c r="AF121" s="89" t="s">
        <v>332</v>
      </c>
      <c r="AG121" s="89"/>
      <c r="AH121" s="929">
        <f>PV!U56</f>
        <v>0</v>
      </c>
      <c r="AI121" s="908"/>
      <c r="AJ121" s="908"/>
      <c r="AK121" s="908"/>
      <c r="AL121" s="908"/>
      <c r="AM121" s="89"/>
      <c r="AN121" s="196"/>
      <c r="AO121" s="89"/>
      <c r="AP121" s="89"/>
      <c r="AQ121" s="89"/>
      <c r="AR121" s="89"/>
      <c r="AS121" s="89"/>
      <c r="AT121" s="89"/>
      <c r="AU121" s="89"/>
      <c r="AV121" s="89"/>
      <c r="AW121" s="89"/>
      <c r="AX121" s="89"/>
      <c r="AY121" s="89"/>
      <c r="AZ121" s="89"/>
      <c r="BA121" s="89"/>
      <c r="BB121" s="89"/>
      <c r="BC121" s="89"/>
      <c r="BD121" s="89"/>
      <c r="BE121" s="89"/>
      <c r="BF121" s="89"/>
      <c r="BG121" s="89"/>
      <c r="BH121" s="90"/>
    </row>
    <row r="122" spans="1:60" ht="15.75" customHeight="1">
      <c r="A122" s="195" t="s">
        <v>347</v>
      </c>
      <c r="B122" s="89"/>
      <c r="C122" s="89"/>
      <c r="D122" s="89"/>
      <c r="E122" s="89"/>
      <c r="F122" s="89"/>
      <c r="G122" s="89"/>
      <c r="H122" s="89"/>
      <c r="I122" s="938" t="e">
        <f>I19</f>
        <v>#N/A</v>
      </c>
      <c r="J122" s="939"/>
      <c r="K122" s="939"/>
      <c r="L122" s="939"/>
      <c r="M122" s="939"/>
      <c r="N122" s="939"/>
      <c r="O122" s="939"/>
      <c r="P122" s="939"/>
      <c r="Q122" s="89" t="s">
        <v>2</v>
      </c>
      <c r="R122" s="89" t="s">
        <v>348</v>
      </c>
      <c r="S122" s="89"/>
      <c r="T122" s="163"/>
      <c r="U122" s="195"/>
      <c r="V122" s="89"/>
      <c r="W122" s="89"/>
      <c r="X122" s="89"/>
      <c r="Y122" s="89"/>
      <c r="Z122" s="89"/>
      <c r="AA122" s="89"/>
      <c r="AB122" s="89"/>
      <c r="AC122" s="89"/>
      <c r="AD122" s="89"/>
      <c r="AE122" s="89"/>
      <c r="AF122" s="89"/>
      <c r="AG122" s="89"/>
      <c r="AH122" s="89"/>
      <c r="AI122" s="89"/>
      <c r="AJ122" s="89"/>
      <c r="AK122" s="89"/>
      <c r="AL122" s="89"/>
      <c r="AM122" s="89"/>
      <c r="AN122" s="196"/>
      <c r="AO122" s="916" t="s">
        <v>349</v>
      </c>
      <c r="AP122" s="916"/>
      <c r="AQ122" s="916"/>
      <c r="AR122" s="916"/>
      <c r="AS122" s="916"/>
      <c r="AT122" s="916"/>
      <c r="AU122" s="916"/>
      <c r="AV122" s="916"/>
      <c r="AW122" s="89"/>
      <c r="AX122" s="89"/>
      <c r="AY122" s="89"/>
      <c r="AZ122" s="89"/>
      <c r="BA122" s="89"/>
      <c r="BB122" s="89"/>
      <c r="BC122" s="908"/>
      <c r="BD122" s="908"/>
      <c r="BE122" s="89"/>
      <c r="BF122" s="89"/>
      <c r="BG122" s="89"/>
      <c r="BH122" s="90"/>
    </row>
    <row r="123" spans="1:60" ht="15.75" customHeight="1">
      <c r="A123" s="195"/>
      <c r="B123" s="89"/>
      <c r="C123" s="89"/>
      <c r="D123" s="89"/>
      <c r="E123" s="89"/>
      <c r="F123" s="89"/>
      <c r="G123" s="89"/>
      <c r="H123" s="89"/>
      <c r="I123" s="319"/>
      <c r="J123" s="113"/>
      <c r="K123" s="113"/>
      <c r="L123" s="113"/>
      <c r="M123" s="113"/>
      <c r="N123" s="113"/>
      <c r="O123" s="113"/>
      <c r="P123" s="113"/>
      <c r="Q123" s="89"/>
      <c r="R123" s="89"/>
      <c r="S123" s="89"/>
      <c r="T123" s="163"/>
      <c r="U123" s="924" t="s">
        <v>349</v>
      </c>
      <c r="V123" s="916"/>
      <c r="W123" s="916"/>
      <c r="X123" s="916"/>
      <c r="Y123" s="916"/>
      <c r="Z123" s="916"/>
      <c r="AA123" s="916"/>
      <c r="AB123" s="916"/>
      <c r="AC123" s="89"/>
      <c r="AD123" s="89"/>
      <c r="AE123" s="89"/>
      <c r="AF123" s="89"/>
      <c r="AG123" s="89"/>
      <c r="AH123" s="89"/>
      <c r="AI123" s="908"/>
      <c r="AJ123" s="908"/>
      <c r="AK123" s="89"/>
      <c r="AL123" s="89"/>
      <c r="AM123" s="89"/>
      <c r="AN123" s="196"/>
      <c r="AO123" s="313"/>
      <c r="AP123" s="313"/>
      <c r="AQ123" s="313"/>
      <c r="AR123" s="313"/>
      <c r="AS123" s="313"/>
      <c r="AT123" s="313"/>
      <c r="AU123" s="313"/>
      <c r="AV123" s="313"/>
      <c r="AW123" s="89"/>
      <c r="AX123" s="89"/>
      <c r="AY123" s="89"/>
      <c r="AZ123" s="89"/>
      <c r="BA123" s="89"/>
      <c r="BB123" s="89"/>
      <c r="BC123" s="314"/>
      <c r="BD123" s="314"/>
      <c r="BE123" s="89"/>
      <c r="BF123" s="89"/>
      <c r="BG123" s="89"/>
      <c r="BH123" s="90"/>
    </row>
    <row r="124" spans="1:60" ht="15.75" customHeight="1">
      <c r="A124" s="316" t="s">
        <v>349</v>
      </c>
      <c r="B124" s="313"/>
      <c r="C124" s="313"/>
      <c r="D124" s="313"/>
      <c r="E124" s="313"/>
      <c r="F124" s="313"/>
      <c r="G124" s="313"/>
      <c r="H124" s="313"/>
      <c r="I124" s="89"/>
      <c r="J124" s="89"/>
      <c r="K124" s="89"/>
      <c r="L124" s="89"/>
      <c r="M124" s="89"/>
      <c r="N124" s="89"/>
      <c r="O124" s="314"/>
      <c r="P124" s="314"/>
      <c r="Q124" s="89"/>
      <c r="R124" s="89"/>
      <c r="S124" s="89"/>
      <c r="T124" s="196"/>
      <c r="U124" s="195"/>
      <c r="V124" s="91" t="s">
        <v>350</v>
      </c>
      <c r="W124" s="89"/>
      <c r="X124" s="89"/>
      <c r="Y124" s="89"/>
      <c r="Z124" s="89"/>
      <c r="AA124" s="89"/>
      <c r="AB124" s="89"/>
      <c r="AC124" s="89"/>
      <c r="AD124" s="89"/>
      <c r="AE124" s="89"/>
      <c r="AF124" s="89"/>
      <c r="AG124" s="89"/>
      <c r="AH124" s="89"/>
      <c r="AI124" s="89"/>
      <c r="AJ124" s="89"/>
      <c r="AK124" s="89"/>
      <c r="AL124" s="89"/>
      <c r="AM124" s="89"/>
      <c r="AN124" s="196"/>
      <c r="AO124" s="89"/>
      <c r="AP124" s="91" t="s">
        <v>350</v>
      </c>
      <c r="AQ124" s="89"/>
      <c r="AR124" s="89"/>
      <c r="AS124" s="89"/>
      <c r="AT124" s="89"/>
      <c r="AU124" s="89"/>
      <c r="AV124" s="89"/>
      <c r="AW124" s="89"/>
      <c r="AX124" s="89"/>
      <c r="AY124" s="89"/>
      <c r="AZ124" s="89"/>
      <c r="BA124" s="89"/>
      <c r="BB124" s="89"/>
      <c r="BC124" s="89"/>
      <c r="BD124" s="89"/>
      <c r="BE124" s="89"/>
      <c r="BF124" s="89"/>
      <c r="BG124" s="89"/>
      <c r="BH124" s="90"/>
    </row>
    <row r="125" spans="1:60" ht="15.75" customHeight="1">
      <c r="A125" s="195"/>
      <c r="B125" s="906" t="s">
        <v>352</v>
      </c>
      <c r="C125" s="906"/>
      <c r="D125" s="906"/>
      <c r="E125" s="906"/>
      <c r="F125" s="906"/>
      <c r="G125" s="906"/>
      <c r="H125" s="906"/>
      <c r="I125" s="906"/>
      <c r="J125" s="906"/>
      <c r="K125" s="906"/>
      <c r="L125" s="906"/>
      <c r="M125" s="906"/>
      <c r="N125" s="318">
        <f>PV!R219</f>
        <v>1</v>
      </c>
      <c r="O125" s="91" t="s">
        <v>60</v>
      </c>
      <c r="P125" s="89"/>
      <c r="Q125" s="89"/>
      <c r="R125" s="89"/>
      <c r="S125" s="89"/>
      <c r="T125" s="196"/>
      <c r="U125" s="195"/>
      <c r="V125" s="91" t="s">
        <v>661</v>
      </c>
      <c r="W125" s="89"/>
      <c r="X125" s="89"/>
      <c r="Y125" s="89"/>
      <c r="Z125" s="89"/>
      <c r="AA125" s="89"/>
      <c r="AB125" s="89"/>
      <c r="AC125" s="89"/>
      <c r="AD125" s="89">
        <v>1</v>
      </c>
      <c r="AE125" s="89" t="s">
        <v>448</v>
      </c>
      <c r="AF125" s="89"/>
      <c r="AG125" s="89"/>
      <c r="AH125" s="89"/>
      <c r="AI125" s="89"/>
      <c r="AJ125" s="89"/>
      <c r="AK125" s="89"/>
      <c r="AL125" s="89"/>
      <c r="AM125" s="89"/>
      <c r="AN125" s="196"/>
      <c r="AO125" s="89"/>
      <c r="AP125" s="906" t="s">
        <v>351</v>
      </c>
      <c r="AQ125" s="906"/>
      <c r="AR125" s="906"/>
      <c r="AS125" s="906"/>
      <c r="AT125" s="906"/>
      <c r="AU125" s="906"/>
      <c r="AV125" s="906"/>
      <c r="AW125" s="930">
        <f>I21</f>
        <v>24</v>
      </c>
      <c r="AX125" s="930"/>
      <c r="AY125" s="89" t="s">
        <v>60</v>
      </c>
      <c r="AZ125" s="89"/>
      <c r="BA125" s="89"/>
      <c r="BB125" s="89"/>
      <c r="BC125" s="89"/>
      <c r="BD125" s="89"/>
      <c r="BE125" s="89"/>
      <c r="BF125" s="89"/>
      <c r="BG125" s="89"/>
      <c r="BH125" s="90"/>
    </row>
    <row r="126" spans="1:60" ht="15.75" customHeight="1">
      <c r="A126" s="195"/>
      <c r="B126" s="906" t="s">
        <v>657</v>
      </c>
      <c r="C126" s="906"/>
      <c r="D126" s="906"/>
      <c r="E126" s="906"/>
      <c r="F126" s="906"/>
      <c r="G126" s="906"/>
      <c r="H126" s="906"/>
      <c r="I126" s="906"/>
      <c r="J126" s="906"/>
      <c r="K126" s="906"/>
      <c r="L126" s="906"/>
      <c r="M126" s="906"/>
      <c r="N126" s="89"/>
      <c r="O126" s="89"/>
      <c r="P126" s="89"/>
      <c r="Q126" s="89"/>
      <c r="R126" s="89"/>
      <c r="S126" s="89"/>
      <c r="T126" s="196"/>
      <c r="U126" s="195"/>
      <c r="V126" s="906" t="s">
        <v>351</v>
      </c>
      <c r="W126" s="906"/>
      <c r="X126" s="906"/>
      <c r="Y126" s="906"/>
      <c r="Z126" s="906"/>
      <c r="AA126" s="906"/>
      <c r="AB126" s="906"/>
      <c r="AC126" s="930">
        <f>PV!R218</f>
        <v>24</v>
      </c>
      <c r="AD126" s="930"/>
      <c r="AE126" s="89" t="s">
        <v>60</v>
      </c>
      <c r="AF126" s="91"/>
      <c r="AG126" s="91"/>
      <c r="AH126" s="89"/>
      <c r="AI126" s="89"/>
      <c r="AJ126" s="89"/>
      <c r="AK126" s="89"/>
      <c r="AL126" s="89"/>
      <c r="AM126" s="89"/>
      <c r="AN126" s="196"/>
      <c r="AO126" s="89"/>
      <c r="AP126" s="906" t="s">
        <v>352</v>
      </c>
      <c r="AQ126" s="906"/>
      <c r="AR126" s="906"/>
      <c r="AS126" s="906"/>
      <c r="AT126" s="953">
        <f>F22</f>
        <v>1</v>
      </c>
      <c r="AU126" s="953"/>
      <c r="AV126" s="91" t="s">
        <v>60</v>
      </c>
      <c r="AW126" s="91"/>
      <c r="AX126" s="91"/>
      <c r="AY126" s="91"/>
      <c r="AZ126" s="91"/>
      <c r="BA126" s="91"/>
      <c r="BB126" s="89"/>
      <c r="BC126" s="89"/>
      <c r="BD126" s="89"/>
      <c r="BE126" s="89"/>
      <c r="BF126" s="89"/>
      <c r="BG126" s="89"/>
      <c r="BH126" s="90"/>
    </row>
    <row r="127" spans="1:60" ht="15.75" customHeight="1">
      <c r="A127" s="195"/>
      <c r="B127" s="906" t="s">
        <v>354</v>
      </c>
      <c r="C127" s="906"/>
      <c r="D127" s="906"/>
      <c r="E127" s="906"/>
      <c r="F127" s="906"/>
      <c r="G127" s="906"/>
      <c r="H127" s="906"/>
      <c r="I127" s="906"/>
      <c r="J127" s="906"/>
      <c r="K127" s="906"/>
      <c r="L127" s="906"/>
      <c r="M127" s="906"/>
      <c r="N127" s="89"/>
      <c r="O127" s="89"/>
      <c r="P127" s="89"/>
      <c r="Q127" s="89"/>
      <c r="R127" s="89"/>
      <c r="S127" s="89"/>
      <c r="T127" s="196"/>
      <c r="U127" s="195"/>
      <c r="V127" s="91" t="s">
        <v>653</v>
      </c>
      <c r="W127" s="91"/>
      <c r="X127" s="91"/>
      <c r="Y127" s="91"/>
      <c r="Z127" s="91"/>
      <c r="AA127" s="91"/>
      <c r="AB127" s="91"/>
      <c r="AC127" s="91"/>
      <c r="AD127" s="91"/>
      <c r="AE127" s="91"/>
      <c r="AF127" s="89"/>
      <c r="AG127" s="89"/>
      <c r="AH127" s="89"/>
      <c r="AI127" s="89"/>
      <c r="AJ127" s="89"/>
      <c r="AK127" s="89"/>
      <c r="AL127" s="89"/>
      <c r="AM127" s="89"/>
      <c r="AN127" s="196"/>
      <c r="AO127" s="89"/>
      <c r="AP127" s="91" t="s">
        <v>353</v>
      </c>
      <c r="AQ127" s="89"/>
      <c r="AR127" s="89"/>
      <c r="AS127" s="89"/>
      <c r="AT127" s="89"/>
      <c r="AU127" s="89"/>
      <c r="AV127" s="89"/>
      <c r="AW127" s="89"/>
      <c r="AX127" s="89"/>
      <c r="AY127" s="89"/>
      <c r="AZ127" s="89"/>
      <c r="BA127" s="89"/>
      <c r="BB127" s="89"/>
      <c r="BC127" s="89"/>
      <c r="BD127" s="89"/>
      <c r="BE127" s="89"/>
      <c r="BF127" s="89"/>
      <c r="BG127" s="89"/>
      <c r="BH127" s="90"/>
    </row>
    <row r="128" spans="1:60" ht="15.75" customHeight="1">
      <c r="A128" s="195"/>
      <c r="B128" s="907" t="s">
        <v>355</v>
      </c>
      <c r="C128" s="907"/>
      <c r="D128" s="907"/>
      <c r="E128" s="907"/>
      <c r="F128" s="907"/>
      <c r="G128" s="907"/>
      <c r="H128" s="907"/>
      <c r="I128" s="907"/>
      <c r="J128" s="907"/>
      <c r="K128" s="907"/>
      <c r="L128" s="907"/>
      <c r="M128" s="907"/>
      <c r="N128" s="89"/>
      <c r="O128" s="89"/>
      <c r="P128" s="89"/>
      <c r="Q128" s="89"/>
      <c r="R128" s="89"/>
      <c r="S128" s="89"/>
      <c r="T128" s="196"/>
      <c r="U128" s="195"/>
      <c r="V128" s="906" t="s">
        <v>654</v>
      </c>
      <c r="W128" s="916"/>
      <c r="X128" s="916"/>
      <c r="Y128" s="916"/>
      <c r="Z128" s="916"/>
      <c r="AA128" s="916"/>
      <c r="AB128" s="916"/>
      <c r="AC128" s="89"/>
      <c r="AD128" s="89"/>
      <c r="AE128" s="89"/>
      <c r="AF128" s="89"/>
      <c r="AG128" s="89"/>
      <c r="AH128" s="89"/>
      <c r="AI128" s="89"/>
      <c r="AJ128" s="89"/>
      <c r="AK128" s="89"/>
      <c r="AL128" s="89"/>
      <c r="AM128" s="89"/>
      <c r="AN128" s="196"/>
      <c r="AO128" s="89"/>
      <c r="AP128" s="91" t="s">
        <v>354</v>
      </c>
      <c r="AQ128" s="89"/>
      <c r="AR128" s="89"/>
      <c r="AS128" s="89"/>
      <c r="AT128" s="89"/>
      <c r="AU128" s="89"/>
      <c r="AV128" s="89"/>
      <c r="AW128" s="89"/>
      <c r="AX128" s="89"/>
      <c r="AY128" s="89"/>
      <c r="AZ128" s="89"/>
      <c r="BA128" s="89"/>
      <c r="BB128" s="89"/>
      <c r="BC128" s="89"/>
      <c r="BD128" s="89"/>
      <c r="BE128" s="89"/>
      <c r="BF128" s="89"/>
      <c r="BG128" s="89"/>
      <c r="BH128" s="90"/>
    </row>
    <row r="129" spans="1:60" ht="15.75" customHeight="1">
      <c r="A129" s="195"/>
      <c r="B129" s="907" t="s">
        <v>356</v>
      </c>
      <c r="C129" s="907"/>
      <c r="D129" s="907"/>
      <c r="E129" s="907"/>
      <c r="F129" s="907"/>
      <c r="G129" s="907"/>
      <c r="H129" s="907"/>
      <c r="I129" s="907"/>
      <c r="J129" s="907"/>
      <c r="K129" s="907"/>
      <c r="L129" s="907"/>
      <c r="M129" s="907"/>
      <c r="N129" s="112"/>
      <c r="O129" s="112"/>
      <c r="P129" s="89"/>
      <c r="Q129" s="89"/>
      <c r="R129" s="89"/>
      <c r="S129" s="89"/>
      <c r="T129" s="196"/>
      <c r="U129" s="195"/>
      <c r="V129" s="91" t="s">
        <v>354</v>
      </c>
      <c r="W129" s="89"/>
      <c r="X129" s="89"/>
      <c r="Y129" s="89"/>
      <c r="Z129" s="89"/>
      <c r="AA129" s="89"/>
      <c r="AB129" s="89"/>
      <c r="AC129" s="89"/>
      <c r="AD129" s="89"/>
      <c r="AE129" s="89"/>
      <c r="AF129" s="89"/>
      <c r="AG129" s="89"/>
      <c r="AH129" s="89"/>
      <c r="AI129" s="89"/>
      <c r="AJ129" s="89"/>
      <c r="AK129" s="89"/>
      <c r="AL129" s="89"/>
      <c r="AM129" s="89"/>
      <c r="AN129" s="163"/>
      <c r="AO129" s="89"/>
      <c r="AP129" s="907" t="s">
        <v>355</v>
      </c>
      <c r="AQ129" s="907"/>
      <c r="AR129" s="907"/>
      <c r="AS129" s="907"/>
      <c r="AT129" s="907"/>
      <c r="AU129" s="907"/>
      <c r="AV129" s="907"/>
      <c r="AW129" s="907"/>
      <c r="AX129" s="907"/>
      <c r="AY129" s="907"/>
      <c r="AZ129" s="907"/>
      <c r="BA129" s="907"/>
      <c r="BB129" s="907"/>
      <c r="BC129" s="907"/>
      <c r="BD129" s="907"/>
      <c r="BE129" s="907"/>
      <c r="BF129" s="907"/>
      <c r="BG129" s="907"/>
      <c r="BH129" s="943"/>
    </row>
    <row r="130" spans="1:60" ht="15.75" customHeight="1">
      <c r="A130" s="195"/>
      <c r="B130" s="905" t="s">
        <v>1031</v>
      </c>
      <c r="C130" s="905"/>
      <c r="D130" s="905"/>
      <c r="E130" s="905"/>
      <c r="F130" s="905"/>
      <c r="G130" s="905"/>
      <c r="H130" s="905"/>
      <c r="I130" s="905"/>
      <c r="J130" s="905"/>
      <c r="K130" s="905"/>
      <c r="L130" s="905"/>
      <c r="M130" s="905"/>
      <c r="N130" s="112"/>
      <c r="O130" s="112"/>
      <c r="P130" s="112"/>
      <c r="Q130" s="112"/>
      <c r="R130" s="112"/>
      <c r="S130" s="112"/>
      <c r="T130" s="197"/>
      <c r="U130" s="198"/>
      <c r="V130" s="333" t="s">
        <v>1031</v>
      </c>
      <c r="AN130" s="163"/>
      <c r="AO130" s="112"/>
      <c r="AP130" s="907" t="s">
        <v>356</v>
      </c>
      <c r="AQ130" s="907"/>
      <c r="AR130" s="907"/>
      <c r="AS130" s="907"/>
      <c r="AT130" s="907"/>
      <c r="AU130" s="907"/>
      <c r="AV130" s="907"/>
      <c r="AW130" s="907"/>
      <c r="AX130" s="907"/>
      <c r="AY130" s="907"/>
      <c r="AZ130" s="907"/>
      <c r="BA130" s="907"/>
      <c r="BB130" s="907"/>
      <c r="BC130" s="907"/>
      <c r="BD130" s="907"/>
      <c r="BE130" s="907"/>
      <c r="BF130" s="907"/>
      <c r="BG130" s="907"/>
      <c r="BH130" s="943"/>
    </row>
    <row r="131" spans="1:60" ht="15.75" customHeight="1">
      <c r="A131" s="198"/>
      <c r="P131" s="112"/>
      <c r="Q131" s="112"/>
      <c r="R131" s="112"/>
      <c r="S131" s="112"/>
      <c r="T131" s="197"/>
      <c r="U131" s="195"/>
      <c r="V131" s="322" t="s">
        <v>449</v>
      </c>
      <c r="W131" s="322"/>
      <c r="X131" s="322"/>
      <c r="Y131" s="322"/>
      <c r="Z131" s="322"/>
      <c r="AA131" s="322"/>
      <c r="AB131" s="322"/>
      <c r="AC131" s="322"/>
      <c r="AD131" s="320" t="s">
        <v>233</v>
      </c>
      <c r="AE131" s="322" t="s">
        <v>450</v>
      </c>
      <c r="AF131" s="89"/>
      <c r="AG131" s="89"/>
      <c r="AH131" s="322"/>
      <c r="AI131" s="322"/>
      <c r="AJ131" s="322"/>
      <c r="AK131" s="322"/>
      <c r="AL131" s="322"/>
      <c r="AM131" s="320" t="s">
        <v>233</v>
      </c>
      <c r="AN131" s="196"/>
      <c r="AO131" s="89"/>
      <c r="AP131" s="91" t="s">
        <v>594</v>
      </c>
      <c r="AQ131" s="89"/>
      <c r="AR131" s="89"/>
      <c r="AS131" s="89"/>
      <c r="AT131" s="89"/>
      <c r="AU131" s="89"/>
      <c r="AV131" s="89"/>
      <c r="AW131" s="89"/>
      <c r="AX131" s="89"/>
      <c r="AY131" s="89"/>
      <c r="AZ131" s="89"/>
      <c r="BA131" s="89"/>
      <c r="BB131" s="89"/>
      <c r="BC131" s="89"/>
      <c r="BD131" s="89"/>
      <c r="BE131" s="89"/>
      <c r="BF131" s="89"/>
      <c r="BG131" s="89"/>
      <c r="BH131" s="90"/>
    </row>
    <row r="132" spans="1:60" ht="15.75" customHeight="1">
      <c r="A132" s="195" t="s">
        <v>357</v>
      </c>
      <c r="B132" s="89"/>
      <c r="C132" s="89"/>
      <c r="D132" s="89"/>
      <c r="E132" s="89"/>
      <c r="F132" s="89"/>
      <c r="G132" s="89"/>
      <c r="H132" s="89"/>
      <c r="I132" s="89"/>
      <c r="J132" s="89"/>
      <c r="K132" s="89"/>
      <c r="L132" s="89"/>
      <c r="M132" s="89"/>
      <c r="N132" s="89"/>
      <c r="O132" s="89"/>
      <c r="P132" s="89"/>
      <c r="Q132" s="89"/>
      <c r="R132" s="89"/>
      <c r="S132" s="89"/>
      <c r="T132" s="196"/>
      <c r="U132" s="164"/>
      <c r="W132" s="89"/>
      <c r="X132" s="89"/>
      <c r="Y132" s="89"/>
      <c r="Z132" s="89"/>
      <c r="AA132" s="89"/>
      <c r="AB132" s="89"/>
      <c r="AC132" s="89"/>
      <c r="AD132" s="89"/>
      <c r="AE132" s="89"/>
      <c r="AF132" s="89"/>
      <c r="AG132" s="89"/>
      <c r="AH132" s="89"/>
      <c r="AI132" s="89"/>
      <c r="AM132" s="89"/>
      <c r="AN132" s="196"/>
      <c r="AO132" s="89"/>
      <c r="AP132" s="91" t="s">
        <v>595</v>
      </c>
      <c r="AQ132" s="89"/>
      <c r="AR132" s="89"/>
      <c r="AS132" s="89"/>
      <c r="AT132" s="89"/>
      <c r="AU132" s="89"/>
      <c r="AV132" s="89"/>
      <c r="AW132" s="89"/>
      <c r="AX132" s="89"/>
      <c r="AY132" s="89"/>
      <c r="AZ132" s="89"/>
      <c r="BA132" s="89"/>
      <c r="BB132" s="89"/>
      <c r="BC132" s="89"/>
      <c r="BD132" s="89"/>
      <c r="BE132" s="89"/>
      <c r="BF132" s="89"/>
      <c r="BG132" s="89"/>
      <c r="BH132" s="90"/>
    </row>
    <row r="133" spans="1:60" ht="15.75" customHeight="1">
      <c r="A133" s="195" t="s">
        <v>358</v>
      </c>
      <c r="B133" s="89"/>
      <c r="C133" s="89"/>
      <c r="D133" s="89"/>
      <c r="E133" s="89"/>
      <c r="F133" s="89"/>
      <c r="G133" s="89"/>
      <c r="H133" s="89"/>
      <c r="I133" s="89"/>
      <c r="J133" s="89"/>
      <c r="K133" s="89"/>
      <c r="L133" s="89"/>
      <c r="M133" s="89"/>
      <c r="N133" s="89"/>
      <c r="O133" s="89"/>
      <c r="P133" s="89"/>
      <c r="Q133" s="89"/>
      <c r="R133" s="89"/>
      <c r="S133" s="89"/>
      <c r="T133" s="196"/>
      <c r="U133" s="195" t="s">
        <v>357</v>
      </c>
      <c r="V133" s="89"/>
      <c r="W133" s="89"/>
      <c r="X133" s="89"/>
      <c r="Y133" s="89"/>
      <c r="Z133" s="89"/>
      <c r="AA133" s="89"/>
      <c r="AB133" s="89"/>
      <c r="AC133" s="89"/>
      <c r="AD133" s="89"/>
      <c r="AE133" s="89"/>
      <c r="AF133" s="89"/>
      <c r="AG133" s="89"/>
      <c r="AH133" s="89"/>
      <c r="AI133" s="89"/>
      <c r="AJ133" s="89"/>
      <c r="AK133" s="89"/>
      <c r="AL133" s="89"/>
      <c r="AM133" s="89"/>
      <c r="AN133" s="196"/>
      <c r="AO133" s="89"/>
      <c r="AP133" s="91" t="s">
        <v>596</v>
      </c>
      <c r="AQ133" s="89"/>
      <c r="AR133" s="89"/>
      <c r="AS133" s="89"/>
      <c r="AT133" s="89"/>
      <c r="AU133" s="89"/>
      <c r="AV133" s="89"/>
      <c r="AW133" s="89"/>
      <c r="AX133" s="89"/>
      <c r="AY133" s="89"/>
      <c r="AZ133" s="89"/>
      <c r="BA133" s="89"/>
      <c r="BB133" s="89"/>
      <c r="BC133" s="89"/>
      <c r="BD133" s="89"/>
      <c r="BE133" s="89"/>
      <c r="BF133" s="89"/>
      <c r="BG133" s="89"/>
      <c r="BH133" s="90"/>
    </row>
    <row r="134" spans="1:60" ht="15.75" customHeight="1">
      <c r="A134" s="195"/>
      <c r="B134" s="89" t="s">
        <v>359</v>
      </c>
      <c r="C134" s="89"/>
      <c r="D134" s="89"/>
      <c r="E134" s="89"/>
      <c r="F134" s="89"/>
      <c r="G134" s="89"/>
      <c r="H134" s="89"/>
      <c r="I134" s="89"/>
      <c r="J134" s="89"/>
      <c r="K134" s="89"/>
      <c r="L134" s="89"/>
      <c r="M134" s="89"/>
      <c r="N134" s="89"/>
      <c r="O134" s="89"/>
      <c r="P134" s="89"/>
      <c r="Q134" s="89"/>
      <c r="R134" s="89"/>
      <c r="S134" s="89"/>
      <c r="T134" s="196"/>
      <c r="U134" s="195" t="s">
        <v>358</v>
      </c>
      <c r="V134" s="89"/>
      <c r="W134" s="89"/>
      <c r="X134" s="89"/>
      <c r="Y134" s="89"/>
      <c r="Z134" s="89"/>
      <c r="AA134" s="89"/>
      <c r="AB134" s="89"/>
      <c r="AC134" s="89"/>
      <c r="AD134" s="89"/>
      <c r="AE134" s="89"/>
      <c r="AF134" s="89"/>
      <c r="AG134" s="89"/>
      <c r="AH134" s="89"/>
      <c r="AI134" s="89"/>
      <c r="AJ134" s="89"/>
      <c r="AK134" s="89"/>
      <c r="AL134" s="89"/>
      <c r="AM134" s="89"/>
      <c r="AN134" s="196"/>
      <c r="AO134" s="89"/>
      <c r="AP134" s="89"/>
      <c r="AQ134" s="89"/>
      <c r="AR134" s="89"/>
      <c r="AS134" s="89"/>
      <c r="AT134" s="89"/>
      <c r="AU134" s="89"/>
      <c r="AV134" s="89"/>
      <c r="AW134" s="89"/>
      <c r="AX134" s="89"/>
      <c r="AY134" s="89"/>
      <c r="AZ134" s="89"/>
      <c r="BA134" s="89"/>
      <c r="BB134" s="89"/>
      <c r="BC134" s="89"/>
      <c r="BD134" s="89"/>
      <c r="BE134" s="89"/>
      <c r="BF134" s="89"/>
      <c r="BG134" s="89"/>
      <c r="BH134" s="90"/>
    </row>
    <row r="135" spans="1:60" ht="15.75" customHeight="1">
      <c r="A135" s="195"/>
      <c r="B135" s="89" t="s">
        <v>1024</v>
      </c>
      <c r="C135" s="89"/>
      <c r="D135" s="89"/>
      <c r="E135" s="89"/>
      <c r="F135" s="89"/>
      <c r="G135" s="89"/>
      <c r="H135" s="89"/>
      <c r="I135" s="89"/>
      <c r="J135" s="89"/>
      <c r="K135" s="89"/>
      <c r="L135" s="89"/>
      <c r="M135" s="89"/>
      <c r="N135" s="89"/>
      <c r="O135" s="89"/>
      <c r="P135" s="89"/>
      <c r="Q135" s="89"/>
      <c r="R135" s="89"/>
      <c r="S135" s="89"/>
      <c r="T135" s="196"/>
      <c r="U135" s="195"/>
      <c r="V135" s="89" t="s">
        <v>359</v>
      </c>
      <c r="W135" s="89"/>
      <c r="X135" s="89"/>
      <c r="Y135" s="89"/>
      <c r="Z135" s="89"/>
      <c r="AA135" s="89"/>
      <c r="AB135" s="89"/>
      <c r="AC135" s="89"/>
      <c r="AD135" s="89"/>
      <c r="AE135" s="89"/>
      <c r="AF135" s="89"/>
      <c r="AG135" s="89"/>
      <c r="AH135" s="89"/>
      <c r="AI135" s="89"/>
      <c r="AJ135" s="89"/>
      <c r="AK135" s="89"/>
      <c r="AL135" s="89"/>
      <c r="AM135" s="89"/>
      <c r="AN135" s="196"/>
      <c r="AO135" s="89"/>
      <c r="AP135" s="89"/>
      <c r="AQ135" s="89"/>
      <c r="AR135" s="89"/>
      <c r="AS135" s="89"/>
      <c r="AT135" s="89"/>
      <c r="AU135" s="89"/>
      <c r="AV135" s="89"/>
      <c r="AW135" s="89"/>
      <c r="AX135" s="89"/>
      <c r="AY135" s="89"/>
      <c r="AZ135" s="89"/>
      <c r="BA135" s="89"/>
      <c r="BB135" s="89"/>
      <c r="BC135" s="89"/>
      <c r="BD135" s="89"/>
      <c r="BE135" s="89"/>
      <c r="BF135" s="89"/>
      <c r="BG135" s="89"/>
      <c r="BH135" s="90"/>
    </row>
    <row r="136" spans="1:60" ht="15.75" customHeight="1">
      <c r="A136" s="195" t="s">
        <v>361</v>
      </c>
      <c r="B136" s="89"/>
      <c r="C136" s="89"/>
      <c r="D136" s="89"/>
      <c r="E136" s="89"/>
      <c r="F136" s="89"/>
      <c r="G136" s="89"/>
      <c r="H136" s="89"/>
      <c r="I136" s="89"/>
      <c r="J136" s="89"/>
      <c r="K136" s="89"/>
      <c r="L136" s="89"/>
      <c r="M136" s="89"/>
      <c r="N136" s="89"/>
      <c r="O136" s="89"/>
      <c r="P136" s="89"/>
      <c r="Q136" s="89"/>
      <c r="R136" s="89"/>
      <c r="S136" s="89"/>
      <c r="T136" s="196"/>
      <c r="U136" s="195"/>
      <c r="V136" s="89" t="s">
        <v>1024</v>
      </c>
      <c r="W136" s="89"/>
      <c r="X136" s="89"/>
      <c r="Y136" s="89"/>
      <c r="Z136" s="89"/>
      <c r="AA136" s="89"/>
      <c r="AB136" s="89"/>
      <c r="AC136" s="89"/>
      <c r="AD136" s="89"/>
      <c r="AE136" s="89"/>
      <c r="AF136" s="89"/>
      <c r="AG136" s="89"/>
      <c r="AH136" s="89"/>
      <c r="AI136" s="89"/>
      <c r="AJ136" s="89"/>
      <c r="AK136" s="89"/>
      <c r="AL136" s="89"/>
      <c r="AM136" s="89"/>
      <c r="AN136" s="196"/>
      <c r="AO136" s="89" t="s">
        <v>361</v>
      </c>
      <c r="AP136" s="89"/>
      <c r="AQ136" s="89"/>
      <c r="AR136" s="89"/>
      <c r="AS136" s="89"/>
      <c r="AT136" s="89"/>
      <c r="AU136" s="89"/>
      <c r="AV136" s="89"/>
      <c r="AW136" s="89"/>
      <c r="AX136" s="89"/>
      <c r="AY136" s="89"/>
      <c r="AZ136" s="89"/>
      <c r="BA136" s="89"/>
      <c r="BB136" s="89"/>
      <c r="BC136" s="89"/>
      <c r="BD136" s="89"/>
      <c r="BE136" s="89"/>
      <c r="BF136" s="89"/>
      <c r="BG136" s="89"/>
      <c r="BH136" s="90"/>
    </row>
    <row r="137" spans="1:60" ht="15.75" customHeight="1">
      <c r="A137" s="195"/>
      <c r="B137" s="89"/>
      <c r="C137" s="87"/>
      <c r="D137" s="87"/>
      <c r="E137" s="87"/>
      <c r="F137" s="87"/>
      <c r="G137" s="87"/>
      <c r="H137" s="87"/>
      <c r="I137" s="87"/>
      <c r="J137" s="87"/>
      <c r="K137" s="87"/>
      <c r="L137" s="87"/>
      <c r="M137" s="87"/>
      <c r="N137" s="87"/>
      <c r="O137" s="87"/>
      <c r="P137" s="87"/>
      <c r="Q137" s="87"/>
      <c r="R137" s="87"/>
      <c r="S137" s="87"/>
      <c r="T137" s="200"/>
      <c r="U137" s="195" t="s">
        <v>361</v>
      </c>
      <c r="V137" s="89"/>
      <c r="W137" s="87"/>
      <c r="X137" s="87"/>
      <c r="Y137" s="87"/>
      <c r="Z137" s="87"/>
      <c r="AA137" s="87"/>
      <c r="AB137" s="87"/>
      <c r="AC137" s="87"/>
      <c r="AD137" s="87"/>
      <c r="AE137" s="87"/>
      <c r="AF137" s="87"/>
      <c r="AG137" s="87"/>
      <c r="AH137" s="87"/>
      <c r="AI137" s="87"/>
      <c r="AJ137" s="87"/>
      <c r="AK137" s="87"/>
      <c r="AL137" s="87"/>
      <c r="AM137" s="87"/>
      <c r="AN137" s="200"/>
      <c r="AO137" s="89"/>
      <c r="AP137" s="89"/>
      <c r="AQ137" s="87"/>
      <c r="AR137" s="87"/>
      <c r="AS137" s="87"/>
      <c r="AT137" s="87"/>
      <c r="AU137" s="87"/>
      <c r="AV137" s="87"/>
      <c r="AW137" s="87"/>
      <c r="AX137" s="87"/>
      <c r="AY137" s="87"/>
      <c r="AZ137" s="87"/>
      <c r="BA137" s="87"/>
      <c r="BB137" s="87"/>
      <c r="BC137" s="87"/>
      <c r="BD137" s="87"/>
      <c r="BE137" s="87"/>
      <c r="BF137" s="87"/>
      <c r="BG137" s="87"/>
      <c r="BH137" s="92"/>
    </row>
    <row r="138" spans="1:60" ht="15.75" customHeight="1">
      <c r="A138" s="195"/>
      <c r="B138" s="89"/>
      <c r="C138" s="87"/>
      <c r="D138" s="87"/>
      <c r="E138" s="87"/>
      <c r="F138" s="87"/>
      <c r="G138" s="87"/>
      <c r="H138" s="87"/>
      <c r="I138" s="87"/>
      <c r="J138" s="87"/>
      <c r="K138" s="87"/>
      <c r="L138" s="87"/>
      <c r="M138" s="87"/>
      <c r="N138" s="87"/>
      <c r="O138" s="87"/>
      <c r="P138" s="87"/>
      <c r="Q138" s="87"/>
      <c r="R138" s="87"/>
      <c r="S138" s="87"/>
      <c r="T138" s="200"/>
      <c r="U138" s="195"/>
      <c r="V138" s="89"/>
      <c r="W138" s="89"/>
      <c r="X138" s="89"/>
      <c r="Y138" s="89"/>
      <c r="Z138" s="89"/>
      <c r="AA138" s="89"/>
      <c r="AB138" s="89"/>
      <c r="AC138" s="89"/>
      <c r="AD138" s="89"/>
      <c r="AE138" s="89"/>
      <c r="AF138" s="89"/>
      <c r="AG138" s="89"/>
      <c r="AH138" s="89"/>
      <c r="AI138" s="89"/>
      <c r="AJ138" s="89"/>
      <c r="AK138" s="89"/>
      <c r="AL138" s="89"/>
      <c r="AM138" s="89"/>
      <c r="AN138" s="196"/>
      <c r="AO138" s="89"/>
      <c r="AP138" s="89"/>
      <c r="AQ138" s="89"/>
      <c r="AR138" s="89"/>
      <c r="AS138" s="89"/>
      <c r="AT138" s="89"/>
      <c r="AU138" s="89"/>
      <c r="AV138" s="89"/>
      <c r="AW138" s="89"/>
      <c r="AX138" s="89"/>
      <c r="AY138" s="89"/>
      <c r="AZ138" s="89"/>
      <c r="BA138" s="89"/>
      <c r="BB138" s="89"/>
      <c r="BC138" s="89"/>
      <c r="BD138" s="89"/>
      <c r="BE138" s="89"/>
      <c r="BF138" s="89"/>
      <c r="BG138" s="89"/>
      <c r="BH138" s="90"/>
    </row>
    <row r="139" spans="1:60" ht="15.75" customHeight="1">
      <c r="A139" s="164"/>
      <c r="C139" s="87"/>
      <c r="D139" s="87"/>
      <c r="E139" s="87"/>
      <c r="F139" s="87"/>
      <c r="G139" s="87"/>
      <c r="H139" s="87"/>
      <c r="I139" s="87"/>
      <c r="J139" s="87"/>
      <c r="K139" s="87"/>
      <c r="L139" s="87"/>
      <c r="M139" s="87"/>
      <c r="N139" s="87"/>
      <c r="O139" s="87"/>
      <c r="P139" s="87"/>
      <c r="Q139" s="87"/>
      <c r="R139" s="87"/>
      <c r="S139" s="87"/>
      <c r="T139" s="200"/>
      <c r="U139" s="195"/>
      <c r="V139" s="89"/>
      <c r="W139" s="87"/>
      <c r="X139" s="87"/>
      <c r="Y139" s="87"/>
      <c r="Z139" s="87"/>
      <c r="AA139" s="87"/>
      <c r="AB139" s="87"/>
      <c r="AC139" s="87"/>
      <c r="AD139" s="87"/>
      <c r="AE139" s="87"/>
      <c r="AF139" s="87"/>
      <c r="AG139" s="87"/>
      <c r="AH139" s="87"/>
      <c r="AI139" s="87"/>
      <c r="AJ139" s="87"/>
      <c r="AK139" s="87"/>
      <c r="AL139" s="87"/>
      <c r="AM139" s="87"/>
      <c r="AN139" s="200"/>
      <c r="AO139" s="919" t="s">
        <v>367</v>
      </c>
      <c r="AP139" s="919"/>
      <c r="AQ139" s="919"/>
      <c r="AR139" s="919"/>
      <c r="AS139" s="919"/>
      <c r="AT139" s="919"/>
      <c r="AU139" s="919"/>
      <c r="AV139" s="919"/>
      <c r="AW139" s="919"/>
      <c r="AX139" s="919"/>
      <c r="AY139" s="919"/>
      <c r="AZ139" s="919"/>
      <c r="BA139" s="919"/>
      <c r="BB139" s="919"/>
      <c r="BC139" s="919"/>
      <c r="BD139" s="919"/>
      <c r="BE139" s="919"/>
      <c r="BF139" s="919"/>
      <c r="BG139" s="919"/>
      <c r="BH139" s="945"/>
    </row>
    <row r="140" spans="1:60" ht="15.75" customHeight="1">
      <c r="A140" s="164"/>
      <c r="T140" s="163"/>
      <c r="U140" s="195"/>
      <c r="V140" s="89"/>
      <c r="W140" s="89"/>
      <c r="X140" s="89"/>
      <c r="Y140" s="89"/>
      <c r="Z140" s="89"/>
      <c r="AA140" s="89"/>
      <c r="AB140" s="89"/>
      <c r="AC140" s="89"/>
      <c r="AD140" s="89"/>
      <c r="AE140" s="89"/>
      <c r="AF140" s="89"/>
      <c r="AG140" s="89"/>
      <c r="AH140" s="89"/>
      <c r="AI140" s="89"/>
      <c r="AJ140" s="89"/>
      <c r="AK140" s="89"/>
      <c r="AL140" s="89"/>
      <c r="AM140" s="89"/>
      <c r="AN140" s="196"/>
      <c r="AO140" s="919"/>
      <c r="AP140" s="919"/>
      <c r="AQ140" s="919"/>
      <c r="AR140" s="919"/>
      <c r="AS140" s="919"/>
      <c r="AT140" s="919"/>
      <c r="AU140" s="919"/>
      <c r="AV140" s="919"/>
      <c r="AW140" s="919"/>
      <c r="AX140" s="919"/>
      <c r="AY140" s="919"/>
      <c r="AZ140" s="919"/>
      <c r="BA140" s="919"/>
      <c r="BB140" s="919"/>
      <c r="BC140" s="919"/>
      <c r="BD140" s="919"/>
      <c r="BE140" s="919"/>
      <c r="BF140" s="919"/>
      <c r="BG140" s="919"/>
      <c r="BH140" s="945"/>
    </row>
    <row r="141" spans="1:60" ht="15.75" customHeight="1">
      <c r="A141" s="195" t="s">
        <v>1011</v>
      </c>
      <c r="B141" s="89"/>
      <c r="C141" s="89"/>
      <c r="D141" s="315"/>
      <c r="E141" s="315"/>
      <c r="F141" s="315"/>
      <c r="G141" s="315"/>
      <c r="H141" s="315"/>
      <c r="I141" s="315"/>
      <c r="J141" s="315"/>
      <c r="K141" s="89" t="s">
        <v>1012</v>
      </c>
      <c r="L141" s="89"/>
      <c r="M141" s="89"/>
      <c r="N141" s="315"/>
      <c r="O141" s="315"/>
      <c r="P141" s="315"/>
      <c r="Q141" s="315"/>
      <c r="R141" s="315"/>
      <c r="S141" s="315"/>
      <c r="T141" s="324"/>
      <c r="U141" s="164"/>
      <c r="V141" s="323"/>
      <c r="W141" s="87"/>
      <c r="X141" s="87"/>
      <c r="Y141" s="87"/>
      <c r="Z141" s="87"/>
      <c r="AA141" s="87"/>
      <c r="AB141" s="87"/>
      <c r="AC141" s="87"/>
      <c r="AD141" s="87"/>
      <c r="AE141" s="87"/>
      <c r="AF141" s="87"/>
      <c r="AG141" s="87"/>
      <c r="AH141" s="87"/>
      <c r="AI141" s="87"/>
      <c r="AJ141" s="87"/>
      <c r="AK141" s="87"/>
      <c r="AL141" s="87"/>
      <c r="AM141" s="87"/>
      <c r="AN141" s="200"/>
      <c r="AO141" s="919"/>
      <c r="AP141" s="919"/>
      <c r="AQ141" s="919"/>
      <c r="AR141" s="919"/>
      <c r="AS141" s="919"/>
      <c r="AT141" s="919"/>
      <c r="AU141" s="919"/>
      <c r="AV141" s="919"/>
      <c r="AW141" s="919"/>
      <c r="AX141" s="919"/>
      <c r="AY141" s="919"/>
      <c r="AZ141" s="919"/>
      <c r="BA141" s="919"/>
      <c r="BB141" s="919"/>
      <c r="BC141" s="919"/>
      <c r="BD141" s="919"/>
      <c r="BE141" s="919"/>
      <c r="BF141" s="919"/>
      <c r="BG141" s="919"/>
      <c r="BH141" s="945"/>
    </row>
    <row r="142" spans="1:60" ht="15.75" customHeight="1">
      <c r="A142" s="164"/>
      <c r="T142" s="163"/>
      <c r="U142" s="334"/>
      <c r="V142" s="323"/>
      <c r="W142" s="323"/>
      <c r="X142" s="323"/>
      <c r="Y142" s="323"/>
      <c r="Z142" s="323"/>
      <c r="AA142" s="323"/>
      <c r="AB142" s="323"/>
      <c r="AC142" s="323"/>
      <c r="AD142" s="323"/>
      <c r="AE142" s="323"/>
      <c r="AF142" s="323"/>
      <c r="AG142" s="323"/>
      <c r="AH142" s="323"/>
      <c r="AI142" s="323"/>
      <c r="AJ142" s="323"/>
      <c r="AK142" s="323"/>
      <c r="AL142" s="323"/>
      <c r="AM142" s="323"/>
      <c r="AN142" s="335"/>
      <c r="AO142" s="89"/>
      <c r="AP142" s="89"/>
      <c r="AQ142" s="89"/>
      <c r="AR142" s="89"/>
      <c r="AS142" s="89"/>
      <c r="AT142" s="89"/>
      <c r="AU142" s="89"/>
      <c r="AV142" s="89"/>
      <c r="AW142" s="89"/>
      <c r="AX142" s="89"/>
      <c r="AY142" s="89"/>
      <c r="AZ142" s="89"/>
      <c r="BA142" s="89"/>
      <c r="BB142" s="89"/>
      <c r="BC142" s="89"/>
      <c r="BD142" s="89"/>
      <c r="BE142" s="89"/>
      <c r="BF142" s="89"/>
      <c r="BG142" s="89"/>
      <c r="BH142" s="90"/>
    </row>
    <row r="143" spans="1:60" ht="15.75" customHeight="1">
      <c r="A143" s="195" t="s">
        <v>1013</v>
      </c>
      <c r="B143" s="89"/>
      <c r="C143" s="89"/>
      <c r="D143" s="315"/>
      <c r="E143" s="315"/>
      <c r="F143" s="315"/>
      <c r="G143" s="315"/>
      <c r="H143" s="315"/>
      <c r="I143" s="315"/>
      <c r="J143" s="315"/>
      <c r="K143" s="89" t="s">
        <v>1014</v>
      </c>
      <c r="L143" s="89"/>
      <c r="M143" s="89"/>
      <c r="N143" s="315"/>
      <c r="O143" s="315"/>
      <c r="P143" s="315"/>
      <c r="Q143" s="315"/>
      <c r="R143" s="315"/>
      <c r="S143" s="315"/>
      <c r="T143" s="324"/>
      <c r="U143" s="325"/>
      <c r="V143" s="326"/>
      <c r="W143" s="326"/>
      <c r="X143" s="326"/>
      <c r="Y143" s="326"/>
      <c r="Z143" s="326"/>
      <c r="AA143" s="326"/>
      <c r="AB143" s="326"/>
      <c r="AC143" s="326"/>
      <c r="AD143" s="326"/>
      <c r="AE143" s="326"/>
      <c r="AF143" s="326"/>
      <c r="AG143" s="326"/>
      <c r="AH143" s="326"/>
      <c r="AI143" s="326"/>
      <c r="AJ143" s="326"/>
      <c r="AK143" s="326"/>
      <c r="AL143" s="326"/>
      <c r="AM143" s="326"/>
      <c r="AN143" s="327"/>
      <c r="AO143" s="89" t="s">
        <v>362</v>
      </c>
      <c r="AP143" s="89"/>
      <c r="AQ143" s="89"/>
      <c r="AR143" s="89"/>
      <c r="AS143" s="89"/>
      <c r="AT143" s="89"/>
      <c r="AU143" s="89"/>
      <c r="AV143" s="89"/>
      <c r="AW143" s="89"/>
      <c r="AX143" s="89"/>
      <c r="AY143" s="89"/>
      <c r="AZ143" s="89"/>
      <c r="BA143" s="89"/>
      <c r="BB143" s="89"/>
      <c r="BC143" s="89"/>
      <c r="BD143" s="89"/>
      <c r="BE143" s="89"/>
      <c r="BF143" s="89"/>
      <c r="BG143" s="89"/>
      <c r="BH143" s="90"/>
    </row>
    <row r="144" spans="1:60" ht="15.75" customHeight="1">
      <c r="A144" s="164"/>
      <c r="T144" s="163"/>
      <c r="U144" s="918" t="s">
        <v>1028</v>
      </c>
      <c r="V144" s="919"/>
      <c r="W144" s="919"/>
      <c r="X144" s="919"/>
      <c r="Y144" s="919"/>
      <c r="Z144" s="919"/>
      <c r="AA144" s="919"/>
      <c r="AB144" s="919"/>
      <c r="AC144" s="919"/>
      <c r="AD144" s="919"/>
      <c r="AE144" s="919"/>
      <c r="AF144" s="919"/>
      <c r="AG144" s="919"/>
      <c r="AH144" s="919"/>
      <c r="AI144" s="919"/>
      <c r="AJ144" s="919"/>
      <c r="AK144" s="919"/>
      <c r="AL144" s="919"/>
      <c r="AM144" s="919"/>
      <c r="AN144" s="920"/>
      <c r="AO144" s="89"/>
      <c r="AP144" s="89"/>
      <c r="AQ144" s="89"/>
      <c r="AR144" s="89"/>
      <c r="AS144" s="89"/>
      <c r="AT144" s="89"/>
      <c r="AU144" s="89"/>
      <c r="AV144" s="89"/>
      <c r="AW144" s="89"/>
      <c r="AX144" s="89"/>
      <c r="AY144" s="89"/>
      <c r="AZ144" s="89"/>
      <c r="BA144" s="89"/>
      <c r="BB144" s="89"/>
      <c r="BC144" s="89"/>
      <c r="BD144" s="89"/>
      <c r="BE144" s="89"/>
      <c r="BF144" s="89"/>
      <c r="BG144" s="89"/>
      <c r="BH144" s="90"/>
    </row>
    <row r="145" spans="1:60" ht="15.75" customHeight="1">
      <c r="A145" s="325"/>
      <c r="B145" s="326"/>
      <c r="C145" s="326"/>
      <c r="D145" s="326"/>
      <c r="E145" s="326"/>
      <c r="F145" s="326"/>
      <c r="G145" s="326"/>
      <c r="H145" s="326"/>
      <c r="I145" s="326"/>
      <c r="J145" s="326"/>
      <c r="K145" s="326"/>
      <c r="L145" s="326"/>
      <c r="M145" s="326"/>
      <c r="N145" s="326"/>
      <c r="O145" s="326"/>
      <c r="P145" s="326"/>
      <c r="Q145" s="326"/>
      <c r="R145" s="326"/>
      <c r="S145" s="326"/>
      <c r="T145" s="327"/>
      <c r="U145" s="918"/>
      <c r="V145" s="919"/>
      <c r="W145" s="919"/>
      <c r="X145" s="919"/>
      <c r="Y145" s="919"/>
      <c r="Z145" s="919"/>
      <c r="AA145" s="919"/>
      <c r="AB145" s="919"/>
      <c r="AC145" s="919"/>
      <c r="AD145" s="919"/>
      <c r="AE145" s="919"/>
      <c r="AF145" s="919"/>
      <c r="AG145" s="919"/>
      <c r="AH145" s="919"/>
      <c r="AI145" s="919"/>
      <c r="AJ145" s="919"/>
      <c r="AK145" s="919"/>
      <c r="AL145" s="919"/>
      <c r="AM145" s="919"/>
      <c r="AN145" s="920"/>
      <c r="AO145" s="89"/>
      <c r="AP145" s="89"/>
      <c r="AQ145" s="89"/>
      <c r="AR145" s="89"/>
      <c r="AS145" s="89"/>
      <c r="AT145" s="89"/>
      <c r="AU145" s="89"/>
      <c r="AV145" s="89"/>
      <c r="AW145" s="89"/>
      <c r="AX145" s="89"/>
      <c r="AY145" s="89"/>
      <c r="AZ145" s="89"/>
      <c r="BA145" s="89"/>
      <c r="BB145" s="89"/>
      <c r="BC145" s="89"/>
      <c r="BD145" s="89"/>
      <c r="BE145" s="89"/>
      <c r="BF145" s="89"/>
      <c r="BG145" s="89"/>
      <c r="BH145" s="90"/>
    </row>
    <row r="146" spans="1:60" ht="15.75" customHeight="1">
      <c r="A146" s="935" t="s">
        <v>1030</v>
      </c>
      <c r="B146" s="936"/>
      <c r="C146" s="936"/>
      <c r="D146" s="936"/>
      <c r="E146" s="936"/>
      <c r="F146" s="936"/>
      <c r="G146" s="936"/>
      <c r="H146" s="936"/>
      <c r="I146" s="936"/>
      <c r="J146" s="936"/>
      <c r="K146" s="936"/>
      <c r="L146" s="936"/>
      <c r="M146" s="936"/>
      <c r="N146" s="936"/>
      <c r="O146" s="936"/>
      <c r="P146" s="936"/>
      <c r="Q146" s="936"/>
      <c r="R146" s="936"/>
      <c r="S146" s="936"/>
      <c r="T146" s="937"/>
      <c r="U146" s="918"/>
      <c r="V146" s="919"/>
      <c r="W146" s="919"/>
      <c r="X146" s="919"/>
      <c r="Y146" s="919"/>
      <c r="Z146" s="919"/>
      <c r="AA146" s="919"/>
      <c r="AB146" s="919"/>
      <c r="AC146" s="919"/>
      <c r="AD146" s="919"/>
      <c r="AE146" s="919"/>
      <c r="AF146" s="919"/>
      <c r="AG146" s="919"/>
      <c r="AH146" s="919"/>
      <c r="AI146" s="919"/>
      <c r="AJ146" s="919"/>
      <c r="AK146" s="919"/>
      <c r="AL146" s="919"/>
      <c r="AM146" s="919"/>
      <c r="AN146" s="920"/>
      <c r="AO146" s="89"/>
      <c r="AP146" s="89"/>
      <c r="AQ146" s="89"/>
      <c r="AR146" s="89"/>
      <c r="AS146" s="89"/>
      <c r="AT146" s="89"/>
      <c r="AU146" s="89"/>
      <c r="AV146" s="89"/>
      <c r="AW146" s="89"/>
      <c r="AX146" s="89"/>
      <c r="AY146" s="89"/>
      <c r="AZ146" s="89"/>
      <c r="BA146" s="89"/>
      <c r="BB146" s="89"/>
      <c r="BC146" s="89"/>
      <c r="BD146" s="89"/>
      <c r="BE146" s="89"/>
      <c r="BF146" s="89"/>
      <c r="BG146" s="89"/>
      <c r="BH146" s="90"/>
    </row>
    <row r="147" spans="1:60" ht="15.75" customHeight="1">
      <c r="A147" s="195"/>
      <c r="B147" s="89"/>
      <c r="C147" s="89"/>
      <c r="D147" s="89"/>
      <c r="E147" s="89"/>
      <c r="F147" s="89"/>
      <c r="G147" s="89"/>
      <c r="H147" s="89"/>
      <c r="I147" s="89"/>
      <c r="J147" s="89"/>
      <c r="K147" s="89"/>
      <c r="L147" s="89"/>
      <c r="M147" s="89"/>
      <c r="N147" s="89"/>
      <c r="O147" s="89"/>
      <c r="P147" s="89"/>
      <c r="Q147" s="89"/>
      <c r="R147" s="89"/>
      <c r="S147" s="89"/>
      <c r="T147" s="196"/>
      <c r="U147" s="195"/>
      <c r="V147" s="89"/>
      <c r="W147" s="89"/>
      <c r="X147" s="89"/>
      <c r="Y147" s="89"/>
      <c r="Z147" s="89"/>
      <c r="AA147" s="89"/>
      <c r="AB147" s="89"/>
      <c r="AC147" s="89"/>
      <c r="AD147" s="89"/>
      <c r="AE147" s="89"/>
      <c r="AF147" s="89"/>
      <c r="AG147" s="89"/>
      <c r="AH147" s="89"/>
      <c r="AI147" s="89"/>
      <c r="AJ147" s="89"/>
      <c r="AK147" s="89"/>
      <c r="AL147" s="89"/>
      <c r="AM147" s="89"/>
      <c r="AN147" s="196"/>
      <c r="AO147" s="87"/>
      <c r="AP147" s="87"/>
      <c r="AQ147" s="87"/>
      <c r="AR147" s="87"/>
      <c r="AS147" s="87"/>
      <c r="AT147" s="87"/>
      <c r="AU147" s="87"/>
      <c r="AV147" s="89"/>
      <c r="AW147" s="89"/>
      <c r="AX147" s="89"/>
      <c r="AY147" s="89"/>
      <c r="AZ147" s="89"/>
      <c r="BA147" s="87"/>
      <c r="BB147" s="87"/>
      <c r="BC147" s="87"/>
      <c r="BD147" s="87"/>
      <c r="BE147" s="87"/>
      <c r="BF147" s="87"/>
      <c r="BG147" s="89"/>
      <c r="BH147" s="90"/>
    </row>
    <row r="148" spans="1:60" ht="15.75" customHeight="1">
      <c r="A148" s="195" t="s">
        <v>362</v>
      </c>
      <c r="B148" s="89"/>
      <c r="C148" s="89"/>
      <c r="D148" s="89"/>
      <c r="E148" s="89"/>
      <c r="F148" s="89"/>
      <c r="G148" s="89"/>
      <c r="H148" s="89"/>
      <c r="I148" s="89"/>
      <c r="J148" s="89"/>
      <c r="K148" s="89"/>
      <c r="L148" s="89"/>
      <c r="M148" s="89"/>
      <c r="N148" s="89"/>
      <c r="O148" s="89"/>
      <c r="P148" s="89"/>
      <c r="Q148" s="89"/>
      <c r="R148" s="89"/>
      <c r="S148" s="89"/>
      <c r="T148" s="196"/>
      <c r="U148" s="195" t="s">
        <v>362</v>
      </c>
      <c r="V148" s="89"/>
      <c r="W148" s="89"/>
      <c r="X148" s="89"/>
      <c r="Y148" s="89"/>
      <c r="Z148" s="89"/>
      <c r="AA148" s="89"/>
      <c r="AB148" s="89"/>
      <c r="AC148" s="89"/>
      <c r="AD148" s="89"/>
      <c r="AE148" s="89"/>
      <c r="AF148" s="89"/>
      <c r="AG148" s="89"/>
      <c r="AH148" s="89"/>
      <c r="AI148" s="89"/>
      <c r="AJ148" s="89"/>
      <c r="AK148" s="89"/>
      <c r="AL148" s="89"/>
      <c r="AM148" s="89"/>
      <c r="AN148" s="196"/>
      <c r="AO148" s="94"/>
      <c r="AP148" s="94"/>
      <c r="AQ148" s="12" t="s">
        <v>363</v>
      </c>
      <c r="AR148" s="94"/>
      <c r="AS148" s="94"/>
      <c r="AT148" s="94"/>
      <c r="AU148" s="94"/>
      <c r="AV148" s="94"/>
      <c r="AW148" s="94"/>
      <c r="AX148" s="94"/>
      <c r="AY148" s="94"/>
      <c r="AZ148" s="94"/>
      <c r="BA148" s="94"/>
      <c r="BB148" s="94"/>
      <c r="BC148" s="12" t="s">
        <v>364</v>
      </c>
      <c r="BD148" s="94"/>
      <c r="BE148" s="94"/>
      <c r="BF148" s="94"/>
      <c r="BG148" s="94"/>
      <c r="BH148" s="95"/>
    </row>
    <row r="149" spans="1:60" ht="15.75" customHeight="1">
      <c r="A149" s="164"/>
      <c r="T149" s="163"/>
      <c r="U149" s="164"/>
      <c r="AN149" s="163"/>
    </row>
    <row r="150" spans="1:60" ht="15.75" customHeight="1">
      <c r="A150" s="195"/>
      <c r="B150" s="89"/>
      <c r="C150" s="89"/>
      <c r="D150" s="89"/>
      <c r="E150" s="89"/>
      <c r="F150" s="89"/>
      <c r="G150" s="89"/>
      <c r="H150" s="89"/>
      <c r="I150" s="89"/>
      <c r="J150" s="89"/>
      <c r="K150" s="89"/>
      <c r="L150" s="89"/>
      <c r="M150" s="89"/>
      <c r="N150" s="89"/>
      <c r="O150" s="89"/>
      <c r="P150" s="89"/>
      <c r="Q150" s="89"/>
      <c r="R150" s="89"/>
      <c r="S150" s="89"/>
      <c r="T150" s="196"/>
      <c r="U150" s="195"/>
      <c r="V150" s="89"/>
      <c r="W150" s="89"/>
      <c r="X150" s="89"/>
      <c r="Y150" s="89"/>
      <c r="Z150" s="89"/>
      <c r="AA150" s="89"/>
      <c r="AB150" s="89"/>
      <c r="AC150" s="89"/>
      <c r="AD150" s="89"/>
      <c r="AE150" s="89"/>
      <c r="AF150" s="89"/>
      <c r="AG150" s="89"/>
      <c r="AH150" s="89"/>
      <c r="AI150" s="89"/>
      <c r="AJ150" s="89"/>
      <c r="AK150" s="89"/>
      <c r="AL150" s="89"/>
      <c r="AM150" s="89"/>
      <c r="AN150" s="196"/>
    </row>
    <row r="151" spans="1:60" ht="15.75" customHeight="1">
      <c r="A151" s="195"/>
      <c r="B151" s="89"/>
      <c r="C151" s="89"/>
      <c r="D151" s="89"/>
      <c r="E151" s="89"/>
      <c r="F151" s="89"/>
      <c r="G151" s="89"/>
      <c r="H151" s="89"/>
      <c r="I151" s="89"/>
      <c r="J151" s="89"/>
      <c r="K151" s="89"/>
      <c r="L151" s="89"/>
      <c r="M151" s="89"/>
      <c r="N151" s="89"/>
      <c r="O151" s="89"/>
      <c r="P151" s="89"/>
      <c r="Q151" s="89"/>
      <c r="R151" s="89"/>
      <c r="S151" s="89"/>
      <c r="T151" s="196"/>
      <c r="U151" s="195"/>
      <c r="V151" s="89"/>
      <c r="W151" s="89"/>
      <c r="X151" s="89"/>
      <c r="Y151" s="89"/>
      <c r="Z151" s="89"/>
      <c r="AA151" s="89"/>
      <c r="AB151" s="89"/>
      <c r="AC151" s="89"/>
      <c r="AD151" s="89"/>
      <c r="AE151" s="89"/>
      <c r="AF151" s="89"/>
      <c r="AG151" s="89"/>
      <c r="AH151" s="89"/>
      <c r="AI151" s="89"/>
      <c r="AJ151" s="89"/>
      <c r="AK151" s="89"/>
      <c r="AL151" s="89"/>
      <c r="AM151" s="89"/>
      <c r="AN151" s="196"/>
    </row>
    <row r="152" spans="1:60" ht="15.75" customHeight="1">
      <c r="A152" s="201"/>
      <c r="B152" s="87"/>
      <c r="C152" s="87"/>
      <c r="D152" s="87"/>
      <c r="E152" s="87"/>
      <c r="F152" s="87"/>
      <c r="G152" s="87"/>
      <c r="H152" s="89"/>
      <c r="I152" s="89"/>
      <c r="J152" s="89"/>
      <c r="K152" s="89"/>
      <c r="L152" s="89"/>
      <c r="M152" s="87"/>
      <c r="N152" s="87"/>
      <c r="O152" s="87"/>
      <c r="P152" s="87"/>
      <c r="Q152" s="87"/>
      <c r="R152" s="87"/>
      <c r="S152" s="89"/>
      <c r="T152" s="196"/>
      <c r="U152" s="201"/>
      <c r="V152" s="87"/>
      <c r="W152" s="87"/>
      <c r="X152" s="87"/>
      <c r="Y152" s="87"/>
      <c r="Z152" s="87"/>
      <c r="AA152" s="87"/>
      <c r="AB152" s="89"/>
      <c r="AC152" s="89"/>
      <c r="AD152" s="89"/>
      <c r="AE152" s="89"/>
      <c r="AF152" s="89"/>
      <c r="AG152" s="87"/>
      <c r="AH152" s="87"/>
      <c r="AI152" s="87"/>
      <c r="AJ152" s="87"/>
      <c r="AK152" s="87"/>
      <c r="AL152" s="87"/>
      <c r="AM152" s="89"/>
      <c r="AN152" s="196"/>
    </row>
    <row r="153" spans="1:60" ht="15.75" customHeight="1" thickBot="1">
      <c r="A153" s="202"/>
      <c r="B153" s="203"/>
      <c r="C153" s="204" t="s">
        <v>363</v>
      </c>
      <c r="D153" s="203"/>
      <c r="E153" s="203"/>
      <c r="F153" s="203"/>
      <c r="G153" s="203"/>
      <c r="H153" s="203"/>
      <c r="I153" s="203"/>
      <c r="J153" s="203"/>
      <c r="K153" s="203"/>
      <c r="L153" s="203"/>
      <c r="M153" s="203"/>
      <c r="N153" s="203"/>
      <c r="O153" s="204" t="s">
        <v>364</v>
      </c>
      <c r="P153" s="203"/>
      <c r="Q153" s="203"/>
      <c r="R153" s="203"/>
      <c r="S153" s="203"/>
      <c r="T153" s="205"/>
      <c r="U153" s="202"/>
      <c r="V153" s="203"/>
      <c r="W153" s="204" t="s">
        <v>363</v>
      </c>
      <c r="X153" s="203"/>
      <c r="Y153" s="203"/>
      <c r="Z153" s="203"/>
      <c r="AA153" s="203"/>
      <c r="AB153" s="203"/>
      <c r="AC153" s="203"/>
      <c r="AD153" s="203"/>
      <c r="AE153" s="203"/>
      <c r="AF153" s="203"/>
      <c r="AG153" s="203"/>
      <c r="AH153" s="203"/>
      <c r="AI153" s="204" t="s">
        <v>364</v>
      </c>
      <c r="AJ153" s="203"/>
      <c r="AK153" s="203"/>
      <c r="AL153" s="203"/>
      <c r="AM153" s="203"/>
      <c r="AN153" s="205"/>
    </row>
    <row r="154" spans="1:60" ht="15.75" customHeight="1">
      <c r="U154" s="101" t="s">
        <v>433</v>
      </c>
      <c r="V154" s="101"/>
      <c r="W154" s="101"/>
      <c r="X154" s="101"/>
      <c r="Y154" s="101"/>
      <c r="Z154" s="101"/>
      <c r="AA154" s="101"/>
      <c r="AB154" s="101"/>
      <c r="AC154" s="101"/>
      <c r="AD154" s="101"/>
      <c r="AE154" s="101"/>
      <c r="AF154" s="101"/>
      <c r="AG154" s="101"/>
      <c r="AH154" s="101"/>
      <c r="AI154" s="101"/>
      <c r="AJ154" s="101"/>
      <c r="AK154" s="101"/>
      <c r="AL154" s="101"/>
      <c r="AM154" s="101"/>
      <c r="AN154" s="101"/>
    </row>
    <row r="155" spans="1:60" ht="15.75" customHeight="1"/>
    <row r="156" spans="1:60" ht="15.75" customHeight="1">
      <c r="U156" s="101" t="s">
        <v>433</v>
      </c>
      <c r="V156" s="101"/>
      <c r="W156" s="101"/>
      <c r="X156" s="101"/>
      <c r="Y156" s="101"/>
      <c r="Z156" s="101"/>
      <c r="AA156" s="101"/>
      <c r="AB156" s="101"/>
      <c r="AC156" s="101"/>
      <c r="AD156" s="101"/>
      <c r="AE156" s="101"/>
      <c r="AF156" s="101"/>
      <c r="AG156" s="101"/>
      <c r="AH156" s="101"/>
      <c r="AI156" s="101"/>
      <c r="AJ156" s="101"/>
      <c r="AK156" s="101"/>
      <c r="AL156" s="101"/>
      <c r="AM156" s="101"/>
      <c r="AN156" s="101"/>
    </row>
    <row r="157" spans="1:60" ht="15.75" customHeight="1">
      <c r="U157" s="101"/>
      <c r="V157" s="101"/>
      <c r="W157" s="101"/>
      <c r="X157" s="101"/>
      <c r="Y157" s="101"/>
      <c r="Z157" s="101"/>
      <c r="AA157" s="101"/>
      <c r="AB157" s="101"/>
      <c r="AC157" s="101"/>
      <c r="AD157" s="101"/>
      <c r="AE157" s="101"/>
      <c r="AF157" s="101"/>
      <c r="AG157" s="101"/>
      <c r="AH157" s="101"/>
      <c r="AI157" s="101"/>
      <c r="AJ157" s="101"/>
      <c r="AK157" s="101"/>
      <c r="AL157" s="101"/>
      <c r="AM157" s="101"/>
      <c r="AN157" s="101"/>
    </row>
    <row r="158" spans="1:60" ht="15.75" customHeight="1">
      <c r="U158" s="101"/>
      <c r="V158" s="101"/>
      <c r="W158" s="101"/>
      <c r="X158" s="101"/>
      <c r="Y158" s="101"/>
      <c r="Z158" s="101"/>
      <c r="AA158" s="101"/>
      <c r="AB158" s="101"/>
      <c r="AC158" s="101"/>
      <c r="AD158" s="101"/>
      <c r="AE158" s="101"/>
      <c r="AF158" s="101"/>
      <c r="AG158" s="101"/>
      <c r="AH158" s="101"/>
      <c r="AI158" s="101"/>
      <c r="AJ158" s="101"/>
      <c r="AK158" s="101"/>
      <c r="AL158" s="101"/>
      <c r="AM158" s="101"/>
      <c r="AN158" s="101"/>
    </row>
    <row r="159" spans="1:60" ht="15.75" customHeight="1">
      <c r="U159" s="101"/>
      <c r="V159" s="101"/>
      <c r="W159" s="101"/>
      <c r="X159" s="101"/>
      <c r="Y159" s="101"/>
      <c r="Z159" s="101"/>
      <c r="AA159" s="101"/>
      <c r="AB159" s="101"/>
      <c r="AC159" s="101"/>
      <c r="AD159" s="101"/>
      <c r="AE159" s="101"/>
      <c r="AF159" s="101"/>
      <c r="AG159" s="101"/>
      <c r="AH159" s="101"/>
      <c r="AI159" s="101"/>
      <c r="AJ159" s="101"/>
      <c r="AK159" s="101"/>
      <c r="AL159" s="101"/>
      <c r="AM159" s="101"/>
      <c r="AN159" s="101"/>
    </row>
    <row r="160" spans="1:60" ht="15.75" customHeight="1">
      <c r="U160" s="101"/>
      <c r="V160" s="101"/>
      <c r="W160" s="101"/>
      <c r="X160" s="101"/>
      <c r="Y160" s="101"/>
      <c r="Z160" s="101"/>
      <c r="AA160" s="101"/>
      <c r="AB160" s="101"/>
      <c r="AC160" s="101"/>
      <c r="AD160" s="101"/>
      <c r="AE160" s="101"/>
      <c r="AF160" s="101"/>
      <c r="AG160" s="101"/>
      <c r="AH160" s="101"/>
      <c r="AI160" s="101"/>
      <c r="AJ160" s="101"/>
      <c r="AK160" s="101"/>
      <c r="AL160" s="101"/>
      <c r="AM160" s="101"/>
      <c r="AN160" s="101"/>
    </row>
    <row r="161" spans="21:40" ht="15.75" customHeight="1">
      <c r="U161" s="101"/>
      <c r="V161" s="101"/>
      <c r="W161" s="101"/>
      <c r="X161" s="101"/>
      <c r="Y161" s="101"/>
      <c r="Z161" s="101"/>
      <c r="AA161" s="101"/>
      <c r="AB161" s="101"/>
      <c r="AC161" s="101"/>
      <c r="AD161" s="101"/>
      <c r="AE161" s="101"/>
      <c r="AF161" s="101"/>
      <c r="AG161" s="101"/>
      <c r="AH161" s="101"/>
      <c r="AI161" s="101"/>
      <c r="AJ161" s="101"/>
      <c r="AK161" s="101"/>
      <c r="AL161" s="101"/>
      <c r="AM161" s="101"/>
      <c r="AN161" s="101"/>
    </row>
    <row r="162" spans="21:40" ht="15.75" customHeight="1">
      <c r="U162" s="101"/>
      <c r="V162" s="101"/>
      <c r="W162" s="101"/>
      <c r="X162" s="101"/>
      <c r="Y162" s="101"/>
      <c r="Z162" s="101"/>
      <c r="AA162" s="101"/>
      <c r="AB162" s="101"/>
      <c r="AC162" s="101"/>
      <c r="AD162" s="101"/>
      <c r="AE162" s="101"/>
      <c r="AF162" s="101"/>
      <c r="AG162" s="101"/>
      <c r="AH162" s="101"/>
      <c r="AI162" s="101"/>
      <c r="AJ162" s="101"/>
      <c r="AK162" s="101"/>
      <c r="AL162" s="101"/>
      <c r="AM162" s="101"/>
      <c r="AN162" s="101"/>
    </row>
    <row r="163" spans="21:40" ht="15.75" customHeight="1">
      <c r="U163" s="101"/>
      <c r="V163" s="101"/>
      <c r="W163" s="101"/>
      <c r="X163" s="101"/>
      <c r="Y163" s="101"/>
      <c r="Z163" s="101"/>
      <c r="AA163" s="101"/>
      <c r="AB163" s="101"/>
      <c r="AC163" s="101"/>
      <c r="AD163" s="101"/>
      <c r="AE163" s="101"/>
      <c r="AF163" s="101"/>
      <c r="AG163" s="101"/>
      <c r="AH163" s="101"/>
      <c r="AI163" s="101"/>
      <c r="AJ163" s="101"/>
      <c r="AK163" s="101"/>
      <c r="AL163" s="101"/>
      <c r="AM163" s="101"/>
      <c r="AN163" s="101"/>
    </row>
    <row r="164" spans="21:40" ht="15.75" customHeight="1">
      <c r="U164" s="101"/>
      <c r="V164" s="101"/>
      <c r="W164" s="101"/>
      <c r="X164" s="101"/>
      <c r="Y164" s="101"/>
      <c r="Z164" s="101"/>
      <c r="AA164" s="101"/>
      <c r="AB164" s="101"/>
      <c r="AC164" s="101"/>
      <c r="AD164" s="101"/>
      <c r="AE164" s="101"/>
      <c r="AF164" s="101"/>
      <c r="AG164" s="101"/>
      <c r="AH164" s="101"/>
      <c r="AI164" s="101"/>
      <c r="AJ164" s="101"/>
      <c r="AK164" s="101"/>
      <c r="AL164" s="101"/>
      <c r="AM164" s="101"/>
      <c r="AN164" s="101"/>
    </row>
    <row r="165" spans="21:40" ht="15.75" customHeight="1">
      <c r="U165" s="101"/>
      <c r="V165" s="101"/>
      <c r="W165" s="101"/>
      <c r="X165" s="101"/>
      <c r="Y165" s="101"/>
      <c r="Z165" s="101"/>
      <c r="AA165" s="101"/>
      <c r="AB165" s="101"/>
      <c r="AC165" s="101"/>
      <c r="AD165" s="101"/>
      <c r="AE165" s="101"/>
      <c r="AF165" s="101"/>
      <c r="AG165" s="101"/>
      <c r="AH165" s="101"/>
      <c r="AI165" s="101"/>
      <c r="AJ165" s="101"/>
      <c r="AK165" s="101"/>
      <c r="AL165" s="101"/>
      <c r="AM165" s="101"/>
      <c r="AN165" s="101"/>
    </row>
    <row r="166" spans="21:40" ht="15.75" customHeight="1">
      <c r="U166" s="101"/>
      <c r="V166" s="101"/>
      <c r="W166" s="101"/>
      <c r="X166" s="101"/>
      <c r="Y166" s="101"/>
      <c r="Z166" s="101"/>
      <c r="AA166" s="101"/>
      <c r="AB166" s="101"/>
      <c r="AC166" s="101"/>
      <c r="AD166" s="101"/>
      <c r="AE166" s="101"/>
      <c r="AF166" s="101"/>
      <c r="AG166" s="101"/>
      <c r="AH166" s="101"/>
      <c r="AI166" s="101"/>
      <c r="AJ166" s="101"/>
      <c r="AK166" s="101"/>
      <c r="AL166" s="101"/>
      <c r="AM166" s="101"/>
      <c r="AN166" s="101"/>
    </row>
    <row r="167" spans="21:40" ht="15.75" customHeight="1">
      <c r="U167" s="101"/>
      <c r="V167" s="101"/>
      <c r="W167" s="101"/>
      <c r="X167" s="101"/>
      <c r="Y167" s="101"/>
      <c r="Z167" s="101"/>
      <c r="AA167" s="101"/>
      <c r="AB167" s="101"/>
      <c r="AC167" s="101"/>
      <c r="AD167" s="101"/>
      <c r="AE167" s="101"/>
      <c r="AF167" s="101"/>
      <c r="AG167" s="101"/>
      <c r="AH167" s="101"/>
      <c r="AI167" s="101"/>
      <c r="AJ167" s="101"/>
      <c r="AK167" s="101"/>
      <c r="AL167" s="101"/>
      <c r="AM167" s="101"/>
      <c r="AN167" s="101"/>
    </row>
    <row r="168" spans="21:40" ht="15.75" customHeight="1">
      <c r="U168" s="101"/>
      <c r="V168" s="101"/>
      <c r="W168" s="101"/>
      <c r="X168" s="101"/>
      <c r="Y168" s="101"/>
      <c r="Z168" s="101"/>
      <c r="AA168" s="101"/>
      <c r="AB168" s="101"/>
      <c r="AC168" s="101"/>
      <c r="AD168" s="101"/>
      <c r="AE168" s="101"/>
      <c r="AF168" s="101"/>
      <c r="AG168" s="101"/>
      <c r="AH168" s="101"/>
      <c r="AI168" s="101"/>
      <c r="AJ168" s="101"/>
      <c r="AK168" s="101"/>
      <c r="AL168" s="101"/>
      <c r="AM168" s="101"/>
      <c r="AN168" s="101"/>
    </row>
    <row r="169" spans="21:40" ht="15.75" customHeight="1">
      <c r="U169" s="101"/>
      <c r="V169" s="101"/>
      <c r="W169" s="101"/>
      <c r="X169" s="101"/>
      <c r="Y169" s="101"/>
      <c r="Z169" s="101"/>
      <c r="AA169" s="101"/>
      <c r="AB169" s="101"/>
      <c r="AC169" s="101"/>
      <c r="AD169" s="101"/>
      <c r="AE169" s="101"/>
      <c r="AF169" s="101"/>
      <c r="AG169" s="101"/>
      <c r="AH169" s="101"/>
      <c r="AI169" s="101"/>
      <c r="AJ169" s="101"/>
      <c r="AK169" s="101"/>
      <c r="AL169" s="101"/>
      <c r="AM169" s="101"/>
      <c r="AN169" s="101"/>
    </row>
    <row r="170" spans="21:40" ht="15.75" customHeight="1">
      <c r="U170" s="101"/>
      <c r="V170" s="101"/>
      <c r="W170" s="101"/>
      <c r="X170" s="101"/>
      <c r="Y170" s="101"/>
      <c r="Z170" s="101"/>
      <c r="AA170" s="101"/>
      <c r="AB170" s="101"/>
      <c r="AC170" s="101"/>
      <c r="AD170" s="101"/>
      <c r="AE170" s="101"/>
      <c r="AF170" s="101"/>
      <c r="AG170" s="101"/>
      <c r="AH170" s="101"/>
      <c r="AI170" s="101"/>
      <c r="AJ170" s="101"/>
      <c r="AK170" s="101"/>
      <c r="AL170" s="101"/>
      <c r="AM170" s="101"/>
      <c r="AN170" s="101"/>
    </row>
    <row r="171" spans="21:40" ht="15.75" customHeight="1">
      <c r="U171" s="101"/>
      <c r="V171" s="101"/>
      <c r="W171" s="101"/>
      <c r="X171" s="101"/>
      <c r="Y171" s="101"/>
      <c r="Z171" s="101"/>
      <c r="AA171" s="101"/>
      <c r="AB171" s="101"/>
      <c r="AC171" s="101"/>
      <c r="AD171" s="101"/>
      <c r="AE171" s="101"/>
      <c r="AF171" s="101"/>
      <c r="AG171" s="101"/>
      <c r="AH171" s="101"/>
      <c r="AI171" s="101"/>
      <c r="AJ171" s="101"/>
      <c r="AK171" s="101"/>
      <c r="AL171" s="101"/>
      <c r="AM171" s="101"/>
      <c r="AN171" s="101"/>
    </row>
    <row r="172" spans="21:40" ht="15.75" customHeight="1">
      <c r="U172" s="101"/>
      <c r="V172" s="101"/>
      <c r="W172" s="101"/>
      <c r="X172" s="101"/>
      <c r="Y172" s="101"/>
      <c r="Z172" s="101"/>
      <c r="AA172" s="101"/>
      <c r="AB172" s="101"/>
      <c r="AC172" s="101"/>
      <c r="AD172" s="101"/>
      <c r="AE172" s="101"/>
      <c r="AF172" s="101"/>
      <c r="AG172" s="101"/>
      <c r="AH172" s="101"/>
      <c r="AI172" s="101"/>
      <c r="AJ172" s="101"/>
      <c r="AK172" s="101"/>
      <c r="AL172" s="101"/>
      <c r="AM172" s="101"/>
      <c r="AN172" s="101"/>
    </row>
    <row r="173" spans="21:40" ht="15.75" customHeight="1">
      <c r="U173" s="101"/>
      <c r="V173" s="101"/>
      <c r="W173" s="101"/>
      <c r="X173" s="101"/>
      <c r="Y173" s="101"/>
      <c r="Z173" s="101"/>
      <c r="AA173" s="101"/>
      <c r="AB173" s="101"/>
      <c r="AC173" s="101"/>
      <c r="AD173" s="101"/>
      <c r="AE173" s="101"/>
      <c r="AF173" s="101"/>
      <c r="AG173" s="101"/>
      <c r="AH173" s="101"/>
      <c r="AI173" s="101"/>
      <c r="AJ173" s="101"/>
      <c r="AK173" s="101"/>
      <c r="AL173" s="101"/>
      <c r="AM173" s="101"/>
      <c r="AN173" s="101"/>
    </row>
    <row r="174" spans="21:40" ht="15.75" customHeight="1">
      <c r="U174" s="101"/>
      <c r="V174" s="101"/>
      <c r="W174" s="101"/>
      <c r="X174" s="101"/>
      <c r="Y174" s="101"/>
      <c r="Z174" s="101"/>
      <c r="AA174" s="101"/>
      <c r="AB174" s="101"/>
      <c r="AC174" s="101"/>
      <c r="AD174" s="101"/>
      <c r="AE174" s="101"/>
      <c r="AF174" s="101"/>
      <c r="AG174" s="101"/>
      <c r="AH174" s="101"/>
      <c r="AI174" s="101"/>
      <c r="AJ174" s="101"/>
      <c r="AK174" s="101"/>
      <c r="AL174" s="101"/>
      <c r="AM174" s="101"/>
      <c r="AN174" s="101"/>
    </row>
    <row r="175" spans="21:40" ht="15.75" customHeight="1">
      <c r="U175" s="101"/>
      <c r="V175" s="101"/>
      <c r="W175" s="101"/>
      <c r="X175" s="101"/>
      <c r="Y175" s="101"/>
      <c r="Z175" s="101"/>
      <c r="AA175" s="101"/>
      <c r="AB175" s="101"/>
      <c r="AC175" s="101"/>
      <c r="AD175" s="101"/>
      <c r="AE175" s="101"/>
      <c r="AF175" s="101"/>
      <c r="AG175" s="101"/>
      <c r="AH175" s="101"/>
      <c r="AI175" s="101"/>
      <c r="AJ175" s="101"/>
      <c r="AK175" s="101"/>
      <c r="AL175" s="101"/>
      <c r="AM175" s="101"/>
      <c r="AN175" s="101"/>
    </row>
    <row r="176" spans="21:40" ht="15.75" customHeight="1">
      <c r="U176" s="101"/>
      <c r="V176" s="101"/>
      <c r="W176" s="101"/>
      <c r="X176" s="101"/>
      <c r="Y176" s="101"/>
      <c r="Z176" s="101"/>
      <c r="AA176" s="101"/>
      <c r="AB176" s="101"/>
      <c r="AC176" s="101"/>
      <c r="AD176" s="101"/>
      <c r="AE176" s="101"/>
      <c r="AF176" s="101"/>
      <c r="AG176" s="101"/>
      <c r="AH176" s="101"/>
      <c r="AI176" s="101"/>
      <c r="AJ176" s="101"/>
      <c r="AK176" s="101"/>
      <c r="AL176" s="101"/>
      <c r="AM176" s="101"/>
      <c r="AN176" s="101"/>
    </row>
    <row r="177" spans="21:40" ht="15.75" customHeight="1">
      <c r="U177" s="101"/>
      <c r="V177" s="101"/>
      <c r="W177" s="101"/>
      <c r="X177" s="101"/>
      <c r="Y177" s="101"/>
      <c r="Z177" s="101"/>
      <c r="AA177" s="101"/>
      <c r="AB177" s="101"/>
      <c r="AC177" s="101"/>
      <c r="AD177" s="101"/>
      <c r="AE177" s="101"/>
      <c r="AF177" s="101"/>
      <c r="AG177" s="101"/>
      <c r="AH177" s="101"/>
      <c r="AI177" s="101"/>
      <c r="AJ177" s="101"/>
      <c r="AK177" s="101"/>
      <c r="AL177" s="101"/>
      <c r="AM177" s="101"/>
      <c r="AN177" s="101"/>
    </row>
    <row r="178" spans="21:40" ht="15.75" customHeight="1">
      <c r="U178" s="101"/>
      <c r="V178" s="101"/>
      <c r="W178" s="101"/>
      <c r="X178" s="101"/>
      <c r="Y178" s="101"/>
      <c r="Z178" s="101"/>
      <c r="AA178" s="101"/>
      <c r="AB178" s="101"/>
      <c r="AC178" s="101"/>
      <c r="AD178" s="101"/>
      <c r="AE178" s="101"/>
      <c r="AF178" s="101"/>
      <c r="AG178" s="101"/>
      <c r="AH178" s="101"/>
      <c r="AI178" s="101"/>
      <c r="AJ178" s="101"/>
      <c r="AK178" s="101"/>
      <c r="AL178" s="101"/>
      <c r="AM178" s="101"/>
      <c r="AN178" s="101"/>
    </row>
    <row r="179" spans="21:40" ht="15.75" customHeight="1">
      <c r="U179" s="101"/>
      <c r="V179" s="101"/>
      <c r="W179" s="101"/>
      <c r="X179" s="101"/>
      <c r="Y179" s="101"/>
      <c r="Z179" s="101"/>
      <c r="AA179" s="101"/>
      <c r="AB179" s="101"/>
      <c r="AC179" s="101"/>
      <c r="AD179" s="101"/>
      <c r="AE179" s="101"/>
      <c r="AF179" s="101"/>
      <c r="AG179" s="101"/>
      <c r="AH179" s="101"/>
      <c r="AI179" s="101"/>
      <c r="AJ179" s="101"/>
      <c r="AK179" s="101"/>
      <c r="AL179" s="101"/>
      <c r="AM179" s="101"/>
      <c r="AN179" s="101"/>
    </row>
    <row r="180" spans="21:40" ht="15.75" customHeight="1">
      <c r="U180" s="101"/>
      <c r="V180" s="101"/>
      <c r="W180" s="101"/>
      <c r="X180" s="101"/>
      <c r="Y180" s="101"/>
      <c r="Z180" s="101"/>
      <c r="AA180" s="101"/>
      <c r="AB180" s="101"/>
      <c r="AC180" s="101"/>
      <c r="AD180" s="101"/>
      <c r="AE180" s="101"/>
      <c r="AF180" s="101"/>
      <c r="AG180" s="101"/>
      <c r="AH180" s="101"/>
      <c r="AI180" s="101"/>
      <c r="AJ180" s="101"/>
      <c r="AK180" s="101"/>
      <c r="AL180" s="101"/>
      <c r="AM180" s="101"/>
      <c r="AN180" s="101"/>
    </row>
    <row r="181" spans="21:40" ht="15.75" customHeight="1">
      <c r="U181" s="101"/>
      <c r="V181" s="101"/>
      <c r="W181" s="101"/>
      <c r="X181" s="101"/>
      <c r="Y181" s="101"/>
      <c r="Z181" s="101"/>
      <c r="AA181" s="101"/>
      <c r="AB181" s="101"/>
      <c r="AC181" s="101"/>
      <c r="AD181" s="101"/>
      <c r="AE181" s="101"/>
      <c r="AF181" s="101"/>
      <c r="AG181" s="101"/>
      <c r="AH181" s="101"/>
      <c r="AI181" s="101"/>
      <c r="AJ181" s="101"/>
      <c r="AK181" s="101"/>
      <c r="AL181" s="101"/>
      <c r="AM181" s="101"/>
      <c r="AN181" s="101"/>
    </row>
    <row r="182" spans="21:40" ht="15.75" customHeight="1">
      <c r="U182" s="101"/>
      <c r="V182" s="101"/>
      <c r="W182" s="101"/>
      <c r="X182" s="101"/>
      <c r="Y182" s="101"/>
      <c r="Z182" s="101"/>
      <c r="AA182" s="101"/>
      <c r="AB182" s="101"/>
      <c r="AC182" s="101"/>
      <c r="AD182" s="101"/>
      <c r="AE182" s="101"/>
      <c r="AF182" s="101"/>
      <c r="AG182" s="101"/>
      <c r="AH182" s="101"/>
      <c r="AI182" s="101"/>
      <c r="AJ182" s="101"/>
      <c r="AK182" s="101"/>
      <c r="AL182" s="101"/>
      <c r="AM182" s="101"/>
      <c r="AN182" s="101"/>
    </row>
    <row r="183" spans="21:40" ht="15.75" customHeight="1">
      <c r="U183" s="101"/>
      <c r="V183" s="101"/>
      <c r="W183" s="101"/>
      <c r="X183" s="101"/>
      <c r="Y183" s="101"/>
      <c r="Z183" s="101"/>
      <c r="AA183" s="101"/>
      <c r="AB183" s="101"/>
      <c r="AC183" s="101"/>
      <c r="AD183" s="101"/>
      <c r="AE183" s="101"/>
      <c r="AF183" s="101"/>
      <c r="AG183" s="101"/>
      <c r="AH183" s="101"/>
      <c r="AI183" s="101"/>
      <c r="AJ183" s="101"/>
      <c r="AK183" s="101"/>
      <c r="AL183" s="101"/>
      <c r="AM183" s="101"/>
      <c r="AN183" s="101"/>
    </row>
    <row r="184" spans="21:40" ht="15.75" customHeight="1">
      <c r="U184" s="101"/>
      <c r="V184" s="101"/>
      <c r="W184" s="101"/>
      <c r="X184" s="101"/>
      <c r="Y184" s="101"/>
      <c r="Z184" s="101"/>
      <c r="AA184" s="101"/>
      <c r="AB184" s="101"/>
      <c r="AC184" s="101"/>
      <c r="AD184" s="101"/>
      <c r="AE184" s="101"/>
      <c r="AF184" s="101"/>
      <c r="AG184" s="101"/>
      <c r="AH184" s="101"/>
      <c r="AI184" s="101"/>
      <c r="AJ184" s="101"/>
      <c r="AK184" s="101"/>
      <c r="AL184" s="101"/>
      <c r="AM184" s="101"/>
      <c r="AN184" s="101"/>
    </row>
    <row r="185" spans="21:40" ht="15.75" customHeight="1">
      <c r="U185" s="101"/>
      <c r="V185" s="101"/>
      <c r="W185" s="101"/>
      <c r="X185" s="101"/>
      <c r="Y185" s="101"/>
      <c r="Z185" s="101"/>
      <c r="AA185" s="101"/>
      <c r="AB185" s="101"/>
      <c r="AC185" s="101"/>
      <c r="AD185" s="101"/>
      <c r="AE185" s="101"/>
      <c r="AF185" s="101"/>
      <c r="AG185" s="101"/>
      <c r="AH185" s="101"/>
      <c r="AI185" s="101"/>
      <c r="AJ185" s="101"/>
      <c r="AK185" s="101"/>
      <c r="AL185" s="101"/>
      <c r="AM185" s="101"/>
      <c r="AN185" s="101"/>
    </row>
    <row r="186" spans="21:40" ht="15.75" customHeight="1">
      <c r="U186" s="101"/>
      <c r="V186" s="101"/>
      <c r="W186" s="101"/>
      <c r="X186" s="101"/>
      <c r="Y186" s="101"/>
      <c r="Z186" s="101"/>
      <c r="AA186" s="101"/>
      <c r="AB186" s="101"/>
      <c r="AC186" s="101"/>
      <c r="AD186" s="101"/>
      <c r="AE186" s="101"/>
      <c r="AF186" s="101"/>
      <c r="AG186" s="101"/>
      <c r="AH186" s="101"/>
      <c r="AI186" s="101"/>
      <c r="AJ186" s="101"/>
      <c r="AK186" s="101"/>
      <c r="AL186" s="101"/>
      <c r="AM186" s="101"/>
      <c r="AN186" s="101"/>
    </row>
    <row r="187" spans="21:40" ht="15.75" customHeight="1">
      <c r="U187" s="101"/>
      <c r="V187" s="101"/>
      <c r="W187" s="101"/>
      <c r="X187" s="101"/>
      <c r="Y187" s="101"/>
      <c r="Z187" s="101"/>
      <c r="AA187" s="101"/>
      <c r="AB187" s="101"/>
      <c r="AC187" s="101"/>
      <c r="AD187" s="101"/>
      <c r="AE187" s="101"/>
      <c r="AF187" s="101"/>
      <c r="AG187" s="101"/>
      <c r="AH187" s="101"/>
      <c r="AI187" s="101"/>
      <c r="AJ187" s="101"/>
      <c r="AK187" s="101"/>
      <c r="AL187" s="101"/>
      <c r="AM187" s="101"/>
      <c r="AN187" s="101"/>
    </row>
    <row r="188" spans="21:40" ht="15.75" customHeight="1">
      <c r="U188" s="101"/>
      <c r="V188" s="101"/>
      <c r="W188" s="101"/>
      <c r="X188" s="101"/>
      <c r="Y188" s="101"/>
      <c r="Z188" s="101"/>
      <c r="AA188" s="101"/>
      <c r="AB188" s="101"/>
      <c r="AC188" s="101"/>
      <c r="AD188" s="101"/>
      <c r="AE188" s="101"/>
      <c r="AF188" s="101"/>
      <c r="AG188" s="101"/>
      <c r="AH188" s="101"/>
      <c r="AI188" s="101"/>
      <c r="AJ188" s="101"/>
      <c r="AK188" s="101"/>
      <c r="AL188" s="101"/>
      <c r="AM188" s="101"/>
      <c r="AN188" s="101"/>
    </row>
    <row r="189" spans="21:40" ht="15.75" customHeight="1">
      <c r="U189" s="101"/>
      <c r="V189" s="101"/>
      <c r="W189" s="101"/>
      <c r="X189" s="101"/>
      <c r="Y189" s="101"/>
      <c r="Z189" s="101"/>
      <c r="AA189" s="101"/>
      <c r="AB189" s="101"/>
      <c r="AC189" s="101"/>
      <c r="AD189" s="101"/>
      <c r="AE189" s="101"/>
      <c r="AF189" s="101"/>
      <c r="AG189" s="101"/>
      <c r="AH189" s="101"/>
      <c r="AI189" s="101"/>
      <c r="AJ189" s="101"/>
      <c r="AK189" s="101"/>
      <c r="AL189" s="101"/>
      <c r="AM189" s="101"/>
      <c r="AN189" s="101"/>
    </row>
    <row r="190" spans="21:40" ht="15.75" customHeight="1">
      <c r="U190" s="101"/>
      <c r="V190" s="101"/>
      <c r="W190" s="101"/>
      <c r="X190" s="101"/>
      <c r="Y190" s="101"/>
      <c r="Z190" s="101"/>
      <c r="AA190" s="101"/>
      <c r="AB190" s="101"/>
      <c r="AC190" s="101"/>
      <c r="AD190" s="101"/>
      <c r="AE190" s="101"/>
      <c r="AF190" s="101"/>
      <c r="AG190" s="101"/>
      <c r="AH190" s="101"/>
      <c r="AI190" s="101"/>
      <c r="AJ190" s="101"/>
      <c r="AK190" s="101"/>
      <c r="AL190" s="101"/>
      <c r="AM190" s="101"/>
      <c r="AN190" s="101"/>
    </row>
    <row r="191" spans="21:40" ht="15.75" customHeight="1">
      <c r="U191" s="101"/>
      <c r="V191" s="101"/>
      <c r="W191" s="101"/>
      <c r="X191" s="101"/>
      <c r="Y191" s="101"/>
      <c r="Z191" s="101"/>
      <c r="AA191" s="101"/>
      <c r="AB191" s="101"/>
      <c r="AC191" s="101"/>
      <c r="AD191" s="101"/>
      <c r="AE191" s="101"/>
      <c r="AF191" s="101"/>
      <c r="AG191" s="101"/>
      <c r="AH191" s="101"/>
      <c r="AI191" s="101"/>
      <c r="AJ191" s="101"/>
      <c r="AK191" s="101"/>
      <c r="AL191" s="101"/>
      <c r="AM191" s="101"/>
      <c r="AN191" s="101"/>
    </row>
    <row r="192" spans="21:40" ht="15.75" customHeight="1">
      <c r="U192" s="101"/>
      <c r="V192" s="101"/>
      <c r="W192" s="101"/>
      <c r="X192" s="101"/>
      <c r="Y192" s="101"/>
      <c r="Z192" s="101"/>
      <c r="AA192" s="101"/>
      <c r="AB192" s="101"/>
      <c r="AC192" s="101"/>
      <c r="AD192" s="101"/>
      <c r="AE192" s="101"/>
      <c r="AF192" s="101"/>
      <c r="AG192" s="101"/>
      <c r="AH192" s="101"/>
      <c r="AI192" s="101"/>
      <c r="AJ192" s="101"/>
      <c r="AK192" s="101"/>
      <c r="AL192" s="101"/>
      <c r="AM192" s="101"/>
      <c r="AN192" s="101"/>
    </row>
    <row r="193" spans="21:40" ht="15" customHeight="1">
      <c r="U193" s="101"/>
      <c r="V193" s="101"/>
      <c r="W193" s="101"/>
      <c r="X193" s="101"/>
      <c r="Y193" s="101"/>
      <c r="Z193" s="101"/>
      <c r="AA193" s="101"/>
      <c r="AB193" s="101"/>
      <c r="AC193" s="101"/>
      <c r="AD193" s="101"/>
      <c r="AE193" s="101"/>
      <c r="AF193" s="101"/>
      <c r="AG193" s="101"/>
      <c r="AH193" s="101"/>
      <c r="AI193" s="101"/>
      <c r="AJ193" s="101"/>
      <c r="AK193" s="101"/>
      <c r="AL193" s="101"/>
      <c r="AM193" s="101"/>
      <c r="AN193" s="101"/>
    </row>
    <row r="194" spans="21:40" ht="15" customHeight="1">
      <c r="U194" s="101"/>
      <c r="V194" s="101"/>
      <c r="W194" s="101"/>
      <c r="X194" s="101"/>
      <c r="Y194" s="101"/>
      <c r="Z194" s="101"/>
      <c r="AA194" s="101"/>
      <c r="AB194" s="101"/>
      <c r="AC194" s="101"/>
      <c r="AD194" s="101"/>
      <c r="AE194" s="101"/>
      <c r="AF194" s="101"/>
      <c r="AG194" s="101"/>
      <c r="AH194" s="101"/>
      <c r="AI194" s="101"/>
      <c r="AJ194" s="101"/>
      <c r="AK194" s="101"/>
      <c r="AL194" s="101"/>
      <c r="AM194" s="101"/>
      <c r="AN194" s="101"/>
    </row>
    <row r="195" spans="21:40" ht="15" customHeight="1">
      <c r="U195" s="101"/>
      <c r="V195" s="101"/>
      <c r="W195" s="101"/>
      <c r="X195" s="101"/>
      <c r="Y195" s="101"/>
      <c r="Z195" s="101"/>
      <c r="AA195" s="101"/>
      <c r="AB195" s="101"/>
      <c r="AC195" s="101"/>
      <c r="AD195" s="101"/>
      <c r="AE195" s="101"/>
      <c r="AF195" s="101"/>
      <c r="AG195" s="101"/>
      <c r="AH195" s="101"/>
      <c r="AI195" s="101"/>
      <c r="AJ195" s="101"/>
      <c r="AK195" s="101"/>
      <c r="AL195" s="101"/>
      <c r="AM195" s="101"/>
      <c r="AN195" s="101"/>
    </row>
    <row r="196" spans="21:40" ht="15" customHeight="1">
      <c r="U196" s="101"/>
      <c r="V196" s="101"/>
      <c r="W196" s="101"/>
      <c r="X196" s="101"/>
      <c r="Y196" s="101"/>
      <c r="Z196" s="101"/>
      <c r="AA196" s="101"/>
      <c r="AB196" s="101"/>
      <c r="AC196" s="101"/>
      <c r="AD196" s="101"/>
      <c r="AE196" s="101"/>
      <c r="AF196" s="101"/>
      <c r="AG196" s="101"/>
      <c r="AH196" s="101"/>
      <c r="AI196" s="101"/>
      <c r="AJ196" s="101"/>
      <c r="AK196" s="101"/>
      <c r="AL196" s="101"/>
      <c r="AM196" s="101"/>
      <c r="AN196" s="101"/>
    </row>
    <row r="197" spans="21:40" ht="15" customHeight="1">
      <c r="U197" s="101"/>
      <c r="V197" s="101"/>
      <c r="W197" s="101"/>
      <c r="X197" s="101"/>
      <c r="Y197" s="101"/>
      <c r="Z197" s="101"/>
      <c r="AA197" s="101"/>
      <c r="AB197" s="101"/>
      <c r="AC197" s="101"/>
      <c r="AD197" s="101"/>
      <c r="AE197" s="101"/>
      <c r="AF197" s="101"/>
      <c r="AG197" s="101"/>
      <c r="AH197" s="101"/>
      <c r="AI197" s="101"/>
      <c r="AJ197" s="101"/>
      <c r="AK197" s="101"/>
      <c r="AL197" s="101"/>
      <c r="AM197" s="101"/>
      <c r="AN197" s="101"/>
    </row>
    <row r="198" spans="21:40" ht="15" customHeight="1">
      <c r="U198" s="101"/>
      <c r="V198" s="101"/>
      <c r="W198" s="101"/>
      <c r="X198" s="101"/>
      <c r="Y198" s="101"/>
      <c r="Z198" s="101"/>
      <c r="AA198" s="101"/>
      <c r="AB198" s="101"/>
      <c r="AC198" s="101"/>
      <c r="AD198" s="101"/>
      <c r="AE198" s="101"/>
      <c r="AF198" s="101"/>
      <c r="AG198" s="101"/>
      <c r="AH198" s="101"/>
      <c r="AI198" s="101"/>
      <c r="AJ198" s="101"/>
      <c r="AK198" s="101"/>
      <c r="AL198" s="101"/>
      <c r="AM198" s="101"/>
      <c r="AN198" s="101"/>
    </row>
    <row r="199" spans="21:40" ht="15" customHeight="1">
      <c r="U199" s="101"/>
      <c r="V199" s="101"/>
      <c r="W199" s="101"/>
      <c r="X199" s="101"/>
      <c r="Y199" s="101"/>
      <c r="Z199" s="101"/>
      <c r="AA199" s="101"/>
      <c r="AB199" s="101"/>
      <c r="AC199" s="101"/>
      <c r="AD199" s="101"/>
      <c r="AE199" s="101"/>
      <c r="AF199" s="101"/>
      <c r="AG199" s="101"/>
      <c r="AH199" s="101"/>
      <c r="AI199" s="101"/>
      <c r="AJ199" s="101"/>
      <c r="AK199" s="101"/>
      <c r="AL199" s="101"/>
      <c r="AM199" s="101"/>
      <c r="AN199" s="101"/>
    </row>
    <row r="200" spans="21:40" ht="15" customHeight="1">
      <c r="U200" s="101"/>
      <c r="V200" s="101"/>
      <c r="W200" s="101"/>
      <c r="X200" s="101"/>
      <c r="Y200" s="101"/>
      <c r="Z200" s="101"/>
      <c r="AA200" s="101"/>
      <c r="AB200" s="101"/>
      <c r="AC200" s="101"/>
      <c r="AD200" s="101"/>
      <c r="AE200" s="101"/>
      <c r="AF200" s="101"/>
      <c r="AG200" s="101"/>
      <c r="AH200" s="101"/>
      <c r="AI200" s="101"/>
      <c r="AJ200" s="101"/>
      <c r="AK200" s="101"/>
      <c r="AL200" s="101"/>
      <c r="AM200" s="101"/>
      <c r="AN200" s="101"/>
    </row>
    <row r="201" spans="21:40" ht="15" customHeight="1">
      <c r="U201" s="101"/>
      <c r="V201" s="101"/>
      <c r="W201" s="101"/>
      <c r="X201" s="101"/>
      <c r="Y201" s="101"/>
      <c r="Z201" s="101"/>
      <c r="AA201" s="101"/>
      <c r="AB201" s="101"/>
      <c r="AC201" s="101"/>
      <c r="AD201" s="101"/>
      <c r="AE201" s="101"/>
      <c r="AF201" s="101"/>
      <c r="AG201" s="101"/>
      <c r="AH201" s="101"/>
      <c r="AI201" s="101"/>
      <c r="AJ201" s="101"/>
      <c r="AK201" s="101"/>
      <c r="AL201" s="101"/>
      <c r="AM201" s="101"/>
      <c r="AN201" s="101"/>
    </row>
    <row r="202" spans="21:40" ht="15" customHeight="1">
      <c r="U202" s="101"/>
      <c r="V202" s="101"/>
      <c r="W202" s="101"/>
      <c r="X202" s="101"/>
      <c r="Y202" s="101"/>
      <c r="Z202" s="101"/>
      <c r="AA202" s="101"/>
      <c r="AB202" s="101"/>
      <c r="AC202" s="101"/>
      <c r="AD202" s="101"/>
      <c r="AE202" s="101"/>
      <c r="AF202" s="101"/>
      <c r="AG202" s="101"/>
      <c r="AH202" s="101"/>
      <c r="AI202" s="101"/>
      <c r="AJ202" s="101"/>
      <c r="AK202" s="101"/>
      <c r="AL202" s="101"/>
      <c r="AM202" s="101"/>
      <c r="AN202" s="101"/>
    </row>
    <row r="203" spans="21:40" ht="15" customHeight="1">
      <c r="U203" s="101"/>
      <c r="V203" s="101"/>
      <c r="W203" s="101"/>
      <c r="X203" s="101"/>
      <c r="Y203" s="101"/>
      <c r="Z203" s="101"/>
      <c r="AA203" s="101"/>
      <c r="AB203" s="101"/>
      <c r="AC203" s="101"/>
      <c r="AD203" s="101"/>
      <c r="AE203" s="101"/>
      <c r="AF203" s="101"/>
      <c r="AG203" s="101"/>
      <c r="AH203" s="101"/>
      <c r="AI203" s="101"/>
      <c r="AJ203" s="101"/>
      <c r="AK203" s="101"/>
      <c r="AL203" s="101"/>
      <c r="AM203" s="101"/>
      <c r="AN203" s="101"/>
    </row>
    <row r="204" spans="21:40" ht="15" customHeight="1">
      <c r="U204" s="101"/>
      <c r="V204" s="101"/>
      <c r="W204" s="101"/>
      <c r="X204" s="101"/>
      <c r="Y204" s="101"/>
      <c r="Z204" s="101"/>
      <c r="AA204" s="101"/>
      <c r="AB204" s="101"/>
      <c r="AC204" s="101"/>
      <c r="AD204" s="101"/>
      <c r="AE204" s="101"/>
      <c r="AF204" s="101"/>
      <c r="AG204" s="101"/>
      <c r="AH204" s="101"/>
      <c r="AI204" s="101"/>
      <c r="AJ204" s="101"/>
      <c r="AK204" s="101"/>
      <c r="AL204" s="101"/>
      <c r="AM204" s="101"/>
      <c r="AN204" s="101"/>
    </row>
    <row r="205" spans="21:40" ht="15" customHeight="1">
      <c r="U205" s="101"/>
      <c r="V205" s="101"/>
      <c r="W205" s="101"/>
      <c r="X205" s="101"/>
      <c r="Y205" s="101"/>
      <c r="Z205" s="101"/>
      <c r="AA205" s="101"/>
      <c r="AB205" s="101"/>
      <c r="AC205" s="101"/>
      <c r="AD205" s="101"/>
      <c r="AE205" s="101"/>
      <c r="AF205" s="101"/>
      <c r="AG205" s="101"/>
      <c r="AH205" s="101"/>
      <c r="AI205" s="101"/>
      <c r="AJ205" s="101"/>
      <c r="AK205" s="101"/>
      <c r="AL205" s="101"/>
      <c r="AM205" s="101"/>
      <c r="AN205" s="101"/>
    </row>
    <row r="206" spans="21:40" ht="15" customHeight="1">
      <c r="U206" s="101"/>
      <c r="V206" s="101"/>
      <c r="W206" s="101"/>
      <c r="X206" s="101"/>
      <c r="Y206" s="101"/>
      <c r="Z206" s="101"/>
      <c r="AA206" s="101"/>
      <c r="AB206" s="101"/>
      <c r="AC206" s="101"/>
      <c r="AD206" s="101"/>
      <c r="AE206" s="101"/>
      <c r="AF206" s="101"/>
      <c r="AG206" s="101"/>
      <c r="AH206" s="101"/>
      <c r="AI206" s="101"/>
      <c r="AJ206" s="101"/>
      <c r="AK206" s="101"/>
      <c r="AL206" s="101"/>
      <c r="AM206" s="101"/>
      <c r="AN206" s="101"/>
    </row>
    <row r="207" spans="21:40" ht="15" customHeight="1">
      <c r="U207" s="101"/>
      <c r="V207" s="101"/>
      <c r="W207" s="101"/>
      <c r="X207" s="101"/>
      <c r="Y207" s="101"/>
      <c r="Z207" s="101"/>
      <c r="AA207" s="101"/>
      <c r="AB207" s="101"/>
      <c r="AC207" s="101"/>
      <c r="AD207" s="101"/>
      <c r="AE207" s="101"/>
      <c r="AF207" s="101"/>
      <c r="AG207" s="101"/>
      <c r="AH207" s="101"/>
      <c r="AI207" s="101"/>
      <c r="AJ207" s="101"/>
      <c r="AK207" s="101"/>
      <c r="AL207" s="101"/>
      <c r="AM207" s="101"/>
      <c r="AN207" s="101"/>
    </row>
    <row r="208" spans="21:40" ht="15" customHeight="1">
      <c r="U208" s="101"/>
      <c r="V208" s="101"/>
      <c r="W208" s="101"/>
      <c r="X208" s="101"/>
      <c r="Y208" s="101"/>
      <c r="Z208" s="101"/>
      <c r="AA208" s="101"/>
      <c r="AB208" s="101"/>
      <c r="AC208" s="101"/>
      <c r="AD208" s="101"/>
      <c r="AE208" s="101"/>
      <c r="AF208" s="101"/>
      <c r="AG208" s="101"/>
      <c r="AH208" s="101"/>
      <c r="AI208" s="101"/>
      <c r="AJ208" s="101"/>
      <c r="AK208" s="101"/>
      <c r="AL208" s="101"/>
      <c r="AM208" s="101"/>
      <c r="AN208" s="101"/>
    </row>
    <row r="209" spans="21:40" ht="15" customHeight="1">
      <c r="U209" s="101"/>
      <c r="V209" s="101"/>
      <c r="W209" s="101"/>
      <c r="X209" s="101"/>
      <c r="Y209" s="101"/>
      <c r="Z209" s="101"/>
      <c r="AA209" s="101"/>
      <c r="AB209" s="101"/>
      <c r="AC209" s="101"/>
      <c r="AD209" s="101"/>
      <c r="AE209" s="101"/>
      <c r="AF209" s="101"/>
      <c r="AG209" s="101"/>
      <c r="AH209" s="101"/>
      <c r="AI209" s="101"/>
      <c r="AJ209" s="101"/>
      <c r="AK209" s="101"/>
      <c r="AL209" s="101"/>
      <c r="AM209" s="101"/>
      <c r="AN209" s="101"/>
    </row>
    <row r="210" spans="21:40" ht="15" customHeight="1">
      <c r="U210" s="101"/>
      <c r="V210" s="101"/>
      <c r="W210" s="101"/>
      <c r="X210" s="101"/>
      <c r="Y210" s="101"/>
      <c r="Z210" s="101"/>
      <c r="AA210" s="101"/>
      <c r="AB210" s="101"/>
      <c r="AC210" s="101"/>
      <c r="AD210" s="101"/>
      <c r="AE210" s="101"/>
      <c r="AF210" s="101"/>
      <c r="AG210" s="101"/>
      <c r="AH210" s="101"/>
      <c r="AI210" s="101"/>
      <c r="AJ210" s="101"/>
      <c r="AK210" s="101"/>
      <c r="AL210" s="101"/>
      <c r="AM210" s="101"/>
      <c r="AN210" s="101"/>
    </row>
    <row r="211" spans="21:40" ht="15" customHeight="1">
      <c r="U211" s="101"/>
      <c r="V211" s="101"/>
      <c r="W211" s="101"/>
      <c r="X211" s="101"/>
      <c r="Y211" s="101"/>
      <c r="Z211" s="101"/>
      <c r="AA211" s="101"/>
      <c r="AB211" s="101"/>
      <c r="AC211" s="101"/>
      <c r="AD211" s="101"/>
      <c r="AE211" s="101"/>
      <c r="AF211" s="101"/>
      <c r="AG211" s="101"/>
      <c r="AH211" s="101"/>
      <c r="AI211" s="101"/>
      <c r="AJ211" s="101"/>
      <c r="AK211" s="101"/>
      <c r="AL211" s="101"/>
      <c r="AM211" s="101"/>
      <c r="AN211" s="101"/>
    </row>
    <row r="212" spans="21:40" ht="15" customHeight="1">
      <c r="U212" s="101"/>
      <c r="V212" s="101"/>
      <c r="W212" s="101"/>
      <c r="X212" s="101"/>
      <c r="Y212" s="101"/>
      <c r="Z212" s="101"/>
      <c r="AA212" s="101"/>
      <c r="AB212" s="101"/>
      <c r="AC212" s="101"/>
      <c r="AD212" s="101"/>
      <c r="AE212" s="101"/>
      <c r="AF212" s="101"/>
      <c r="AG212" s="101"/>
      <c r="AH212" s="101"/>
      <c r="AI212" s="101"/>
      <c r="AJ212" s="101"/>
      <c r="AK212" s="101"/>
      <c r="AL212" s="101"/>
      <c r="AM212" s="101"/>
      <c r="AN212" s="101"/>
    </row>
    <row r="213" spans="21:40" ht="15" customHeight="1">
      <c r="U213" s="101"/>
      <c r="V213" s="101"/>
      <c r="W213" s="101"/>
      <c r="X213" s="101"/>
      <c r="Y213" s="101"/>
      <c r="Z213" s="101"/>
      <c r="AA213" s="101"/>
      <c r="AB213" s="101"/>
      <c r="AC213" s="101"/>
      <c r="AD213" s="101"/>
      <c r="AE213" s="101"/>
      <c r="AF213" s="101"/>
      <c r="AG213" s="101"/>
      <c r="AH213" s="101"/>
      <c r="AI213" s="101"/>
      <c r="AJ213" s="101"/>
      <c r="AK213" s="101"/>
      <c r="AL213" s="101"/>
      <c r="AM213" s="101"/>
      <c r="AN213" s="101"/>
    </row>
    <row r="214" spans="21:40" ht="15" customHeight="1">
      <c r="U214" s="101"/>
      <c r="V214" s="101"/>
      <c r="W214" s="101"/>
      <c r="X214" s="101"/>
      <c r="Y214" s="101"/>
      <c r="Z214" s="101"/>
      <c r="AA214" s="101"/>
      <c r="AB214" s="101"/>
      <c r="AC214" s="101"/>
      <c r="AD214" s="101"/>
      <c r="AE214" s="101"/>
      <c r="AF214" s="101"/>
      <c r="AG214" s="101"/>
      <c r="AH214" s="101"/>
      <c r="AI214" s="101"/>
      <c r="AJ214" s="101"/>
      <c r="AK214" s="101"/>
      <c r="AL214" s="101"/>
      <c r="AM214" s="101"/>
      <c r="AN214" s="101"/>
    </row>
    <row r="215" spans="21:40" ht="15" customHeight="1"/>
    <row r="216" spans="21:40" ht="15" customHeight="1"/>
    <row r="217" spans="21:40" ht="15" customHeight="1"/>
    <row r="218" spans="21:40" ht="15" customHeight="1"/>
    <row r="219" spans="21:40" ht="15" customHeight="1"/>
  </sheetData>
  <mergeCells count="288">
    <mergeCell ref="V27:AE27"/>
    <mergeCell ref="V29:AE29"/>
    <mergeCell ref="V28:AE28"/>
    <mergeCell ref="V26:AE26"/>
    <mergeCell ref="V32:AE32"/>
    <mergeCell ref="V31:AE31"/>
    <mergeCell ref="V30:AE30"/>
    <mergeCell ref="U91:AN93"/>
    <mergeCell ref="U75:AB75"/>
    <mergeCell ref="AI75:AJ75"/>
    <mergeCell ref="V78:AE78"/>
    <mergeCell ref="V77:AK77"/>
    <mergeCell ref="U40:AN42"/>
    <mergeCell ref="AO69:BH74"/>
    <mergeCell ref="AO76:BH80"/>
    <mergeCell ref="AO50:BH51"/>
    <mergeCell ref="AA69:AB70"/>
    <mergeCell ref="AC69:AF70"/>
    <mergeCell ref="AG69:AN70"/>
    <mergeCell ref="U61:W61"/>
    <mergeCell ref="X61:AN61"/>
    <mergeCell ref="U62:W62"/>
    <mergeCell ref="X62:AN62"/>
    <mergeCell ref="U64:X64"/>
    <mergeCell ref="Y64:AC64"/>
    <mergeCell ref="AE64:AL64"/>
    <mergeCell ref="U52:AN54"/>
    <mergeCell ref="Z55:AI55"/>
    <mergeCell ref="Z56:AI56"/>
    <mergeCell ref="U67:AN68"/>
    <mergeCell ref="U69:W70"/>
    <mergeCell ref="X69:Z70"/>
    <mergeCell ref="V79:AD79"/>
    <mergeCell ref="U71:Z71"/>
    <mergeCell ref="AA71:AE71"/>
    <mergeCell ref="AH71:AL71"/>
    <mergeCell ref="AC73:AJ73"/>
    <mergeCell ref="A74:H74"/>
    <mergeCell ref="O74:P74"/>
    <mergeCell ref="A68:C69"/>
    <mergeCell ref="D68:F69"/>
    <mergeCell ref="G68:H69"/>
    <mergeCell ref="I68:L69"/>
    <mergeCell ref="M68:T69"/>
    <mergeCell ref="A59:C59"/>
    <mergeCell ref="A66:T67"/>
    <mergeCell ref="D59:T59"/>
    <mergeCell ref="A60:C60"/>
    <mergeCell ref="D60:T60"/>
    <mergeCell ref="A61:C61"/>
    <mergeCell ref="D61:T61"/>
    <mergeCell ref="A70:F70"/>
    <mergeCell ref="G70:K70"/>
    <mergeCell ref="U10:W10"/>
    <mergeCell ref="X10:AN10"/>
    <mergeCell ref="U11:W11"/>
    <mergeCell ref="X11:AN11"/>
    <mergeCell ref="U13:X13"/>
    <mergeCell ref="Y13:AC13"/>
    <mergeCell ref="AE13:AL13"/>
    <mergeCell ref="AH20:AL20"/>
    <mergeCell ref="AC22:AJ22"/>
    <mergeCell ref="U16:AN17"/>
    <mergeCell ref="U18:W19"/>
    <mergeCell ref="X18:Z19"/>
    <mergeCell ref="AA18:AB19"/>
    <mergeCell ref="AC18:AF19"/>
    <mergeCell ref="AG18:AN19"/>
    <mergeCell ref="U20:Z20"/>
    <mergeCell ref="AA20:AE20"/>
    <mergeCell ref="A18:F18"/>
    <mergeCell ref="G18:K18"/>
    <mergeCell ref="A40:T42"/>
    <mergeCell ref="N70:R70"/>
    <mergeCell ref="V25:AE25"/>
    <mergeCell ref="A1:T3"/>
    <mergeCell ref="F4:O4"/>
    <mergeCell ref="F5:O5"/>
    <mergeCell ref="F6:O6"/>
    <mergeCell ref="A9:C9"/>
    <mergeCell ref="D9:T9"/>
    <mergeCell ref="U1:AN3"/>
    <mergeCell ref="Z4:AI4"/>
    <mergeCell ref="Z5:AI5"/>
    <mergeCell ref="Z6:AI6"/>
    <mergeCell ref="U9:W9"/>
    <mergeCell ref="X9:AN9"/>
    <mergeCell ref="A8:C8"/>
    <mergeCell ref="D8:T8"/>
    <mergeCell ref="N18:R18"/>
    <mergeCell ref="A10:C10"/>
    <mergeCell ref="D10:T10"/>
    <mergeCell ref="A16:C17"/>
    <mergeCell ref="D16:F17"/>
    <mergeCell ref="G16:H17"/>
    <mergeCell ref="I16:L17"/>
    <mergeCell ref="M16:T17"/>
    <mergeCell ref="A12:D12"/>
    <mergeCell ref="A15:T15"/>
    <mergeCell ref="BJ23:BJ25"/>
    <mergeCell ref="I19:P19"/>
    <mergeCell ref="A63:D63"/>
    <mergeCell ref="E63:I63"/>
    <mergeCell ref="K63:R63"/>
    <mergeCell ref="AI24:AJ24"/>
    <mergeCell ref="U24:AB24"/>
    <mergeCell ref="Z57:AI57"/>
    <mergeCell ref="U60:W60"/>
    <mergeCell ref="X60:AN60"/>
    <mergeCell ref="AO59:BH63"/>
    <mergeCell ref="BE26:BG26"/>
    <mergeCell ref="AT38:AY38"/>
    <mergeCell ref="AT39:AY39"/>
    <mergeCell ref="AT40:AY41"/>
    <mergeCell ref="AZ36:BH37"/>
    <mergeCell ref="AZ40:BH41"/>
    <mergeCell ref="AZ48:BH49"/>
    <mergeCell ref="AZ44:BF44"/>
    <mergeCell ref="BG44:BH44"/>
    <mergeCell ref="A51:T53"/>
    <mergeCell ref="F54:O54"/>
    <mergeCell ref="F55:O55"/>
    <mergeCell ref="F56:O56"/>
    <mergeCell ref="BN20:BN22"/>
    <mergeCell ref="BP20:BP22"/>
    <mergeCell ref="BQ20:BQ22"/>
    <mergeCell ref="BE15:BG15"/>
    <mergeCell ref="BE16:BG16"/>
    <mergeCell ref="BE17:BG17"/>
    <mergeCell ref="BE18:BG18"/>
    <mergeCell ref="BE19:BG19"/>
    <mergeCell ref="BE20:BG20"/>
    <mergeCell ref="BE30:BG30"/>
    <mergeCell ref="AQ25:BB25"/>
    <mergeCell ref="AQ24:BB24"/>
    <mergeCell ref="AQ26:BB26"/>
    <mergeCell ref="BE27:BG27"/>
    <mergeCell ref="BE28:BG28"/>
    <mergeCell ref="BE29:BG29"/>
    <mergeCell ref="BE24:BG24"/>
    <mergeCell ref="BE25:BG25"/>
    <mergeCell ref="B21:H21"/>
    <mergeCell ref="AO3:AR4"/>
    <mergeCell ref="AO5:AR9"/>
    <mergeCell ref="AU11:BC11"/>
    <mergeCell ref="AQ12:AW12"/>
    <mergeCell ref="AX12:BG12"/>
    <mergeCell ref="BE23:BG23"/>
    <mergeCell ref="AQ15:BB15"/>
    <mergeCell ref="AQ16:BB16"/>
    <mergeCell ref="AQ17:BB17"/>
    <mergeCell ref="AQ18:BB18"/>
    <mergeCell ref="AQ19:BB19"/>
    <mergeCell ref="AQ20:BB20"/>
    <mergeCell ref="AQ21:BB21"/>
    <mergeCell ref="AT13:AU13"/>
    <mergeCell ref="BD13:BE13"/>
    <mergeCell ref="BC15:BD15"/>
    <mergeCell ref="BC17:BD17"/>
    <mergeCell ref="BC20:BD20"/>
    <mergeCell ref="BE21:BG22"/>
    <mergeCell ref="AQ23:BB23"/>
    <mergeCell ref="BC21:BC22"/>
    <mergeCell ref="BD21:BD22"/>
    <mergeCell ref="AQ22:BB22"/>
    <mergeCell ref="AO1:BH2"/>
    <mergeCell ref="AT48:AY49"/>
    <mergeCell ref="AT42:AY42"/>
    <mergeCell ref="AT43:AY43"/>
    <mergeCell ref="AT44:AY44"/>
    <mergeCell ref="AT45:AY45"/>
    <mergeCell ref="AT46:AY46"/>
    <mergeCell ref="AT47:AY47"/>
    <mergeCell ref="AZ32:BH32"/>
    <mergeCell ref="AZ33:BH33"/>
    <mergeCell ref="AZ34:BH34"/>
    <mergeCell ref="AZ35:BH35"/>
    <mergeCell ref="AZ38:BH38"/>
    <mergeCell ref="AZ39:BH39"/>
    <mergeCell ref="AZ42:BH42"/>
    <mergeCell ref="AZ43:BH43"/>
    <mergeCell ref="AZ45:BH45"/>
    <mergeCell ref="AZ46:BH46"/>
    <mergeCell ref="AZ47:BH47"/>
    <mergeCell ref="AT36:AY37"/>
    <mergeCell ref="AT32:AY32"/>
    <mergeCell ref="AT33:AY33"/>
    <mergeCell ref="AT34:AY34"/>
    <mergeCell ref="AT35:AY35"/>
    <mergeCell ref="AT102:BC102"/>
    <mergeCell ref="AT103:BC103"/>
    <mergeCell ref="AT104:BC104"/>
    <mergeCell ref="AO107:AQ107"/>
    <mergeCell ref="AR107:BH107"/>
    <mergeCell ref="AO108:AQ108"/>
    <mergeCell ref="AR108:BH108"/>
    <mergeCell ref="AO109:AQ109"/>
    <mergeCell ref="AR109:BH109"/>
    <mergeCell ref="AP130:BH130"/>
    <mergeCell ref="AO139:BH141"/>
    <mergeCell ref="AO64:BH68"/>
    <mergeCell ref="AO53:BH58"/>
    <mergeCell ref="AO118:AT118"/>
    <mergeCell ref="AU118:AY118"/>
    <mergeCell ref="BB118:BF118"/>
    <mergeCell ref="AW120:BD120"/>
    <mergeCell ref="AO122:AV122"/>
    <mergeCell ref="BC122:BD122"/>
    <mergeCell ref="AP125:AV125"/>
    <mergeCell ref="AW125:AX125"/>
    <mergeCell ref="AP126:AS126"/>
    <mergeCell ref="AT126:AU126"/>
    <mergeCell ref="AO111:AR111"/>
    <mergeCell ref="AS111:AW111"/>
    <mergeCell ref="AY111:BF111"/>
    <mergeCell ref="AO114:BH115"/>
    <mergeCell ref="AO116:AQ117"/>
    <mergeCell ref="AR116:AT117"/>
    <mergeCell ref="AU116:AV117"/>
    <mergeCell ref="AW116:AZ117"/>
    <mergeCell ref="BA116:BH117"/>
    <mergeCell ref="AO99:BH101"/>
    <mergeCell ref="A113:C113"/>
    <mergeCell ref="D113:T113"/>
    <mergeCell ref="AP129:BH129"/>
    <mergeCell ref="B126:M126"/>
    <mergeCell ref="U119:W120"/>
    <mergeCell ref="X119:Z120"/>
    <mergeCell ref="AA119:AB120"/>
    <mergeCell ref="AC119:AF120"/>
    <mergeCell ref="AG119:AN120"/>
    <mergeCell ref="B130:M130"/>
    <mergeCell ref="B129:M129"/>
    <mergeCell ref="B128:M128"/>
    <mergeCell ref="B127:M127"/>
    <mergeCell ref="B125:M125"/>
    <mergeCell ref="A121:F121"/>
    <mergeCell ref="G121:K121"/>
    <mergeCell ref="N121:R121"/>
    <mergeCell ref="I122:P122"/>
    <mergeCell ref="B22:E22"/>
    <mergeCell ref="U144:AN146"/>
    <mergeCell ref="A93:T95"/>
    <mergeCell ref="A111:C111"/>
    <mergeCell ref="D111:T111"/>
    <mergeCell ref="A115:D115"/>
    <mergeCell ref="A118:T118"/>
    <mergeCell ref="A119:C120"/>
    <mergeCell ref="D119:F120"/>
    <mergeCell ref="G119:H120"/>
    <mergeCell ref="I119:L120"/>
    <mergeCell ref="M119:T120"/>
    <mergeCell ref="U121:Z121"/>
    <mergeCell ref="AA121:AE121"/>
    <mergeCell ref="AH121:AL121"/>
    <mergeCell ref="U123:AB123"/>
    <mergeCell ref="AI123:AJ123"/>
    <mergeCell ref="V126:AB126"/>
    <mergeCell ref="AC126:AD126"/>
    <mergeCell ref="V128:AB128"/>
    <mergeCell ref="U104:AN106"/>
    <mergeCell ref="Z107:AI107"/>
    <mergeCell ref="Z108:AI108"/>
    <mergeCell ref="A146:T146"/>
    <mergeCell ref="U102:AN103"/>
    <mergeCell ref="A102:T103"/>
    <mergeCell ref="U111:W111"/>
    <mergeCell ref="X111:AN111"/>
    <mergeCell ref="U118:AN118"/>
    <mergeCell ref="B27:N27"/>
    <mergeCell ref="B23:N23"/>
    <mergeCell ref="B24:N24"/>
    <mergeCell ref="B25:N25"/>
    <mergeCell ref="B26:N26"/>
    <mergeCell ref="Z109:AI109"/>
    <mergeCell ref="U112:W112"/>
    <mergeCell ref="X112:AN112"/>
    <mergeCell ref="U113:W113"/>
    <mergeCell ref="X113:AN113"/>
    <mergeCell ref="U115:X115"/>
    <mergeCell ref="Y115:AC115"/>
    <mergeCell ref="AE115:AL115"/>
    <mergeCell ref="A104:T106"/>
    <mergeCell ref="F107:O107"/>
    <mergeCell ref="F108:O108"/>
    <mergeCell ref="F109:O109"/>
    <mergeCell ref="A112:C112"/>
    <mergeCell ref="D112:T112"/>
  </mergeCells>
  <dataValidations count="2">
    <dataValidation type="list" allowBlank="1" showInputMessage="1" showErrorMessage="1" sqref="AT102:BC102 Z107:AI107 Z4:AI4" xr:uid="{00000000-0002-0000-0600-000000000000}">
      <formula1>$BW$5:$BW$6</formula1>
    </dataValidation>
    <dataValidation type="list" allowBlank="1" showInputMessage="1" showErrorMessage="1" sqref="V31:AE32" xr:uid="{873B8DE3-FD12-4E88-8F82-4CA6872FDEBB}">
      <formula1>$BO$30:$BO$32</formula1>
    </dataValidation>
  </dataValidations>
  <printOptions horizontalCentered="1" verticalCentered="1"/>
  <pageMargins left="0.70866141732283472" right="0.70866141732283472" top="0.74803149606299213" bottom="0.74803149606299213" header="0.31496062992125984" footer="0.31496062992125984"/>
  <pageSetup paperSize="9" scale="84" fitToHeight="0" orientation="portrait" r:id="rId1"/>
  <rowBreaks count="3" manualBreakCount="3">
    <brk id="49" max="19" man="1"/>
    <brk id="100" max="19" man="1"/>
    <brk id="156" max="19" man="1"/>
  </rowBreaks>
  <colBreaks count="1" manualBreakCount="1">
    <brk id="20"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A218-C80E-4B35-9588-63C53E88B9C9}">
  <sheetPr codeName="Arkusz7">
    <tabColor rgb="FF00B050"/>
    <pageSetUpPr fitToPage="1"/>
  </sheetPr>
  <dimension ref="A1:AW80"/>
  <sheetViews>
    <sheetView view="pageBreakPreview" topLeftCell="A94" zoomScale="130" zoomScaleNormal="70" zoomScaleSheetLayoutView="130" zoomScalePageLayoutView="85" workbookViewId="0">
      <selection activeCell="R71" sqref="R71"/>
    </sheetView>
  </sheetViews>
  <sheetFormatPr defaultColWidth="2.85546875" defaultRowHeight="15"/>
  <cols>
    <col min="14" max="15" width="3.85546875" customWidth="1"/>
    <col min="16" max="16" width="7.7109375" customWidth="1"/>
    <col min="17" max="17" width="4.140625" customWidth="1"/>
    <col min="18" max="19" width="3.85546875" customWidth="1"/>
    <col min="20" max="20" width="7.7109375" customWidth="1"/>
    <col min="21" max="21" width="4.28515625" bestFit="1" customWidth="1"/>
    <col min="22" max="24" width="3.85546875" customWidth="1"/>
    <col min="25" max="25" width="3.7109375" customWidth="1"/>
    <col min="26" max="26" width="3.5703125" customWidth="1"/>
    <col min="28" max="28" width="6.42578125" bestFit="1" customWidth="1"/>
    <col min="35" max="35" width="20.7109375" customWidth="1"/>
    <col min="36" max="36" width="23.7109375" bestFit="1" customWidth="1"/>
    <col min="37" max="37" width="21.140625" bestFit="1" customWidth="1"/>
    <col min="38" max="38" width="22.28515625" bestFit="1" customWidth="1"/>
    <col min="39" max="39" width="26.140625" bestFit="1" customWidth="1"/>
    <col min="40" max="40" width="16.85546875" customWidth="1"/>
    <col min="41" max="41" width="5" bestFit="1" customWidth="1"/>
    <col min="47" max="49" width="11.140625" customWidth="1"/>
  </cols>
  <sheetData>
    <row r="1" spans="1:49">
      <c r="A1" s="1088" t="s">
        <v>900</v>
      </c>
      <c r="B1" s="1088"/>
      <c r="C1" s="1088"/>
      <c r="D1" s="1088"/>
      <c r="E1" s="1088"/>
      <c r="F1" s="1088"/>
      <c r="G1" s="1091">
        <f ca="1">TODAY()+1</f>
        <v>45307</v>
      </c>
      <c r="H1" s="1091"/>
      <c r="I1" s="1091"/>
      <c r="J1" s="1091"/>
      <c r="K1" s="1092" t="s">
        <v>974</v>
      </c>
      <c r="L1" s="1092"/>
      <c r="M1" s="1092"/>
      <c r="N1" s="1092"/>
      <c r="O1" s="72"/>
      <c r="P1" s="72"/>
      <c r="Q1" s="72"/>
      <c r="R1" s="1089" t="s">
        <v>915</v>
      </c>
      <c r="S1" s="1089"/>
      <c r="T1" s="1089"/>
      <c r="U1" s="1089"/>
      <c r="V1" s="1089"/>
      <c r="W1" s="1089"/>
      <c r="X1" s="1089"/>
      <c r="Y1" s="1089"/>
      <c r="Z1" s="1089"/>
      <c r="AA1" s="1089"/>
      <c r="AB1" s="1089"/>
      <c r="AC1" t="s">
        <v>1016</v>
      </c>
      <c r="AI1" t="s">
        <v>375</v>
      </c>
      <c r="AJ1" t="s">
        <v>376</v>
      </c>
      <c r="AK1" t="s">
        <v>377</v>
      </c>
      <c r="AL1" t="s">
        <v>451</v>
      </c>
      <c r="AM1" t="s">
        <v>454</v>
      </c>
      <c r="AN1" t="e">
        <f>IF(W56="trójkąt 15st poziomo","na krótszym boku",IF(W56="trójkąt 35st poziomo","na krótszym boku","na dłuższym boku"))</f>
        <v>#N/A</v>
      </c>
      <c r="AU1" t="s">
        <v>378</v>
      </c>
      <c r="AV1" t="s">
        <v>379</v>
      </c>
      <c r="AW1" t="s">
        <v>380</v>
      </c>
    </row>
    <row r="2" spans="1:49">
      <c r="A2" s="1087" t="s">
        <v>605</v>
      </c>
      <c r="B2" s="1087"/>
      <c r="C2" s="1087"/>
      <c r="D2" s="1087"/>
      <c r="E2" s="1087"/>
      <c r="F2" s="1087"/>
      <c r="G2" s="1090">
        <f>'Protokół odbioru'!D8</f>
        <v>0</v>
      </c>
      <c r="H2" s="1090"/>
      <c r="I2" s="1090"/>
      <c r="J2" s="1090"/>
      <c r="K2" s="1090"/>
      <c r="L2" s="1090"/>
      <c r="M2" s="1090"/>
      <c r="N2" s="1090"/>
      <c r="O2" s="1090"/>
      <c r="P2" s="1090"/>
      <c r="Q2" s="1090"/>
      <c r="R2" s="1090"/>
      <c r="S2" s="1090"/>
      <c r="T2" s="1090"/>
      <c r="U2" s="1090"/>
      <c r="V2" s="1090"/>
      <c r="W2" s="1090"/>
      <c r="X2" s="1090"/>
      <c r="Y2" s="1090"/>
      <c r="Z2" s="1090"/>
      <c r="AA2" s="1090"/>
      <c r="AB2" s="1090"/>
      <c r="AC2" t="s">
        <v>974</v>
      </c>
      <c r="AI2" t="s">
        <v>381</v>
      </c>
      <c r="AJ2" t="s">
        <v>381</v>
      </c>
      <c r="AK2" t="s">
        <v>382</v>
      </c>
      <c r="AL2" t="s">
        <v>452</v>
      </c>
      <c r="AM2" t="s">
        <v>381</v>
      </c>
      <c r="AN2" t="s">
        <v>383</v>
      </c>
      <c r="AO2">
        <f>(Q7+20)/1000</f>
        <v>1.1539999999999999</v>
      </c>
      <c r="AU2">
        <v>35</v>
      </c>
      <c r="AV2" t="s">
        <v>384</v>
      </c>
      <c r="AW2" t="s">
        <v>385</v>
      </c>
    </row>
    <row r="3" spans="1:49">
      <c r="A3" s="1087" t="s">
        <v>898</v>
      </c>
      <c r="B3" s="1087"/>
      <c r="C3" s="1087"/>
      <c r="D3" s="1087"/>
      <c r="E3" s="1087"/>
      <c r="F3" s="1087"/>
      <c r="G3" s="1090">
        <f>'Protokół odbioru'!D9</f>
        <v>0</v>
      </c>
      <c r="H3" s="1090"/>
      <c r="I3" s="1090"/>
      <c r="J3" s="1090"/>
      <c r="K3" s="1090"/>
      <c r="L3" s="1090"/>
      <c r="M3" s="1090"/>
      <c r="N3" s="1090"/>
      <c r="O3" s="1090"/>
      <c r="P3" s="1090"/>
      <c r="Q3" s="1090"/>
      <c r="R3" s="1090"/>
      <c r="S3" s="1090"/>
      <c r="T3" s="1090"/>
      <c r="U3" s="1090"/>
      <c r="V3" s="1090"/>
      <c r="W3" s="1090"/>
      <c r="X3" s="1090"/>
      <c r="Y3" s="1090"/>
      <c r="Z3" s="1090"/>
      <c r="AA3" s="1090"/>
      <c r="AB3" s="1090"/>
      <c r="AC3" t="s">
        <v>974</v>
      </c>
      <c r="AI3" s="309" t="s">
        <v>662</v>
      </c>
      <c r="AJ3" s="308" t="s">
        <v>662</v>
      </c>
      <c r="AK3" t="s">
        <v>388</v>
      </c>
      <c r="AL3" t="s">
        <v>103</v>
      </c>
      <c r="AM3" s="308" t="s">
        <v>662</v>
      </c>
      <c r="AN3" t="s">
        <v>389</v>
      </c>
      <c r="AO3">
        <f>(J7+20)/1000</f>
        <v>2.298</v>
      </c>
      <c r="AU3">
        <v>40</v>
      </c>
      <c r="AV3" t="s">
        <v>390</v>
      </c>
      <c r="AW3" t="s">
        <v>391</v>
      </c>
    </row>
    <row r="4" spans="1:49">
      <c r="A4" s="1087" t="s">
        <v>899</v>
      </c>
      <c r="B4" s="1087"/>
      <c r="C4" s="1087"/>
      <c r="D4" s="1087"/>
      <c r="E4" s="1087"/>
      <c r="F4" s="1087"/>
      <c r="G4" s="1090">
        <f>'Protokół odbioru'!D10</f>
        <v>0</v>
      </c>
      <c r="H4" s="1090"/>
      <c r="I4" s="1090"/>
      <c r="J4" s="1090"/>
      <c r="K4" s="1090"/>
      <c r="L4" s="1090"/>
      <c r="M4" s="1090"/>
      <c r="N4" s="1090"/>
      <c r="O4" s="1090"/>
      <c r="P4" s="1090"/>
      <c r="Q4" s="1090"/>
      <c r="R4" s="1090"/>
      <c r="S4" s="1090"/>
      <c r="T4" s="1090"/>
      <c r="U4" s="1090"/>
      <c r="V4" s="1090"/>
      <c r="W4" s="1090"/>
      <c r="X4" s="1090"/>
      <c r="Y4" s="1090"/>
      <c r="Z4" s="1090"/>
      <c r="AA4" s="1090"/>
      <c r="AB4" s="1090"/>
      <c r="AC4" t="s">
        <v>974</v>
      </c>
      <c r="AI4" s="97" t="s">
        <v>401</v>
      </c>
      <c r="AJ4" s="97" t="s">
        <v>401</v>
      </c>
      <c r="AL4" t="s">
        <v>453</v>
      </c>
      <c r="AM4" s="97" t="s">
        <v>401</v>
      </c>
      <c r="AU4">
        <v>32</v>
      </c>
      <c r="AV4" t="s">
        <v>938</v>
      </c>
      <c r="AW4" t="s">
        <v>385</v>
      </c>
    </row>
    <row r="5" spans="1:49">
      <c r="A5" t="s">
        <v>177</v>
      </c>
      <c r="H5" s="941" t="str">
        <f>PV!P71</f>
        <v>Dachówka</v>
      </c>
      <c r="I5" s="941"/>
      <c r="J5" s="941"/>
      <c r="K5" s="941"/>
      <c r="L5" s="941"/>
      <c r="M5" s="941"/>
      <c r="N5" s="941"/>
      <c r="O5" s="941"/>
      <c r="P5" s="941"/>
      <c r="Q5" s="941"/>
      <c r="R5" s="941"/>
      <c r="AC5" t="s">
        <v>974</v>
      </c>
      <c r="AI5" t="s">
        <v>393</v>
      </c>
      <c r="AJ5" t="s">
        <v>393</v>
      </c>
      <c r="AL5" t="s">
        <v>393</v>
      </c>
      <c r="AM5" t="s">
        <v>393</v>
      </c>
      <c r="AU5">
        <v>30</v>
      </c>
      <c r="AV5" t="s">
        <v>938</v>
      </c>
      <c r="AW5" t="s">
        <v>385</v>
      </c>
    </row>
    <row r="6" spans="1:49">
      <c r="A6" t="s">
        <v>425</v>
      </c>
      <c r="H6" s="941" t="str">
        <f>PV!J84</f>
        <v>TW Solar TW555-MAP M10-144-H</v>
      </c>
      <c r="I6" s="941"/>
      <c r="J6" s="941"/>
      <c r="K6" s="941"/>
      <c r="L6" s="941"/>
      <c r="M6" s="941"/>
      <c r="N6" s="941"/>
      <c r="O6" s="941"/>
      <c r="P6" s="941"/>
      <c r="Q6" s="941"/>
      <c r="R6" s="941"/>
      <c r="S6" s="1045">
        <f>PV!B84</f>
        <v>24</v>
      </c>
      <c r="T6" s="941"/>
      <c r="U6" t="s">
        <v>60</v>
      </c>
      <c r="V6" s="72" t="str">
        <f>PV!G227</f>
        <v>Rozłącznik ppoż PROJOY 2-stringi</v>
      </c>
      <c r="W6" s="72"/>
      <c r="X6" s="72"/>
      <c r="Y6" s="72"/>
      <c r="Z6" s="212">
        <f>PV!R227</f>
        <v>1</v>
      </c>
      <c r="AI6" s="97" t="s">
        <v>394</v>
      </c>
      <c r="AM6" s="97" t="s">
        <v>394</v>
      </c>
    </row>
    <row r="7" spans="1:49" ht="14.45" customHeight="1">
      <c r="A7" t="s">
        <v>395</v>
      </c>
      <c r="H7" t="s">
        <v>396</v>
      </c>
      <c r="J7" s="941">
        <f>VLOOKUP(panel,[1]!Panele[#All],MATCH("wysokość",[1]!Panele[#Headers],0),FALSE)</f>
        <v>2278</v>
      </c>
      <c r="K7" s="941"/>
      <c r="L7" s="941"/>
      <c r="M7" t="s">
        <v>397</v>
      </c>
      <c r="O7" t="s">
        <v>398</v>
      </c>
      <c r="Q7" s="941">
        <f>VLOOKUP(panel,[1]!Panele[#All],MATCH("szerokość",[1]!Panele[#Headers],0),FALSE)</f>
        <v>1134</v>
      </c>
      <c r="R7" s="941"/>
      <c r="S7" s="941"/>
      <c r="T7" t="s">
        <v>397</v>
      </c>
      <c r="V7" t="s">
        <v>399</v>
      </c>
      <c r="W7" s="941">
        <f>VLOOKUP(panel,[1]!Panele[#All],MATCH("grubość",[1]!Panele[#Headers],0),FALSE)</f>
        <v>35</v>
      </c>
      <c r="X7" s="941"/>
      <c r="Y7" t="s">
        <v>397</v>
      </c>
      <c r="AI7" t="s">
        <v>387</v>
      </c>
      <c r="AJ7" t="s">
        <v>392</v>
      </c>
      <c r="AM7" t="s">
        <v>387</v>
      </c>
      <c r="AN7">
        <v>0</v>
      </c>
    </row>
    <row r="8" spans="1:49">
      <c r="A8" t="s">
        <v>400</v>
      </c>
      <c r="H8" s="941" t="e">
        <f>VLOOKUP(AN1,AN2:AO3,2,FALSE)</f>
        <v>#N/A</v>
      </c>
      <c r="I8" s="941"/>
      <c r="J8" t="s">
        <v>86</v>
      </c>
      <c r="AI8" t="s">
        <v>386</v>
      </c>
      <c r="AJ8" t="s">
        <v>401</v>
      </c>
      <c r="AM8" t="s">
        <v>386</v>
      </c>
    </row>
    <row r="9" spans="1:49">
      <c r="A9" s="1086" t="s">
        <v>920</v>
      </c>
      <c r="B9" s="1086"/>
      <c r="C9" s="1086"/>
      <c r="D9" s="1086"/>
      <c r="E9" s="1086"/>
      <c r="F9" s="1086"/>
      <c r="G9" s="1086">
        <f>PV!AJ97</f>
        <v>18</v>
      </c>
      <c r="H9" s="1086"/>
      <c r="I9" s="1086"/>
      <c r="J9" s="1086" t="s">
        <v>921</v>
      </c>
      <c r="K9" s="1086"/>
      <c r="L9" s="1086"/>
      <c r="M9" s="1086"/>
      <c r="N9" s="1086"/>
      <c r="O9" s="1086"/>
      <c r="P9" s="1086">
        <f>PV!AL97</f>
        <v>18</v>
      </c>
      <c r="Q9" s="1086"/>
      <c r="AI9" t="s">
        <v>663</v>
      </c>
      <c r="AJ9" t="s">
        <v>408</v>
      </c>
      <c r="AM9" t="s">
        <v>407</v>
      </c>
    </row>
    <row r="10" spans="1:49" ht="16.5" customHeight="1" thickBot="1">
      <c r="AI10" t="s">
        <v>662</v>
      </c>
      <c r="AJ10" t="s">
        <v>663</v>
      </c>
      <c r="AM10" t="s">
        <v>409</v>
      </c>
    </row>
    <row r="11" spans="1:49" ht="15.75" customHeight="1" thickBot="1">
      <c r="A11" s="1078" t="s">
        <v>461</v>
      </c>
      <c r="B11" s="1079"/>
      <c r="C11" s="1079"/>
      <c r="D11" s="1079"/>
      <c r="E11" s="1079"/>
      <c r="F11" s="1079"/>
      <c r="G11" s="1079"/>
      <c r="H11" s="1079"/>
      <c r="I11" s="1079"/>
      <c r="J11" s="1079"/>
      <c r="K11" s="1079"/>
      <c r="L11" s="1080"/>
      <c r="M11" s="1073" t="s">
        <v>901</v>
      </c>
      <c r="N11" s="1074"/>
      <c r="O11" s="1080" t="s">
        <v>245</v>
      </c>
      <c r="P11" s="1071" t="s">
        <v>902</v>
      </c>
      <c r="Q11" s="1072"/>
      <c r="R11" s="1050" t="s">
        <v>911</v>
      </c>
      <c r="S11" s="1051"/>
      <c r="T11" s="1058" t="s">
        <v>916</v>
      </c>
      <c r="U11" s="1059"/>
      <c r="V11" s="1054" t="s">
        <v>456</v>
      </c>
      <c r="W11" s="1060" t="s">
        <v>903</v>
      </c>
      <c r="X11" s="1061"/>
      <c r="Y11" s="1061"/>
      <c r="Z11" s="1061"/>
      <c r="AA11" s="1061"/>
      <c r="AB11" s="1062"/>
    </row>
    <row r="12" spans="1:49" ht="18" customHeight="1" thickBot="1">
      <c r="A12" s="1081"/>
      <c r="B12" s="1082"/>
      <c r="C12" s="1082"/>
      <c r="D12" s="1082"/>
      <c r="E12" s="1082"/>
      <c r="F12" s="1082"/>
      <c r="G12" s="1082"/>
      <c r="H12" s="1082"/>
      <c r="I12" s="1082"/>
      <c r="J12" s="1082"/>
      <c r="K12" s="1082"/>
      <c r="L12" s="1083"/>
      <c r="M12" s="1075"/>
      <c r="N12" s="1076"/>
      <c r="O12" s="1083"/>
      <c r="P12" s="257" t="s">
        <v>225</v>
      </c>
      <c r="Q12" s="258" t="s">
        <v>144</v>
      </c>
      <c r="R12" s="1052"/>
      <c r="S12" s="1053"/>
      <c r="T12" s="259" t="s">
        <v>225</v>
      </c>
      <c r="U12" s="260" t="s">
        <v>144</v>
      </c>
      <c r="V12" s="1055"/>
      <c r="W12" s="1063"/>
      <c r="X12" s="1064"/>
      <c r="Y12" s="1064"/>
      <c r="Z12" s="1064"/>
      <c r="AA12" s="1064"/>
      <c r="AB12" s="1065"/>
      <c r="AI12" t="s">
        <v>401</v>
      </c>
      <c r="AJ12" t="s">
        <v>662</v>
      </c>
      <c r="AM12" t="s">
        <v>392</v>
      </c>
    </row>
    <row r="13" spans="1:49" ht="18" customHeight="1">
      <c r="A13" s="1046" t="str">
        <f>$N$56</f>
        <v>klema końcowa 35mm</v>
      </c>
      <c r="B13" s="1047"/>
      <c r="C13" s="1047"/>
      <c r="D13" s="1047"/>
      <c r="E13" s="1047"/>
      <c r="F13" s="1047"/>
      <c r="G13" s="1047"/>
      <c r="H13" s="1047"/>
      <c r="I13" s="1047"/>
      <c r="J13" s="1047"/>
      <c r="K13" s="1047"/>
      <c r="L13" s="1077"/>
      <c r="M13" s="1046">
        <f>N68</f>
        <v>8</v>
      </c>
      <c r="N13" s="1047"/>
      <c r="O13" s="252"/>
      <c r="P13" s="250"/>
      <c r="Q13" s="251"/>
      <c r="R13" s="1056"/>
      <c r="S13" s="1057"/>
      <c r="T13" s="250"/>
      <c r="U13" s="251"/>
      <c r="V13" s="94" t="s">
        <v>203</v>
      </c>
      <c r="W13" s="1066"/>
      <c r="X13" s="1067"/>
      <c r="Y13" s="1067"/>
      <c r="Z13" s="1067"/>
      <c r="AA13" s="1067"/>
      <c r="AB13" s="1068"/>
      <c r="AI13" t="s">
        <v>410</v>
      </c>
      <c r="AJ13" t="s">
        <v>407</v>
      </c>
      <c r="AM13" t="s">
        <v>410</v>
      </c>
    </row>
    <row r="14" spans="1:49" ht="18" customHeight="1">
      <c r="A14" s="1048" t="str">
        <f>$O$56</f>
        <v>klema środkowa</v>
      </c>
      <c r="B14" s="1049"/>
      <c r="C14" s="1049"/>
      <c r="D14" s="1049"/>
      <c r="E14" s="1049"/>
      <c r="F14" s="1049"/>
      <c r="G14" s="1049"/>
      <c r="H14" s="1049"/>
      <c r="I14" s="1049"/>
      <c r="J14" s="1049"/>
      <c r="K14" s="1049"/>
      <c r="L14" s="1093"/>
      <c r="M14" s="1048">
        <f>O68</f>
        <v>4</v>
      </c>
      <c r="N14" s="1049"/>
      <c r="O14" s="253"/>
      <c r="P14" s="242"/>
      <c r="Q14" s="243"/>
      <c r="R14" s="1084"/>
      <c r="S14" s="1085"/>
      <c r="T14" s="250"/>
      <c r="U14" s="251"/>
      <c r="V14" s="241" t="s">
        <v>203</v>
      </c>
      <c r="W14" s="1069"/>
      <c r="X14" s="1036"/>
      <c r="Y14" s="1036"/>
      <c r="Z14" s="1036"/>
      <c r="AA14" s="1036"/>
      <c r="AB14" s="1070"/>
      <c r="AI14" t="s">
        <v>394</v>
      </c>
      <c r="AJ14" t="s">
        <v>386</v>
      </c>
      <c r="AM14" t="s">
        <v>394</v>
      </c>
    </row>
    <row r="15" spans="1:49" ht="18" customHeight="1">
      <c r="A15" s="1048" t="str">
        <f>$P$56</f>
        <v>śruba imbusowa 25mm</v>
      </c>
      <c r="B15" s="1049"/>
      <c r="C15" s="1049"/>
      <c r="D15" s="1049"/>
      <c r="E15" s="1049"/>
      <c r="F15" s="1049"/>
      <c r="G15" s="1049"/>
      <c r="H15" s="1049"/>
      <c r="I15" s="1049"/>
      <c r="J15" s="1049"/>
      <c r="K15" s="1049"/>
      <c r="L15" s="1093"/>
      <c r="M15" s="1048">
        <f>P68</f>
        <v>12</v>
      </c>
      <c r="N15" s="1049"/>
      <c r="O15" s="253"/>
      <c r="P15" s="242"/>
      <c r="Q15" s="243"/>
      <c r="R15" s="1084"/>
      <c r="S15" s="1085"/>
      <c r="T15" s="250"/>
      <c r="U15" s="251"/>
      <c r="V15" s="241" t="s">
        <v>203</v>
      </c>
      <c r="W15" s="1069"/>
      <c r="X15" s="1036"/>
      <c r="Y15" s="1036"/>
      <c r="Z15" s="1036"/>
      <c r="AA15" s="1036"/>
      <c r="AB15" s="1070"/>
      <c r="AI15" t="s">
        <v>411</v>
      </c>
      <c r="AM15" t="s">
        <v>411</v>
      </c>
    </row>
    <row r="16" spans="1:49" ht="18" customHeight="1">
      <c r="A16" s="1048" t="str">
        <f>$Q$56</f>
        <v>wpust przesuwny</v>
      </c>
      <c r="B16" s="1049"/>
      <c r="C16" s="1049"/>
      <c r="D16" s="1049"/>
      <c r="E16" s="1049"/>
      <c r="F16" s="1049"/>
      <c r="G16" s="1049"/>
      <c r="H16" s="1049"/>
      <c r="I16" s="1049"/>
      <c r="J16" s="1049"/>
      <c r="K16" s="1049"/>
      <c r="L16" s="1093"/>
      <c r="M16" s="1048">
        <f>Q68</f>
        <v>12</v>
      </c>
      <c r="N16" s="1049"/>
      <c r="O16" s="253"/>
      <c r="P16" s="242"/>
      <c r="Q16" s="243"/>
      <c r="R16" s="1084"/>
      <c r="S16" s="1085"/>
      <c r="T16" s="250"/>
      <c r="U16" s="251"/>
      <c r="V16" s="241" t="s">
        <v>203</v>
      </c>
      <c r="W16" s="1069"/>
      <c r="X16" s="1036"/>
      <c r="Y16" s="1036"/>
      <c r="Z16" s="1036"/>
      <c r="AA16" s="1036"/>
      <c r="AB16" s="1070"/>
      <c r="AM16" t="s">
        <v>455</v>
      </c>
    </row>
    <row r="17" spans="1:28" ht="18" customHeight="1">
      <c r="A17" s="1048" t="str">
        <f>$R$56</f>
        <v>profil aluminiowy 3300mm</v>
      </c>
      <c r="B17" s="1049"/>
      <c r="C17" s="1049"/>
      <c r="D17" s="1049"/>
      <c r="E17" s="1049"/>
      <c r="F17" s="1049"/>
      <c r="G17" s="1049"/>
      <c r="H17" s="1049"/>
      <c r="I17" s="1049"/>
      <c r="J17" s="1049"/>
      <c r="K17" s="1049"/>
      <c r="L17" s="1093"/>
      <c r="M17" s="1048">
        <f>R68</f>
        <v>3</v>
      </c>
      <c r="N17" s="1049"/>
      <c r="O17" s="253"/>
      <c r="P17" s="242"/>
      <c r="Q17" s="243"/>
      <c r="R17" s="1084"/>
      <c r="S17" s="1085"/>
      <c r="T17" s="250"/>
      <c r="U17" s="251"/>
      <c r="V17" s="241" t="s">
        <v>203</v>
      </c>
      <c r="W17" s="1069"/>
      <c r="X17" s="1036"/>
      <c r="Y17" s="1036"/>
      <c r="Z17" s="1036"/>
      <c r="AA17" s="1036"/>
      <c r="AB17" s="1070"/>
    </row>
    <row r="18" spans="1:28" ht="18" customHeight="1">
      <c r="A18" s="1048" t="str">
        <f>$S$56</f>
        <v>łącznik profili montażowych</v>
      </c>
      <c r="B18" s="1049"/>
      <c r="C18" s="1049"/>
      <c r="D18" s="1049"/>
      <c r="E18" s="1049"/>
      <c r="F18" s="1049"/>
      <c r="G18" s="1049"/>
      <c r="H18" s="1049"/>
      <c r="I18" s="1049"/>
      <c r="J18" s="1049"/>
      <c r="K18" s="1049"/>
      <c r="L18" s="1093"/>
      <c r="M18" s="1048">
        <f>S68</f>
        <v>0</v>
      </c>
      <c r="N18" s="1049"/>
      <c r="O18" s="253"/>
      <c r="P18" s="242"/>
      <c r="Q18" s="243"/>
      <c r="R18" s="1084"/>
      <c r="S18" s="1085"/>
      <c r="T18" s="250"/>
      <c r="U18" s="251"/>
      <c r="V18" s="241" t="s">
        <v>203</v>
      </c>
      <c r="W18" s="1069"/>
      <c r="X18" s="1036"/>
      <c r="Y18" s="1036"/>
      <c r="Z18" s="1036"/>
      <c r="AA18" s="1036"/>
      <c r="AB18" s="1070"/>
    </row>
    <row r="19" spans="1:28" ht="18" customHeight="1">
      <c r="A19" s="1048" t="str">
        <f>$T$56</f>
        <v>śruba teowa M10 30mm</v>
      </c>
      <c r="B19" s="1049"/>
      <c r="C19" s="1049"/>
      <c r="D19" s="1049"/>
      <c r="E19" s="1049"/>
      <c r="F19" s="1049"/>
      <c r="G19" s="1049"/>
      <c r="H19" s="1049"/>
      <c r="I19" s="1049"/>
      <c r="J19" s="1049"/>
      <c r="K19" s="1049"/>
      <c r="L19" s="1093"/>
      <c r="M19" s="1048">
        <f>T68</f>
        <v>12</v>
      </c>
      <c r="N19" s="1049"/>
      <c r="O19" s="253"/>
      <c r="P19" s="242"/>
      <c r="Q19" s="243"/>
      <c r="R19" s="1084"/>
      <c r="S19" s="1085"/>
      <c r="T19" s="250"/>
      <c r="U19" s="251"/>
      <c r="V19" s="241" t="s">
        <v>203</v>
      </c>
      <c r="W19" s="1069"/>
      <c r="X19" s="1036"/>
      <c r="Y19" s="1036"/>
      <c r="Z19" s="1036"/>
      <c r="AA19" s="1036"/>
      <c r="AB19" s="1070"/>
    </row>
    <row r="20" spans="1:28" ht="18" customHeight="1">
      <c r="A20" s="1048" t="str">
        <f>$U$56</f>
        <v>nakrętka M10</v>
      </c>
      <c r="B20" s="1049"/>
      <c r="C20" s="1049"/>
      <c r="D20" s="1049"/>
      <c r="E20" s="1049"/>
      <c r="F20" s="1049"/>
      <c r="G20" s="1049"/>
      <c r="H20" s="1049"/>
      <c r="I20" s="1049"/>
      <c r="J20" s="1049"/>
      <c r="K20" s="1049"/>
      <c r="L20" s="1093"/>
      <c r="M20" s="1048">
        <f>U68</f>
        <v>30</v>
      </c>
      <c r="N20" s="1049"/>
      <c r="O20" s="253"/>
      <c r="P20" s="242"/>
      <c r="Q20" s="243"/>
      <c r="R20" s="1084"/>
      <c r="S20" s="1085"/>
      <c r="T20" s="250"/>
      <c r="U20" s="251"/>
      <c r="V20" s="241" t="s">
        <v>203</v>
      </c>
      <c r="W20" s="1069"/>
      <c r="X20" s="1036"/>
      <c r="Y20" s="1036"/>
      <c r="Z20" s="1036"/>
      <c r="AA20" s="1036"/>
      <c r="AB20" s="1070"/>
    </row>
    <row r="21" spans="1:28" ht="18" customHeight="1">
      <c r="A21" s="1048" t="e">
        <f>$V$56</f>
        <v>#N/A</v>
      </c>
      <c r="B21" s="1049"/>
      <c r="C21" s="1049"/>
      <c r="D21" s="1049"/>
      <c r="E21" s="1049"/>
      <c r="F21" s="1049"/>
      <c r="G21" s="1049"/>
      <c r="H21" s="1049"/>
      <c r="I21" s="1049"/>
      <c r="J21" s="1049"/>
      <c r="K21" s="1049"/>
      <c r="L21" s="1093"/>
      <c r="M21" s="1048">
        <f>V68</f>
        <v>18</v>
      </c>
      <c r="N21" s="1049"/>
      <c r="O21" s="253"/>
      <c r="P21" s="242"/>
      <c r="Q21" s="243"/>
      <c r="R21" s="1084"/>
      <c r="S21" s="1085"/>
      <c r="T21" s="250"/>
      <c r="U21" s="251"/>
      <c r="V21" s="241" t="s">
        <v>203</v>
      </c>
      <c r="W21" s="1069"/>
      <c r="X21" s="1036"/>
      <c r="Y21" s="1036"/>
      <c r="Z21" s="1036"/>
      <c r="AA21" s="1036"/>
      <c r="AB21" s="1070"/>
    </row>
    <row r="22" spans="1:28" ht="18" customHeight="1">
      <c r="A22" s="1048" t="e">
        <f>$W$56</f>
        <v>#N/A</v>
      </c>
      <c r="B22" s="1049"/>
      <c r="C22" s="1049"/>
      <c r="D22" s="1049"/>
      <c r="E22" s="1049"/>
      <c r="F22" s="1049"/>
      <c r="G22" s="1049"/>
      <c r="H22" s="1049"/>
      <c r="I22" s="1049"/>
      <c r="J22" s="1049"/>
      <c r="K22" s="1049"/>
      <c r="L22" s="1093"/>
      <c r="M22" s="1048">
        <f>W68</f>
        <v>6</v>
      </c>
      <c r="N22" s="1049"/>
      <c r="O22" s="253"/>
      <c r="P22" s="242"/>
      <c r="Q22" s="243"/>
      <c r="R22" s="1084"/>
      <c r="S22" s="1085"/>
      <c r="T22" s="250"/>
      <c r="U22" s="251"/>
      <c r="V22" s="241" t="s">
        <v>203</v>
      </c>
      <c r="W22" s="1069"/>
      <c r="X22" s="1036"/>
      <c r="Y22" s="1036"/>
      <c r="Z22" s="1036"/>
      <c r="AA22" s="1036"/>
      <c r="AB22" s="1070"/>
    </row>
    <row r="23" spans="1:28" ht="18" customHeight="1">
      <c r="A23" s="1048" t="e">
        <f>$X$56</f>
        <v>#N/A</v>
      </c>
      <c r="B23" s="1049"/>
      <c r="C23" s="1049"/>
      <c r="D23" s="1049"/>
      <c r="E23" s="1049"/>
      <c r="F23" s="1049"/>
      <c r="G23" s="1049"/>
      <c r="H23" s="1049"/>
      <c r="I23" s="1049"/>
      <c r="J23" s="1049"/>
      <c r="K23" s="1049"/>
      <c r="L23" s="1093"/>
      <c r="M23" s="1048">
        <f>X68</f>
        <v>12</v>
      </c>
      <c r="N23" s="1049"/>
      <c r="O23" s="253"/>
      <c r="P23" s="242"/>
      <c r="Q23" s="243"/>
      <c r="R23" s="1084"/>
      <c r="S23" s="1085"/>
      <c r="T23" s="250"/>
      <c r="U23" s="251"/>
      <c r="V23" s="241" t="s">
        <v>203</v>
      </c>
      <c r="W23" s="1069"/>
      <c r="X23" s="1036"/>
      <c r="Y23" s="1036"/>
      <c r="Z23" s="1036"/>
      <c r="AA23" s="1036"/>
      <c r="AB23" s="1070"/>
    </row>
    <row r="24" spans="1:28" ht="18" customHeight="1">
      <c r="A24" s="1048" t="e">
        <f>$Y$56</f>
        <v>#N/A</v>
      </c>
      <c r="B24" s="1049"/>
      <c r="C24" s="1049"/>
      <c r="D24" s="1049"/>
      <c r="E24" s="1049"/>
      <c r="F24" s="1049"/>
      <c r="G24" s="1049"/>
      <c r="H24" s="1049"/>
      <c r="I24" s="1049"/>
      <c r="J24" s="1049"/>
      <c r="K24" s="1049"/>
      <c r="L24" s="1093"/>
      <c r="M24" s="1048">
        <f>Y68</f>
        <v>8</v>
      </c>
      <c r="N24" s="1049"/>
      <c r="O24" s="253"/>
      <c r="P24" s="242"/>
      <c r="Q24" s="243"/>
      <c r="R24" s="1084"/>
      <c r="S24" s="1085"/>
      <c r="T24" s="250"/>
      <c r="U24" s="251"/>
      <c r="V24" s="241" t="s">
        <v>203</v>
      </c>
      <c r="W24" s="1069"/>
      <c r="X24" s="1036"/>
      <c r="Y24" s="1036"/>
      <c r="Z24" s="1036"/>
      <c r="AA24" s="1036"/>
      <c r="AB24" s="1070"/>
    </row>
    <row r="25" spans="1:28" ht="18" customHeight="1" thickBot="1">
      <c r="A25" s="1097" t="e">
        <f>$Z$56</f>
        <v>#N/A</v>
      </c>
      <c r="B25" s="1098"/>
      <c r="C25" s="1098"/>
      <c r="D25" s="1098"/>
      <c r="E25" s="1098"/>
      <c r="F25" s="1098"/>
      <c r="G25" s="1098"/>
      <c r="H25" s="1098"/>
      <c r="I25" s="1098"/>
      <c r="J25" s="1098"/>
      <c r="K25" s="1098"/>
      <c r="L25" s="1099"/>
      <c r="M25" s="1097">
        <f>Z68</f>
        <v>12</v>
      </c>
      <c r="N25" s="1098"/>
      <c r="O25" s="254"/>
      <c r="P25" s="244"/>
      <c r="Q25" s="245"/>
      <c r="R25" s="1102"/>
      <c r="S25" s="1103"/>
      <c r="T25" s="255"/>
      <c r="U25" s="256"/>
      <c r="V25" s="248" t="s">
        <v>203</v>
      </c>
      <c r="W25" s="1112"/>
      <c r="X25" s="1113"/>
      <c r="Y25" s="1113"/>
      <c r="Z25" s="1113"/>
      <c r="AA25" s="1113"/>
      <c r="AB25" s="1128"/>
    </row>
    <row r="26" spans="1:28" ht="15.75" thickBot="1"/>
    <row r="27" spans="1:28" ht="15" customHeight="1">
      <c r="A27" s="1078" t="s">
        <v>904</v>
      </c>
      <c r="B27" s="1079"/>
      <c r="C27" s="1079"/>
      <c r="D27" s="1079"/>
      <c r="E27" s="1079"/>
      <c r="F27" s="1079"/>
      <c r="G27" s="1079"/>
      <c r="H27" s="1079"/>
      <c r="I27" s="1079"/>
      <c r="J27" s="1079"/>
      <c r="K27" s="1079"/>
      <c r="L27" s="1100"/>
      <c r="M27" s="1120" t="s">
        <v>901</v>
      </c>
      <c r="N27" s="1121"/>
      <c r="O27" s="1121"/>
      <c r="P27" s="1121"/>
      <c r="Q27" s="1122"/>
      <c r="R27" s="1114" t="s">
        <v>910</v>
      </c>
      <c r="S27" s="1115"/>
      <c r="T27" s="1129" t="s">
        <v>903</v>
      </c>
      <c r="U27" s="1054"/>
      <c r="V27" s="1054"/>
      <c r="W27" s="1054"/>
      <c r="X27" s="1054"/>
      <c r="Y27" s="1054"/>
      <c r="Z27" s="1054"/>
      <c r="AA27" s="1054"/>
      <c r="AB27" s="1130"/>
    </row>
    <row r="28" spans="1:28" ht="15.75" customHeight="1" thickBot="1">
      <c r="A28" s="1081"/>
      <c r="B28" s="1082"/>
      <c r="C28" s="1082"/>
      <c r="D28" s="1082"/>
      <c r="E28" s="1082"/>
      <c r="F28" s="1082"/>
      <c r="G28" s="1082"/>
      <c r="H28" s="1082"/>
      <c r="I28" s="1082"/>
      <c r="J28" s="1082"/>
      <c r="K28" s="1082"/>
      <c r="L28" s="1101"/>
      <c r="M28" s="1125" t="s">
        <v>225</v>
      </c>
      <c r="N28" s="1126"/>
      <c r="O28" s="1127"/>
      <c r="P28" s="1123" t="s">
        <v>144</v>
      </c>
      <c r="Q28" s="1124"/>
      <c r="R28" s="1116"/>
      <c r="S28" s="1117"/>
      <c r="T28" s="1131"/>
      <c r="U28" s="1055"/>
      <c r="V28" s="1055"/>
      <c r="W28" s="1055"/>
      <c r="X28" s="1055"/>
      <c r="Y28" s="1055"/>
      <c r="Z28" s="1055"/>
      <c r="AA28" s="1055"/>
      <c r="AB28" s="1132"/>
    </row>
    <row r="29" spans="1:28">
      <c r="A29" s="1094" t="s">
        <v>905</v>
      </c>
      <c r="B29" s="1095"/>
      <c r="C29" s="1095"/>
      <c r="D29" s="1095"/>
      <c r="E29" s="1095"/>
      <c r="F29" s="1095"/>
      <c r="G29" s="1095"/>
      <c r="H29" s="1095"/>
      <c r="I29" s="1095"/>
      <c r="J29" s="1095"/>
      <c r="K29" s="1095"/>
      <c r="L29" s="1096"/>
      <c r="M29" s="1066"/>
      <c r="N29" s="1067"/>
      <c r="O29" s="1067"/>
      <c r="P29" s="1067"/>
      <c r="Q29" s="1068"/>
      <c r="R29" s="1118"/>
      <c r="S29" s="1119"/>
      <c r="T29" s="1066"/>
      <c r="U29" s="1067"/>
      <c r="V29" s="1067"/>
      <c r="W29" s="1067"/>
      <c r="X29" s="1067"/>
      <c r="Y29" s="1067"/>
      <c r="Z29" s="1067"/>
      <c r="AA29" s="1067"/>
      <c r="AB29" s="1068"/>
    </row>
    <row r="30" spans="1:28">
      <c r="A30" s="1106" t="s">
        <v>906</v>
      </c>
      <c r="B30" s="1107"/>
      <c r="C30" s="1107"/>
      <c r="D30" s="1107"/>
      <c r="E30" s="1107"/>
      <c r="F30" s="1107"/>
      <c r="G30" s="1107"/>
      <c r="H30" s="1107"/>
      <c r="I30" s="1107"/>
      <c r="J30" s="1107"/>
      <c r="K30" s="1107"/>
      <c r="L30" s="1108"/>
      <c r="M30" s="1069"/>
      <c r="N30" s="1036"/>
      <c r="O30" s="1036"/>
      <c r="P30" s="1036"/>
      <c r="Q30" s="1070"/>
      <c r="R30" s="1030"/>
      <c r="S30" s="1028"/>
      <c r="T30" s="1069"/>
      <c r="U30" s="1036"/>
      <c r="V30" s="1036"/>
      <c r="W30" s="1036"/>
      <c r="X30" s="1036"/>
      <c r="Y30" s="1036"/>
      <c r="Z30" s="1036"/>
      <c r="AA30" s="1036"/>
      <c r="AB30" s="1070"/>
    </row>
    <row r="31" spans="1:28">
      <c r="A31" s="1106" t="s">
        <v>907</v>
      </c>
      <c r="B31" s="1107"/>
      <c r="C31" s="1107"/>
      <c r="D31" s="1107"/>
      <c r="E31" s="1107"/>
      <c r="F31" s="1107"/>
      <c r="G31" s="1107"/>
      <c r="H31" s="1107"/>
      <c r="I31" s="1107"/>
      <c r="J31" s="1107"/>
      <c r="K31" s="1107"/>
      <c r="L31" s="1108"/>
      <c r="M31" s="1069"/>
      <c r="N31" s="1036"/>
      <c r="O31" s="1036"/>
      <c r="P31" s="1036"/>
      <c r="Q31" s="1070"/>
      <c r="R31" s="1030"/>
      <c r="S31" s="1028"/>
      <c r="T31" s="1069"/>
      <c r="U31" s="1036"/>
      <c r="V31" s="1036"/>
      <c r="W31" s="1036"/>
      <c r="X31" s="1036"/>
      <c r="Y31" s="1036"/>
      <c r="Z31" s="1036"/>
      <c r="AA31" s="1036"/>
      <c r="AB31" s="1070"/>
    </row>
    <row r="32" spans="1:28">
      <c r="A32" s="1106" t="s">
        <v>908</v>
      </c>
      <c r="B32" s="1107"/>
      <c r="C32" s="1107"/>
      <c r="D32" s="1107"/>
      <c r="E32" s="1107"/>
      <c r="F32" s="1107"/>
      <c r="G32" s="1107"/>
      <c r="H32" s="1107"/>
      <c r="I32" s="1107"/>
      <c r="J32" s="1107"/>
      <c r="K32" s="1107"/>
      <c r="L32" s="1108"/>
      <c r="M32" s="1069"/>
      <c r="N32" s="1036"/>
      <c r="O32" s="1036"/>
      <c r="P32" s="1036"/>
      <c r="Q32" s="1070"/>
      <c r="R32" s="1030"/>
      <c r="S32" s="1028"/>
      <c r="T32" s="1069"/>
      <c r="U32" s="1036"/>
      <c r="V32" s="1036"/>
      <c r="W32" s="1036"/>
      <c r="X32" s="1036"/>
      <c r="Y32" s="1036"/>
      <c r="Z32" s="1036"/>
      <c r="AA32" s="1036"/>
      <c r="AB32" s="1070"/>
    </row>
    <row r="33" spans="1:28">
      <c r="A33" s="1106" t="s">
        <v>909</v>
      </c>
      <c r="B33" s="1107"/>
      <c r="C33" s="1107"/>
      <c r="D33" s="1107"/>
      <c r="E33" s="1107"/>
      <c r="F33" s="1107"/>
      <c r="G33" s="1107"/>
      <c r="H33" s="1107"/>
      <c r="I33" s="1107"/>
      <c r="J33" s="1107"/>
      <c r="K33" s="1107"/>
      <c r="L33" s="1108"/>
      <c r="M33" s="1069"/>
      <c r="N33" s="1036"/>
      <c r="O33" s="1036"/>
      <c r="P33" s="1036"/>
      <c r="Q33" s="1070"/>
      <c r="R33" s="1030"/>
      <c r="S33" s="1028"/>
      <c r="T33" s="1069"/>
      <c r="U33" s="1036"/>
      <c r="V33" s="1036"/>
      <c r="W33" s="1036"/>
      <c r="X33" s="1036"/>
      <c r="Y33" s="1036"/>
      <c r="Z33" s="1036"/>
      <c r="AA33" s="1036"/>
      <c r="AB33" s="1070"/>
    </row>
    <row r="34" spans="1:28">
      <c r="A34" s="1106" t="s">
        <v>922</v>
      </c>
      <c r="B34" s="1107"/>
      <c r="C34" s="1107"/>
      <c r="D34" s="1107"/>
      <c r="E34" s="1107"/>
      <c r="F34" s="1107"/>
      <c r="G34" s="1107"/>
      <c r="H34" s="1107"/>
      <c r="I34" s="1107"/>
      <c r="J34" s="1107"/>
      <c r="K34" s="1107"/>
      <c r="L34" s="1108"/>
      <c r="M34" s="1069"/>
      <c r="N34" s="1036"/>
      <c r="O34" s="1036"/>
      <c r="P34" s="1036"/>
      <c r="Q34" s="1070"/>
      <c r="R34" s="1030"/>
      <c r="S34" s="1028"/>
      <c r="T34" s="1069"/>
      <c r="U34" s="1036"/>
      <c r="V34" s="1036"/>
      <c r="W34" s="1036"/>
      <c r="X34" s="1036"/>
      <c r="Y34" s="1036"/>
      <c r="Z34" s="1036"/>
      <c r="AA34" s="1036"/>
      <c r="AB34" s="1070"/>
    </row>
    <row r="35" spans="1:28">
      <c r="A35" s="1106"/>
      <c r="B35" s="1107"/>
      <c r="C35" s="1107"/>
      <c r="D35" s="1107"/>
      <c r="E35" s="1107"/>
      <c r="F35" s="1107"/>
      <c r="G35" s="1107"/>
      <c r="H35" s="1107"/>
      <c r="I35" s="1107"/>
      <c r="J35" s="1107"/>
      <c r="K35" s="1107"/>
      <c r="L35" s="1108"/>
      <c r="M35" s="1069"/>
      <c r="N35" s="1036"/>
      <c r="O35" s="1036"/>
      <c r="P35" s="1036"/>
      <c r="Q35" s="1070"/>
      <c r="R35" s="1030"/>
      <c r="S35" s="1028"/>
      <c r="T35" s="1069"/>
      <c r="U35" s="1036"/>
      <c r="V35" s="1036"/>
      <c r="W35" s="1036"/>
      <c r="X35" s="1036"/>
      <c r="Y35" s="1036"/>
      <c r="Z35" s="1036"/>
      <c r="AA35" s="1036"/>
      <c r="AB35" s="1070"/>
    </row>
    <row r="36" spans="1:28">
      <c r="A36" s="1106"/>
      <c r="B36" s="1107"/>
      <c r="C36" s="1107"/>
      <c r="D36" s="1107"/>
      <c r="E36" s="1107"/>
      <c r="F36" s="1107"/>
      <c r="G36" s="1107"/>
      <c r="H36" s="1107"/>
      <c r="I36" s="1107"/>
      <c r="J36" s="1107"/>
      <c r="K36" s="1107"/>
      <c r="L36" s="1108"/>
      <c r="M36" s="1069"/>
      <c r="N36" s="1036"/>
      <c r="O36" s="1036"/>
      <c r="P36" s="1036"/>
      <c r="Q36" s="1070"/>
      <c r="R36" s="1030"/>
      <c r="S36" s="1028"/>
      <c r="T36" s="1069"/>
      <c r="U36" s="1036"/>
      <c r="V36" s="1036"/>
      <c r="W36" s="1036"/>
      <c r="X36" s="1036"/>
      <c r="Y36" s="1036"/>
      <c r="Z36" s="1036"/>
      <c r="AA36" s="1036"/>
      <c r="AB36" s="1070"/>
    </row>
    <row r="37" spans="1:28">
      <c r="A37" s="1106"/>
      <c r="B37" s="1107"/>
      <c r="C37" s="1107"/>
      <c r="D37" s="1107"/>
      <c r="E37" s="1107"/>
      <c r="F37" s="1107"/>
      <c r="G37" s="1107"/>
      <c r="H37" s="1107"/>
      <c r="I37" s="1107"/>
      <c r="J37" s="1107"/>
      <c r="K37" s="1107"/>
      <c r="L37" s="1108"/>
      <c r="M37" s="1069"/>
      <c r="N37" s="1036"/>
      <c r="O37" s="1036"/>
      <c r="P37" s="1036"/>
      <c r="Q37" s="1070"/>
      <c r="R37" s="1030"/>
      <c r="S37" s="1028"/>
      <c r="T37" s="1069"/>
      <c r="U37" s="1036"/>
      <c r="V37" s="1036"/>
      <c r="W37" s="1036"/>
      <c r="X37" s="1036"/>
      <c r="Y37" s="1036"/>
      <c r="Z37" s="1036"/>
      <c r="AA37" s="1036"/>
      <c r="AB37" s="1070"/>
    </row>
    <row r="38" spans="1:28" ht="15.75" thickBot="1">
      <c r="A38" s="1109"/>
      <c r="B38" s="1110"/>
      <c r="C38" s="1110"/>
      <c r="D38" s="1110"/>
      <c r="E38" s="1110"/>
      <c r="F38" s="1110"/>
      <c r="G38" s="1110"/>
      <c r="H38" s="1110"/>
      <c r="I38" s="1110"/>
      <c r="J38" s="1110"/>
      <c r="K38" s="1110"/>
      <c r="L38" s="1111"/>
      <c r="M38" s="1112"/>
      <c r="N38" s="1113"/>
      <c r="O38" s="1113"/>
      <c r="P38" s="1113"/>
      <c r="Q38" s="1128"/>
      <c r="R38" s="1104"/>
      <c r="S38" s="1105"/>
      <c r="T38" s="1112"/>
      <c r="U38" s="1113"/>
      <c r="V38" s="1113"/>
      <c r="W38" s="1113"/>
      <c r="X38" s="1113"/>
      <c r="Y38" s="1113"/>
      <c r="Z38" s="1113"/>
      <c r="AA38" s="1113"/>
      <c r="AB38" s="1128"/>
    </row>
    <row r="42" spans="1:28">
      <c r="AA42" s="1"/>
    </row>
    <row r="52" spans="1:28" ht="16.149999999999999" customHeight="1">
      <c r="A52" s="941" t="s">
        <v>914</v>
      </c>
      <c r="B52" s="941"/>
      <c r="C52" s="941"/>
      <c r="D52" s="941"/>
      <c r="E52" s="941"/>
      <c r="F52" s="941"/>
      <c r="G52" s="941"/>
      <c r="H52" s="941"/>
      <c r="I52" s="941"/>
      <c r="J52" s="941"/>
      <c r="K52" s="941"/>
      <c r="V52" s="941" t="s">
        <v>914</v>
      </c>
      <c r="W52" s="941"/>
      <c r="X52" s="941"/>
      <c r="Y52" s="941"/>
      <c r="Z52" s="941"/>
      <c r="AA52" s="941"/>
      <c r="AB52" s="941"/>
    </row>
    <row r="53" spans="1:28">
      <c r="A53" s="941" t="s">
        <v>912</v>
      </c>
      <c r="B53" s="941"/>
      <c r="C53" s="941"/>
      <c r="D53" s="941"/>
      <c r="E53" s="941"/>
      <c r="F53" s="941"/>
      <c r="G53" s="941"/>
      <c r="H53" s="941"/>
      <c r="I53" s="941"/>
      <c r="J53" s="941"/>
      <c r="K53" s="941"/>
      <c r="V53" s="941" t="s">
        <v>913</v>
      </c>
      <c r="W53" s="941"/>
      <c r="X53" s="941"/>
      <c r="Y53" s="941"/>
      <c r="Z53" s="941"/>
      <c r="AA53" s="941"/>
      <c r="AB53" s="941"/>
    </row>
    <row r="56" spans="1:28">
      <c r="N56" s="1038" t="str">
        <f>VLOOKUP($W$7,Tabela32[],2,FALSE)</f>
        <v>klema końcowa 35mm</v>
      </c>
      <c r="O56" s="1038" t="s">
        <v>402</v>
      </c>
      <c r="P56" s="1038" t="str">
        <f>VLOOKUP($W$7,Tabela32[],3,FALSE)</f>
        <v>śruba imbusowa 25mm</v>
      </c>
      <c r="Q56" s="1038" t="s">
        <v>403</v>
      </c>
      <c r="R56" s="1034" t="s">
        <v>1005</v>
      </c>
      <c r="S56" s="1034" t="s">
        <v>404</v>
      </c>
      <c r="T56" s="1034" t="s">
        <v>405</v>
      </c>
      <c r="U56" s="1034" t="s">
        <v>406</v>
      </c>
      <c r="V56" s="1034" t="e">
        <f>HLOOKUP(H5,pokrycie3[#All],2,FALSE)</f>
        <v>#N/A</v>
      </c>
      <c r="W56" s="1034" t="e">
        <f>HLOOKUP($H$5,pokrycie3[#All],3,FALSE)</f>
        <v>#N/A</v>
      </c>
      <c r="X56" s="1034" t="e">
        <f>HLOOKUP($H$5,pokrycie3[#All],4,FALSE)</f>
        <v>#N/A</v>
      </c>
      <c r="Y56" s="1034" t="e">
        <f>HLOOKUP($H$5,pokrycie3[#All],5,FALSE)</f>
        <v>#N/A</v>
      </c>
      <c r="Z56" s="1034" t="e">
        <f>HLOOKUP($H$5,pokrycie3[#All],6,FALSE)</f>
        <v>#N/A</v>
      </c>
    </row>
    <row r="57" spans="1:28">
      <c r="N57" s="1038"/>
      <c r="O57" s="1038"/>
      <c r="P57" s="1038"/>
      <c r="Q57" s="1038"/>
      <c r="R57" s="1034"/>
      <c r="S57" s="1034"/>
      <c r="T57" s="1034"/>
      <c r="U57" s="1034"/>
      <c r="V57" s="1034"/>
      <c r="W57" s="1034"/>
      <c r="X57" s="1034"/>
      <c r="Y57" s="1034"/>
      <c r="Z57" s="1034"/>
    </row>
    <row r="58" spans="1:28">
      <c r="N58" s="1038"/>
      <c r="O58" s="1038"/>
      <c r="P58" s="1038"/>
      <c r="Q58" s="1038"/>
      <c r="R58" s="1034"/>
      <c r="S58" s="1034"/>
      <c r="T58" s="1034"/>
      <c r="U58" s="1034"/>
      <c r="V58" s="1034"/>
      <c r="W58" s="1034"/>
      <c r="X58" s="1034"/>
      <c r="Y58" s="1034"/>
      <c r="Z58" s="1034"/>
    </row>
    <row r="59" spans="1:28">
      <c r="N59" s="1038"/>
      <c r="O59" s="1038"/>
      <c r="P59" s="1038"/>
      <c r="Q59" s="1038"/>
      <c r="R59" s="1034"/>
      <c r="S59" s="1034"/>
      <c r="T59" s="1034"/>
      <c r="U59" s="1034"/>
      <c r="V59" s="1034"/>
      <c r="W59" s="1034"/>
      <c r="X59" s="1034"/>
      <c r="Y59" s="1034"/>
      <c r="Z59" s="1034"/>
    </row>
    <row r="60" spans="1:28">
      <c r="N60" s="1038"/>
      <c r="O60" s="1038"/>
      <c r="P60" s="1038"/>
      <c r="Q60" s="1038"/>
      <c r="R60" s="1034"/>
      <c r="S60" s="1034"/>
      <c r="T60" s="1034"/>
      <c r="U60" s="1034"/>
      <c r="V60" s="1034"/>
      <c r="W60" s="1034"/>
      <c r="X60" s="1034"/>
      <c r="Y60" s="1034"/>
      <c r="Z60" s="1034"/>
    </row>
    <row r="61" spans="1:28">
      <c r="N61" s="1038"/>
      <c r="O61" s="1038"/>
      <c r="P61" s="1038"/>
      <c r="Q61" s="1038"/>
      <c r="R61" s="1034"/>
      <c r="S61" s="1034"/>
      <c r="T61" s="1034"/>
      <c r="U61" s="1034"/>
      <c r="V61" s="1034"/>
      <c r="W61" s="1034"/>
      <c r="X61" s="1034"/>
      <c r="Y61" s="1034"/>
      <c r="Z61" s="1034"/>
    </row>
    <row r="62" spans="1:28">
      <c r="N62" s="1038"/>
      <c r="O62" s="1038"/>
      <c r="P62" s="1038"/>
      <c r="Q62" s="1038"/>
      <c r="R62" s="1034"/>
      <c r="S62" s="1034"/>
      <c r="T62" s="1034"/>
      <c r="U62" s="1034"/>
      <c r="V62" s="1034"/>
      <c r="W62" s="1034"/>
      <c r="X62" s="1034"/>
      <c r="Y62" s="1034"/>
      <c r="Z62" s="1034"/>
    </row>
    <row r="63" spans="1:28">
      <c r="N63" s="1038"/>
      <c r="O63" s="1038"/>
      <c r="P63" s="1038"/>
      <c r="Q63" s="1038"/>
      <c r="R63" s="1034"/>
      <c r="S63" s="1034"/>
      <c r="T63" s="1034"/>
      <c r="U63" s="1034"/>
      <c r="V63" s="1034"/>
      <c r="W63" s="1034"/>
      <c r="X63" s="1034"/>
      <c r="Y63" s="1034"/>
      <c r="Z63" s="1034"/>
    </row>
    <row r="64" spans="1:28">
      <c r="N64" s="1038"/>
      <c r="O64" s="1038"/>
      <c r="P64" s="1038"/>
      <c r="Q64" s="1038"/>
      <c r="R64" s="1034"/>
      <c r="S64" s="1034"/>
      <c r="T64" s="1034"/>
      <c r="U64" s="1034"/>
      <c r="V64" s="1034"/>
      <c r="W64" s="1034"/>
      <c r="X64" s="1034"/>
      <c r="Y64" s="1034"/>
      <c r="Z64" s="1034"/>
    </row>
    <row r="65" spans="1:26">
      <c r="N65" s="1038"/>
      <c r="O65" s="1038"/>
      <c r="P65" s="1038"/>
      <c r="Q65" s="1038"/>
      <c r="R65" s="1034"/>
      <c r="S65" s="1034"/>
      <c r="T65" s="1034"/>
      <c r="U65" s="1034"/>
      <c r="V65" s="1034"/>
      <c r="W65" s="1034"/>
      <c r="X65" s="1034"/>
      <c r="Y65" s="1034"/>
      <c r="Z65" s="1034"/>
    </row>
    <row r="66" spans="1:26">
      <c r="N66" s="1038"/>
      <c r="O66" s="1038"/>
      <c r="P66" s="1038"/>
      <c r="Q66" s="1038"/>
      <c r="R66" s="1034"/>
      <c r="S66" s="1034"/>
      <c r="T66" s="1034"/>
      <c r="U66" s="1034"/>
      <c r="V66" s="1034"/>
      <c r="W66" s="1034"/>
      <c r="X66" s="1034"/>
      <c r="Y66" s="1034"/>
      <c r="Z66" s="1034"/>
    </row>
    <row r="67" spans="1:26">
      <c r="N67" s="1038"/>
      <c r="O67" s="1038"/>
      <c r="P67" s="1038"/>
      <c r="Q67" s="1038"/>
      <c r="R67" s="1034"/>
      <c r="S67" s="1034"/>
      <c r="T67" s="1034"/>
      <c r="U67" s="1034"/>
      <c r="V67" s="1034"/>
      <c r="W67" s="1034"/>
      <c r="X67" s="1034"/>
      <c r="Y67" s="1034"/>
      <c r="Z67" s="1034"/>
    </row>
    <row r="68" spans="1:26">
      <c r="A68" s="1035" t="s">
        <v>412</v>
      </c>
      <c r="B68" s="1035"/>
      <c r="C68" s="1035"/>
      <c r="D68" s="1035"/>
      <c r="E68" s="1035" t="s">
        <v>413</v>
      </c>
      <c r="F68" s="1035"/>
      <c r="G68" s="1035"/>
      <c r="H68" s="1036" t="s">
        <v>414</v>
      </c>
      <c r="I68" s="1036"/>
      <c r="J68" s="1036"/>
      <c r="K68" s="1036"/>
      <c r="L68" s="1036"/>
      <c r="M68" s="1036"/>
      <c r="N68" s="1037">
        <f>SUM(N71:N80)</f>
        <v>8</v>
      </c>
      <c r="O68" s="1037">
        <f t="shared" ref="O68:Z68" si="0">SUM(O71:O80)</f>
        <v>4</v>
      </c>
      <c r="P68" s="1037">
        <f t="shared" si="0"/>
        <v>12</v>
      </c>
      <c r="Q68" s="1037">
        <f t="shared" si="0"/>
        <v>12</v>
      </c>
      <c r="R68" s="1037">
        <f t="shared" si="0"/>
        <v>3</v>
      </c>
      <c r="S68" s="1037">
        <f t="shared" si="0"/>
        <v>0</v>
      </c>
      <c r="T68" s="1037">
        <f t="shared" si="0"/>
        <v>12</v>
      </c>
      <c r="U68" s="1037">
        <f t="shared" si="0"/>
        <v>30</v>
      </c>
      <c r="V68" s="1037">
        <f t="shared" si="0"/>
        <v>18</v>
      </c>
      <c r="W68" s="1037">
        <f t="shared" si="0"/>
        <v>6</v>
      </c>
      <c r="X68" s="1037">
        <f t="shared" si="0"/>
        <v>12</v>
      </c>
      <c r="Y68" s="1037">
        <f t="shared" si="0"/>
        <v>8</v>
      </c>
      <c r="Z68" s="1037">
        <f t="shared" si="0"/>
        <v>12</v>
      </c>
    </row>
    <row r="69" spans="1:26">
      <c r="A69" s="1035"/>
      <c r="B69" s="1035"/>
      <c r="C69" s="1035"/>
      <c r="D69" s="1035"/>
      <c r="E69" s="1035"/>
      <c r="F69" s="1035"/>
      <c r="G69" s="1035"/>
      <c r="H69" s="1036"/>
      <c r="I69" s="1036"/>
      <c r="J69" s="1036"/>
      <c r="K69" s="1036"/>
      <c r="L69" s="1036"/>
      <c r="M69" s="1036"/>
      <c r="N69" s="1037"/>
      <c r="O69" s="1037"/>
      <c r="P69" s="1037"/>
      <c r="Q69" s="1037"/>
      <c r="R69" s="1037"/>
      <c r="S69" s="1037"/>
      <c r="T69" s="1037"/>
      <c r="U69" s="1037"/>
      <c r="V69" s="1037"/>
      <c r="W69" s="1037"/>
      <c r="X69" s="1037"/>
      <c r="Y69" s="1037"/>
      <c r="Z69" s="1037"/>
    </row>
    <row r="70" spans="1:26">
      <c r="A70" s="1035"/>
      <c r="B70" s="1035"/>
      <c r="C70" s="1035"/>
      <c r="D70" s="1035"/>
      <c r="E70" s="1035"/>
      <c r="F70" s="1035"/>
      <c r="G70" s="1035"/>
      <c r="H70" s="1036"/>
      <c r="I70" s="1036"/>
      <c r="J70" s="1036"/>
      <c r="K70" s="1036"/>
      <c r="L70" s="1036"/>
      <c r="M70" s="1036"/>
      <c r="N70" s="1037"/>
      <c r="O70" s="1037"/>
      <c r="P70" s="1037"/>
      <c r="Q70" s="1037"/>
      <c r="R70" s="1037"/>
      <c r="S70" s="1037"/>
      <c r="T70" s="1037"/>
      <c r="U70" s="1037"/>
      <c r="V70" s="1037"/>
      <c r="W70" s="1037"/>
      <c r="X70" s="1037"/>
      <c r="Y70" s="1037"/>
      <c r="Z70" s="1037"/>
    </row>
    <row r="71" spans="1:26">
      <c r="A71" s="1028">
        <v>2</v>
      </c>
      <c r="B71" s="1029"/>
      <c r="C71" s="1029"/>
      <c r="D71" s="1030"/>
      <c r="E71" s="1028">
        <v>2</v>
      </c>
      <c r="F71" s="1029"/>
      <c r="G71" s="1029"/>
      <c r="H71" s="1031" t="s">
        <v>383</v>
      </c>
      <c r="I71" s="1032"/>
      <c r="J71" s="1032"/>
      <c r="K71" s="1032"/>
      <c r="L71" s="1032"/>
      <c r="M71" s="1033"/>
      <c r="N71" s="3">
        <f t="shared" ref="N71:N80" si="1">IF($H$5="dach płaski Console",0,4*E71)</f>
        <v>8</v>
      </c>
      <c r="O71" s="3">
        <f t="shared" ref="O71:O80" si="2">IF($H$5="dach płaski Console",0,2*A71*E71-E71*2)</f>
        <v>4</v>
      </c>
      <c r="P71" s="3">
        <f>N71+O71</f>
        <v>12</v>
      </c>
      <c r="Q71" s="3">
        <f>P71</f>
        <v>12</v>
      </c>
      <c r="R71" s="98">
        <f>IF($H$5="dach płaski Console",0,CEILING(A71*(VLOOKUP(H71,$AN$2:$AO$3,2,FALSE))/3.3*2*E71,1))</f>
        <v>3</v>
      </c>
      <c r="S71" s="3">
        <f>IF($H$5="dach płaski Console",0,ROUNDDOWN(A71*VLOOKUP(H71,$AN$2:$AO$3,2,FALSE)/4.37,0)*2*E71)</f>
        <v>0</v>
      </c>
      <c r="T71" s="3">
        <f t="shared" ref="T71:T80" si="3">IF($H$5="dach płaski Console",0,W71*2+S71*2)</f>
        <v>12</v>
      </c>
      <c r="U71" s="3">
        <f t="shared" ref="U71:U80" si="4">IF($H$5="dach płaski Console",0,T71+V71)</f>
        <v>30</v>
      </c>
      <c r="V71" s="3">
        <f>IF($H$5="dach płaski Console",A71*E71,W71*3)</f>
        <v>18</v>
      </c>
      <c r="W71" s="3">
        <f t="shared" ref="W71:W80" si="5">IF($H$5="dach płaski Console",V71,(A71+1)*E71)</f>
        <v>6</v>
      </c>
      <c r="X71" s="3">
        <f t="shared" ref="X71:X80" si="6">IF($H$5="dach płaski Console",0,W71*2)</f>
        <v>12</v>
      </c>
      <c r="Y71" s="3">
        <f t="shared" ref="Y71:Y80" si="7">IF($H$5="dach płaski Console",0,E71*4)</f>
        <v>8</v>
      </c>
      <c r="Z71" s="3">
        <f t="shared" ref="Z71:Z80" si="8">X71</f>
        <v>12</v>
      </c>
    </row>
    <row r="72" spans="1:26">
      <c r="A72" s="1028"/>
      <c r="B72" s="1029"/>
      <c r="C72" s="1029"/>
      <c r="D72" s="1030"/>
      <c r="E72" s="1028"/>
      <c r="F72" s="1029"/>
      <c r="G72" s="1029"/>
      <c r="H72" s="1031" t="s">
        <v>383</v>
      </c>
      <c r="I72" s="1032"/>
      <c r="J72" s="1032"/>
      <c r="K72" s="1032"/>
      <c r="L72" s="1032"/>
      <c r="M72" s="1033"/>
      <c r="N72" s="3">
        <f t="shared" si="1"/>
        <v>0</v>
      </c>
      <c r="O72" s="3">
        <f t="shared" si="2"/>
        <v>0</v>
      </c>
      <c r="P72" s="3">
        <f t="shared" ref="P72:P80" si="9">N72+O72</f>
        <v>0</v>
      </c>
      <c r="Q72" s="3">
        <f t="shared" ref="Q72:Q80" si="10">P72</f>
        <v>0</v>
      </c>
      <c r="R72" s="98">
        <f>IF($H$5="dach płaski Console",0,CEILING(A72*(VLOOKUP(H72,$AN$2:$AO$3,2,FALSE))/3.3*2*E72,1))</f>
        <v>0</v>
      </c>
      <c r="S72" s="3">
        <f t="shared" ref="S72:S80" si="11">IF($H$5="dach płaski Console",0,ROUNDDOWN(A72*VLOOKUP(H72,$AN$2:$AO$3,2,FALSE)/4.37,0)*2*E72)</f>
        <v>0</v>
      </c>
      <c r="T72" s="3">
        <f t="shared" si="3"/>
        <v>0</v>
      </c>
      <c r="U72" s="3">
        <f t="shared" si="4"/>
        <v>0</v>
      </c>
      <c r="V72" s="3">
        <f t="shared" ref="V72:V80" si="12">IF($H$5="dach płaski Console",A72*E72,W72*3)</f>
        <v>0</v>
      </c>
      <c r="W72" s="3">
        <f t="shared" si="5"/>
        <v>0</v>
      </c>
      <c r="X72" s="3">
        <f t="shared" si="6"/>
        <v>0</v>
      </c>
      <c r="Y72" s="3">
        <f t="shared" si="7"/>
        <v>0</v>
      </c>
      <c r="Z72" s="3">
        <f t="shared" si="8"/>
        <v>0</v>
      </c>
    </row>
    <row r="73" spans="1:26">
      <c r="A73" s="1028"/>
      <c r="B73" s="1029"/>
      <c r="C73" s="1029"/>
      <c r="D73" s="1030"/>
      <c r="E73" s="1028"/>
      <c r="F73" s="1029"/>
      <c r="G73" s="1029"/>
      <c r="H73" s="1031" t="s">
        <v>383</v>
      </c>
      <c r="I73" s="1032"/>
      <c r="J73" s="1032"/>
      <c r="K73" s="1032"/>
      <c r="L73" s="1032"/>
      <c r="M73" s="1033"/>
      <c r="N73" s="3">
        <f t="shared" si="1"/>
        <v>0</v>
      </c>
      <c r="O73" s="3">
        <f t="shared" si="2"/>
        <v>0</v>
      </c>
      <c r="P73" s="3">
        <f t="shared" si="9"/>
        <v>0</v>
      </c>
      <c r="Q73" s="3">
        <f t="shared" si="10"/>
        <v>0</v>
      </c>
      <c r="R73" s="98">
        <f t="shared" ref="R73:R80" si="13">IF($H$5="dach płaski Console",0,CEILING(A73*(VLOOKUP(H73,$AN$2:$AO$3,2,FALSE))/3.3*2*E73,1))</f>
        <v>0</v>
      </c>
      <c r="S73" s="3">
        <f t="shared" si="11"/>
        <v>0</v>
      </c>
      <c r="T73" s="3">
        <f t="shared" si="3"/>
        <v>0</v>
      </c>
      <c r="U73" s="3">
        <f t="shared" si="4"/>
        <v>0</v>
      </c>
      <c r="V73" s="3">
        <f t="shared" si="12"/>
        <v>0</v>
      </c>
      <c r="W73" s="3">
        <f t="shared" si="5"/>
        <v>0</v>
      </c>
      <c r="X73" s="3">
        <f t="shared" si="6"/>
        <v>0</v>
      </c>
      <c r="Y73" s="3">
        <f t="shared" si="7"/>
        <v>0</v>
      </c>
      <c r="Z73" s="3">
        <f t="shared" si="8"/>
        <v>0</v>
      </c>
    </row>
    <row r="74" spans="1:26">
      <c r="A74" s="1028"/>
      <c r="B74" s="1029"/>
      <c r="C74" s="1029"/>
      <c r="D74" s="1030"/>
      <c r="E74" s="1028"/>
      <c r="F74" s="1029"/>
      <c r="G74" s="1029"/>
      <c r="H74" s="1031" t="s">
        <v>383</v>
      </c>
      <c r="I74" s="1032"/>
      <c r="J74" s="1032"/>
      <c r="K74" s="1032"/>
      <c r="L74" s="1032"/>
      <c r="M74" s="1033"/>
      <c r="N74" s="3">
        <f t="shared" si="1"/>
        <v>0</v>
      </c>
      <c r="O74" s="3">
        <f t="shared" si="2"/>
        <v>0</v>
      </c>
      <c r="P74" s="3">
        <f t="shared" si="9"/>
        <v>0</v>
      </c>
      <c r="Q74" s="3">
        <f t="shared" si="10"/>
        <v>0</v>
      </c>
      <c r="R74" s="98">
        <f t="shared" si="13"/>
        <v>0</v>
      </c>
      <c r="S74" s="3">
        <f t="shared" si="11"/>
        <v>0</v>
      </c>
      <c r="T74" s="3">
        <f t="shared" si="3"/>
        <v>0</v>
      </c>
      <c r="U74" s="3">
        <f t="shared" si="4"/>
        <v>0</v>
      </c>
      <c r="V74" s="3">
        <f t="shared" si="12"/>
        <v>0</v>
      </c>
      <c r="W74" s="3">
        <f t="shared" si="5"/>
        <v>0</v>
      </c>
      <c r="X74" s="3">
        <f t="shared" si="6"/>
        <v>0</v>
      </c>
      <c r="Y74" s="3">
        <f t="shared" si="7"/>
        <v>0</v>
      </c>
      <c r="Z74" s="3">
        <f t="shared" si="8"/>
        <v>0</v>
      </c>
    </row>
    <row r="75" spans="1:26">
      <c r="A75" s="1028"/>
      <c r="B75" s="1029"/>
      <c r="C75" s="1029"/>
      <c r="D75" s="1030"/>
      <c r="E75" s="1028"/>
      <c r="F75" s="1029"/>
      <c r="G75" s="1029"/>
      <c r="H75" s="1031" t="s">
        <v>383</v>
      </c>
      <c r="I75" s="1032"/>
      <c r="J75" s="1032"/>
      <c r="K75" s="1032"/>
      <c r="L75" s="1032"/>
      <c r="M75" s="1033"/>
      <c r="N75" s="3">
        <f t="shared" si="1"/>
        <v>0</v>
      </c>
      <c r="O75" s="3">
        <f t="shared" si="2"/>
        <v>0</v>
      </c>
      <c r="P75" s="3">
        <f t="shared" si="9"/>
        <v>0</v>
      </c>
      <c r="Q75" s="3">
        <f t="shared" si="10"/>
        <v>0</v>
      </c>
      <c r="R75" s="98">
        <f t="shared" si="13"/>
        <v>0</v>
      </c>
      <c r="S75" s="3">
        <f t="shared" si="11"/>
        <v>0</v>
      </c>
      <c r="T75" s="3">
        <f t="shared" si="3"/>
        <v>0</v>
      </c>
      <c r="U75" s="3">
        <f t="shared" si="4"/>
        <v>0</v>
      </c>
      <c r="V75" s="3">
        <f t="shared" si="12"/>
        <v>0</v>
      </c>
      <c r="W75" s="3">
        <f t="shared" si="5"/>
        <v>0</v>
      </c>
      <c r="X75" s="3">
        <f t="shared" si="6"/>
        <v>0</v>
      </c>
      <c r="Y75" s="3">
        <f t="shared" si="7"/>
        <v>0</v>
      </c>
      <c r="Z75" s="3">
        <f t="shared" si="8"/>
        <v>0</v>
      </c>
    </row>
    <row r="76" spans="1:26">
      <c r="A76" s="1028"/>
      <c r="B76" s="1029"/>
      <c r="C76" s="1029"/>
      <c r="D76" s="1030"/>
      <c r="E76" s="1028"/>
      <c r="F76" s="1029"/>
      <c r="G76" s="1029"/>
      <c r="H76" s="1031" t="s">
        <v>383</v>
      </c>
      <c r="I76" s="1032"/>
      <c r="J76" s="1032"/>
      <c r="K76" s="1032"/>
      <c r="L76" s="1032"/>
      <c r="M76" s="1033"/>
      <c r="N76" s="3">
        <f t="shared" si="1"/>
        <v>0</v>
      </c>
      <c r="O76" s="3">
        <f t="shared" si="2"/>
        <v>0</v>
      </c>
      <c r="P76" s="3">
        <f t="shared" si="9"/>
        <v>0</v>
      </c>
      <c r="Q76" s="3">
        <f t="shared" si="10"/>
        <v>0</v>
      </c>
      <c r="R76" s="98">
        <f t="shared" si="13"/>
        <v>0</v>
      </c>
      <c r="S76" s="3">
        <f t="shared" si="11"/>
        <v>0</v>
      </c>
      <c r="T76" s="3">
        <f t="shared" si="3"/>
        <v>0</v>
      </c>
      <c r="U76" s="3">
        <f t="shared" si="4"/>
        <v>0</v>
      </c>
      <c r="V76" s="3">
        <f t="shared" si="12"/>
        <v>0</v>
      </c>
      <c r="W76" s="3">
        <f t="shared" si="5"/>
        <v>0</v>
      </c>
      <c r="X76" s="3">
        <f t="shared" si="6"/>
        <v>0</v>
      </c>
      <c r="Y76" s="3">
        <f t="shared" si="7"/>
        <v>0</v>
      </c>
      <c r="Z76" s="3">
        <f t="shared" si="8"/>
        <v>0</v>
      </c>
    </row>
    <row r="77" spans="1:26">
      <c r="A77" s="1028"/>
      <c r="B77" s="1029"/>
      <c r="C77" s="1029"/>
      <c r="D77" s="1030"/>
      <c r="E77" s="1028"/>
      <c r="F77" s="1029"/>
      <c r="G77" s="1029"/>
      <c r="H77" s="1031" t="s">
        <v>383</v>
      </c>
      <c r="I77" s="1032"/>
      <c r="J77" s="1032"/>
      <c r="K77" s="1032"/>
      <c r="L77" s="1032"/>
      <c r="M77" s="1033"/>
      <c r="N77" s="3">
        <f t="shared" si="1"/>
        <v>0</v>
      </c>
      <c r="O77" s="3">
        <f t="shared" si="2"/>
        <v>0</v>
      </c>
      <c r="P77" s="3">
        <f t="shared" si="9"/>
        <v>0</v>
      </c>
      <c r="Q77" s="3">
        <f t="shared" si="10"/>
        <v>0</v>
      </c>
      <c r="R77" s="98">
        <f t="shared" si="13"/>
        <v>0</v>
      </c>
      <c r="S77" s="3">
        <f t="shared" si="11"/>
        <v>0</v>
      </c>
      <c r="T77" s="3">
        <f t="shared" si="3"/>
        <v>0</v>
      </c>
      <c r="U77" s="3">
        <f t="shared" si="4"/>
        <v>0</v>
      </c>
      <c r="V77" s="3">
        <f t="shared" si="12"/>
        <v>0</v>
      </c>
      <c r="W77" s="3">
        <f t="shared" si="5"/>
        <v>0</v>
      </c>
      <c r="X77" s="3">
        <f t="shared" si="6"/>
        <v>0</v>
      </c>
      <c r="Y77" s="3">
        <f t="shared" si="7"/>
        <v>0</v>
      </c>
      <c r="Z77" s="3">
        <f t="shared" si="8"/>
        <v>0</v>
      </c>
    </row>
    <row r="78" spans="1:26">
      <c r="A78" s="1028"/>
      <c r="B78" s="1029"/>
      <c r="C78" s="1029"/>
      <c r="D78" s="1030"/>
      <c r="E78" s="1028"/>
      <c r="F78" s="1029"/>
      <c r="G78" s="1029"/>
      <c r="H78" s="1031" t="s">
        <v>383</v>
      </c>
      <c r="I78" s="1032"/>
      <c r="J78" s="1032"/>
      <c r="K78" s="1032"/>
      <c r="L78" s="1032"/>
      <c r="M78" s="1033"/>
      <c r="N78" s="3">
        <f t="shared" si="1"/>
        <v>0</v>
      </c>
      <c r="O78" s="3">
        <f t="shared" si="2"/>
        <v>0</v>
      </c>
      <c r="P78" s="3">
        <f t="shared" si="9"/>
        <v>0</v>
      </c>
      <c r="Q78" s="3">
        <f t="shared" si="10"/>
        <v>0</v>
      </c>
      <c r="R78" s="98">
        <f t="shared" si="13"/>
        <v>0</v>
      </c>
      <c r="S78" s="3">
        <f t="shared" si="11"/>
        <v>0</v>
      </c>
      <c r="T78" s="3">
        <f t="shared" si="3"/>
        <v>0</v>
      </c>
      <c r="U78" s="3">
        <f t="shared" si="4"/>
        <v>0</v>
      </c>
      <c r="V78" s="3">
        <f t="shared" si="12"/>
        <v>0</v>
      </c>
      <c r="W78" s="3">
        <f t="shared" si="5"/>
        <v>0</v>
      </c>
      <c r="X78" s="3">
        <f t="shared" si="6"/>
        <v>0</v>
      </c>
      <c r="Y78" s="3">
        <f t="shared" si="7"/>
        <v>0</v>
      </c>
      <c r="Z78" s="3">
        <f t="shared" si="8"/>
        <v>0</v>
      </c>
    </row>
    <row r="79" spans="1:26">
      <c r="A79" s="1028"/>
      <c r="B79" s="1029"/>
      <c r="C79" s="1029"/>
      <c r="D79" s="1030"/>
      <c r="E79" s="1028"/>
      <c r="F79" s="1029"/>
      <c r="G79" s="1029"/>
      <c r="H79" s="1031" t="s">
        <v>383</v>
      </c>
      <c r="I79" s="1032"/>
      <c r="J79" s="1032"/>
      <c r="K79" s="1032"/>
      <c r="L79" s="1032"/>
      <c r="M79" s="1033"/>
      <c r="N79" s="3">
        <f t="shared" si="1"/>
        <v>0</v>
      </c>
      <c r="O79" s="3">
        <f t="shared" si="2"/>
        <v>0</v>
      </c>
      <c r="P79" s="3">
        <f t="shared" si="9"/>
        <v>0</v>
      </c>
      <c r="Q79" s="3">
        <f t="shared" si="10"/>
        <v>0</v>
      </c>
      <c r="R79" s="98">
        <f t="shared" si="13"/>
        <v>0</v>
      </c>
      <c r="S79" s="3">
        <f t="shared" si="11"/>
        <v>0</v>
      </c>
      <c r="T79" s="3">
        <f t="shared" si="3"/>
        <v>0</v>
      </c>
      <c r="U79" s="3">
        <f t="shared" si="4"/>
        <v>0</v>
      </c>
      <c r="V79" s="3">
        <f t="shared" si="12"/>
        <v>0</v>
      </c>
      <c r="W79" s="3">
        <f t="shared" si="5"/>
        <v>0</v>
      </c>
      <c r="X79" s="3">
        <f t="shared" si="6"/>
        <v>0</v>
      </c>
      <c r="Y79" s="3">
        <f t="shared" si="7"/>
        <v>0</v>
      </c>
      <c r="Z79" s="3">
        <f t="shared" si="8"/>
        <v>0</v>
      </c>
    </row>
    <row r="80" spans="1:26">
      <c r="A80" s="1039"/>
      <c r="B80" s="1040"/>
      <c r="C80" s="1040"/>
      <c r="D80" s="1041"/>
      <c r="E80" s="1039"/>
      <c r="F80" s="1040"/>
      <c r="G80" s="1040"/>
      <c r="H80" s="1042" t="s">
        <v>383</v>
      </c>
      <c r="I80" s="1043"/>
      <c r="J80" s="1043"/>
      <c r="K80" s="1043"/>
      <c r="L80" s="1043"/>
      <c r="M80" s="1044"/>
      <c r="N80" s="231">
        <f t="shared" si="1"/>
        <v>0</v>
      </c>
      <c r="O80" s="231">
        <f t="shared" si="2"/>
        <v>0</v>
      </c>
      <c r="P80" s="231">
        <f t="shared" si="9"/>
        <v>0</v>
      </c>
      <c r="Q80" s="231">
        <f t="shared" si="10"/>
        <v>0</v>
      </c>
      <c r="R80" s="98">
        <f t="shared" si="13"/>
        <v>0</v>
      </c>
      <c r="S80" s="3">
        <f t="shared" si="11"/>
        <v>0</v>
      </c>
      <c r="T80" s="231">
        <f t="shared" si="3"/>
        <v>0</v>
      </c>
      <c r="U80" s="231">
        <f t="shared" si="4"/>
        <v>0</v>
      </c>
      <c r="V80" s="231">
        <f t="shared" si="12"/>
        <v>0</v>
      </c>
      <c r="W80" s="231">
        <f t="shared" si="5"/>
        <v>0</v>
      </c>
      <c r="X80" s="231">
        <f t="shared" si="6"/>
        <v>0</v>
      </c>
      <c r="Y80" s="231">
        <f t="shared" si="7"/>
        <v>0</v>
      </c>
      <c r="Z80" s="231">
        <f t="shared" si="8"/>
        <v>0</v>
      </c>
    </row>
  </sheetData>
  <mergeCells count="200">
    <mergeCell ref="J9:O9"/>
    <mergeCell ref="P9:Q9"/>
    <mergeCell ref="V53:AB53"/>
    <mergeCell ref="V52:AB52"/>
    <mergeCell ref="A52:K52"/>
    <mergeCell ref="A53:K53"/>
    <mergeCell ref="T38:AB38"/>
    <mergeCell ref="T29:AB29"/>
    <mergeCell ref="T30:AB30"/>
    <mergeCell ref="T31:AB31"/>
    <mergeCell ref="T32:AB32"/>
    <mergeCell ref="T33:AB33"/>
    <mergeCell ref="T34:AB34"/>
    <mergeCell ref="T35:AB35"/>
    <mergeCell ref="T36:AB36"/>
    <mergeCell ref="T37:AB37"/>
    <mergeCell ref="P34:Q34"/>
    <mergeCell ref="P35:Q35"/>
    <mergeCell ref="P36:Q36"/>
    <mergeCell ref="P37:Q37"/>
    <mergeCell ref="P38:Q38"/>
    <mergeCell ref="P30:Q30"/>
    <mergeCell ref="P31:Q31"/>
    <mergeCell ref="P32:Q32"/>
    <mergeCell ref="R36:S36"/>
    <mergeCell ref="R37:S37"/>
    <mergeCell ref="W15:AB15"/>
    <mergeCell ref="M27:Q27"/>
    <mergeCell ref="P28:Q28"/>
    <mergeCell ref="M28:O28"/>
    <mergeCell ref="P29:Q29"/>
    <mergeCell ref="W16:AB16"/>
    <mergeCell ref="W17:AB17"/>
    <mergeCell ref="W18:AB18"/>
    <mergeCell ref="W19:AB19"/>
    <mergeCell ref="W20:AB20"/>
    <mergeCell ref="W21:AB21"/>
    <mergeCell ref="W22:AB22"/>
    <mergeCell ref="W23:AB23"/>
    <mergeCell ref="W24:AB24"/>
    <mergeCell ref="W25:AB25"/>
    <mergeCell ref="T27:AB28"/>
    <mergeCell ref="R15:S15"/>
    <mergeCell ref="P33:Q33"/>
    <mergeCell ref="R33:S33"/>
    <mergeCell ref="R34:S34"/>
    <mergeCell ref="R35:S35"/>
    <mergeCell ref="R23:S23"/>
    <mergeCell ref="R38:S38"/>
    <mergeCell ref="A36:L36"/>
    <mergeCell ref="A37:L37"/>
    <mergeCell ref="A38:L38"/>
    <mergeCell ref="M36:O36"/>
    <mergeCell ref="M37:O37"/>
    <mergeCell ref="M38:O38"/>
    <mergeCell ref="R27:S28"/>
    <mergeCell ref="M29:O29"/>
    <mergeCell ref="M30:O30"/>
    <mergeCell ref="M31:O31"/>
    <mergeCell ref="M32:O32"/>
    <mergeCell ref="M33:O33"/>
    <mergeCell ref="M34:O34"/>
    <mergeCell ref="M35:O35"/>
    <mergeCell ref="A30:L30"/>
    <mergeCell ref="A31:L31"/>
    <mergeCell ref="A32:L32"/>
    <mergeCell ref="A33:L33"/>
    <mergeCell ref="A34:L34"/>
    <mergeCell ref="A35:L35"/>
    <mergeCell ref="R29:S29"/>
    <mergeCell ref="R30:S30"/>
    <mergeCell ref="R31:S31"/>
    <mergeCell ref="A21:L21"/>
    <mergeCell ref="A23:L23"/>
    <mergeCell ref="A24:L24"/>
    <mergeCell ref="R16:S16"/>
    <mergeCell ref="R17:S17"/>
    <mergeCell ref="R18:S18"/>
    <mergeCell ref="R19:S19"/>
    <mergeCell ref="R20:S20"/>
    <mergeCell ref="R21:S21"/>
    <mergeCell ref="R22:S22"/>
    <mergeCell ref="A22:L22"/>
    <mergeCell ref="R32:S32"/>
    <mergeCell ref="A15:L15"/>
    <mergeCell ref="A14:L14"/>
    <mergeCell ref="A29:L29"/>
    <mergeCell ref="M16:N16"/>
    <mergeCell ref="M17:N17"/>
    <mergeCell ref="M18:N18"/>
    <mergeCell ref="M19:N19"/>
    <mergeCell ref="M20:N20"/>
    <mergeCell ref="M21:N21"/>
    <mergeCell ref="M22:N22"/>
    <mergeCell ref="M23:N23"/>
    <mergeCell ref="M24:N24"/>
    <mergeCell ref="M15:N15"/>
    <mergeCell ref="M25:N25"/>
    <mergeCell ref="A25:L25"/>
    <mergeCell ref="A27:L28"/>
    <mergeCell ref="R24:S24"/>
    <mergeCell ref="R25:S25"/>
    <mergeCell ref="A16:L16"/>
    <mergeCell ref="A17:L17"/>
    <mergeCell ref="A18:L18"/>
    <mergeCell ref="A19:L19"/>
    <mergeCell ref="A20:L20"/>
    <mergeCell ref="A2:F2"/>
    <mergeCell ref="A3:F3"/>
    <mergeCell ref="A4:F4"/>
    <mergeCell ref="A1:F1"/>
    <mergeCell ref="R1:AB1"/>
    <mergeCell ref="G2:AB2"/>
    <mergeCell ref="G3:AB3"/>
    <mergeCell ref="G4:AB4"/>
    <mergeCell ref="G1:J1"/>
    <mergeCell ref="K1:N1"/>
    <mergeCell ref="H5:R5"/>
    <mergeCell ref="J7:L7"/>
    <mergeCell ref="Q7:S7"/>
    <mergeCell ref="W7:X7"/>
    <mergeCell ref="H8:I8"/>
    <mergeCell ref="H6:R6"/>
    <mergeCell ref="S6:T6"/>
    <mergeCell ref="M13:N13"/>
    <mergeCell ref="M14:N14"/>
    <mergeCell ref="R11:S12"/>
    <mergeCell ref="V11:V12"/>
    <mergeCell ref="R13:S13"/>
    <mergeCell ref="T11:U11"/>
    <mergeCell ref="W11:AB12"/>
    <mergeCell ref="W13:AB13"/>
    <mergeCell ref="W14:AB14"/>
    <mergeCell ref="P11:Q11"/>
    <mergeCell ref="M11:N12"/>
    <mergeCell ref="A13:L13"/>
    <mergeCell ref="A11:L12"/>
    <mergeCell ref="O11:O12"/>
    <mergeCell ref="R14:S14"/>
    <mergeCell ref="A9:F9"/>
    <mergeCell ref="G9:I9"/>
    <mergeCell ref="Z68:Z70"/>
    <mergeCell ref="A71:D71"/>
    <mergeCell ref="E71:G71"/>
    <mergeCell ref="H71:M71"/>
    <mergeCell ref="U68:U70"/>
    <mergeCell ref="V68:V70"/>
    <mergeCell ref="W68:W70"/>
    <mergeCell ref="X68:X70"/>
    <mergeCell ref="S68:S70"/>
    <mergeCell ref="T68:T70"/>
    <mergeCell ref="P56:P67"/>
    <mergeCell ref="Q56:Q67"/>
    <mergeCell ref="N68:N70"/>
    <mergeCell ref="O68:O70"/>
    <mergeCell ref="P68:P70"/>
    <mergeCell ref="Q68:Q70"/>
    <mergeCell ref="A74:D74"/>
    <mergeCell ref="E74:G74"/>
    <mergeCell ref="Y68:Y70"/>
    <mergeCell ref="Y56:Y67"/>
    <mergeCell ref="A76:D76"/>
    <mergeCell ref="E76:G76"/>
    <mergeCell ref="H76:M76"/>
    <mergeCell ref="A80:D80"/>
    <mergeCell ref="E80:G80"/>
    <mergeCell ref="H80:M80"/>
    <mergeCell ref="A77:D77"/>
    <mergeCell ref="E77:G77"/>
    <mergeCell ref="H77:M77"/>
    <mergeCell ref="A78:D78"/>
    <mergeCell ref="E78:G78"/>
    <mergeCell ref="H78:M78"/>
    <mergeCell ref="A79:D79"/>
    <mergeCell ref="E79:G79"/>
    <mergeCell ref="H79:M79"/>
    <mergeCell ref="A75:D75"/>
    <mergeCell ref="E75:G75"/>
    <mergeCell ref="H75:M75"/>
    <mergeCell ref="Z56:Z67"/>
    <mergeCell ref="T56:T67"/>
    <mergeCell ref="U56:U67"/>
    <mergeCell ref="V56:V67"/>
    <mergeCell ref="W56:W67"/>
    <mergeCell ref="X56:X67"/>
    <mergeCell ref="H74:M74"/>
    <mergeCell ref="A68:D70"/>
    <mergeCell ref="E68:G70"/>
    <mergeCell ref="H68:M70"/>
    <mergeCell ref="R68:R70"/>
    <mergeCell ref="S56:S67"/>
    <mergeCell ref="N56:N67"/>
    <mergeCell ref="R56:R67"/>
    <mergeCell ref="E73:G73"/>
    <mergeCell ref="H73:M73"/>
    <mergeCell ref="A73:D73"/>
    <mergeCell ref="A72:D72"/>
    <mergeCell ref="E72:G72"/>
    <mergeCell ref="H72:M72"/>
    <mergeCell ref="O56:O67"/>
  </mergeCells>
  <dataValidations count="8">
    <dataValidation type="list" allowBlank="1" showInputMessage="1" showErrorMessage="1" sqref="AI4:AJ4 AM4" xr:uid="{8DA79B91-9261-4EB5-95E5-0EA11C1C0802}">
      <formula1>$AI$12:$AI$13</formula1>
    </dataValidation>
    <dataValidation type="list" allowBlank="1" showInputMessage="1" showErrorMessage="1" sqref="AI6 AM6" xr:uid="{CBBA885C-4175-47A7-8747-F71C46C5B397}">
      <formula1>$AI$14:$AI$15</formula1>
    </dataValidation>
    <dataValidation type="list" allowBlank="1" showInputMessage="1" showErrorMessage="1" sqref="W7:X7" xr:uid="{84004200-BBC4-455C-B371-604B4890A158}">
      <formula1>$AU$2:$AU$8</formula1>
    </dataValidation>
    <dataValidation type="list" allowBlank="1" showInputMessage="1" showErrorMessage="1" sqref="AM3 AI3" xr:uid="{7DCA3FEA-3C08-4077-AC57-3ED105493A7B}">
      <formula1>$AI$7:$AI$10</formula1>
    </dataValidation>
    <dataValidation type="list" allowBlank="1" showInputMessage="1" showErrorMessage="1" sqref="AJ3" xr:uid="{47114D50-DD56-4A39-AF6A-DD4BF84A5EF3}">
      <formula1>$AJ$10:$AJ$14</formula1>
    </dataValidation>
    <dataValidation type="list" allowBlank="1" showInputMessage="1" showErrorMessage="1" sqref="H80:M80" xr:uid="{399B4919-9244-43CA-A0E9-19191A41A22D}">
      <formula1>$AO$1:$AO$2</formula1>
    </dataValidation>
    <dataValidation type="list" allowBlank="1" showInputMessage="1" showErrorMessage="1" sqref="H71:M79" xr:uid="{F560FA94-9BF4-4262-8F35-540817F87CDB}">
      <formula1>$AN$2:$AN$3</formula1>
    </dataValidation>
    <dataValidation type="list" allowBlank="1" showInputMessage="1" showErrorMessage="1" sqref="K1:N1" xr:uid="{00CEE991-C7DA-4DCE-AECF-BB157EB277B5}">
      <formula1>$AC$2:$AC$5</formula1>
    </dataValidation>
  </dataValidations>
  <pageMargins left="0.11811023622047245" right="0.11811023622047245" top="0.51181102362204722" bottom="0.19685039370078741" header="0.31496062992125984" footer="0.31496062992125984"/>
  <pageSetup paperSize="9" scale="96" fitToHeight="0" orientation="portrait"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B1077FDD-C9A4-4449-B24D-81911902101B}">
          <x14:formula1>
            <xm:f>'Konstrukcja naziemna'!$AG$5:$AG$8</xm:f>
          </x14:formula1>
          <xm:sqref>O1:Q1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F0E47-808C-4712-AA1C-C9A3FC3A6707}">
  <sheetPr codeName="Arkusz8">
    <tabColor rgb="FF00B050"/>
    <pageSetUpPr fitToPage="1"/>
  </sheetPr>
  <dimension ref="A1:AX82"/>
  <sheetViews>
    <sheetView view="pageBreakPreview" zoomScale="115" zoomScaleNormal="115" zoomScaleSheetLayoutView="115" zoomScalePageLayoutView="115" workbookViewId="0">
      <selection activeCell="AC1" sqref="AC1:AC5"/>
    </sheetView>
  </sheetViews>
  <sheetFormatPr defaultColWidth="2.85546875" defaultRowHeight="15"/>
  <cols>
    <col min="13" max="13" width="4" customWidth="1"/>
    <col min="15" max="15" width="3.85546875" customWidth="1"/>
    <col min="16" max="16" width="7.7109375" customWidth="1"/>
    <col min="17" max="19" width="3.85546875" customWidth="1"/>
    <col min="20" max="20" width="7.7109375" customWidth="1"/>
    <col min="21" max="21" width="4.28515625" customWidth="1"/>
    <col min="22" max="25" width="3.85546875" customWidth="1"/>
    <col min="26" max="26" width="3.5703125" bestFit="1" customWidth="1"/>
    <col min="28" max="28" width="6.42578125" bestFit="1" customWidth="1"/>
    <col min="35" max="35" width="20.28515625" customWidth="1"/>
    <col min="36" max="36" width="17.28515625" customWidth="1"/>
    <col min="37" max="37" width="11.5703125" customWidth="1"/>
    <col min="38" max="38" width="17.42578125" customWidth="1"/>
    <col min="42" max="42" width="5" bestFit="1" customWidth="1"/>
    <col min="48" max="50" width="11.140625" customWidth="1"/>
  </cols>
  <sheetData>
    <row r="1" spans="1:50">
      <c r="A1" s="1088" t="s">
        <v>900</v>
      </c>
      <c r="B1" s="1088"/>
      <c r="C1" s="1088"/>
      <c r="D1" s="1088"/>
      <c r="E1" s="1088"/>
      <c r="F1" s="1088"/>
      <c r="G1" s="1091">
        <f ca="1">TODAY()+1</f>
        <v>45307</v>
      </c>
      <c r="H1" s="1091"/>
      <c r="I1" s="1091"/>
      <c r="J1" s="1091"/>
      <c r="K1" s="1092" t="s">
        <v>974</v>
      </c>
      <c r="L1" s="1092"/>
      <c r="M1" s="1092"/>
      <c r="N1" s="1092"/>
      <c r="O1" s="301"/>
      <c r="P1" s="301"/>
      <c r="Q1" s="301"/>
      <c r="R1" s="1089" t="s">
        <v>915</v>
      </c>
      <c r="S1" s="1089"/>
      <c r="T1" s="1089"/>
      <c r="U1" s="1089"/>
      <c r="V1" s="1089"/>
      <c r="W1" s="1089"/>
      <c r="X1" s="1089"/>
      <c r="Y1" s="1089"/>
      <c r="Z1" s="1089"/>
      <c r="AA1" s="1089"/>
      <c r="AB1" s="1089"/>
      <c r="AC1" t="s">
        <v>1016</v>
      </c>
      <c r="AI1" t="s">
        <v>415</v>
      </c>
      <c r="AJ1" t="s">
        <v>416</v>
      </c>
      <c r="AK1" t="s">
        <v>417</v>
      </c>
      <c r="AL1" t="s">
        <v>418</v>
      </c>
      <c r="AO1" t="s">
        <v>383</v>
      </c>
      <c r="AP1">
        <f>(Q7+20)/1000</f>
        <v>1.1539999999999999</v>
      </c>
      <c r="AV1" t="s">
        <v>378</v>
      </c>
      <c r="AW1" t="s">
        <v>379</v>
      </c>
      <c r="AX1" t="s">
        <v>380</v>
      </c>
    </row>
    <row r="2" spans="1:50">
      <c r="A2" s="1087" t="s">
        <v>605</v>
      </c>
      <c r="B2" s="1087"/>
      <c r="C2" s="1087"/>
      <c r="D2" s="1087"/>
      <c r="E2" s="1087"/>
      <c r="F2" s="1087"/>
      <c r="G2" s="941">
        <f>'Protokół odbioru'!D8</f>
        <v>0</v>
      </c>
      <c r="H2" s="941"/>
      <c r="I2" s="941"/>
      <c r="J2" s="941"/>
      <c r="K2" s="941"/>
      <c r="L2" s="941"/>
      <c r="M2" s="941"/>
      <c r="N2" s="941"/>
      <c r="O2" s="941"/>
      <c r="P2" s="941"/>
      <c r="Q2" s="941"/>
      <c r="R2" s="941"/>
      <c r="S2" s="941"/>
      <c r="T2" s="941"/>
      <c r="U2" s="941"/>
      <c r="V2" s="941"/>
      <c r="W2" s="941"/>
      <c r="X2" s="941"/>
      <c r="Y2" s="941"/>
      <c r="Z2" s="941"/>
      <c r="AA2" s="941"/>
      <c r="AB2" s="941"/>
      <c r="AC2" t="s">
        <v>974</v>
      </c>
      <c r="AI2" t="s">
        <v>419</v>
      </c>
      <c r="AJ2" t="s">
        <v>420</v>
      </c>
      <c r="AK2" t="s">
        <v>420</v>
      </c>
      <c r="AL2" t="s">
        <v>421</v>
      </c>
      <c r="AO2" t="s">
        <v>389</v>
      </c>
      <c r="AP2">
        <f>(J7+20)/1000</f>
        <v>2.298</v>
      </c>
      <c r="AV2">
        <v>35</v>
      </c>
      <c r="AW2" t="s">
        <v>384</v>
      </c>
      <c r="AX2" t="s">
        <v>385</v>
      </c>
    </row>
    <row r="3" spans="1:50">
      <c r="A3" s="1087" t="s">
        <v>898</v>
      </c>
      <c r="B3" s="1087"/>
      <c r="C3" s="1087"/>
      <c r="D3" s="1087"/>
      <c r="E3" s="1087"/>
      <c r="F3" s="1087"/>
      <c r="G3" s="941">
        <f>'Protokół odbioru'!D9</f>
        <v>0</v>
      </c>
      <c r="H3" s="941"/>
      <c r="I3" s="941"/>
      <c r="J3" s="941"/>
      <c r="K3" s="941"/>
      <c r="L3" s="941"/>
      <c r="M3" s="941"/>
      <c r="N3" s="941"/>
      <c r="O3" s="941"/>
      <c r="P3" s="941"/>
      <c r="Q3" s="941"/>
      <c r="R3" s="941"/>
      <c r="S3" s="941"/>
      <c r="T3" s="941"/>
      <c r="U3" s="941"/>
      <c r="V3" s="941"/>
      <c r="W3" s="941"/>
      <c r="X3" s="941"/>
      <c r="Y3" s="941"/>
      <c r="Z3" s="941"/>
      <c r="AA3" s="941"/>
      <c r="AB3" s="941"/>
      <c r="AC3" t="s">
        <v>974</v>
      </c>
      <c r="AI3" s="97" t="s">
        <v>949</v>
      </c>
      <c r="AJ3" s="97" t="s">
        <v>401</v>
      </c>
      <c r="AK3" s="97" t="s">
        <v>401</v>
      </c>
      <c r="AL3" s="97" t="s">
        <v>422</v>
      </c>
      <c r="AV3">
        <v>40</v>
      </c>
      <c r="AW3" t="s">
        <v>390</v>
      </c>
      <c r="AX3" t="s">
        <v>391</v>
      </c>
    </row>
    <row r="4" spans="1:50">
      <c r="A4" s="1087" t="s">
        <v>899</v>
      </c>
      <c r="B4" s="1087"/>
      <c r="C4" s="1087"/>
      <c r="D4" s="1087"/>
      <c r="E4" s="1087"/>
      <c r="F4" s="1087"/>
      <c r="G4" s="941">
        <f>'Protokół odbioru'!D10</f>
        <v>0</v>
      </c>
      <c r="H4" s="941"/>
      <c r="I4" s="941"/>
      <c r="J4" s="941"/>
      <c r="K4" s="941"/>
      <c r="L4" s="941"/>
      <c r="M4" s="941"/>
      <c r="N4" s="941"/>
      <c r="O4" s="941"/>
      <c r="P4" s="941"/>
      <c r="Q4" s="941"/>
      <c r="R4" s="941"/>
      <c r="S4" s="941"/>
      <c r="T4" s="941"/>
      <c r="U4" s="941"/>
      <c r="V4" s="941"/>
      <c r="W4" s="941"/>
      <c r="X4" s="941"/>
      <c r="Y4" s="941"/>
      <c r="Z4" s="941"/>
      <c r="AA4" s="941"/>
      <c r="AB4" s="941"/>
      <c r="AC4" t="s">
        <v>974</v>
      </c>
      <c r="AI4" t="s">
        <v>393</v>
      </c>
      <c r="AJ4" t="s">
        <v>393</v>
      </c>
      <c r="AK4" t="s">
        <v>393</v>
      </c>
      <c r="AL4" t="s">
        <v>393</v>
      </c>
      <c r="AV4">
        <v>32</v>
      </c>
      <c r="AW4" t="s">
        <v>938</v>
      </c>
      <c r="AX4" t="s">
        <v>385</v>
      </c>
    </row>
    <row r="5" spans="1:50">
      <c r="A5" t="s">
        <v>177</v>
      </c>
      <c r="I5" s="941" t="str">
        <f>PV!P71</f>
        <v>Dachówka</v>
      </c>
      <c r="J5" s="941"/>
      <c r="K5" s="941"/>
      <c r="L5" s="941"/>
      <c r="M5" s="941"/>
      <c r="N5" s="941"/>
      <c r="O5" s="941"/>
      <c r="P5" s="941"/>
      <c r="Q5" s="941"/>
      <c r="R5" s="941"/>
      <c r="S5" s="941"/>
      <c r="AC5" t="s">
        <v>974</v>
      </c>
      <c r="AL5" t="s">
        <v>423</v>
      </c>
      <c r="AV5">
        <v>30</v>
      </c>
      <c r="AW5" t="s">
        <v>938</v>
      </c>
      <c r="AX5" t="s">
        <v>385</v>
      </c>
    </row>
    <row r="6" spans="1:50">
      <c r="A6" t="s">
        <v>425</v>
      </c>
      <c r="H6" s="941" t="str">
        <f>PV!J84</f>
        <v>TW Solar TW555-MAP M10-144-H</v>
      </c>
      <c r="I6" s="941"/>
      <c r="J6" s="941"/>
      <c r="K6" s="941"/>
      <c r="L6" s="941"/>
      <c r="M6" s="941"/>
      <c r="N6" s="941"/>
      <c r="O6" s="941"/>
      <c r="P6" s="941"/>
      <c r="Q6" s="941"/>
      <c r="R6" s="941"/>
      <c r="S6" s="99">
        <f>PV!B84</f>
        <v>24</v>
      </c>
      <c r="T6" t="s">
        <v>60</v>
      </c>
      <c r="U6" s="1089" t="str">
        <f>PV!G227</f>
        <v>Rozłącznik ppoż PROJOY 2-stringi</v>
      </c>
      <c r="V6" s="1089"/>
      <c r="W6" s="1089"/>
      <c r="X6" s="1089"/>
      <c r="Y6" s="1089"/>
      <c r="Z6" s="211">
        <f>PV!R227</f>
        <v>1</v>
      </c>
      <c r="AJ6" t="s">
        <v>392</v>
      </c>
      <c r="AK6" t="s">
        <v>392</v>
      </c>
      <c r="AL6" t="s">
        <v>422</v>
      </c>
    </row>
    <row r="7" spans="1:50" ht="14.45" customHeight="1">
      <c r="A7" t="s">
        <v>395</v>
      </c>
      <c r="H7" t="s">
        <v>396</v>
      </c>
      <c r="J7" s="941">
        <f>VLOOKUP(panel,[1]!Panele[#All],MATCH("wysokość",[1]!Panele[#Headers],0),FALSE)</f>
        <v>2278</v>
      </c>
      <c r="K7" s="941"/>
      <c r="L7" s="941"/>
      <c r="M7" t="s">
        <v>397</v>
      </c>
      <c r="O7" t="s">
        <v>398</v>
      </c>
      <c r="Q7" s="941">
        <f>VLOOKUP(panel,[1]!Panele[#All],MATCH("szerokość",[1]!Panele[#Headers],0),FALSE)</f>
        <v>1134</v>
      </c>
      <c r="R7" s="941"/>
      <c r="S7" s="941"/>
      <c r="T7" t="s">
        <v>397</v>
      </c>
      <c r="V7" t="s">
        <v>399</v>
      </c>
      <c r="W7" s="941">
        <f>VLOOKUP(panel,[1]!Panele[#All],MATCH("grubość",[1]!Panele[#Headers],0),FALSE)</f>
        <v>35</v>
      </c>
      <c r="X7" s="941"/>
      <c r="Y7" t="s">
        <v>397</v>
      </c>
      <c r="AJ7" t="s">
        <v>401</v>
      </c>
      <c r="AK7" t="s">
        <v>401</v>
      </c>
      <c r="AL7" t="s">
        <v>424</v>
      </c>
    </row>
    <row r="8" spans="1:50">
      <c r="A8" t="s">
        <v>400</v>
      </c>
      <c r="I8" s="941">
        <f>0.8</f>
        <v>0.8</v>
      </c>
      <c r="J8" s="941"/>
      <c r="K8" t="s">
        <v>86</v>
      </c>
      <c r="AJ8" t="s">
        <v>408</v>
      </c>
      <c r="AK8" t="s">
        <v>408</v>
      </c>
    </row>
    <row r="9" spans="1:50" ht="15.75" thickBot="1">
      <c r="A9" s="1086" t="s">
        <v>920</v>
      </c>
      <c r="B9" s="1086"/>
      <c r="C9" s="1086"/>
      <c r="D9" s="1086"/>
      <c r="E9" s="1086"/>
      <c r="F9" s="1086"/>
      <c r="G9" s="1086">
        <f>PV!AJ97</f>
        <v>18</v>
      </c>
      <c r="H9" s="1086"/>
      <c r="I9" s="1086"/>
      <c r="J9" s="1086" t="s">
        <v>921</v>
      </c>
      <c r="K9" s="1086"/>
      <c r="L9" s="1086"/>
      <c r="M9" s="1086"/>
      <c r="N9" s="1086"/>
      <c r="O9" s="1086"/>
      <c r="P9" s="1086">
        <f>PV!AL97</f>
        <v>18</v>
      </c>
      <c r="Q9" s="1086"/>
    </row>
    <row r="10" spans="1:50">
      <c r="A10" s="1078" t="s">
        <v>461</v>
      </c>
      <c r="B10" s="1079"/>
      <c r="C10" s="1079"/>
      <c r="D10" s="1079"/>
      <c r="E10" s="1079"/>
      <c r="F10" s="1079"/>
      <c r="G10" s="1079"/>
      <c r="H10" s="1079"/>
      <c r="I10" s="1079"/>
      <c r="J10" s="1079"/>
      <c r="K10" s="1079"/>
      <c r="L10" s="1100"/>
      <c r="M10" s="1073" t="s">
        <v>901</v>
      </c>
      <c r="N10" s="1074"/>
      <c r="O10" s="1080" t="s">
        <v>245</v>
      </c>
      <c r="P10" s="1071" t="s">
        <v>902</v>
      </c>
      <c r="Q10" s="1072"/>
      <c r="R10" s="1159" t="s">
        <v>911</v>
      </c>
      <c r="S10" s="1160"/>
      <c r="T10" s="1163" t="s">
        <v>916</v>
      </c>
      <c r="U10" s="1164"/>
      <c r="V10" s="1165" t="s">
        <v>456</v>
      </c>
      <c r="W10" s="1060" t="s">
        <v>903</v>
      </c>
      <c r="X10" s="1061"/>
      <c r="Y10" s="1061"/>
      <c r="Z10" s="1061"/>
      <c r="AA10" s="1061"/>
      <c r="AB10" s="1062"/>
    </row>
    <row r="11" spans="1:50" ht="25.5" thickBot="1">
      <c r="A11" s="1081"/>
      <c r="B11" s="1082"/>
      <c r="C11" s="1082"/>
      <c r="D11" s="1082"/>
      <c r="E11" s="1082"/>
      <c r="F11" s="1082"/>
      <c r="G11" s="1082"/>
      <c r="H11" s="1082"/>
      <c r="I11" s="1082"/>
      <c r="J11" s="1082"/>
      <c r="K11" s="1082"/>
      <c r="L11" s="1101"/>
      <c r="M11" s="1075"/>
      <c r="N11" s="1076"/>
      <c r="O11" s="1083"/>
      <c r="P11" s="257" t="s">
        <v>225</v>
      </c>
      <c r="Q11" s="258" t="s">
        <v>144</v>
      </c>
      <c r="R11" s="1161"/>
      <c r="S11" s="1162"/>
      <c r="T11" s="261" t="s">
        <v>225</v>
      </c>
      <c r="U11" s="262" t="s">
        <v>144</v>
      </c>
      <c r="V11" s="1166"/>
      <c r="W11" s="1063"/>
      <c r="X11" s="1064"/>
      <c r="Y11" s="1064"/>
      <c r="Z11" s="1064"/>
      <c r="AA11" s="1064"/>
      <c r="AB11" s="1065"/>
    </row>
    <row r="12" spans="1:50" ht="15.75">
      <c r="A12" s="1046" t="str">
        <f>$O$58</f>
        <v>klema końcowa 35mm</v>
      </c>
      <c r="B12" s="1047"/>
      <c r="C12" s="1047"/>
      <c r="D12" s="1047"/>
      <c r="E12" s="1047"/>
      <c r="F12" s="1047"/>
      <c r="G12" s="1047"/>
      <c r="H12" s="1047"/>
      <c r="I12" s="1047"/>
      <c r="J12" s="1047"/>
      <c r="K12" s="1047"/>
      <c r="L12" s="1167"/>
      <c r="M12" s="1046">
        <f>O70</f>
        <v>0</v>
      </c>
      <c r="N12" s="1047"/>
      <c r="O12" s="252"/>
      <c r="P12" s="250"/>
      <c r="Q12" s="251"/>
      <c r="R12" s="1170"/>
      <c r="S12" s="1171"/>
      <c r="T12" s="250"/>
      <c r="U12" s="249"/>
      <c r="V12" s="263" t="s">
        <v>203</v>
      </c>
      <c r="W12" s="1066"/>
      <c r="X12" s="1067"/>
      <c r="Y12" s="1067"/>
      <c r="Z12" s="1067"/>
      <c r="AA12" s="1067"/>
      <c r="AB12" s="1068"/>
    </row>
    <row r="13" spans="1:50" ht="15.75">
      <c r="A13" s="1048" t="str">
        <f>$P$58</f>
        <v>klema środkowa</v>
      </c>
      <c r="B13" s="1049"/>
      <c r="C13" s="1049"/>
      <c r="D13" s="1049"/>
      <c r="E13" s="1049"/>
      <c r="F13" s="1049"/>
      <c r="G13" s="1049"/>
      <c r="H13" s="1049"/>
      <c r="I13" s="1049"/>
      <c r="J13" s="1049"/>
      <c r="K13" s="1049"/>
      <c r="L13" s="1136"/>
      <c r="M13" s="1048">
        <f>P70</f>
        <v>0</v>
      </c>
      <c r="N13" s="1049"/>
      <c r="O13" s="253"/>
      <c r="P13" s="242"/>
      <c r="Q13" s="243"/>
      <c r="R13" s="1172"/>
      <c r="S13" s="1173"/>
      <c r="T13" s="242"/>
      <c r="U13" s="246"/>
      <c r="V13" s="264" t="s">
        <v>203</v>
      </c>
      <c r="W13" s="1069"/>
      <c r="X13" s="1036"/>
      <c r="Y13" s="1036"/>
      <c r="Z13" s="1036"/>
      <c r="AA13" s="1036"/>
      <c r="AB13" s="1070"/>
    </row>
    <row r="14" spans="1:50" ht="15.75">
      <c r="A14" s="1048" t="str">
        <f>$Q$58</f>
        <v>śruba imbusowa 25mm</v>
      </c>
      <c r="B14" s="1049"/>
      <c r="C14" s="1049"/>
      <c r="D14" s="1049"/>
      <c r="E14" s="1049"/>
      <c r="F14" s="1049"/>
      <c r="G14" s="1049"/>
      <c r="H14" s="1049"/>
      <c r="I14" s="1049"/>
      <c r="J14" s="1049"/>
      <c r="K14" s="1049"/>
      <c r="L14" s="1136"/>
      <c r="M14" s="1048">
        <f>Q70</f>
        <v>0</v>
      </c>
      <c r="N14" s="1049"/>
      <c r="O14" s="253"/>
      <c r="P14" s="242"/>
      <c r="Q14" s="243"/>
      <c r="R14" s="1172"/>
      <c r="S14" s="1173"/>
      <c r="T14" s="242"/>
      <c r="U14" s="246"/>
      <c r="V14" s="264" t="s">
        <v>203</v>
      </c>
      <c r="W14" s="1069"/>
      <c r="X14" s="1036"/>
      <c r="Y14" s="1036"/>
      <c r="Z14" s="1036"/>
      <c r="AA14" s="1036"/>
      <c r="AB14" s="1070"/>
    </row>
    <row r="15" spans="1:50" ht="15.75">
      <c r="A15" s="1048" t="str">
        <f>$R$58</f>
        <v>wpust przesuwny</v>
      </c>
      <c r="B15" s="1049"/>
      <c r="C15" s="1049"/>
      <c r="D15" s="1049"/>
      <c r="E15" s="1049"/>
      <c r="F15" s="1049"/>
      <c r="G15" s="1049"/>
      <c r="H15" s="1049"/>
      <c r="I15" s="1049"/>
      <c r="J15" s="1049"/>
      <c r="K15" s="1049"/>
      <c r="L15" s="1136"/>
      <c r="M15" s="1048">
        <f>R70</f>
        <v>0</v>
      </c>
      <c r="N15" s="1049"/>
      <c r="O15" s="253"/>
      <c r="P15" s="242"/>
      <c r="Q15" s="243"/>
      <c r="R15" s="1172"/>
      <c r="S15" s="1173"/>
      <c r="T15" s="242"/>
      <c r="U15" s="246"/>
      <c r="V15" s="264" t="s">
        <v>203</v>
      </c>
      <c r="W15" s="1069"/>
      <c r="X15" s="1036"/>
      <c r="Y15" s="1036"/>
      <c r="Z15" s="1036"/>
      <c r="AA15" s="1036"/>
      <c r="AB15" s="1070"/>
    </row>
    <row r="16" spans="1:50" ht="15.75">
      <c r="A16" s="1048" t="str">
        <f>$S$58</f>
        <v>profil aluminiowy 3300mm</v>
      </c>
      <c r="B16" s="1049"/>
      <c r="C16" s="1049"/>
      <c r="D16" s="1049"/>
      <c r="E16" s="1049"/>
      <c r="F16" s="1049"/>
      <c r="G16" s="1049"/>
      <c r="H16" s="1049"/>
      <c r="I16" s="1049"/>
      <c r="J16" s="1049"/>
      <c r="K16" s="1049"/>
      <c r="L16" s="1136"/>
      <c r="M16" s="1168">
        <f>S70</f>
        <v>0</v>
      </c>
      <c r="N16" s="1169"/>
      <c r="O16" s="253"/>
      <c r="P16" s="242"/>
      <c r="Q16" s="243"/>
      <c r="R16" s="1172"/>
      <c r="S16" s="1173"/>
      <c r="T16" s="242"/>
      <c r="U16" s="246"/>
      <c r="V16" s="264" t="s">
        <v>203</v>
      </c>
      <c r="W16" s="1069"/>
      <c r="X16" s="1036"/>
      <c r="Y16" s="1036"/>
      <c r="Z16" s="1036"/>
      <c r="AA16" s="1036"/>
      <c r="AB16" s="1070"/>
    </row>
    <row r="17" spans="1:28" ht="14.45" customHeight="1">
      <c r="A17" s="1048" t="str">
        <f>$T$58</f>
        <v>łącznik profili montażowych</v>
      </c>
      <c r="B17" s="1049"/>
      <c r="C17" s="1049"/>
      <c r="D17" s="1049"/>
      <c r="E17" s="1049"/>
      <c r="F17" s="1049"/>
      <c r="G17" s="1049"/>
      <c r="H17" s="1049"/>
      <c r="I17" s="1049"/>
      <c r="J17" s="1049"/>
      <c r="K17" s="1049"/>
      <c r="L17" s="1136"/>
      <c r="M17" s="1168">
        <f>U70</f>
        <v>0</v>
      </c>
      <c r="N17" s="1169"/>
      <c r="O17" s="253"/>
      <c r="P17" s="242"/>
      <c r="Q17" s="243"/>
      <c r="R17" s="1172"/>
      <c r="S17" s="1173"/>
      <c r="T17" s="242"/>
      <c r="U17" s="246"/>
      <c r="V17" s="264" t="s">
        <v>203</v>
      </c>
      <c r="W17" s="1069"/>
      <c r="X17" s="1036"/>
      <c r="Y17" s="1036"/>
      <c r="Z17" s="1036"/>
      <c r="AA17" s="1036"/>
      <c r="AB17" s="1070"/>
    </row>
    <row r="18" spans="1:28" ht="18" customHeight="1">
      <c r="A18" s="1048" t="str">
        <f>$U$58</f>
        <v>śruba teowa M10 30mm</v>
      </c>
      <c r="B18" s="1049"/>
      <c r="C18" s="1049"/>
      <c r="D18" s="1049"/>
      <c r="E18" s="1049"/>
      <c r="F18" s="1049"/>
      <c r="G18" s="1049"/>
      <c r="H18" s="1049"/>
      <c r="I18" s="1049"/>
      <c r="J18" s="1049"/>
      <c r="K18" s="1049"/>
      <c r="L18" s="1136"/>
      <c r="M18" s="1168">
        <f>U70</f>
        <v>0</v>
      </c>
      <c r="N18" s="1169"/>
      <c r="O18" s="253"/>
      <c r="P18" s="242"/>
      <c r="Q18" s="243"/>
      <c r="R18" s="1172"/>
      <c r="S18" s="1173"/>
      <c r="T18" s="242"/>
      <c r="U18" s="246"/>
      <c r="V18" s="264" t="s">
        <v>203</v>
      </c>
      <c r="W18" s="1069"/>
      <c r="X18" s="1036"/>
      <c r="Y18" s="1036"/>
      <c r="Z18" s="1036"/>
      <c r="AA18" s="1036"/>
      <c r="AB18" s="1070"/>
    </row>
    <row r="19" spans="1:28" ht="15.75">
      <c r="A19" s="1048" t="str">
        <f>$V$58</f>
        <v>nakrętka M10</v>
      </c>
      <c r="B19" s="1049"/>
      <c r="C19" s="1049"/>
      <c r="D19" s="1049"/>
      <c r="E19" s="1049"/>
      <c r="F19" s="1049"/>
      <c r="G19" s="1049"/>
      <c r="H19" s="1049"/>
      <c r="I19" s="1049"/>
      <c r="J19" s="1049"/>
      <c r="K19" s="1049"/>
      <c r="L19" s="1136"/>
      <c r="M19" s="1168">
        <f>V70</f>
        <v>0</v>
      </c>
      <c r="N19" s="1169"/>
      <c r="O19" s="253"/>
      <c r="P19" s="242"/>
      <c r="Q19" s="243"/>
      <c r="R19" s="1172"/>
      <c r="S19" s="1173"/>
      <c r="T19" s="242"/>
      <c r="U19" s="246"/>
      <c r="V19" s="264" t="s">
        <v>203</v>
      </c>
      <c r="W19" s="1069"/>
      <c r="X19" s="1036"/>
      <c r="Y19" s="1036"/>
      <c r="Z19" s="1036"/>
      <c r="AA19" s="1036"/>
      <c r="AB19" s="1070"/>
    </row>
    <row r="20" spans="1:28" ht="15.75">
      <c r="A20" s="1048" t="str">
        <f>$W$58</f>
        <v>wkręt do drewna</v>
      </c>
      <c r="B20" s="1049"/>
      <c r="C20" s="1049"/>
      <c r="D20" s="1049"/>
      <c r="E20" s="1049"/>
      <c r="F20" s="1049"/>
      <c r="G20" s="1049"/>
      <c r="H20" s="1049"/>
      <c r="I20" s="1049"/>
      <c r="J20" s="1049"/>
      <c r="K20" s="1049"/>
      <c r="L20" s="1136"/>
      <c r="M20" s="1048">
        <f>W70</f>
        <v>0</v>
      </c>
      <c r="N20" s="1049"/>
      <c r="O20" s="253"/>
      <c r="P20" s="242"/>
      <c r="Q20" s="243"/>
      <c r="R20" s="1172"/>
      <c r="S20" s="1173"/>
      <c r="T20" s="242"/>
      <c r="U20" s="246"/>
      <c r="V20" s="264" t="s">
        <v>203</v>
      </c>
      <c r="W20" s="1069"/>
      <c r="X20" s="1036"/>
      <c r="Y20" s="1036"/>
      <c r="Z20" s="1036"/>
      <c r="AA20" s="1036"/>
      <c r="AB20" s="1070"/>
    </row>
    <row r="21" spans="1:28" ht="15.75">
      <c r="A21" s="1048" t="str">
        <f>$X$58</f>
        <v xml:space="preserve">uchwyt monażowy typu S </v>
      </c>
      <c r="B21" s="1049"/>
      <c r="C21" s="1049"/>
      <c r="D21" s="1049"/>
      <c r="E21" s="1049"/>
      <c r="F21" s="1049"/>
      <c r="G21" s="1049"/>
      <c r="H21" s="1049"/>
      <c r="I21" s="1049"/>
      <c r="J21" s="1049"/>
      <c r="K21" s="1049"/>
      <c r="L21" s="1136"/>
      <c r="M21" s="1048">
        <f>$X$70</f>
        <v>0</v>
      </c>
      <c r="N21" s="1049"/>
      <c r="O21" s="253"/>
      <c r="P21" s="242"/>
      <c r="Q21" s="243"/>
      <c r="R21" s="1172"/>
      <c r="S21" s="1173"/>
      <c r="T21" s="242"/>
      <c r="U21" s="246"/>
      <c r="V21" s="264" t="s">
        <v>203</v>
      </c>
      <c r="W21" s="1069"/>
      <c r="X21" s="1036"/>
      <c r="Y21" s="1036"/>
      <c r="Z21" s="1036"/>
      <c r="AA21" s="1036"/>
      <c r="AB21" s="1070"/>
    </row>
    <row r="22" spans="1:28" ht="15.75">
      <c r="A22" s="1048" t="str">
        <f>$Y$58</f>
        <v>zaślepka profila czarna</v>
      </c>
      <c r="B22" s="1049"/>
      <c r="C22" s="1049"/>
      <c r="D22" s="1049"/>
      <c r="E22" s="1049"/>
      <c r="F22" s="1049"/>
      <c r="G22" s="1049"/>
      <c r="H22" s="1049"/>
      <c r="I22" s="1049"/>
      <c r="J22" s="1049"/>
      <c r="K22" s="1049"/>
      <c r="L22" s="1136"/>
      <c r="M22" s="1048">
        <f>Y70</f>
        <v>0</v>
      </c>
      <c r="N22" s="1049"/>
      <c r="O22" s="253"/>
      <c r="P22" s="242"/>
      <c r="Q22" s="243"/>
      <c r="R22" s="1172"/>
      <c r="S22" s="1173"/>
      <c r="T22" s="242"/>
      <c r="U22" s="246"/>
      <c r="V22" s="264" t="s">
        <v>203</v>
      </c>
      <c r="W22" s="1069"/>
      <c r="X22" s="1036"/>
      <c r="Y22" s="1036"/>
      <c r="Z22" s="1036"/>
      <c r="AA22" s="1036"/>
      <c r="AB22" s="1070"/>
    </row>
    <row r="23" spans="1:28" ht="16.5" thickBot="1">
      <c r="A23" s="1097">
        <f>$Z$58</f>
        <v>0</v>
      </c>
      <c r="B23" s="1098"/>
      <c r="C23" s="1098"/>
      <c r="D23" s="1098"/>
      <c r="E23" s="1098"/>
      <c r="F23" s="1098"/>
      <c r="G23" s="1098"/>
      <c r="H23" s="1098"/>
      <c r="I23" s="1098"/>
      <c r="J23" s="1098"/>
      <c r="K23" s="1098"/>
      <c r="L23" s="1137"/>
      <c r="M23" s="1097">
        <f>Z70</f>
        <v>0</v>
      </c>
      <c r="N23" s="1098"/>
      <c r="O23" s="254"/>
      <c r="P23" s="244"/>
      <c r="Q23" s="245"/>
      <c r="R23" s="1174"/>
      <c r="S23" s="1175"/>
      <c r="T23" s="244"/>
      <c r="U23" s="247"/>
      <c r="V23" s="265" t="s">
        <v>203</v>
      </c>
      <c r="W23" s="1112"/>
      <c r="X23" s="1113"/>
      <c r="Y23" s="1113"/>
      <c r="Z23" s="1113"/>
      <c r="AA23" s="1113"/>
      <c r="AB23" s="1128"/>
    </row>
    <row r="24" spans="1:28" ht="15.75" thickBot="1"/>
    <row r="25" spans="1:28">
      <c r="A25" s="1078" t="s">
        <v>904</v>
      </c>
      <c r="B25" s="1079"/>
      <c r="C25" s="1079"/>
      <c r="D25" s="1079"/>
      <c r="E25" s="1079"/>
      <c r="F25" s="1079"/>
      <c r="G25" s="1079"/>
      <c r="H25" s="1079"/>
      <c r="I25" s="1079"/>
      <c r="J25" s="1079"/>
      <c r="K25" s="1079"/>
      <c r="L25" s="1100"/>
      <c r="M25" s="1120" t="s">
        <v>901</v>
      </c>
      <c r="N25" s="1121"/>
      <c r="O25" s="1121"/>
      <c r="P25" s="1121"/>
      <c r="Q25" s="1122"/>
      <c r="R25" s="1114" t="s">
        <v>910</v>
      </c>
      <c r="S25" s="1115"/>
      <c r="T25" s="1129" t="s">
        <v>903</v>
      </c>
      <c r="U25" s="1054"/>
      <c r="V25" s="1054"/>
      <c r="W25" s="1054"/>
      <c r="X25" s="1054"/>
      <c r="Y25" s="1054"/>
      <c r="Z25" s="1054"/>
      <c r="AA25" s="1054"/>
      <c r="AB25" s="1130"/>
    </row>
    <row r="26" spans="1:28" ht="15" customHeight="1" thickBot="1">
      <c r="A26" s="1081"/>
      <c r="B26" s="1082"/>
      <c r="C26" s="1082"/>
      <c r="D26" s="1082"/>
      <c r="E26" s="1082"/>
      <c r="F26" s="1082"/>
      <c r="G26" s="1082"/>
      <c r="H26" s="1082"/>
      <c r="I26" s="1082"/>
      <c r="J26" s="1082"/>
      <c r="K26" s="1082"/>
      <c r="L26" s="1101"/>
      <c r="M26" s="1125" t="s">
        <v>225</v>
      </c>
      <c r="N26" s="1126"/>
      <c r="O26" s="1127"/>
      <c r="P26" s="1123" t="s">
        <v>144</v>
      </c>
      <c r="Q26" s="1124"/>
      <c r="R26" s="1116"/>
      <c r="S26" s="1117"/>
      <c r="T26" s="1131"/>
      <c r="U26" s="1055"/>
      <c r="V26" s="1055"/>
      <c r="W26" s="1055"/>
      <c r="X26" s="1055"/>
      <c r="Y26" s="1055"/>
      <c r="Z26" s="1055"/>
      <c r="AA26" s="1055"/>
      <c r="AB26" s="1132"/>
    </row>
    <row r="27" spans="1:28">
      <c r="A27" s="1094" t="s">
        <v>905</v>
      </c>
      <c r="B27" s="1095"/>
      <c r="C27" s="1095"/>
      <c r="D27" s="1095"/>
      <c r="E27" s="1095"/>
      <c r="F27" s="1095"/>
      <c r="G27" s="1095"/>
      <c r="H27" s="1095"/>
      <c r="I27" s="1095"/>
      <c r="J27" s="1095"/>
      <c r="K27" s="1095"/>
      <c r="L27" s="1096"/>
      <c r="M27" s="1066"/>
      <c r="N27" s="1067"/>
      <c r="O27" s="1067"/>
      <c r="P27" s="1067"/>
      <c r="Q27" s="1068"/>
      <c r="R27" s="1118"/>
      <c r="S27" s="1119"/>
      <c r="T27" s="1066"/>
      <c r="U27" s="1067"/>
      <c r="V27" s="1067"/>
      <c r="W27" s="1067"/>
      <c r="X27" s="1067"/>
      <c r="Y27" s="1067"/>
      <c r="Z27" s="1067"/>
      <c r="AA27" s="1067"/>
      <c r="AB27" s="1068"/>
    </row>
    <row r="28" spans="1:28">
      <c r="A28" s="1106" t="s">
        <v>906</v>
      </c>
      <c r="B28" s="1107"/>
      <c r="C28" s="1107"/>
      <c r="D28" s="1107"/>
      <c r="E28" s="1107"/>
      <c r="F28" s="1107"/>
      <c r="G28" s="1107"/>
      <c r="H28" s="1107"/>
      <c r="I28" s="1107"/>
      <c r="J28" s="1107"/>
      <c r="K28" s="1107"/>
      <c r="L28" s="1108"/>
      <c r="M28" s="1069"/>
      <c r="N28" s="1036"/>
      <c r="O28" s="1036"/>
      <c r="P28" s="1036"/>
      <c r="Q28" s="1070"/>
      <c r="R28" s="1030"/>
      <c r="S28" s="1028"/>
      <c r="T28" s="1069"/>
      <c r="U28" s="1036"/>
      <c r="V28" s="1036"/>
      <c r="W28" s="1036"/>
      <c r="X28" s="1036"/>
      <c r="Y28" s="1036"/>
      <c r="Z28" s="1036"/>
      <c r="AA28" s="1036"/>
      <c r="AB28" s="1070"/>
    </row>
    <row r="29" spans="1:28">
      <c r="A29" s="1106" t="s">
        <v>907</v>
      </c>
      <c r="B29" s="1107"/>
      <c r="C29" s="1107"/>
      <c r="D29" s="1107"/>
      <c r="E29" s="1107"/>
      <c r="F29" s="1107"/>
      <c r="G29" s="1107"/>
      <c r="H29" s="1107"/>
      <c r="I29" s="1107"/>
      <c r="J29" s="1107"/>
      <c r="K29" s="1107"/>
      <c r="L29" s="1108"/>
      <c r="M29" s="1069"/>
      <c r="N29" s="1036"/>
      <c r="O29" s="1036"/>
      <c r="P29" s="1036"/>
      <c r="Q29" s="1070"/>
      <c r="R29" s="1030"/>
      <c r="S29" s="1028"/>
      <c r="T29" s="1069"/>
      <c r="U29" s="1036"/>
      <c r="V29" s="1036"/>
      <c r="W29" s="1036"/>
      <c r="X29" s="1036"/>
      <c r="Y29" s="1036"/>
      <c r="Z29" s="1036"/>
      <c r="AA29" s="1036"/>
      <c r="AB29" s="1070"/>
    </row>
    <row r="30" spans="1:28">
      <c r="A30" s="1106" t="s">
        <v>908</v>
      </c>
      <c r="B30" s="1107"/>
      <c r="C30" s="1107"/>
      <c r="D30" s="1107"/>
      <c r="E30" s="1107"/>
      <c r="F30" s="1107"/>
      <c r="G30" s="1107"/>
      <c r="H30" s="1107"/>
      <c r="I30" s="1107"/>
      <c r="J30" s="1107"/>
      <c r="K30" s="1107"/>
      <c r="L30" s="1108"/>
      <c r="M30" s="1069"/>
      <c r="N30" s="1036"/>
      <c r="O30" s="1036"/>
      <c r="P30" s="1036"/>
      <c r="Q30" s="1070"/>
      <c r="R30" s="1030"/>
      <c r="S30" s="1028"/>
      <c r="T30" s="1069"/>
      <c r="U30" s="1036"/>
      <c r="V30" s="1036"/>
      <c r="W30" s="1036"/>
      <c r="X30" s="1036"/>
      <c r="Y30" s="1036"/>
      <c r="Z30" s="1036"/>
      <c r="AA30" s="1036"/>
      <c r="AB30" s="1070"/>
    </row>
    <row r="31" spans="1:28">
      <c r="A31" s="1106" t="s">
        <v>909</v>
      </c>
      <c r="B31" s="1107"/>
      <c r="C31" s="1107"/>
      <c r="D31" s="1107"/>
      <c r="E31" s="1107"/>
      <c r="F31" s="1107"/>
      <c r="G31" s="1107"/>
      <c r="H31" s="1107"/>
      <c r="I31" s="1107"/>
      <c r="J31" s="1107"/>
      <c r="K31" s="1107"/>
      <c r="L31" s="1108"/>
      <c r="M31" s="1069"/>
      <c r="N31" s="1036"/>
      <c r="O31" s="1036"/>
      <c r="P31" s="1036"/>
      <c r="Q31" s="1070"/>
      <c r="R31" s="1030"/>
      <c r="S31" s="1028"/>
      <c r="T31" s="1069"/>
      <c r="U31" s="1036"/>
      <c r="V31" s="1036"/>
      <c r="W31" s="1036"/>
      <c r="X31" s="1036"/>
      <c r="Y31" s="1036"/>
      <c r="Z31" s="1036"/>
      <c r="AA31" s="1036"/>
      <c r="AB31" s="1070"/>
    </row>
    <row r="32" spans="1:28">
      <c r="A32" s="1106" t="s">
        <v>922</v>
      </c>
      <c r="B32" s="1107"/>
      <c r="C32" s="1107"/>
      <c r="D32" s="1107"/>
      <c r="E32" s="1107"/>
      <c r="F32" s="1107"/>
      <c r="G32" s="1107"/>
      <c r="H32" s="1107"/>
      <c r="I32" s="1107"/>
      <c r="J32" s="1107"/>
      <c r="K32" s="1107"/>
      <c r="L32" s="1108"/>
      <c r="M32" s="1069"/>
      <c r="N32" s="1036"/>
      <c r="O32" s="1036"/>
      <c r="P32" s="1036"/>
      <c r="Q32" s="1070"/>
      <c r="R32" s="1030"/>
      <c r="S32" s="1028"/>
      <c r="T32" s="1069"/>
      <c r="U32" s="1036"/>
      <c r="V32" s="1036"/>
      <c r="W32" s="1036"/>
      <c r="X32" s="1036"/>
      <c r="Y32" s="1036"/>
      <c r="Z32" s="1036"/>
      <c r="AA32" s="1036"/>
      <c r="AB32" s="1070"/>
    </row>
    <row r="33" spans="1:28">
      <c r="A33" s="1106"/>
      <c r="B33" s="1107"/>
      <c r="C33" s="1107"/>
      <c r="D33" s="1107"/>
      <c r="E33" s="1107"/>
      <c r="F33" s="1107"/>
      <c r="G33" s="1107"/>
      <c r="H33" s="1107"/>
      <c r="I33" s="1107"/>
      <c r="J33" s="1107"/>
      <c r="K33" s="1107"/>
      <c r="L33" s="1108"/>
      <c r="M33" s="1069"/>
      <c r="N33" s="1036"/>
      <c r="O33" s="1036"/>
      <c r="P33" s="1036"/>
      <c r="Q33" s="1070"/>
      <c r="R33" s="1030"/>
      <c r="S33" s="1028"/>
      <c r="T33" s="1069"/>
      <c r="U33" s="1036"/>
      <c r="V33" s="1036"/>
      <c r="W33" s="1036"/>
      <c r="X33" s="1036"/>
      <c r="Y33" s="1036"/>
      <c r="Z33" s="1036"/>
      <c r="AA33" s="1036"/>
      <c r="AB33" s="1070"/>
    </row>
    <row r="34" spans="1:28">
      <c r="A34" s="1106"/>
      <c r="B34" s="1107"/>
      <c r="C34" s="1107"/>
      <c r="D34" s="1107"/>
      <c r="E34" s="1107"/>
      <c r="F34" s="1107"/>
      <c r="G34" s="1107"/>
      <c r="H34" s="1107"/>
      <c r="I34" s="1107"/>
      <c r="J34" s="1107"/>
      <c r="K34" s="1107"/>
      <c r="L34" s="1108"/>
      <c r="M34" s="1069"/>
      <c r="N34" s="1036"/>
      <c r="O34" s="1036"/>
      <c r="P34" s="1036"/>
      <c r="Q34" s="1070"/>
      <c r="R34" s="1030"/>
      <c r="S34" s="1028"/>
      <c r="T34" s="1069"/>
      <c r="U34" s="1036"/>
      <c r="V34" s="1036"/>
      <c r="W34" s="1036"/>
      <c r="X34" s="1036"/>
      <c r="Y34" s="1036"/>
      <c r="Z34" s="1036"/>
      <c r="AA34" s="1036"/>
      <c r="AB34" s="1070"/>
    </row>
    <row r="35" spans="1:28">
      <c r="A35" s="1106"/>
      <c r="B35" s="1107"/>
      <c r="C35" s="1107"/>
      <c r="D35" s="1107"/>
      <c r="E35" s="1107"/>
      <c r="F35" s="1107"/>
      <c r="G35" s="1107"/>
      <c r="H35" s="1107"/>
      <c r="I35" s="1107"/>
      <c r="J35" s="1107"/>
      <c r="K35" s="1107"/>
      <c r="L35" s="1108"/>
      <c r="M35" s="1069"/>
      <c r="N35" s="1036"/>
      <c r="O35" s="1036"/>
      <c r="P35" s="1036"/>
      <c r="Q35" s="1070"/>
      <c r="R35" s="1030"/>
      <c r="S35" s="1028"/>
      <c r="T35" s="1069"/>
      <c r="U35" s="1036"/>
      <c r="V35" s="1036"/>
      <c r="W35" s="1036"/>
      <c r="X35" s="1036"/>
      <c r="Y35" s="1036"/>
      <c r="Z35" s="1036"/>
      <c r="AA35" s="1036"/>
      <c r="AB35" s="1070"/>
    </row>
    <row r="36" spans="1:28" ht="15.75" thickBot="1">
      <c r="A36" s="1109"/>
      <c r="B36" s="1110"/>
      <c r="C36" s="1110"/>
      <c r="D36" s="1110"/>
      <c r="E36" s="1110"/>
      <c r="F36" s="1110"/>
      <c r="G36" s="1110"/>
      <c r="H36" s="1110"/>
      <c r="I36" s="1110"/>
      <c r="J36" s="1110"/>
      <c r="K36" s="1110"/>
      <c r="L36" s="1111"/>
      <c r="M36" s="1112"/>
      <c r="N36" s="1113"/>
      <c r="O36" s="1113"/>
      <c r="P36" s="1113"/>
      <c r="Q36" s="1128"/>
      <c r="R36" s="1104"/>
      <c r="S36" s="1105"/>
      <c r="T36" s="1112"/>
      <c r="U36" s="1113"/>
      <c r="V36" s="1113"/>
      <c r="W36" s="1113"/>
      <c r="X36" s="1113"/>
      <c r="Y36" s="1113"/>
      <c r="Z36" s="1113"/>
      <c r="AA36" s="1113"/>
      <c r="AB36" s="1128"/>
    </row>
    <row r="38" spans="1:28" ht="15" customHeight="1"/>
    <row r="40" spans="1:28">
      <c r="AA40" s="1"/>
    </row>
    <row r="51" spans="1:28" ht="16.149999999999999" customHeight="1"/>
    <row r="53" spans="1:28">
      <c r="A53" s="941" t="s">
        <v>914</v>
      </c>
      <c r="B53" s="941"/>
      <c r="C53" s="941"/>
      <c r="D53" s="941"/>
      <c r="E53" s="941"/>
      <c r="F53" s="941"/>
      <c r="G53" s="941"/>
      <c r="H53" s="941"/>
      <c r="I53" s="941"/>
      <c r="J53" s="941"/>
      <c r="K53" s="941"/>
      <c r="V53" s="941" t="s">
        <v>914</v>
      </c>
      <c r="W53" s="941"/>
      <c r="X53" s="941"/>
      <c r="Y53" s="941"/>
      <c r="Z53" s="941"/>
      <c r="AA53" s="941"/>
      <c r="AB53" s="941"/>
    </row>
    <row r="54" spans="1:28">
      <c r="A54" s="941" t="s">
        <v>912</v>
      </c>
      <c r="B54" s="941"/>
      <c r="C54" s="941"/>
      <c r="D54" s="941"/>
      <c r="E54" s="941"/>
      <c r="F54" s="941"/>
      <c r="G54" s="941"/>
      <c r="H54" s="941"/>
      <c r="I54" s="941"/>
      <c r="J54" s="941"/>
      <c r="K54" s="941"/>
      <c r="V54" s="941" t="s">
        <v>913</v>
      </c>
      <c r="W54" s="941"/>
      <c r="X54" s="941"/>
      <c r="Y54" s="941"/>
      <c r="Z54" s="941"/>
      <c r="AA54" s="941"/>
      <c r="AB54" s="941"/>
    </row>
    <row r="58" spans="1:28">
      <c r="O58" s="1176" t="str">
        <f>VLOOKUP($W$7,Tabela3[],2,FALSE)</f>
        <v>klema końcowa 35mm</v>
      </c>
      <c r="P58" s="1176" t="s">
        <v>402</v>
      </c>
      <c r="Q58" s="1176" t="str">
        <f>VLOOKUP($W$7,Tabela3[],3,FALSE)</f>
        <v>śruba imbusowa 25mm</v>
      </c>
      <c r="R58" s="1176" t="s">
        <v>403</v>
      </c>
      <c r="S58" s="1138" t="s">
        <v>1005</v>
      </c>
      <c r="T58" s="1138" t="s">
        <v>404</v>
      </c>
      <c r="U58" s="1138" t="s">
        <v>405</v>
      </c>
      <c r="V58" s="1138" t="s">
        <v>406</v>
      </c>
      <c r="W58" s="1138" t="str">
        <f>HLOOKUP(I5,pokrycie[#All],2,FALSE)</f>
        <v>wkręt do drewna</v>
      </c>
      <c r="X58" s="1138" t="str">
        <f>HLOOKUP($I$5,pokrycie[#All],3,FALSE)</f>
        <v xml:space="preserve">uchwyt monażowy typu S </v>
      </c>
      <c r="Y58" s="1138" t="str">
        <f>HLOOKUP($I$5,pokrycie[#All],4,FALSE)</f>
        <v>zaślepka profila czarna</v>
      </c>
      <c r="Z58" s="1138">
        <f>HLOOKUP($I$5,pokrycie[#All],5,FALSE)</f>
        <v>0</v>
      </c>
    </row>
    <row r="59" spans="1:28">
      <c r="O59" s="1177"/>
      <c r="P59" s="1177"/>
      <c r="Q59" s="1177"/>
      <c r="R59" s="1177"/>
      <c r="S59" s="1139"/>
      <c r="T59" s="1139"/>
      <c r="U59" s="1139"/>
      <c r="V59" s="1139"/>
      <c r="W59" s="1139"/>
      <c r="X59" s="1139"/>
      <c r="Y59" s="1139"/>
      <c r="Z59" s="1139"/>
    </row>
    <row r="60" spans="1:28">
      <c r="O60" s="1177"/>
      <c r="P60" s="1177"/>
      <c r="Q60" s="1177"/>
      <c r="R60" s="1177"/>
      <c r="S60" s="1139"/>
      <c r="T60" s="1139"/>
      <c r="U60" s="1139"/>
      <c r="V60" s="1139"/>
      <c r="W60" s="1139"/>
      <c r="X60" s="1139"/>
      <c r="Y60" s="1139"/>
      <c r="Z60" s="1139"/>
    </row>
    <row r="61" spans="1:28">
      <c r="O61" s="1177"/>
      <c r="P61" s="1177"/>
      <c r="Q61" s="1177"/>
      <c r="R61" s="1177"/>
      <c r="S61" s="1139"/>
      <c r="T61" s="1139"/>
      <c r="U61" s="1139"/>
      <c r="V61" s="1139"/>
      <c r="W61" s="1139"/>
      <c r="X61" s="1139"/>
      <c r="Y61" s="1139"/>
      <c r="Z61" s="1139"/>
    </row>
    <row r="62" spans="1:28">
      <c r="O62" s="1177"/>
      <c r="P62" s="1177"/>
      <c r="Q62" s="1177"/>
      <c r="R62" s="1177"/>
      <c r="S62" s="1139"/>
      <c r="T62" s="1139"/>
      <c r="U62" s="1139"/>
      <c r="V62" s="1139"/>
      <c r="W62" s="1139"/>
      <c r="X62" s="1139"/>
      <c r="Y62" s="1139"/>
      <c r="Z62" s="1139"/>
    </row>
    <row r="63" spans="1:28">
      <c r="O63" s="1177"/>
      <c r="P63" s="1177"/>
      <c r="Q63" s="1177"/>
      <c r="R63" s="1177"/>
      <c r="S63" s="1139"/>
      <c r="T63" s="1139"/>
      <c r="U63" s="1139"/>
      <c r="V63" s="1139"/>
      <c r="W63" s="1139"/>
      <c r="X63" s="1139"/>
      <c r="Y63" s="1139"/>
      <c r="Z63" s="1139"/>
    </row>
    <row r="64" spans="1:28">
      <c r="O64" s="1177"/>
      <c r="P64" s="1177"/>
      <c r="Q64" s="1177"/>
      <c r="R64" s="1177"/>
      <c r="S64" s="1139"/>
      <c r="T64" s="1139"/>
      <c r="U64" s="1139"/>
      <c r="V64" s="1139"/>
      <c r="W64" s="1139"/>
      <c r="X64" s="1139"/>
      <c r="Y64" s="1139"/>
      <c r="Z64" s="1139"/>
    </row>
    <row r="65" spans="1:26">
      <c r="O65" s="1177"/>
      <c r="P65" s="1177"/>
      <c r="Q65" s="1177"/>
      <c r="R65" s="1177"/>
      <c r="S65" s="1139"/>
      <c r="T65" s="1139"/>
      <c r="U65" s="1139"/>
      <c r="V65" s="1139"/>
      <c r="W65" s="1139"/>
      <c r="X65" s="1139"/>
      <c r="Y65" s="1139"/>
      <c r="Z65" s="1139"/>
    </row>
    <row r="66" spans="1:26">
      <c r="O66" s="1177"/>
      <c r="P66" s="1177"/>
      <c r="Q66" s="1177"/>
      <c r="R66" s="1177"/>
      <c r="S66" s="1139"/>
      <c r="T66" s="1139"/>
      <c r="U66" s="1139"/>
      <c r="V66" s="1139"/>
      <c r="W66" s="1139"/>
      <c r="X66" s="1139"/>
      <c r="Y66" s="1139"/>
      <c r="Z66" s="1139"/>
    </row>
    <row r="67" spans="1:26">
      <c r="O67" s="1177"/>
      <c r="P67" s="1177"/>
      <c r="Q67" s="1177"/>
      <c r="R67" s="1177"/>
      <c r="S67" s="1139"/>
      <c r="T67" s="1139"/>
      <c r="U67" s="1139"/>
      <c r="V67" s="1139"/>
      <c r="W67" s="1139"/>
      <c r="X67" s="1139"/>
      <c r="Y67" s="1139"/>
      <c r="Z67" s="1139"/>
    </row>
    <row r="68" spans="1:26">
      <c r="O68" s="1177"/>
      <c r="P68" s="1177"/>
      <c r="Q68" s="1177"/>
      <c r="R68" s="1177"/>
      <c r="S68" s="1139"/>
      <c r="T68" s="1139"/>
      <c r="U68" s="1139"/>
      <c r="V68" s="1139"/>
      <c r="W68" s="1139"/>
      <c r="X68" s="1139"/>
      <c r="Y68" s="1139"/>
      <c r="Z68" s="1139"/>
    </row>
    <row r="69" spans="1:26">
      <c r="O69" s="1178"/>
      <c r="P69" s="1178"/>
      <c r="Q69" s="1178"/>
      <c r="R69" s="1178"/>
      <c r="S69" s="1140"/>
      <c r="T69" s="1140"/>
      <c r="U69" s="1140"/>
      <c r="V69" s="1140"/>
      <c r="W69" s="1140"/>
      <c r="X69" s="1140"/>
      <c r="Y69" s="1140"/>
      <c r="Z69" s="1140"/>
    </row>
    <row r="70" spans="1:26">
      <c r="A70" s="1141" t="s">
        <v>606</v>
      </c>
      <c r="B70" s="1142"/>
      <c r="C70" s="1142"/>
      <c r="D70" s="1143"/>
      <c r="E70" s="1141" t="s">
        <v>413</v>
      </c>
      <c r="F70" s="1142"/>
      <c r="G70" s="1142"/>
      <c r="H70" s="1143"/>
      <c r="I70" s="1150" t="s">
        <v>414</v>
      </c>
      <c r="J70" s="1151"/>
      <c r="K70" s="1151"/>
      <c r="L70" s="1151"/>
      <c r="M70" s="1151"/>
      <c r="N70" s="1152"/>
      <c r="O70" s="1156">
        <f>SUM(O73:O82)</f>
        <v>0</v>
      </c>
      <c r="P70" s="1156">
        <f t="shared" ref="P70:Y70" si="0">SUM(P73:P82)</f>
        <v>0</v>
      </c>
      <c r="Q70" s="1156">
        <f t="shared" si="0"/>
        <v>0</v>
      </c>
      <c r="R70" s="1156">
        <f t="shared" si="0"/>
        <v>0</v>
      </c>
      <c r="S70" s="1156">
        <f t="shared" si="0"/>
        <v>0</v>
      </c>
      <c r="T70" s="1133">
        <f t="shared" si="0"/>
        <v>0</v>
      </c>
      <c r="U70" s="1133">
        <f t="shared" si="0"/>
        <v>0</v>
      </c>
      <c r="V70" s="1133">
        <f t="shared" si="0"/>
        <v>0</v>
      </c>
      <c r="W70" s="1156">
        <f t="shared" si="0"/>
        <v>0</v>
      </c>
      <c r="X70" s="1156">
        <f t="shared" si="0"/>
        <v>0</v>
      </c>
      <c r="Y70" s="1156">
        <f t="shared" si="0"/>
        <v>0</v>
      </c>
      <c r="Z70" s="1156">
        <f>SUM(Z73:Z82)</f>
        <v>0</v>
      </c>
    </row>
    <row r="71" spans="1:26">
      <c r="A71" s="1144"/>
      <c r="B71" s="1145"/>
      <c r="C71" s="1145"/>
      <c r="D71" s="1146"/>
      <c r="E71" s="1144"/>
      <c r="F71" s="1145"/>
      <c r="G71" s="1145"/>
      <c r="H71" s="1146"/>
      <c r="I71" s="1153"/>
      <c r="J71" s="941"/>
      <c r="K71" s="941"/>
      <c r="L71" s="941"/>
      <c r="M71" s="941"/>
      <c r="N71" s="1154"/>
      <c r="O71" s="1157"/>
      <c r="P71" s="1157"/>
      <c r="Q71" s="1157"/>
      <c r="R71" s="1157"/>
      <c r="S71" s="1157"/>
      <c r="T71" s="1134"/>
      <c r="U71" s="1134"/>
      <c r="V71" s="1134"/>
      <c r="W71" s="1157"/>
      <c r="X71" s="1157"/>
      <c r="Y71" s="1157"/>
      <c r="Z71" s="1157"/>
    </row>
    <row r="72" spans="1:26">
      <c r="A72" s="1147"/>
      <c r="B72" s="1148"/>
      <c r="C72" s="1148"/>
      <c r="D72" s="1149"/>
      <c r="E72" s="1147"/>
      <c r="F72" s="1148"/>
      <c r="G72" s="1148"/>
      <c r="H72" s="1149"/>
      <c r="I72" s="1119"/>
      <c r="J72" s="1155"/>
      <c r="K72" s="1155"/>
      <c r="L72" s="1155"/>
      <c r="M72" s="1155"/>
      <c r="N72" s="1118"/>
      <c r="O72" s="1158"/>
      <c r="P72" s="1158"/>
      <c r="Q72" s="1158"/>
      <c r="R72" s="1158"/>
      <c r="S72" s="1158"/>
      <c r="T72" s="1135"/>
      <c r="U72" s="1135"/>
      <c r="V72" s="1135"/>
      <c r="W72" s="1158"/>
      <c r="X72" s="1158"/>
      <c r="Y72" s="1158"/>
      <c r="Z72" s="1158"/>
    </row>
    <row r="73" spans="1:26">
      <c r="A73" s="1028"/>
      <c r="B73" s="1029"/>
      <c r="C73" s="1029"/>
      <c r="D73" s="1030"/>
      <c r="E73" s="1028"/>
      <c r="F73" s="1029"/>
      <c r="G73" s="1029"/>
      <c r="H73" s="1030"/>
      <c r="I73" s="1028" t="s">
        <v>383</v>
      </c>
      <c r="J73" s="1029"/>
      <c r="K73" s="1029"/>
      <c r="L73" s="1029"/>
      <c r="M73" s="1029"/>
      <c r="N73" s="1030"/>
      <c r="O73" s="3">
        <f>4*E73</f>
        <v>0</v>
      </c>
      <c r="P73" s="3">
        <f>2*A73*E73-E73*2</f>
        <v>0</v>
      </c>
      <c r="Q73" s="3">
        <f>O73+P73</f>
        <v>0</v>
      </c>
      <c r="R73" s="3">
        <f>Q73</f>
        <v>0</v>
      </c>
      <c r="S73" s="98">
        <f>IF($I$5="mostki trapezowe",0,CEILING(A73*(VLOOKUP(I73,$AO$1:$AP$2,2,FALSE))/3.3*2*E73,1))</f>
        <v>0</v>
      </c>
      <c r="T73" s="310">
        <f>IF($I$5="mostki trapezowe",0,ROUNDDOWN(A73*VLOOKUP(I73,$AO$1:$AP$2,2,FALSE)/3,450)*2*E73)</f>
        <v>0</v>
      </c>
      <c r="U73" s="3">
        <f t="shared" ref="U73:U82" si="1">IF($I$5="mostki trapezowe",0,X73+T73*2)</f>
        <v>0</v>
      </c>
      <c r="V73" s="3">
        <f>U73</f>
        <v>0</v>
      </c>
      <c r="W73" s="3">
        <f t="shared" ref="W73:W82" si="2">IF($I$5="mostki trapezowe",X73*4,X73)</f>
        <v>0</v>
      </c>
      <c r="X73" s="3">
        <f t="shared" ref="X73:X82" si="3">(ROUNDUP((A73/$I$8),0)+1)*E73*2</f>
        <v>0</v>
      </c>
      <c r="Y73" s="3">
        <f t="shared" ref="Y73:Y82" si="4">IF($I$5="mostki trapezowe",0,E73*4)</f>
        <v>0</v>
      </c>
      <c r="Z73" s="3">
        <f t="shared" ref="Z73:Z82" si="5">IF($I$5="mostki trapezowe",X73*2,0)</f>
        <v>0</v>
      </c>
    </row>
    <row r="74" spans="1:26">
      <c r="A74" s="1028"/>
      <c r="B74" s="1029"/>
      <c r="C74" s="1029"/>
      <c r="D74" s="1030"/>
      <c r="E74" s="1028"/>
      <c r="F74" s="1029"/>
      <c r="G74" s="1029"/>
      <c r="H74" s="1030"/>
      <c r="I74" s="1028" t="s">
        <v>383</v>
      </c>
      <c r="J74" s="1029"/>
      <c r="K74" s="1029"/>
      <c r="L74" s="1029"/>
      <c r="M74" s="1029"/>
      <c r="N74" s="1030"/>
      <c r="O74" s="3">
        <f t="shared" ref="O74:O82" si="6">4*E74</f>
        <v>0</v>
      </c>
      <c r="P74" s="3">
        <f t="shared" ref="P74:P82" si="7">2*A74*E74-E74*2</f>
        <v>0</v>
      </c>
      <c r="Q74" s="3">
        <f t="shared" ref="Q74:Q82" si="8">O74+P74</f>
        <v>0</v>
      </c>
      <c r="R74" s="3">
        <f t="shared" ref="R74:R82" si="9">Q74</f>
        <v>0</v>
      </c>
      <c r="S74" s="98">
        <f t="shared" ref="S74:S82" si="10">IF($I$5="mostki trapezowe",0,CEILING(A74*(VLOOKUP(I74,$AO$1:$AP$2,2,FALSE))/3.3*2*E74,1))</f>
        <v>0</v>
      </c>
      <c r="T74" s="3">
        <f t="shared" ref="T74:T82" si="11">IF($I$5="mostki trapezowe",0,ROUNDDOWN(A74*VLOOKUP(I74,$AO$1:$AP$2,2,FALSE)/3.45,0)*2*E74)</f>
        <v>0</v>
      </c>
      <c r="U74" s="3">
        <f t="shared" si="1"/>
        <v>0</v>
      </c>
      <c r="V74" s="3">
        <f t="shared" ref="V74:V82" si="12">U74</f>
        <v>0</v>
      </c>
      <c r="W74" s="3">
        <f t="shared" si="2"/>
        <v>0</v>
      </c>
      <c r="X74" s="3">
        <f t="shared" si="3"/>
        <v>0</v>
      </c>
      <c r="Y74" s="3">
        <f t="shared" si="4"/>
        <v>0</v>
      </c>
      <c r="Z74" s="3">
        <f t="shared" si="5"/>
        <v>0</v>
      </c>
    </row>
    <row r="75" spans="1:26">
      <c r="A75" s="1028"/>
      <c r="B75" s="1029"/>
      <c r="C75" s="1029"/>
      <c r="D75" s="1030"/>
      <c r="E75" s="1028"/>
      <c r="F75" s="1029"/>
      <c r="G75" s="1029"/>
      <c r="H75" s="1030"/>
      <c r="I75" s="1028" t="s">
        <v>383</v>
      </c>
      <c r="J75" s="1029"/>
      <c r="K75" s="1029"/>
      <c r="L75" s="1029"/>
      <c r="M75" s="1029"/>
      <c r="N75" s="1030"/>
      <c r="O75" s="3">
        <f t="shared" si="6"/>
        <v>0</v>
      </c>
      <c r="P75" s="3">
        <f t="shared" si="7"/>
        <v>0</v>
      </c>
      <c r="Q75" s="3">
        <f t="shared" si="8"/>
        <v>0</v>
      </c>
      <c r="R75" s="3">
        <f t="shared" si="9"/>
        <v>0</v>
      </c>
      <c r="S75" s="98">
        <f t="shared" si="10"/>
        <v>0</v>
      </c>
      <c r="T75" s="3">
        <f t="shared" si="11"/>
        <v>0</v>
      </c>
      <c r="U75" s="3">
        <f t="shared" si="1"/>
        <v>0</v>
      </c>
      <c r="V75" s="3">
        <f t="shared" si="12"/>
        <v>0</v>
      </c>
      <c r="W75" s="3">
        <f t="shared" si="2"/>
        <v>0</v>
      </c>
      <c r="X75" s="3">
        <f t="shared" si="3"/>
        <v>0</v>
      </c>
      <c r="Y75" s="3">
        <f t="shared" si="4"/>
        <v>0</v>
      </c>
      <c r="Z75" s="3">
        <f t="shared" si="5"/>
        <v>0</v>
      </c>
    </row>
    <row r="76" spans="1:26">
      <c r="A76" s="1028"/>
      <c r="B76" s="1029"/>
      <c r="C76" s="1029"/>
      <c r="D76" s="1030"/>
      <c r="E76" s="1028"/>
      <c r="F76" s="1029"/>
      <c r="G76" s="1029"/>
      <c r="H76" s="1030"/>
      <c r="I76" s="1028" t="s">
        <v>383</v>
      </c>
      <c r="J76" s="1029"/>
      <c r="K76" s="1029"/>
      <c r="L76" s="1029"/>
      <c r="M76" s="1029"/>
      <c r="N76" s="1030"/>
      <c r="O76" s="3">
        <f t="shared" si="6"/>
        <v>0</v>
      </c>
      <c r="P76" s="3">
        <f t="shared" si="7"/>
        <v>0</v>
      </c>
      <c r="Q76" s="3">
        <f t="shared" si="8"/>
        <v>0</v>
      </c>
      <c r="R76" s="3">
        <f t="shared" si="9"/>
        <v>0</v>
      </c>
      <c r="S76" s="98">
        <f t="shared" si="10"/>
        <v>0</v>
      </c>
      <c r="T76" s="3">
        <f t="shared" si="11"/>
        <v>0</v>
      </c>
      <c r="U76" s="3">
        <f t="shared" si="1"/>
        <v>0</v>
      </c>
      <c r="V76" s="3">
        <f t="shared" si="12"/>
        <v>0</v>
      </c>
      <c r="W76" s="3">
        <f t="shared" si="2"/>
        <v>0</v>
      </c>
      <c r="X76" s="3">
        <f t="shared" si="3"/>
        <v>0</v>
      </c>
      <c r="Y76" s="3">
        <f t="shared" si="4"/>
        <v>0</v>
      </c>
      <c r="Z76" s="3">
        <f t="shared" si="5"/>
        <v>0</v>
      </c>
    </row>
    <row r="77" spans="1:26">
      <c r="A77" s="1028"/>
      <c r="B77" s="1029"/>
      <c r="C77" s="1029"/>
      <c r="D77" s="1030"/>
      <c r="E77" s="1028"/>
      <c r="F77" s="1029"/>
      <c r="G77" s="1029"/>
      <c r="H77" s="1030"/>
      <c r="I77" s="1028" t="s">
        <v>383</v>
      </c>
      <c r="J77" s="1029"/>
      <c r="K77" s="1029"/>
      <c r="L77" s="1029"/>
      <c r="M77" s="1029"/>
      <c r="N77" s="1030"/>
      <c r="O77" s="3">
        <f t="shared" si="6"/>
        <v>0</v>
      </c>
      <c r="P77" s="3">
        <f t="shared" si="7"/>
        <v>0</v>
      </c>
      <c r="Q77" s="3">
        <f t="shared" si="8"/>
        <v>0</v>
      </c>
      <c r="R77" s="3">
        <f t="shared" si="9"/>
        <v>0</v>
      </c>
      <c r="S77" s="98">
        <f t="shared" si="10"/>
        <v>0</v>
      </c>
      <c r="T77" s="3">
        <f t="shared" si="11"/>
        <v>0</v>
      </c>
      <c r="U77" s="3">
        <f t="shared" si="1"/>
        <v>0</v>
      </c>
      <c r="V77" s="3">
        <f t="shared" si="12"/>
        <v>0</v>
      </c>
      <c r="W77" s="3">
        <f t="shared" si="2"/>
        <v>0</v>
      </c>
      <c r="X77" s="3">
        <f t="shared" si="3"/>
        <v>0</v>
      </c>
      <c r="Y77" s="3">
        <f t="shared" si="4"/>
        <v>0</v>
      </c>
      <c r="Z77" s="3">
        <f t="shared" si="5"/>
        <v>0</v>
      </c>
    </row>
    <row r="78" spans="1:26">
      <c r="A78" s="1028"/>
      <c r="B78" s="1029"/>
      <c r="C78" s="1029"/>
      <c r="D78" s="1030"/>
      <c r="E78" s="1028"/>
      <c r="F78" s="1029"/>
      <c r="G78" s="1029"/>
      <c r="H78" s="1030"/>
      <c r="I78" s="1028" t="s">
        <v>383</v>
      </c>
      <c r="J78" s="1029"/>
      <c r="K78" s="1029"/>
      <c r="L78" s="1029"/>
      <c r="M78" s="1029"/>
      <c r="N78" s="1030"/>
      <c r="O78" s="3">
        <f t="shared" si="6"/>
        <v>0</v>
      </c>
      <c r="P78" s="3">
        <f t="shared" si="7"/>
        <v>0</v>
      </c>
      <c r="Q78" s="3">
        <f t="shared" si="8"/>
        <v>0</v>
      </c>
      <c r="R78" s="3">
        <f t="shared" si="9"/>
        <v>0</v>
      </c>
      <c r="S78" s="98">
        <f t="shared" si="10"/>
        <v>0</v>
      </c>
      <c r="T78" s="3">
        <f t="shared" si="11"/>
        <v>0</v>
      </c>
      <c r="U78" s="3">
        <f t="shared" si="1"/>
        <v>0</v>
      </c>
      <c r="V78" s="3">
        <f t="shared" si="12"/>
        <v>0</v>
      </c>
      <c r="W78" s="3">
        <f t="shared" si="2"/>
        <v>0</v>
      </c>
      <c r="X78" s="3">
        <f t="shared" si="3"/>
        <v>0</v>
      </c>
      <c r="Y78" s="3">
        <f t="shared" si="4"/>
        <v>0</v>
      </c>
      <c r="Z78" s="3">
        <f t="shared" si="5"/>
        <v>0</v>
      </c>
    </row>
    <row r="79" spans="1:26">
      <c r="A79" s="1028"/>
      <c r="B79" s="1029"/>
      <c r="C79" s="1029"/>
      <c r="D79" s="1030"/>
      <c r="E79" s="1028"/>
      <c r="F79" s="1029"/>
      <c r="G79" s="1029"/>
      <c r="H79" s="1030"/>
      <c r="I79" s="1028" t="s">
        <v>383</v>
      </c>
      <c r="J79" s="1029"/>
      <c r="K79" s="1029"/>
      <c r="L79" s="1029"/>
      <c r="M79" s="1029"/>
      <c r="N79" s="1030"/>
      <c r="O79" s="3">
        <f t="shared" si="6"/>
        <v>0</v>
      </c>
      <c r="P79" s="3">
        <f t="shared" si="7"/>
        <v>0</v>
      </c>
      <c r="Q79" s="3">
        <f t="shared" si="8"/>
        <v>0</v>
      </c>
      <c r="R79" s="3">
        <f t="shared" si="9"/>
        <v>0</v>
      </c>
      <c r="S79" s="98">
        <f t="shared" si="10"/>
        <v>0</v>
      </c>
      <c r="T79" s="3">
        <f t="shared" si="11"/>
        <v>0</v>
      </c>
      <c r="U79" s="3">
        <f t="shared" si="1"/>
        <v>0</v>
      </c>
      <c r="V79" s="3">
        <f t="shared" si="12"/>
        <v>0</v>
      </c>
      <c r="W79" s="3">
        <f t="shared" si="2"/>
        <v>0</v>
      </c>
      <c r="X79" s="3">
        <f t="shared" si="3"/>
        <v>0</v>
      </c>
      <c r="Y79" s="3">
        <f t="shared" si="4"/>
        <v>0</v>
      </c>
      <c r="Z79" s="3">
        <f t="shared" si="5"/>
        <v>0</v>
      </c>
    </row>
    <row r="80" spans="1:26">
      <c r="A80" s="1028"/>
      <c r="B80" s="1029"/>
      <c r="C80" s="1029"/>
      <c r="D80" s="1030"/>
      <c r="E80" s="1028"/>
      <c r="F80" s="1029"/>
      <c r="G80" s="1029"/>
      <c r="H80" s="1030"/>
      <c r="I80" s="1028" t="s">
        <v>383</v>
      </c>
      <c r="J80" s="1029"/>
      <c r="K80" s="1029"/>
      <c r="L80" s="1029"/>
      <c r="M80" s="1029"/>
      <c r="N80" s="1030"/>
      <c r="O80" s="3">
        <f t="shared" si="6"/>
        <v>0</v>
      </c>
      <c r="P80" s="3">
        <f t="shared" si="7"/>
        <v>0</v>
      </c>
      <c r="Q80" s="3">
        <f t="shared" si="8"/>
        <v>0</v>
      </c>
      <c r="R80" s="3">
        <f t="shared" si="9"/>
        <v>0</v>
      </c>
      <c r="S80" s="98">
        <f t="shared" si="10"/>
        <v>0</v>
      </c>
      <c r="T80" s="3">
        <f t="shared" si="11"/>
        <v>0</v>
      </c>
      <c r="U80" s="3">
        <f t="shared" si="1"/>
        <v>0</v>
      </c>
      <c r="V80" s="3">
        <f t="shared" si="12"/>
        <v>0</v>
      </c>
      <c r="W80" s="3">
        <f t="shared" si="2"/>
        <v>0</v>
      </c>
      <c r="X80" s="3">
        <f t="shared" si="3"/>
        <v>0</v>
      </c>
      <c r="Y80" s="3">
        <f t="shared" si="4"/>
        <v>0</v>
      </c>
      <c r="Z80" s="3">
        <f t="shared" si="5"/>
        <v>0</v>
      </c>
    </row>
    <row r="81" spans="1:26" ht="15" customHeight="1">
      <c r="A81" s="1028"/>
      <c r="B81" s="1029"/>
      <c r="C81" s="1029"/>
      <c r="D81" s="1030"/>
      <c r="E81" s="1028"/>
      <c r="F81" s="1029"/>
      <c r="G81" s="1029"/>
      <c r="H81" s="1030"/>
      <c r="I81" s="1028" t="s">
        <v>383</v>
      </c>
      <c r="J81" s="1029"/>
      <c r="K81" s="1029"/>
      <c r="L81" s="1029"/>
      <c r="M81" s="1029"/>
      <c r="N81" s="1030"/>
      <c r="O81" s="3">
        <f t="shared" si="6"/>
        <v>0</v>
      </c>
      <c r="P81" s="3">
        <f t="shared" si="7"/>
        <v>0</v>
      </c>
      <c r="Q81" s="3">
        <f t="shared" si="8"/>
        <v>0</v>
      </c>
      <c r="R81" s="3">
        <f t="shared" si="9"/>
        <v>0</v>
      </c>
      <c r="S81" s="98">
        <f t="shared" si="10"/>
        <v>0</v>
      </c>
      <c r="T81" s="3">
        <f t="shared" si="11"/>
        <v>0</v>
      </c>
      <c r="U81" s="3">
        <f t="shared" si="1"/>
        <v>0</v>
      </c>
      <c r="V81" s="3">
        <f t="shared" si="12"/>
        <v>0</v>
      </c>
      <c r="W81" s="3">
        <f t="shared" si="2"/>
        <v>0</v>
      </c>
      <c r="X81" s="3">
        <f t="shared" si="3"/>
        <v>0</v>
      </c>
      <c r="Y81" s="3">
        <f t="shared" si="4"/>
        <v>0</v>
      </c>
      <c r="Z81" s="3">
        <f t="shared" si="5"/>
        <v>0</v>
      </c>
    </row>
    <row r="82" spans="1:26">
      <c r="A82" s="1039"/>
      <c r="B82" s="1040"/>
      <c r="C82" s="1040"/>
      <c r="D82" s="1041"/>
      <c r="E82" s="1039"/>
      <c r="F82" s="1040"/>
      <c r="G82" s="1040"/>
      <c r="H82" s="1041"/>
      <c r="I82" s="1039" t="s">
        <v>383</v>
      </c>
      <c r="J82" s="1040"/>
      <c r="K82" s="1040"/>
      <c r="L82" s="1040"/>
      <c r="M82" s="1040"/>
      <c r="N82" s="1041"/>
      <c r="O82" s="231">
        <f t="shared" si="6"/>
        <v>0</v>
      </c>
      <c r="P82" s="231">
        <f t="shared" si="7"/>
        <v>0</v>
      </c>
      <c r="Q82" s="231">
        <f t="shared" si="8"/>
        <v>0</v>
      </c>
      <c r="R82" s="231">
        <f t="shared" si="9"/>
        <v>0</v>
      </c>
      <c r="S82" s="98">
        <f t="shared" si="10"/>
        <v>0</v>
      </c>
      <c r="T82" s="231">
        <f t="shared" si="11"/>
        <v>0</v>
      </c>
      <c r="U82" s="231">
        <f t="shared" si="1"/>
        <v>0</v>
      </c>
      <c r="V82" s="231">
        <f t="shared" si="12"/>
        <v>0</v>
      </c>
      <c r="W82" s="231">
        <f t="shared" si="2"/>
        <v>0</v>
      </c>
      <c r="X82" s="231">
        <f t="shared" si="3"/>
        <v>0</v>
      </c>
      <c r="Y82" s="231">
        <f t="shared" si="4"/>
        <v>0</v>
      </c>
      <c r="Z82" s="231">
        <f t="shared" si="5"/>
        <v>0</v>
      </c>
    </row>
  </sheetData>
  <mergeCells count="194">
    <mergeCell ref="A36:L36"/>
    <mergeCell ref="M36:O36"/>
    <mergeCell ref="P36:Q36"/>
    <mergeCell ref="R36:S36"/>
    <mergeCell ref="T36:AB36"/>
    <mergeCell ref="A33:L33"/>
    <mergeCell ref="M33:O33"/>
    <mergeCell ref="A53:K53"/>
    <mergeCell ref="V53:AB53"/>
    <mergeCell ref="P33:Q33"/>
    <mergeCell ref="R33:S33"/>
    <mergeCell ref="T33:AB33"/>
    <mergeCell ref="A34:L34"/>
    <mergeCell ref="M34:O34"/>
    <mergeCell ref="P34:Q34"/>
    <mergeCell ref="R34:S34"/>
    <mergeCell ref="T34:AB34"/>
    <mergeCell ref="A35:L35"/>
    <mergeCell ref="M35:O35"/>
    <mergeCell ref="P35:Q35"/>
    <mergeCell ref="R35:S35"/>
    <mergeCell ref="T35:AB35"/>
    <mergeCell ref="A54:K54"/>
    <mergeCell ref="V54:AB54"/>
    <mergeCell ref="O58:O69"/>
    <mergeCell ref="P58:P69"/>
    <mergeCell ref="Q58:Q69"/>
    <mergeCell ref="R58:R69"/>
    <mergeCell ref="S58:S69"/>
    <mergeCell ref="T58:T69"/>
    <mergeCell ref="U58:U69"/>
    <mergeCell ref="V58:V69"/>
    <mergeCell ref="W58:W69"/>
    <mergeCell ref="X58:X69"/>
    <mergeCell ref="Y58:Y69"/>
    <mergeCell ref="A31:L31"/>
    <mergeCell ref="M31:O31"/>
    <mergeCell ref="P31:Q31"/>
    <mergeCell ref="R31:S31"/>
    <mergeCell ref="T31:AB31"/>
    <mergeCell ref="A32:L32"/>
    <mergeCell ref="M32:O32"/>
    <mergeCell ref="P32:Q32"/>
    <mergeCell ref="R32:S32"/>
    <mergeCell ref="T32:AB32"/>
    <mergeCell ref="A29:L29"/>
    <mergeCell ref="M29:O29"/>
    <mergeCell ref="P29:Q29"/>
    <mergeCell ref="R29:S29"/>
    <mergeCell ref="T29:AB29"/>
    <mergeCell ref="A30:L30"/>
    <mergeCell ref="M30:O30"/>
    <mergeCell ref="P30:Q30"/>
    <mergeCell ref="R30:S30"/>
    <mergeCell ref="T30:AB30"/>
    <mergeCell ref="M27:O27"/>
    <mergeCell ref="P27:Q27"/>
    <mergeCell ref="R27:S27"/>
    <mergeCell ref="T27:AB27"/>
    <mergeCell ref="A28:L28"/>
    <mergeCell ref="M28:O28"/>
    <mergeCell ref="P28:Q28"/>
    <mergeCell ref="R28:S28"/>
    <mergeCell ref="T28:AB28"/>
    <mergeCell ref="W22:AB22"/>
    <mergeCell ref="W23:AB23"/>
    <mergeCell ref="R12:S12"/>
    <mergeCell ref="R13:S13"/>
    <mergeCell ref="R14:S14"/>
    <mergeCell ref="R15:S15"/>
    <mergeCell ref="R16:S16"/>
    <mergeCell ref="R17:S17"/>
    <mergeCell ref="R18:S18"/>
    <mergeCell ref="R19:S19"/>
    <mergeCell ref="R20:S20"/>
    <mergeCell ref="R21:S21"/>
    <mergeCell ref="R22:S22"/>
    <mergeCell ref="R23:S23"/>
    <mergeCell ref="W13:AB13"/>
    <mergeCell ref="W14:AB14"/>
    <mergeCell ref="W15:AB15"/>
    <mergeCell ref="W16:AB16"/>
    <mergeCell ref="W17:AB17"/>
    <mergeCell ref="W18:AB18"/>
    <mergeCell ref="W19:AB19"/>
    <mergeCell ref="W20:AB20"/>
    <mergeCell ref="W21:AB21"/>
    <mergeCell ref="A16:L16"/>
    <mergeCell ref="A17:L17"/>
    <mergeCell ref="A18:L18"/>
    <mergeCell ref="A19:L19"/>
    <mergeCell ref="A20:L20"/>
    <mergeCell ref="A21:L21"/>
    <mergeCell ref="M13:N13"/>
    <mergeCell ref="M14:N14"/>
    <mergeCell ref="M15:N15"/>
    <mergeCell ref="M16:N16"/>
    <mergeCell ref="M17:N17"/>
    <mergeCell ref="M18:N18"/>
    <mergeCell ref="M19:N19"/>
    <mergeCell ref="M20:N20"/>
    <mergeCell ref="M21:N21"/>
    <mergeCell ref="A12:L12"/>
    <mergeCell ref="M12:N12"/>
    <mergeCell ref="W12:AB12"/>
    <mergeCell ref="A13:L13"/>
    <mergeCell ref="A14:L14"/>
    <mergeCell ref="A15:L15"/>
    <mergeCell ref="I5:S5"/>
    <mergeCell ref="I8:J8"/>
    <mergeCell ref="H6:R6"/>
    <mergeCell ref="J7:L7"/>
    <mergeCell ref="Q7:S7"/>
    <mergeCell ref="A1:F1"/>
    <mergeCell ref="R1:AB1"/>
    <mergeCell ref="A2:F2"/>
    <mergeCell ref="A3:F3"/>
    <mergeCell ref="A4:F4"/>
    <mergeCell ref="G2:AB2"/>
    <mergeCell ref="G3:AB3"/>
    <mergeCell ref="G4:AB4"/>
    <mergeCell ref="A10:L11"/>
    <mergeCell ref="M10:N11"/>
    <mergeCell ref="O10:O11"/>
    <mergeCell ref="P10:Q10"/>
    <mergeCell ref="R10:S11"/>
    <mergeCell ref="T10:U10"/>
    <mergeCell ref="V10:V11"/>
    <mergeCell ref="W10:AB11"/>
    <mergeCell ref="A9:F9"/>
    <mergeCell ref="G9:I9"/>
    <mergeCell ref="J9:O9"/>
    <mergeCell ref="P9:Q9"/>
    <mergeCell ref="U6:Y6"/>
    <mergeCell ref="W7:X7"/>
    <mergeCell ref="G1:J1"/>
    <mergeCell ref="K1:N1"/>
    <mergeCell ref="A74:D74"/>
    <mergeCell ref="E74:H74"/>
    <mergeCell ref="I74:N74"/>
    <mergeCell ref="A77:D77"/>
    <mergeCell ref="E77:H77"/>
    <mergeCell ref="I77:N77"/>
    <mergeCell ref="A78:D78"/>
    <mergeCell ref="E78:H78"/>
    <mergeCell ref="I78:N78"/>
    <mergeCell ref="W70:W72"/>
    <mergeCell ref="X70:X72"/>
    <mergeCell ref="Y70:Y72"/>
    <mergeCell ref="A82:D82"/>
    <mergeCell ref="E82:H82"/>
    <mergeCell ref="I82:N82"/>
    <mergeCell ref="A79:D79"/>
    <mergeCell ref="E79:H79"/>
    <mergeCell ref="I79:N79"/>
    <mergeCell ref="A80:D80"/>
    <mergeCell ref="E80:H80"/>
    <mergeCell ref="I80:N80"/>
    <mergeCell ref="A81:D81"/>
    <mergeCell ref="E81:H81"/>
    <mergeCell ref="I81:N81"/>
    <mergeCell ref="A75:D75"/>
    <mergeCell ref="E75:H75"/>
    <mergeCell ref="I75:N75"/>
    <mergeCell ref="A76:D76"/>
    <mergeCell ref="E76:H76"/>
    <mergeCell ref="I76:N76"/>
    <mergeCell ref="A73:D73"/>
    <mergeCell ref="E73:H73"/>
    <mergeCell ref="I73:N73"/>
    <mergeCell ref="U70:U72"/>
    <mergeCell ref="A22:L22"/>
    <mergeCell ref="A23:L23"/>
    <mergeCell ref="M22:N22"/>
    <mergeCell ref="M23:N23"/>
    <mergeCell ref="A25:L26"/>
    <mergeCell ref="M25:Q25"/>
    <mergeCell ref="R25:S26"/>
    <mergeCell ref="T25:AB26"/>
    <mergeCell ref="M26:O26"/>
    <mergeCell ref="P26:Q26"/>
    <mergeCell ref="A27:L27"/>
    <mergeCell ref="Z58:Z69"/>
    <mergeCell ref="A70:D72"/>
    <mergeCell ref="E70:H72"/>
    <mergeCell ref="I70:N72"/>
    <mergeCell ref="O70:O72"/>
    <mergeCell ref="P70:P72"/>
    <mergeCell ref="Q70:Q72"/>
    <mergeCell ref="R70:R72"/>
    <mergeCell ref="S70:S72"/>
    <mergeCell ref="T70:T72"/>
    <mergeCell ref="Z70:Z72"/>
    <mergeCell ref="V70:V72"/>
  </mergeCells>
  <dataValidations count="5">
    <dataValidation type="list" allowBlank="1" showInputMessage="1" showErrorMessage="1" sqref="AL3" xr:uid="{ED3D18AC-ECA5-41C2-80BD-755B10A99971}">
      <formula1>$AL$6:$AL$8</formula1>
    </dataValidation>
    <dataValidation type="list" allowBlank="1" showInputMessage="1" showErrorMessage="1" sqref="AJ3:AK3" xr:uid="{B49C3A14-3F39-4214-956D-CB61BB0191AB}">
      <formula1>$AJ$6:$AJ$8</formula1>
    </dataValidation>
    <dataValidation type="list" allowBlank="1" showInputMessage="1" showErrorMessage="1" sqref="I73:N82" xr:uid="{0BB347F2-9991-4436-B19D-BD0742C542D5}">
      <formula1>$AO$1:$AO$2</formula1>
    </dataValidation>
    <dataValidation type="list" allowBlank="1" showInputMessage="1" showErrorMessage="1" sqref="W7:X7" xr:uid="{ED17BF10-F36E-4BF5-BD1D-6BD871193759}">
      <formula1>$AV$2:$AV$5</formula1>
    </dataValidation>
    <dataValidation type="list" allowBlank="1" showInputMessage="1" showErrorMessage="1" sqref="K1:N1" xr:uid="{3D072491-8682-479E-85D8-5BB6E4DCEA2B}">
      <formula1>$AC$2:$AC$5</formula1>
    </dataValidation>
  </dataValidations>
  <pageMargins left="0.11811023622047245" right="0.11811023622047245" top="0.55118110236220474" bottom="0.15748031496062992" header="0.31496062992125984" footer="0.31496062992125984"/>
  <pageSetup paperSize="9" scale="96" fitToHeight="0"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757B5-4D0C-4B84-989B-D6C27DEB92F0}">
  <sheetPr codeName="Arkusz9">
    <tabColor rgb="FF00B050"/>
    <pageSetUpPr fitToPage="1"/>
  </sheetPr>
  <dimension ref="A1:AO72"/>
  <sheetViews>
    <sheetView zoomScaleNormal="100" workbookViewId="0">
      <selection activeCell="P9" sqref="P9"/>
    </sheetView>
  </sheetViews>
  <sheetFormatPr defaultRowHeight="15"/>
  <cols>
    <col min="1" max="15" width="3.85546875" customWidth="1"/>
    <col min="16" max="16" width="7.7109375" customWidth="1"/>
    <col min="17" max="18" width="3.85546875" customWidth="1"/>
    <col min="19" max="19" width="3.7109375" bestFit="1" customWidth="1"/>
    <col min="20" max="20" width="7.7109375" customWidth="1"/>
    <col min="21" max="26" width="3.85546875" customWidth="1"/>
    <col min="34" max="34" width="19.28515625" bestFit="1" customWidth="1"/>
    <col min="35" max="36" width="10.140625" bestFit="1" customWidth="1"/>
  </cols>
  <sheetData>
    <row r="1" spans="1:41">
      <c r="A1" s="1088" t="s">
        <v>900</v>
      </c>
      <c r="B1" s="1088"/>
      <c r="C1" s="1088"/>
      <c r="D1" s="1088"/>
      <c r="E1" s="1088"/>
      <c r="F1" s="1088"/>
      <c r="G1" s="1091">
        <f ca="1">TODAY()+1</f>
        <v>45307</v>
      </c>
      <c r="H1" s="1091"/>
      <c r="I1" s="1091"/>
      <c r="J1" s="1091"/>
      <c r="K1" s="1092" t="s">
        <v>974</v>
      </c>
      <c r="L1" s="1092"/>
      <c r="M1" s="1092"/>
      <c r="N1" s="1092"/>
      <c r="O1" s="300"/>
      <c r="Q1" s="72"/>
      <c r="R1" s="1089" t="s">
        <v>915</v>
      </c>
      <c r="S1" s="1089"/>
      <c r="T1" s="1089"/>
      <c r="U1" s="1089"/>
      <c r="V1" s="1089"/>
      <c r="W1" s="1089"/>
      <c r="X1" s="1089"/>
      <c r="Y1" s="1089"/>
      <c r="Z1" s="1089"/>
      <c r="AA1" s="1089"/>
      <c r="AB1" s="1089"/>
      <c r="AC1" t="s">
        <v>1016</v>
      </c>
    </row>
    <row r="2" spans="1:41">
      <c r="A2" s="1087" t="s">
        <v>605</v>
      </c>
      <c r="B2" s="1087"/>
      <c r="C2" s="1087"/>
      <c r="D2" s="1087"/>
      <c r="E2" s="1087"/>
      <c r="F2" s="1087"/>
      <c r="G2" s="941">
        <f>PV!U51</f>
        <v>0</v>
      </c>
      <c r="H2" s="941"/>
      <c r="I2" s="941"/>
      <c r="J2" s="941"/>
      <c r="K2" s="941"/>
      <c r="L2" s="941"/>
      <c r="M2" s="941"/>
      <c r="N2" s="941"/>
      <c r="O2" s="941"/>
      <c r="P2" s="941"/>
      <c r="Q2" s="941"/>
      <c r="R2" s="941"/>
      <c r="S2" s="941"/>
      <c r="T2" s="941"/>
      <c r="U2" s="941"/>
      <c r="V2" s="941"/>
      <c r="W2" s="941"/>
      <c r="X2" s="941"/>
      <c r="Y2" s="941"/>
      <c r="Z2" s="941"/>
      <c r="AA2" s="941"/>
      <c r="AB2" s="941"/>
      <c r="AC2" t="s">
        <v>974</v>
      </c>
    </row>
    <row r="3" spans="1:41">
      <c r="A3" s="1087" t="s">
        <v>898</v>
      </c>
      <c r="B3" s="1087"/>
      <c r="C3" s="1087"/>
      <c r="D3" s="1087"/>
      <c r="E3" s="1087"/>
      <c r="F3" s="1087"/>
      <c r="G3" s="941">
        <f>PV!U52</f>
        <v>0</v>
      </c>
      <c r="H3" s="941"/>
      <c r="I3" s="941"/>
      <c r="J3" s="941"/>
      <c r="K3" s="941"/>
      <c r="L3" s="941"/>
      <c r="M3" s="941"/>
      <c r="N3" s="941"/>
      <c r="O3" s="941"/>
      <c r="P3" s="941"/>
      <c r="Q3" s="941"/>
      <c r="R3" s="941"/>
      <c r="S3" s="941"/>
      <c r="T3" s="941"/>
      <c r="U3" s="941"/>
      <c r="V3" s="941"/>
      <c r="W3" s="941"/>
      <c r="X3" s="941"/>
      <c r="Y3" s="941"/>
      <c r="Z3" s="941"/>
      <c r="AA3" s="941"/>
      <c r="AB3" s="941"/>
      <c r="AC3" t="s">
        <v>974</v>
      </c>
    </row>
    <row r="4" spans="1:41">
      <c r="A4" s="1087" t="s">
        <v>899</v>
      </c>
      <c r="B4" s="1087"/>
      <c r="C4" s="1087"/>
      <c r="D4" s="1087"/>
      <c r="E4" s="1087"/>
      <c r="F4" s="1087"/>
      <c r="G4" s="1181">
        <f>PV!U53</f>
        <v>0</v>
      </c>
      <c r="H4" s="1181"/>
      <c r="I4" s="1181"/>
      <c r="J4" s="1181"/>
      <c r="K4" s="1181"/>
      <c r="L4" s="1181"/>
      <c r="M4" s="1181"/>
      <c r="N4" s="1181"/>
      <c r="O4" s="1181"/>
      <c r="P4" s="1181"/>
      <c r="Q4" s="1181"/>
      <c r="R4" s="1181"/>
      <c r="S4" s="1181"/>
      <c r="T4" s="1181"/>
      <c r="U4" s="1181"/>
      <c r="V4" s="1181"/>
      <c r="W4" s="1181"/>
      <c r="X4" s="1181"/>
      <c r="Y4" s="1181"/>
      <c r="Z4" s="1181"/>
      <c r="AA4" s="1181"/>
      <c r="AB4" s="1181"/>
      <c r="AC4" t="s">
        <v>974</v>
      </c>
    </row>
    <row r="5" spans="1:41">
      <c r="A5" s="915" t="s">
        <v>917</v>
      </c>
      <c r="B5" s="915"/>
      <c r="C5" s="915"/>
      <c r="D5" s="915"/>
      <c r="E5" s="915"/>
      <c r="F5" s="915"/>
      <c r="G5" s="941" t="str">
        <f>PV!P71</f>
        <v>Dachówka</v>
      </c>
      <c r="H5" s="941"/>
      <c r="I5" s="941"/>
      <c r="J5" s="941"/>
      <c r="K5" s="941"/>
      <c r="L5" s="941"/>
      <c r="M5" s="941"/>
      <c r="N5" s="941"/>
      <c r="O5" s="941"/>
      <c r="P5" s="941"/>
      <c r="Q5" s="941"/>
      <c r="R5" s="941"/>
      <c r="S5" s="941"/>
      <c r="T5" s="941"/>
      <c r="U5" s="941"/>
      <c r="V5" s="941"/>
      <c r="W5" s="941"/>
      <c r="X5" s="941"/>
      <c r="Y5" s="941"/>
      <c r="Z5" s="941"/>
      <c r="AA5" s="941"/>
      <c r="AB5" s="941"/>
      <c r="AC5" t="s">
        <v>974</v>
      </c>
    </row>
    <row r="6" spans="1:41">
      <c r="A6" t="s">
        <v>425</v>
      </c>
      <c r="G6" s="941" t="str">
        <f>PV!J84</f>
        <v>TW Solar TW555-MAP M10-144-H</v>
      </c>
      <c r="H6" s="941"/>
      <c r="I6" s="941"/>
      <c r="J6" s="941"/>
      <c r="K6" s="941"/>
      <c r="L6" s="941"/>
      <c r="M6" s="941"/>
      <c r="N6" s="941"/>
      <c r="O6" s="941"/>
      <c r="P6" s="941"/>
      <c r="Q6" s="941"/>
      <c r="R6" s="941"/>
      <c r="S6" s="99">
        <f>PV!B84</f>
        <v>24</v>
      </c>
      <c r="T6" t="s">
        <v>60</v>
      </c>
      <c r="U6" s="1089" t="str">
        <f>PV!G227</f>
        <v>Rozłącznik ppoż PROJOY 2-stringi</v>
      </c>
      <c r="V6" s="1089"/>
      <c r="W6" s="1089"/>
      <c r="X6" s="1089"/>
      <c r="Y6" s="1089"/>
      <c r="Z6" s="211">
        <f>PV!R227</f>
        <v>1</v>
      </c>
    </row>
    <row r="7" spans="1:41">
      <c r="A7" t="s">
        <v>395</v>
      </c>
      <c r="H7" t="s">
        <v>396</v>
      </c>
      <c r="J7" s="941">
        <f>VLOOKUP(panel,[1]!Panele[#All],MATCH("wysokość",[1]!Panele[#Headers],0),FALSE)</f>
        <v>2278</v>
      </c>
      <c r="K7" s="941"/>
      <c r="L7" s="941"/>
      <c r="M7" t="s">
        <v>397</v>
      </c>
      <c r="O7" t="s">
        <v>398</v>
      </c>
      <c r="Q7" s="941">
        <f>VLOOKUP(panel,[1]!Panele[#All],MATCH("szerokość",[1]!Panele[#Headers],0),FALSE)</f>
        <v>1134</v>
      </c>
      <c r="R7" s="941"/>
      <c r="S7" s="941"/>
      <c r="T7" t="s">
        <v>397</v>
      </c>
      <c r="V7" t="s">
        <v>399</v>
      </c>
      <c r="W7" s="941">
        <f>VLOOKUP(panel,[1]!Panele[#All],MATCH("grubość",[1]!Panele[#Headers],0),FALSE)</f>
        <v>35</v>
      </c>
      <c r="X7" s="941"/>
      <c r="Y7" t="s">
        <v>397</v>
      </c>
    </row>
    <row r="8" spans="1:41">
      <c r="A8" t="s">
        <v>400</v>
      </c>
      <c r="I8" s="1179">
        <v>2</v>
      </c>
      <c r="J8" s="1179"/>
      <c r="K8" t="s">
        <v>86</v>
      </c>
    </row>
    <row r="9" spans="1:41" ht="15" customHeight="1">
      <c r="A9" t="s">
        <v>827</v>
      </c>
      <c r="I9" s="1180">
        <f>_xlfn.CEILING.MATH(S6/I8*Q7/1000/2)</f>
        <v>7</v>
      </c>
      <c r="J9" s="1180"/>
    </row>
    <row r="10" spans="1:41" ht="15.75" thickBot="1">
      <c r="A10" s="1086" t="s">
        <v>920</v>
      </c>
      <c r="B10" s="1086"/>
      <c r="C10" s="1086"/>
      <c r="D10" s="1086"/>
      <c r="E10" s="1086"/>
      <c r="F10" s="1086"/>
      <c r="G10" s="1086">
        <f>PV!AJ97</f>
        <v>18</v>
      </c>
      <c r="H10" s="1086"/>
      <c r="I10" s="1086"/>
      <c r="J10" s="1086" t="s">
        <v>921</v>
      </c>
      <c r="K10" s="1086"/>
      <c r="L10" s="1086"/>
      <c r="M10" s="1086"/>
      <c r="N10" s="1086"/>
      <c r="O10" s="1086"/>
      <c r="P10" s="1086">
        <f>PV!AL97</f>
        <v>18</v>
      </c>
      <c r="Q10" s="1086"/>
    </row>
    <row r="11" spans="1:41">
      <c r="A11" s="1078" t="s">
        <v>461</v>
      </c>
      <c r="B11" s="1079"/>
      <c r="C11" s="1079"/>
      <c r="D11" s="1079"/>
      <c r="E11" s="1079"/>
      <c r="F11" s="1079"/>
      <c r="G11" s="1079"/>
      <c r="H11" s="1079"/>
      <c r="I11" s="1079"/>
      <c r="J11" s="1079"/>
      <c r="K11" s="1079"/>
      <c r="L11" s="1080"/>
      <c r="M11" s="1073" t="s">
        <v>901</v>
      </c>
      <c r="N11" s="1074"/>
      <c r="O11" s="1080" t="s">
        <v>245</v>
      </c>
      <c r="P11" s="1071" t="s">
        <v>902</v>
      </c>
      <c r="Q11" s="1072"/>
      <c r="R11" s="1159" t="s">
        <v>911</v>
      </c>
      <c r="S11" s="1160"/>
      <c r="T11" s="1163" t="s">
        <v>916</v>
      </c>
      <c r="U11" s="1164"/>
      <c r="V11" s="1165" t="s">
        <v>456</v>
      </c>
      <c r="W11" s="1060" t="s">
        <v>903</v>
      </c>
      <c r="X11" s="1061"/>
      <c r="Y11" s="1061"/>
      <c r="Z11" s="1061"/>
      <c r="AA11" s="1061"/>
      <c r="AB11" s="1062"/>
    </row>
    <row r="12" spans="1:41" ht="25.5" thickBot="1">
      <c r="A12" s="1081"/>
      <c r="B12" s="1082"/>
      <c r="C12" s="1082"/>
      <c r="D12" s="1082"/>
      <c r="E12" s="1082"/>
      <c r="F12" s="1082"/>
      <c r="G12" s="1082"/>
      <c r="H12" s="1082"/>
      <c r="I12" s="1082"/>
      <c r="J12" s="1082"/>
      <c r="K12" s="1082"/>
      <c r="L12" s="1083"/>
      <c r="M12" s="1075"/>
      <c r="N12" s="1076"/>
      <c r="O12" s="1083"/>
      <c r="P12" s="257" t="s">
        <v>225</v>
      </c>
      <c r="Q12" s="258" t="s">
        <v>144</v>
      </c>
      <c r="R12" s="1161"/>
      <c r="S12" s="1162"/>
      <c r="T12" s="261" t="s">
        <v>225</v>
      </c>
      <c r="U12" s="262" t="s">
        <v>144</v>
      </c>
      <c r="V12" s="1166"/>
      <c r="W12" s="1063"/>
      <c r="X12" s="1064"/>
      <c r="Y12" s="1064"/>
      <c r="Z12" s="1064"/>
      <c r="AA12" s="1064"/>
      <c r="AB12" s="1065"/>
    </row>
    <row r="13" spans="1:41" ht="15.75">
      <c r="A13" s="1046" t="str">
        <f>$O$56</f>
        <v>klema końcowa 35mm</v>
      </c>
      <c r="B13" s="1047"/>
      <c r="C13" s="1047"/>
      <c r="D13" s="1047"/>
      <c r="E13" s="1047"/>
      <c r="F13" s="1047"/>
      <c r="G13" s="1047"/>
      <c r="H13" s="1047"/>
      <c r="I13" s="1047"/>
      <c r="J13" s="1047"/>
      <c r="K13" s="1047"/>
      <c r="L13" s="1077"/>
      <c r="M13" s="1046">
        <f>O68</f>
        <v>0</v>
      </c>
      <c r="N13" s="1047"/>
      <c r="O13" s="252"/>
      <c r="P13" s="250"/>
      <c r="Q13" s="251"/>
      <c r="R13" s="250"/>
      <c r="S13" s="249"/>
      <c r="T13" s="250"/>
      <c r="U13" s="249"/>
      <c r="V13" s="263" t="s">
        <v>203</v>
      </c>
      <c r="W13" s="1056"/>
      <c r="X13" s="1155"/>
      <c r="Y13" s="1155"/>
      <c r="Z13" s="1155"/>
      <c r="AA13" s="1155"/>
      <c r="AB13" s="1057"/>
    </row>
    <row r="14" spans="1:41" ht="15.75">
      <c r="A14" s="1048" t="str">
        <f>$P$56</f>
        <v>klema środkowa</v>
      </c>
      <c r="B14" s="1049"/>
      <c r="C14" s="1049"/>
      <c r="D14" s="1049"/>
      <c r="E14" s="1049"/>
      <c r="F14" s="1049"/>
      <c r="G14" s="1049"/>
      <c r="H14" s="1049"/>
      <c r="I14" s="1049"/>
      <c r="J14" s="1049"/>
      <c r="K14" s="1049"/>
      <c r="L14" s="1093"/>
      <c r="M14" s="1048">
        <f>P68</f>
        <v>0</v>
      </c>
      <c r="N14" s="1049"/>
      <c r="O14" s="253"/>
      <c r="P14" s="242"/>
      <c r="Q14" s="243"/>
      <c r="R14" s="267"/>
      <c r="S14" s="266"/>
      <c r="T14" s="267"/>
      <c r="U14" s="266"/>
      <c r="V14" s="264" t="s">
        <v>203</v>
      </c>
      <c r="W14" s="1084"/>
      <c r="X14" s="1029"/>
      <c r="Y14" s="1029"/>
      <c r="Z14" s="1029"/>
      <c r="AA14" s="1029"/>
      <c r="AB14" s="1085"/>
    </row>
    <row r="15" spans="1:41" ht="15.75">
      <c r="A15" s="1048" t="str">
        <f>$Q$56</f>
        <v>śruba imbusowa 25mm</v>
      </c>
      <c r="B15" s="1049"/>
      <c r="C15" s="1049"/>
      <c r="D15" s="1049"/>
      <c r="E15" s="1049"/>
      <c r="F15" s="1049"/>
      <c r="G15" s="1049"/>
      <c r="H15" s="1049"/>
      <c r="I15" s="1049"/>
      <c r="J15" s="1049"/>
      <c r="K15" s="1049"/>
      <c r="L15" s="1093"/>
      <c r="M15" s="1048">
        <f>Q68</f>
        <v>0</v>
      </c>
      <c r="N15" s="1049"/>
      <c r="O15" s="271"/>
      <c r="P15" s="267"/>
      <c r="Q15" s="243"/>
      <c r="R15" s="267"/>
      <c r="S15" s="266"/>
      <c r="T15" s="267"/>
      <c r="U15" s="266"/>
      <c r="V15" s="264" t="s">
        <v>203</v>
      </c>
      <c r="W15" s="1084"/>
      <c r="X15" s="1029"/>
      <c r="Y15" s="1029"/>
      <c r="Z15" s="1029"/>
      <c r="AA15" s="1029"/>
      <c r="AB15" s="1085"/>
      <c r="AH15" s="303"/>
      <c r="AI15" s="303"/>
      <c r="AJ15" s="303"/>
      <c r="AK15" s="303"/>
      <c r="AL15" s="303"/>
      <c r="AM15" s="303"/>
      <c r="AN15" s="303"/>
      <c r="AO15" s="303"/>
    </row>
    <row r="16" spans="1:41" ht="15.75">
      <c r="A16" s="1048" t="str">
        <f>$R$56</f>
        <v>wpust przesuwny</v>
      </c>
      <c r="B16" s="1049"/>
      <c r="C16" s="1049"/>
      <c r="D16" s="1049"/>
      <c r="E16" s="1049"/>
      <c r="F16" s="1049"/>
      <c r="G16" s="1049"/>
      <c r="H16" s="1049"/>
      <c r="I16" s="1049"/>
      <c r="J16" s="1049"/>
      <c r="K16" s="1049"/>
      <c r="L16" s="1093"/>
      <c r="M16" s="1048">
        <f>R68</f>
        <v>0</v>
      </c>
      <c r="N16" s="1049"/>
      <c r="O16" s="271"/>
      <c r="P16" s="267"/>
      <c r="Q16" s="243"/>
      <c r="R16" s="267"/>
      <c r="S16" s="266"/>
      <c r="T16" s="267"/>
      <c r="U16" s="266"/>
      <c r="V16" s="264" t="s">
        <v>203</v>
      </c>
      <c r="W16" s="1084"/>
      <c r="X16" s="1029"/>
      <c r="Y16" s="1029"/>
      <c r="Z16" s="1029"/>
      <c r="AA16" s="1029"/>
      <c r="AB16" s="1085"/>
    </row>
    <row r="17" spans="1:37" ht="15.75">
      <c r="A17" s="1048" t="str">
        <f>$S$56</f>
        <v>profil aluminiowy 3300mm</v>
      </c>
      <c r="B17" s="1049"/>
      <c r="C17" s="1049"/>
      <c r="D17" s="1049"/>
      <c r="E17" s="1049"/>
      <c r="F17" s="1049"/>
      <c r="G17" s="1049"/>
      <c r="H17" s="1049"/>
      <c r="I17" s="1049"/>
      <c r="J17" s="1049"/>
      <c r="K17" s="1049"/>
      <c r="L17" s="1093"/>
      <c r="M17" s="1168">
        <f>$S$68</f>
        <v>0</v>
      </c>
      <c r="N17" s="1169"/>
      <c r="O17" s="271"/>
      <c r="P17" s="267"/>
      <c r="Q17" s="243"/>
      <c r="R17" s="267"/>
      <c r="S17" s="266"/>
      <c r="T17" s="267"/>
      <c r="U17" s="266"/>
      <c r="V17" s="264" t="s">
        <v>203</v>
      </c>
      <c r="W17" s="1084"/>
      <c r="X17" s="1029"/>
      <c r="Y17" s="1029"/>
      <c r="Z17" s="1029"/>
      <c r="AA17" s="1029"/>
      <c r="AB17" s="1085"/>
    </row>
    <row r="18" spans="1:37" ht="15.75">
      <c r="A18" s="1048" t="str">
        <f>$T$56</f>
        <v>łącznik profili montażowych</v>
      </c>
      <c r="B18" s="1049"/>
      <c r="C18" s="1049"/>
      <c r="D18" s="1049"/>
      <c r="E18" s="1049"/>
      <c r="F18" s="1049"/>
      <c r="G18" s="1049"/>
      <c r="H18" s="1049"/>
      <c r="I18" s="1049"/>
      <c r="J18" s="1049"/>
      <c r="K18" s="1049"/>
      <c r="L18" s="1093"/>
      <c r="M18" s="1168">
        <f>$T$68</f>
        <v>0</v>
      </c>
      <c r="N18" s="1169"/>
      <c r="O18" s="271"/>
      <c r="P18" s="267"/>
      <c r="Q18" s="243"/>
      <c r="R18" s="269"/>
      <c r="S18" s="270"/>
      <c r="T18" s="267"/>
      <c r="U18" s="266"/>
      <c r="V18" s="264" t="s">
        <v>203</v>
      </c>
      <c r="W18" s="1084"/>
      <c r="X18" s="1029"/>
      <c r="Y18" s="1029"/>
      <c r="Z18" s="1029"/>
      <c r="AA18" s="1029"/>
      <c r="AB18" s="1085"/>
      <c r="AI18" s="302"/>
      <c r="AJ18" s="302"/>
      <c r="AK18" s="302"/>
    </row>
    <row r="19" spans="1:37" ht="15.75">
      <c r="A19" s="1048" t="str">
        <f>$U$56</f>
        <v>śruba teowa M10 30mm</v>
      </c>
      <c r="B19" s="1049"/>
      <c r="C19" s="1049"/>
      <c r="D19" s="1049"/>
      <c r="E19" s="1049"/>
      <c r="F19" s="1049"/>
      <c r="G19" s="1049"/>
      <c r="H19" s="1049"/>
      <c r="I19" s="1049"/>
      <c r="J19" s="1049"/>
      <c r="K19" s="1049"/>
      <c r="L19" s="1093"/>
      <c r="M19" s="1168">
        <f>$U$68</f>
        <v>0</v>
      </c>
      <c r="N19" s="1169"/>
      <c r="O19" s="271"/>
      <c r="P19" s="267"/>
      <c r="Q19" s="243"/>
      <c r="R19" s="269"/>
      <c r="S19" s="270"/>
      <c r="T19" s="267"/>
      <c r="U19" s="266"/>
      <c r="V19" s="264" t="s">
        <v>203</v>
      </c>
      <c r="W19" s="1084"/>
      <c r="X19" s="1029"/>
      <c r="Y19" s="1029"/>
      <c r="Z19" s="1029"/>
      <c r="AA19" s="1029"/>
      <c r="AB19" s="1085"/>
    </row>
    <row r="20" spans="1:37" ht="15.75">
      <c r="A20" s="1048" t="str">
        <f>$V$56</f>
        <v>nakrętka M10</v>
      </c>
      <c r="B20" s="1049"/>
      <c r="C20" s="1049"/>
      <c r="D20" s="1049"/>
      <c r="E20" s="1049"/>
      <c r="F20" s="1049"/>
      <c r="G20" s="1049"/>
      <c r="H20" s="1049"/>
      <c r="I20" s="1049"/>
      <c r="J20" s="1049"/>
      <c r="K20" s="1049"/>
      <c r="L20" s="1093"/>
      <c r="M20" s="1168">
        <f>$V$68</f>
        <v>42</v>
      </c>
      <c r="N20" s="1169"/>
      <c r="O20" s="271"/>
      <c r="P20" s="267"/>
      <c r="Q20" s="243"/>
      <c r="R20" s="269"/>
      <c r="S20" s="270"/>
      <c r="T20" s="267"/>
      <c r="U20" s="266"/>
      <c r="V20" s="264" t="s">
        <v>203</v>
      </c>
      <c r="W20" s="1084"/>
      <c r="X20" s="1029"/>
      <c r="Y20" s="1029"/>
      <c r="Z20" s="1029"/>
      <c r="AA20" s="1029"/>
      <c r="AB20" s="1085"/>
    </row>
    <row r="21" spans="1:37" ht="15.75">
      <c r="A21" s="1182" t="str">
        <f>X56</f>
        <v>Śruba maszynowa</v>
      </c>
      <c r="B21" s="1183"/>
      <c r="C21" s="1183"/>
      <c r="D21" s="1183"/>
      <c r="E21" s="1183"/>
      <c r="F21" s="1183"/>
      <c r="G21" s="1183"/>
      <c r="H21" s="1183"/>
      <c r="I21" s="1183"/>
      <c r="J21" s="1183"/>
      <c r="K21" s="1183"/>
      <c r="L21" s="1184"/>
      <c r="M21" s="1185">
        <f>X68</f>
        <v>42</v>
      </c>
      <c r="N21" s="1186"/>
      <c r="O21" s="279"/>
      <c r="P21" s="280"/>
      <c r="Q21" s="281"/>
      <c r="R21" s="282"/>
      <c r="S21" s="283"/>
      <c r="T21" s="280"/>
      <c r="U21" s="284"/>
      <c r="V21" s="285"/>
      <c r="W21" s="286"/>
      <c r="X21" s="80"/>
      <c r="Y21" s="80"/>
      <c r="Z21" s="80"/>
      <c r="AA21" s="80"/>
      <c r="AB21" s="287"/>
    </row>
    <row r="22" spans="1:37" ht="16.5" thickBot="1">
      <c r="A22" s="1097" t="str">
        <f>W56</f>
        <v>Zaślepka</v>
      </c>
      <c r="B22" s="1098"/>
      <c r="C22" s="1098"/>
      <c r="D22" s="1098"/>
      <c r="E22" s="1098"/>
      <c r="F22" s="1098"/>
      <c r="G22" s="1098"/>
      <c r="H22" s="1098"/>
      <c r="I22" s="1098"/>
      <c r="J22" s="1098"/>
      <c r="K22" s="1098"/>
      <c r="L22" s="1099"/>
      <c r="M22" s="1097">
        <f>W71</f>
        <v>0</v>
      </c>
      <c r="N22" s="1098"/>
      <c r="O22" s="272"/>
      <c r="P22" s="268"/>
      <c r="Q22" s="245"/>
      <c r="R22" s="268"/>
      <c r="S22" s="240"/>
      <c r="T22" s="268"/>
      <c r="U22" s="240"/>
      <c r="V22" s="265" t="s">
        <v>203</v>
      </c>
      <c r="W22" s="1102"/>
      <c r="X22" s="1187"/>
      <c r="Y22" s="1187"/>
      <c r="Z22" s="1187"/>
      <c r="AA22" s="1187"/>
      <c r="AB22" s="1103"/>
    </row>
    <row r="24" spans="1:37" ht="15.75" thickBot="1"/>
    <row r="25" spans="1:37">
      <c r="A25" s="1078" t="s">
        <v>904</v>
      </c>
      <c r="B25" s="1079"/>
      <c r="C25" s="1079"/>
      <c r="D25" s="1079"/>
      <c r="E25" s="1079"/>
      <c r="F25" s="1079"/>
      <c r="G25" s="1079"/>
      <c r="H25" s="1079"/>
      <c r="I25" s="1079"/>
      <c r="J25" s="1079"/>
      <c r="K25" s="1079"/>
      <c r="L25" s="1100"/>
      <c r="M25" s="1120" t="s">
        <v>901</v>
      </c>
      <c r="N25" s="1121"/>
      <c r="O25" s="1121"/>
      <c r="P25" s="1121"/>
      <c r="Q25" s="1122"/>
      <c r="R25" s="1114" t="s">
        <v>910</v>
      </c>
      <c r="S25" s="1115"/>
      <c r="T25" s="1129" t="s">
        <v>903</v>
      </c>
      <c r="U25" s="1054"/>
      <c r="V25" s="1054"/>
      <c r="W25" s="1054"/>
      <c r="X25" s="1054"/>
      <c r="Y25" s="1054"/>
      <c r="Z25" s="1054"/>
      <c r="AA25" s="1054"/>
      <c r="AB25" s="1130"/>
    </row>
    <row r="26" spans="1:37" ht="15.75" thickBot="1">
      <c r="A26" s="1081"/>
      <c r="B26" s="1082"/>
      <c r="C26" s="1082"/>
      <c r="D26" s="1082"/>
      <c r="E26" s="1082"/>
      <c r="F26" s="1082"/>
      <c r="G26" s="1082"/>
      <c r="H26" s="1082"/>
      <c r="I26" s="1082"/>
      <c r="J26" s="1082"/>
      <c r="K26" s="1082"/>
      <c r="L26" s="1101"/>
      <c r="M26" s="1125" t="s">
        <v>225</v>
      </c>
      <c r="N26" s="1126"/>
      <c r="O26" s="1127"/>
      <c r="P26" s="1123" t="s">
        <v>144</v>
      </c>
      <c r="Q26" s="1124"/>
      <c r="R26" s="1116"/>
      <c r="S26" s="1117"/>
      <c r="T26" s="1131"/>
      <c r="U26" s="1055"/>
      <c r="V26" s="1055"/>
      <c r="W26" s="1055"/>
      <c r="X26" s="1055"/>
      <c r="Y26" s="1055"/>
      <c r="Z26" s="1055"/>
      <c r="AA26" s="1055"/>
      <c r="AB26" s="1132"/>
    </row>
    <row r="27" spans="1:37" ht="15" customHeight="1">
      <c r="A27" s="1094" t="s">
        <v>905</v>
      </c>
      <c r="B27" s="1095"/>
      <c r="C27" s="1095"/>
      <c r="D27" s="1095"/>
      <c r="E27" s="1095"/>
      <c r="F27" s="1095"/>
      <c r="G27" s="1095"/>
      <c r="H27" s="1095"/>
      <c r="I27" s="1095"/>
      <c r="J27" s="1095"/>
      <c r="K27" s="1095"/>
      <c r="L27" s="1096"/>
      <c r="M27" s="1066"/>
      <c r="N27" s="1067"/>
      <c r="O27" s="1067"/>
      <c r="P27" s="1067"/>
      <c r="Q27" s="1068"/>
      <c r="R27" s="1118"/>
      <c r="S27" s="1119"/>
      <c r="T27" s="1066"/>
      <c r="U27" s="1067"/>
      <c r="V27" s="1067"/>
      <c r="W27" s="1067"/>
      <c r="X27" s="1067"/>
      <c r="Y27" s="1067"/>
      <c r="Z27" s="1067"/>
      <c r="AA27" s="1067"/>
      <c r="AB27" s="1068"/>
    </row>
    <row r="28" spans="1:37">
      <c r="A28" s="1106" t="s">
        <v>906</v>
      </c>
      <c r="B28" s="1107"/>
      <c r="C28" s="1107"/>
      <c r="D28" s="1107"/>
      <c r="E28" s="1107"/>
      <c r="F28" s="1107"/>
      <c r="G28" s="1107"/>
      <c r="H28" s="1107"/>
      <c r="I28" s="1107"/>
      <c r="J28" s="1107"/>
      <c r="K28" s="1107"/>
      <c r="L28" s="1108"/>
      <c r="M28" s="1069"/>
      <c r="N28" s="1036"/>
      <c r="O28" s="1036"/>
      <c r="P28" s="1036"/>
      <c r="Q28" s="1070"/>
      <c r="R28" s="1030"/>
      <c r="S28" s="1028"/>
      <c r="T28" s="1069"/>
      <c r="U28" s="1036"/>
      <c r="V28" s="1036"/>
      <c r="W28" s="1036"/>
      <c r="X28" s="1036"/>
      <c r="Y28" s="1036"/>
      <c r="Z28" s="1036"/>
      <c r="AA28" s="1036"/>
      <c r="AB28" s="1070"/>
    </row>
    <row r="29" spans="1:37">
      <c r="A29" s="1106" t="s">
        <v>907</v>
      </c>
      <c r="B29" s="1107"/>
      <c r="C29" s="1107"/>
      <c r="D29" s="1107"/>
      <c r="E29" s="1107"/>
      <c r="F29" s="1107"/>
      <c r="G29" s="1107"/>
      <c r="H29" s="1107"/>
      <c r="I29" s="1107"/>
      <c r="J29" s="1107"/>
      <c r="K29" s="1107"/>
      <c r="L29" s="1108"/>
      <c r="M29" s="1069"/>
      <c r="N29" s="1036"/>
      <c r="O29" s="1036"/>
      <c r="P29" s="1036"/>
      <c r="Q29" s="1070"/>
      <c r="R29" s="1030"/>
      <c r="S29" s="1028"/>
      <c r="T29" s="1069"/>
      <c r="U29" s="1036"/>
      <c r="V29" s="1036"/>
      <c r="W29" s="1036"/>
      <c r="X29" s="1036"/>
      <c r="Y29" s="1036"/>
      <c r="Z29" s="1036"/>
      <c r="AA29" s="1036"/>
      <c r="AB29" s="1070"/>
    </row>
    <row r="30" spans="1:37">
      <c r="A30" s="1106" t="s">
        <v>908</v>
      </c>
      <c r="B30" s="1107"/>
      <c r="C30" s="1107"/>
      <c r="D30" s="1107"/>
      <c r="E30" s="1107"/>
      <c r="F30" s="1107"/>
      <c r="G30" s="1107"/>
      <c r="H30" s="1107"/>
      <c r="I30" s="1107"/>
      <c r="J30" s="1107"/>
      <c r="K30" s="1107"/>
      <c r="L30" s="1108"/>
      <c r="M30" s="1069"/>
      <c r="N30" s="1036"/>
      <c r="O30" s="1036"/>
      <c r="P30" s="1036"/>
      <c r="Q30" s="1070"/>
      <c r="R30" s="1030"/>
      <c r="S30" s="1028"/>
      <c r="T30" s="1069"/>
      <c r="U30" s="1036"/>
      <c r="V30" s="1036"/>
      <c r="W30" s="1036"/>
      <c r="X30" s="1036"/>
      <c r="Y30" s="1036"/>
      <c r="Z30" s="1036"/>
      <c r="AA30" s="1036"/>
      <c r="AB30" s="1070"/>
    </row>
    <row r="31" spans="1:37">
      <c r="A31" s="1106" t="s">
        <v>909</v>
      </c>
      <c r="B31" s="1107"/>
      <c r="C31" s="1107"/>
      <c r="D31" s="1107"/>
      <c r="E31" s="1107"/>
      <c r="F31" s="1107"/>
      <c r="G31" s="1107"/>
      <c r="H31" s="1107"/>
      <c r="I31" s="1107"/>
      <c r="J31" s="1107"/>
      <c r="K31" s="1107"/>
      <c r="L31" s="1108"/>
      <c r="M31" s="1069"/>
      <c r="N31" s="1036"/>
      <c r="O31" s="1036"/>
      <c r="P31" s="1036"/>
      <c r="Q31" s="1070"/>
      <c r="R31" s="1030"/>
      <c r="S31" s="1028"/>
      <c r="T31" s="1069"/>
      <c r="U31" s="1036"/>
      <c r="V31" s="1036"/>
      <c r="W31" s="1036"/>
      <c r="X31" s="1036"/>
      <c r="Y31" s="1036"/>
      <c r="Z31" s="1036"/>
      <c r="AA31" s="1036"/>
      <c r="AB31" s="1070"/>
    </row>
    <row r="32" spans="1:37">
      <c r="A32" s="1106" t="s">
        <v>922</v>
      </c>
      <c r="B32" s="1107"/>
      <c r="C32" s="1107"/>
      <c r="D32" s="1107"/>
      <c r="E32" s="1107"/>
      <c r="F32" s="1107"/>
      <c r="G32" s="1107"/>
      <c r="H32" s="1107"/>
      <c r="I32" s="1107"/>
      <c r="J32" s="1107"/>
      <c r="K32" s="1107"/>
      <c r="L32" s="1108"/>
      <c r="M32" s="1069"/>
      <c r="N32" s="1036"/>
      <c r="O32" s="1036"/>
      <c r="P32" s="1036"/>
      <c r="Q32" s="1070"/>
      <c r="R32" s="1030"/>
      <c r="S32" s="1028"/>
      <c r="T32" s="1069"/>
      <c r="U32" s="1036"/>
      <c r="V32" s="1036"/>
      <c r="W32" s="1036"/>
      <c r="X32" s="1036"/>
      <c r="Y32" s="1036"/>
      <c r="Z32" s="1036"/>
      <c r="AA32" s="1036"/>
      <c r="AB32" s="1070"/>
    </row>
    <row r="33" spans="1:28">
      <c r="A33" s="1106"/>
      <c r="B33" s="1107"/>
      <c r="C33" s="1107"/>
      <c r="D33" s="1107"/>
      <c r="E33" s="1107"/>
      <c r="F33" s="1107"/>
      <c r="G33" s="1107"/>
      <c r="H33" s="1107"/>
      <c r="I33" s="1107"/>
      <c r="J33" s="1107"/>
      <c r="K33" s="1107"/>
      <c r="L33" s="1108"/>
      <c r="M33" s="1069"/>
      <c r="N33" s="1036"/>
      <c r="O33" s="1036"/>
      <c r="P33" s="1036"/>
      <c r="Q33" s="1070"/>
      <c r="R33" s="1030"/>
      <c r="S33" s="1028"/>
      <c r="T33" s="1069"/>
      <c r="U33" s="1036"/>
      <c r="V33" s="1036"/>
      <c r="W33" s="1036"/>
      <c r="X33" s="1036"/>
      <c r="Y33" s="1036"/>
      <c r="Z33" s="1036"/>
      <c r="AA33" s="1036"/>
      <c r="AB33" s="1070"/>
    </row>
    <row r="34" spans="1:28">
      <c r="A34" s="1106"/>
      <c r="B34" s="1107"/>
      <c r="C34" s="1107"/>
      <c r="D34" s="1107"/>
      <c r="E34" s="1107"/>
      <c r="F34" s="1107"/>
      <c r="G34" s="1107"/>
      <c r="H34" s="1107"/>
      <c r="I34" s="1107"/>
      <c r="J34" s="1107"/>
      <c r="K34" s="1107"/>
      <c r="L34" s="1108"/>
      <c r="M34" s="1069"/>
      <c r="N34" s="1036"/>
      <c r="O34" s="1036"/>
      <c r="P34" s="1036"/>
      <c r="Q34" s="1070"/>
      <c r="R34" s="1030"/>
      <c r="S34" s="1028"/>
      <c r="T34" s="1069"/>
      <c r="U34" s="1036"/>
      <c r="V34" s="1036"/>
      <c r="W34" s="1036"/>
      <c r="X34" s="1036"/>
      <c r="Y34" s="1036"/>
      <c r="Z34" s="1036"/>
      <c r="AA34" s="1036"/>
      <c r="AB34" s="1070"/>
    </row>
    <row r="35" spans="1:28">
      <c r="A35" s="1106"/>
      <c r="B35" s="1107"/>
      <c r="C35" s="1107"/>
      <c r="D35" s="1107"/>
      <c r="E35" s="1107"/>
      <c r="F35" s="1107"/>
      <c r="G35" s="1107"/>
      <c r="H35" s="1107"/>
      <c r="I35" s="1107"/>
      <c r="J35" s="1107"/>
      <c r="K35" s="1107"/>
      <c r="L35" s="1108"/>
      <c r="M35" s="1069"/>
      <c r="N35" s="1036"/>
      <c r="O35" s="1036"/>
      <c r="P35" s="1036"/>
      <c r="Q35" s="1070"/>
      <c r="R35" s="1030"/>
      <c r="S35" s="1028"/>
      <c r="T35" s="1069"/>
      <c r="U35" s="1036"/>
      <c r="V35" s="1036"/>
      <c r="W35" s="1036"/>
      <c r="X35" s="1036"/>
      <c r="Y35" s="1036"/>
      <c r="Z35" s="1036"/>
      <c r="AA35" s="1036"/>
      <c r="AB35" s="1070"/>
    </row>
    <row r="36" spans="1:28" ht="15.75" thickBot="1">
      <c r="A36" s="1109"/>
      <c r="B36" s="1110"/>
      <c r="C36" s="1110"/>
      <c r="D36" s="1110"/>
      <c r="E36" s="1110"/>
      <c r="F36" s="1110"/>
      <c r="G36" s="1110"/>
      <c r="H36" s="1110"/>
      <c r="I36" s="1110"/>
      <c r="J36" s="1110"/>
      <c r="K36" s="1110"/>
      <c r="L36" s="1111"/>
      <c r="M36" s="1112"/>
      <c r="N36" s="1113"/>
      <c r="O36" s="1113"/>
      <c r="P36" s="1113"/>
      <c r="Q36" s="1128"/>
      <c r="R36" s="1104"/>
      <c r="S36" s="1105"/>
      <c r="T36" s="1112"/>
      <c r="U36" s="1113"/>
      <c r="V36" s="1113"/>
      <c r="W36" s="1113"/>
      <c r="X36" s="1113"/>
      <c r="Y36" s="1113"/>
      <c r="Z36" s="1113"/>
      <c r="AA36" s="1113"/>
      <c r="AB36" s="1128"/>
    </row>
    <row r="39" spans="1:28" ht="15" customHeight="1"/>
    <row r="40" spans="1:28">
      <c r="AA40" s="1"/>
    </row>
    <row r="50" spans="1:28">
      <c r="A50" s="941" t="s">
        <v>914</v>
      </c>
      <c r="B50" s="941"/>
      <c r="C50" s="941"/>
      <c r="D50" s="941"/>
      <c r="E50" s="941"/>
      <c r="F50" s="941"/>
      <c r="G50" s="941"/>
      <c r="H50" s="941"/>
      <c r="I50" s="941"/>
      <c r="J50" s="941"/>
      <c r="K50" s="941"/>
      <c r="V50" s="941" t="s">
        <v>914</v>
      </c>
      <c r="W50" s="941"/>
      <c r="X50" s="941"/>
      <c r="Y50" s="941"/>
      <c r="Z50" s="941"/>
      <c r="AA50" s="941"/>
      <c r="AB50" s="941"/>
    </row>
    <row r="51" spans="1:28">
      <c r="A51" s="941" t="s">
        <v>912</v>
      </c>
      <c r="B51" s="941"/>
      <c r="C51" s="941"/>
      <c r="D51" s="941"/>
      <c r="E51" s="941"/>
      <c r="F51" s="941"/>
      <c r="G51" s="941"/>
      <c r="H51" s="941"/>
      <c r="I51" s="941"/>
      <c r="J51" s="941"/>
      <c r="K51" s="941"/>
      <c r="V51" s="941" t="s">
        <v>913</v>
      </c>
      <c r="W51" s="941"/>
      <c r="X51" s="941"/>
      <c r="Y51" s="941"/>
      <c r="Z51" s="941"/>
      <c r="AA51" s="941"/>
      <c r="AB51" s="941"/>
    </row>
    <row r="56" spans="1:28">
      <c r="O56" s="1176" t="str">
        <f>VLOOKUP($W$7,Tabela3[],2,FALSE)</f>
        <v>klema końcowa 35mm</v>
      </c>
      <c r="P56" s="1176" t="s">
        <v>402</v>
      </c>
      <c r="Q56" s="1176" t="str">
        <f>VLOOKUP($W$7,Tabela3[],3,FALSE)</f>
        <v>śruba imbusowa 25mm</v>
      </c>
      <c r="R56" s="1176" t="s">
        <v>403</v>
      </c>
      <c r="S56" s="1138" t="s">
        <v>1005</v>
      </c>
      <c r="T56" s="1138" t="s">
        <v>404</v>
      </c>
      <c r="U56" s="1138" t="s">
        <v>405</v>
      </c>
      <c r="V56" s="1138" t="s">
        <v>406</v>
      </c>
      <c r="W56" s="1138" t="s">
        <v>826</v>
      </c>
      <c r="X56" s="1138" t="s">
        <v>937</v>
      </c>
    </row>
    <row r="57" spans="1:28">
      <c r="O57" s="1177"/>
      <c r="P57" s="1177"/>
      <c r="Q57" s="1177"/>
      <c r="R57" s="1177"/>
      <c r="S57" s="1139"/>
      <c r="T57" s="1139"/>
      <c r="U57" s="1139"/>
      <c r="V57" s="1139"/>
      <c r="W57" s="1139"/>
      <c r="X57" s="1139"/>
    </row>
    <row r="58" spans="1:28">
      <c r="O58" s="1177"/>
      <c r="P58" s="1177"/>
      <c r="Q58" s="1177"/>
      <c r="R58" s="1177"/>
      <c r="S58" s="1139"/>
      <c r="T58" s="1139"/>
      <c r="U58" s="1139"/>
      <c r="V58" s="1139"/>
      <c r="W58" s="1139"/>
      <c r="X58" s="1139"/>
    </row>
    <row r="59" spans="1:28">
      <c r="O59" s="1177"/>
      <c r="P59" s="1177"/>
      <c r="Q59" s="1177"/>
      <c r="R59" s="1177"/>
      <c r="S59" s="1139"/>
      <c r="T59" s="1139"/>
      <c r="U59" s="1139"/>
      <c r="V59" s="1139"/>
      <c r="W59" s="1139"/>
      <c r="X59" s="1139"/>
    </row>
    <row r="60" spans="1:28">
      <c r="O60" s="1177"/>
      <c r="P60" s="1177"/>
      <c r="Q60" s="1177"/>
      <c r="R60" s="1177"/>
      <c r="S60" s="1139"/>
      <c r="T60" s="1139"/>
      <c r="U60" s="1139"/>
      <c r="V60" s="1139"/>
      <c r="W60" s="1139"/>
      <c r="X60" s="1139"/>
    </row>
    <row r="61" spans="1:28">
      <c r="O61" s="1177"/>
      <c r="P61" s="1177"/>
      <c r="Q61" s="1177"/>
      <c r="R61" s="1177"/>
      <c r="S61" s="1139"/>
      <c r="T61" s="1139"/>
      <c r="U61" s="1139"/>
      <c r="V61" s="1139"/>
      <c r="W61" s="1139"/>
      <c r="X61" s="1139"/>
    </row>
    <row r="62" spans="1:28">
      <c r="O62" s="1177"/>
      <c r="P62" s="1177"/>
      <c r="Q62" s="1177"/>
      <c r="R62" s="1177"/>
      <c r="S62" s="1139"/>
      <c r="T62" s="1139"/>
      <c r="U62" s="1139"/>
      <c r="V62" s="1139"/>
      <c r="W62" s="1139"/>
      <c r="X62" s="1139"/>
    </row>
    <row r="63" spans="1:28">
      <c r="O63" s="1177"/>
      <c r="P63" s="1177"/>
      <c r="Q63" s="1177"/>
      <c r="R63" s="1177"/>
      <c r="S63" s="1139"/>
      <c r="T63" s="1139"/>
      <c r="U63" s="1139"/>
      <c r="V63" s="1139"/>
      <c r="W63" s="1139"/>
      <c r="X63" s="1139"/>
    </row>
    <row r="64" spans="1:28">
      <c r="O64" s="1177"/>
      <c r="P64" s="1177"/>
      <c r="Q64" s="1177"/>
      <c r="R64" s="1177"/>
      <c r="S64" s="1139"/>
      <c r="T64" s="1139"/>
      <c r="U64" s="1139"/>
      <c r="V64" s="1139"/>
      <c r="W64" s="1139"/>
      <c r="X64" s="1139"/>
    </row>
    <row r="65" spans="1:24">
      <c r="O65" s="1177"/>
      <c r="P65" s="1177"/>
      <c r="Q65" s="1177"/>
      <c r="R65" s="1177"/>
      <c r="S65" s="1139"/>
      <c r="T65" s="1139"/>
      <c r="U65" s="1139"/>
      <c r="V65" s="1139"/>
      <c r="W65" s="1139"/>
      <c r="X65" s="1139"/>
    </row>
    <row r="66" spans="1:24">
      <c r="O66" s="1177"/>
      <c r="P66" s="1177"/>
      <c r="Q66" s="1177"/>
      <c r="R66" s="1177"/>
      <c r="S66" s="1139"/>
      <c r="T66" s="1139"/>
      <c r="U66" s="1139"/>
      <c r="V66" s="1139"/>
      <c r="W66" s="1139"/>
      <c r="X66" s="1139"/>
    </row>
    <row r="67" spans="1:24">
      <c r="O67" s="1178"/>
      <c r="P67" s="1178"/>
      <c r="Q67" s="1178"/>
      <c r="R67" s="1178"/>
      <c r="S67" s="1140"/>
      <c r="T67" s="1140"/>
      <c r="U67" s="1140"/>
      <c r="V67" s="1140"/>
      <c r="W67" s="1140"/>
      <c r="X67" s="1140"/>
    </row>
    <row r="68" spans="1:24" ht="15" customHeight="1">
      <c r="A68" s="1141" t="s">
        <v>606</v>
      </c>
      <c r="B68" s="1142"/>
      <c r="C68" s="1142"/>
      <c r="D68" s="1143"/>
      <c r="E68" s="1141" t="s">
        <v>413</v>
      </c>
      <c r="F68" s="1142"/>
      <c r="G68" s="1142"/>
      <c r="H68" s="1143"/>
      <c r="I68" s="1150" t="s">
        <v>414</v>
      </c>
      <c r="J68" s="1151"/>
      <c r="K68" s="1151"/>
      <c r="L68" s="1151"/>
      <c r="M68" s="1151"/>
      <c r="N68" s="1152"/>
      <c r="O68" s="1156">
        <f>O71+O72</f>
        <v>0</v>
      </c>
      <c r="P68" s="1156">
        <f>P71+P72</f>
        <v>0</v>
      </c>
      <c r="Q68" s="1156">
        <f t="shared" ref="Q68:X68" si="0">Q71+Q72</f>
        <v>0</v>
      </c>
      <c r="R68" s="1156">
        <f t="shared" si="0"/>
        <v>0</v>
      </c>
      <c r="S68" s="1133">
        <f t="shared" si="0"/>
        <v>0</v>
      </c>
      <c r="T68" s="1133">
        <f t="shared" si="0"/>
        <v>0</v>
      </c>
      <c r="U68" s="1133">
        <f t="shared" si="0"/>
        <v>0</v>
      </c>
      <c r="V68" s="1133">
        <f t="shared" si="0"/>
        <v>42</v>
      </c>
      <c r="W68" s="1156">
        <f t="shared" si="0"/>
        <v>0</v>
      </c>
      <c r="X68" s="1156">
        <f t="shared" si="0"/>
        <v>42</v>
      </c>
    </row>
    <row r="69" spans="1:24">
      <c r="A69" s="1144"/>
      <c r="B69" s="1145"/>
      <c r="C69" s="1145"/>
      <c r="D69" s="1146"/>
      <c r="E69" s="1144"/>
      <c r="F69" s="1145"/>
      <c r="G69" s="1145"/>
      <c r="H69" s="1146"/>
      <c r="I69" s="1153"/>
      <c r="J69" s="941"/>
      <c r="K69" s="941"/>
      <c r="L69" s="941"/>
      <c r="M69" s="941"/>
      <c r="N69" s="1154"/>
      <c r="O69" s="1157"/>
      <c r="P69" s="1157"/>
      <c r="Q69" s="1157"/>
      <c r="R69" s="1157"/>
      <c r="S69" s="1134"/>
      <c r="T69" s="1134"/>
      <c r="U69" s="1134"/>
      <c r="V69" s="1134"/>
      <c r="W69" s="1157"/>
      <c r="X69" s="1157"/>
    </row>
    <row r="70" spans="1:24">
      <c r="A70" s="1147"/>
      <c r="B70" s="1148"/>
      <c r="C70" s="1148"/>
      <c r="D70" s="1149"/>
      <c r="E70" s="1147"/>
      <c r="F70" s="1148"/>
      <c r="G70" s="1148"/>
      <c r="H70" s="1149"/>
      <c r="I70" s="1119"/>
      <c r="J70" s="1155"/>
      <c r="K70" s="1155"/>
      <c r="L70" s="1155"/>
      <c r="M70" s="1155"/>
      <c r="N70" s="1118"/>
      <c r="O70" s="1158"/>
      <c r="P70" s="1158"/>
      <c r="Q70" s="1158"/>
      <c r="R70" s="1158"/>
      <c r="S70" s="1135"/>
      <c r="T70" s="1135"/>
      <c r="U70" s="1135"/>
      <c r="V70" s="1135"/>
      <c r="W70" s="1158"/>
      <c r="X70" s="1158"/>
    </row>
    <row r="71" spans="1:24">
      <c r="A71" s="1028"/>
      <c r="B71" s="1029"/>
      <c r="C71" s="1029"/>
      <c r="D71" s="1030"/>
      <c r="E71" s="1028"/>
      <c r="F71" s="1029"/>
      <c r="G71" s="1029"/>
      <c r="H71" s="1030"/>
      <c r="I71" s="1028" t="s">
        <v>383</v>
      </c>
      <c r="J71" s="1029"/>
      <c r="K71" s="1029"/>
      <c r="L71" s="1029"/>
      <c r="M71" s="1029"/>
      <c r="N71" s="1030"/>
      <c r="O71" s="3">
        <f>4*E71</f>
        <v>0</v>
      </c>
      <c r="P71" s="3">
        <f>2*A71*E71-E71*2</f>
        <v>0</v>
      </c>
      <c r="Q71" s="3">
        <f>O71+P71</f>
        <v>0</v>
      </c>
      <c r="R71" s="3">
        <f>Q71</f>
        <v>0</v>
      </c>
      <c r="S71" s="228">
        <f>((A71*E71*2*$Q$7)+(20*E71*A71)+(40*E71))/3300+E71</f>
        <v>0</v>
      </c>
      <c r="T71" s="229">
        <f>S71-(E71*2)</f>
        <v>0</v>
      </c>
      <c r="U71" s="3">
        <f>($I$9*E71*2)+(T71*2)</f>
        <v>0</v>
      </c>
      <c r="V71" s="3">
        <f>U71+X71</f>
        <v>42</v>
      </c>
      <c r="W71" s="3">
        <f>IF($G$5="mostki trapezowe",0,E71*4)</f>
        <v>0</v>
      </c>
      <c r="X71" s="3">
        <f>I9*6</f>
        <v>42</v>
      </c>
    </row>
    <row r="72" spans="1:24">
      <c r="A72" s="1028"/>
      <c r="B72" s="1029"/>
      <c r="C72" s="1029"/>
      <c r="D72" s="1030"/>
      <c r="E72" s="1028"/>
      <c r="F72" s="1029"/>
      <c r="G72" s="1029"/>
      <c r="H72" s="1030"/>
      <c r="I72" s="1028" t="s">
        <v>383</v>
      </c>
      <c r="J72" s="1029"/>
      <c r="K72" s="1029"/>
      <c r="L72" s="1029"/>
      <c r="M72" s="1029"/>
      <c r="N72" s="1030"/>
      <c r="O72" s="3">
        <f>4*E72</f>
        <v>0</v>
      </c>
      <c r="P72" s="3">
        <f>2*A72*E72-E72*2</f>
        <v>0</v>
      </c>
      <c r="Q72" s="3">
        <f>O72+P72</f>
        <v>0</v>
      </c>
      <c r="R72" s="3">
        <f>Q72</f>
        <v>0</v>
      </c>
      <c r="S72" s="228">
        <f>((A72*E72*2*$Q$7)+(20*E72*A72)+(40*E72))/3300+E72</f>
        <v>0</v>
      </c>
      <c r="T72" s="229">
        <f>S72-(E72*2)</f>
        <v>0</v>
      </c>
      <c r="U72" s="3">
        <f>($I$9*E72*2)+(T72*2)</f>
        <v>0</v>
      </c>
      <c r="V72" s="3">
        <f>U72+X72</f>
        <v>0</v>
      </c>
      <c r="W72" s="3">
        <f>IF($G$5="mostki trapezowe",0,E72*4)</f>
        <v>0</v>
      </c>
      <c r="X72" s="3"/>
    </row>
  </sheetData>
  <mergeCells count="149">
    <mergeCell ref="A10:F10"/>
    <mergeCell ref="G10:I10"/>
    <mergeCell ref="J10:O10"/>
    <mergeCell ref="P10:Q10"/>
    <mergeCell ref="A50:K50"/>
    <mergeCell ref="V50:AB50"/>
    <mergeCell ref="A51:K51"/>
    <mergeCell ref="V51:AB51"/>
    <mergeCell ref="A36:L36"/>
    <mergeCell ref="M36:O36"/>
    <mergeCell ref="P36:Q36"/>
    <mergeCell ref="R36:S36"/>
    <mergeCell ref="T36:AB36"/>
    <mergeCell ref="A35:L35"/>
    <mergeCell ref="M35:O35"/>
    <mergeCell ref="P35:Q35"/>
    <mergeCell ref="R35:S35"/>
    <mergeCell ref="T35:AB35"/>
    <mergeCell ref="A34:L34"/>
    <mergeCell ref="M34:O34"/>
    <mergeCell ref="P34:Q34"/>
    <mergeCell ref="R34:S34"/>
    <mergeCell ref="T34:AB34"/>
    <mergeCell ref="A33:L33"/>
    <mergeCell ref="P31:Q31"/>
    <mergeCell ref="R31:S31"/>
    <mergeCell ref="T31:AB31"/>
    <mergeCell ref="A30:L30"/>
    <mergeCell ref="M30:O30"/>
    <mergeCell ref="P30:Q30"/>
    <mergeCell ref="R30:S30"/>
    <mergeCell ref="T30:AB30"/>
    <mergeCell ref="M33:O33"/>
    <mergeCell ref="P33:Q33"/>
    <mergeCell ref="R33:S33"/>
    <mergeCell ref="T33:AB33"/>
    <mergeCell ref="A32:L32"/>
    <mergeCell ref="M32:O32"/>
    <mergeCell ref="P32:Q32"/>
    <mergeCell ref="R32:S32"/>
    <mergeCell ref="T32:AB32"/>
    <mergeCell ref="P29:Q29"/>
    <mergeCell ref="R29:S29"/>
    <mergeCell ref="T29:AB29"/>
    <mergeCell ref="R27:S27"/>
    <mergeCell ref="T27:AB27"/>
    <mergeCell ref="A28:L28"/>
    <mergeCell ref="M28:O28"/>
    <mergeCell ref="P28:Q28"/>
    <mergeCell ref="R28:S28"/>
    <mergeCell ref="T28:AB28"/>
    <mergeCell ref="P26:Q26"/>
    <mergeCell ref="A27:L27"/>
    <mergeCell ref="M27:O27"/>
    <mergeCell ref="P27:Q27"/>
    <mergeCell ref="A72:D72"/>
    <mergeCell ref="E72:H72"/>
    <mergeCell ref="I72:N72"/>
    <mergeCell ref="W13:AB13"/>
    <mergeCell ref="W14:AB14"/>
    <mergeCell ref="W15:AB15"/>
    <mergeCell ref="W16:AB16"/>
    <mergeCell ref="W17:AB17"/>
    <mergeCell ref="W18:AB18"/>
    <mergeCell ref="W19:AB19"/>
    <mergeCell ref="W20:AB20"/>
    <mergeCell ref="W22:AB22"/>
    <mergeCell ref="A25:L26"/>
    <mergeCell ref="M25:Q25"/>
    <mergeCell ref="R25:S26"/>
    <mergeCell ref="T25:AB26"/>
    <mergeCell ref="A16:L16"/>
    <mergeCell ref="A17:L17"/>
    <mergeCell ref="A18:L18"/>
    <mergeCell ref="A29:L29"/>
    <mergeCell ref="V11:V12"/>
    <mergeCell ref="W11:AB12"/>
    <mergeCell ref="A13:L13"/>
    <mergeCell ref="A14:L14"/>
    <mergeCell ref="A15:L15"/>
    <mergeCell ref="M13:N13"/>
    <mergeCell ref="M14:N14"/>
    <mergeCell ref="M15:N15"/>
    <mergeCell ref="A11:L12"/>
    <mergeCell ref="M11:N12"/>
    <mergeCell ref="O11:O12"/>
    <mergeCell ref="P11:Q11"/>
    <mergeCell ref="R11:S12"/>
    <mergeCell ref="T11:U11"/>
    <mergeCell ref="O56:O67"/>
    <mergeCell ref="A19:L19"/>
    <mergeCell ref="A20:L20"/>
    <mergeCell ref="A22:L22"/>
    <mergeCell ref="M20:N20"/>
    <mergeCell ref="M22:N22"/>
    <mergeCell ref="M18:N18"/>
    <mergeCell ref="M19:N19"/>
    <mergeCell ref="M16:N16"/>
    <mergeCell ref="M17:N17"/>
    <mergeCell ref="A21:L21"/>
    <mergeCell ref="M21:N21"/>
    <mergeCell ref="M26:O26"/>
    <mergeCell ref="M29:O29"/>
    <mergeCell ref="A31:L31"/>
    <mergeCell ref="M31:O31"/>
    <mergeCell ref="A71:D71"/>
    <mergeCell ref="E71:H71"/>
    <mergeCell ref="I71:N71"/>
    <mergeCell ref="A68:D70"/>
    <mergeCell ref="E68:H70"/>
    <mergeCell ref="I68:N70"/>
    <mergeCell ref="Q68:Q70"/>
    <mergeCell ref="R68:R70"/>
    <mergeCell ref="S68:S70"/>
    <mergeCell ref="O68:O70"/>
    <mergeCell ref="P68:P70"/>
    <mergeCell ref="P56:P67"/>
    <mergeCell ref="Q56:Q67"/>
    <mergeCell ref="R56:R67"/>
    <mergeCell ref="S56:S67"/>
    <mergeCell ref="X56:X67"/>
    <mergeCell ref="U68:U70"/>
    <mergeCell ref="V68:V70"/>
    <mergeCell ref="W56:W67"/>
    <mergeCell ref="T56:T67"/>
    <mergeCell ref="U56:U67"/>
    <mergeCell ref="X68:X70"/>
    <mergeCell ref="T68:T70"/>
    <mergeCell ref="V56:V67"/>
    <mergeCell ref="W68:W70"/>
    <mergeCell ref="I9:J9"/>
    <mergeCell ref="J7:L7"/>
    <mergeCell ref="Q7:S7"/>
    <mergeCell ref="W7:X7"/>
    <mergeCell ref="U6:Y6"/>
    <mergeCell ref="A4:F4"/>
    <mergeCell ref="G4:AB4"/>
    <mergeCell ref="A5:F5"/>
    <mergeCell ref="G5:AB5"/>
    <mergeCell ref="G6:R6"/>
    <mergeCell ref="A1:F1"/>
    <mergeCell ref="R1:AB1"/>
    <mergeCell ref="A2:F2"/>
    <mergeCell ref="A3:F3"/>
    <mergeCell ref="G2:AB2"/>
    <mergeCell ref="G3:AB3"/>
    <mergeCell ref="I8:J8"/>
    <mergeCell ref="G1:J1"/>
    <mergeCell ref="K1:N1"/>
  </mergeCells>
  <conditionalFormatting sqref="AH15:AJ15">
    <cfRule type="cellIs" dxfId="2" priority="1" operator="greaterThan">
      <formula>"czwartek, 5 maj 2022"</formula>
    </cfRule>
    <cfRule type="cellIs" dxfId="1" priority="2" operator="greaterThan">
      <formula>"czwartek, 5 maj 2022"</formula>
    </cfRule>
    <cfRule type="timePeriod" dxfId="0" priority="3" timePeriod="lastMonth">
      <formula>AND(MONTH(AH15)=MONTH(EDATE(TODAY(),0-1)),YEAR(AH15)=YEAR(EDATE(TODAY(),0-1)))</formula>
    </cfRule>
  </conditionalFormatting>
  <dataValidations count="4">
    <dataValidation type="list" allowBlank="1" showInputMessage="1" showErrorMessage="1" sqref="W7:X7" xr:uid="{E2C72E97-F500-4F05-9EDB-7898DAE14F87}">
      <formula1>$AU$2:$AU$8</formula1>
    </dataValidation>
    <dataValidation type="list" allowBlank="1" showInputMessage="1" showErrorMessage="1" sqref="I71:N72" xr:uid="{17355183-D81D-42B1-AC58-3A85BEF85E89}">
      <formula1>$AO$1:$AO$2</formula1>
    </dataValidation>
    <dataValidation type="list" allowBlank="1" showInputMessage="1" showErrorMessage="1" sqref="AG5:AG7 Q1" xr:uid="{1B1847C9-F2AC-40F9-82A7-DD7F11FB150D}">
      <formula1>$AG$5:$AG$7</formula1>
    </dataValidation>
    <dataValidation type="list" allowBlank="1" showInputMessage="1" showErrorMessage="1" sqref="K1:N1" xr:uid="{14AF2B36-B2C7-44E8-A337-63F848178728}">
      <formula1>$AC$2:$AC$5</formula1>
    </dataValidation>
  </dataValidations>
  <pageMargins left="0.7" right="0.7" top="0.75" bottom="0.75" header="0.3" footer="0.3"/>
  <pageSetup paperSize="9" scale="64" fitToHeight="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C56B-993D-475D-A7D6-DDF707E8CAC4}">
  <sheetPr codeName="Arkusz10">
    <tabColor rgb="FF00B0F0"/>
    <pageSetUpPr fitToPage="1"/>
  </sheetPr>
  <dimension ref="A1:AT101"/>
  <sheetViews>
    <sheetView zoomScale="55" zoomScaleNormal="55" workbookViewId="0">
      <selection activeCell="Z6" sqref="Z6:AF12"/>
    </sheetView>
  </sheetViews>
  <sheetFormatPr defaultRowHeight="15"/>
  <cols>
    <col min="9" max="9" width="14" customWidth="1"/>
    <col min="14" max="14" width="30" customWidth="1"/>
    <col min="15" max="15" width="11.85546875" customWidth="1"/>
    <col min="16" max="20" width="9.140625" customWidth="1"/>
    <col min="26" max="26" width="12.140625" customWidth="1"/>
    <col min="27" max="27" width="6.5703125" customWidth="1"/>
    <col min="28" max="28" width="9.28515625" customWidth="1"/>
    <col min="37" max="37" width="32.140625" customWidth="1"/>
  </cols>
  <sheetData>
    <row r="1" spans="1:46" ht="16.5" thickBot="1">
      <c r="A1" s="176"/>
      <c r="B1" s="171"/>
      <c r="C1" s="171"/>
      <c r="D1" s="171"/>
      <c r="E1" s="171"/>
      <c r="F1" s="171"/>
      <c r="G1" s="171"/>
      <c r="H1" s="171"/>
      <c r="I1" s="177"/>
      <c r="N1" s="292" t="s">
        <v>831</v>
      </c>
      <c r="O1" s="1210"/>
      <c r="P1" s="1211"/>
      <c r="Q1" s="1211"/>
      <c r="R1" s="1211"/>
      <c r="S1" s="1211"/>
      <c r="T1" s="1211"/>
      <c r="U1" s="1211"/>
      <c r="V1" s="1211"/>
      <c r="W1" s="1212"/>
    </row>
    <row r="2" spans="1:46" ht="16.5" thickBot="1">
      <c r="A2" s="1263" t="s">
        <v>608</v>
      </c>
      <c r="B2" s="1263"/>
      <c r="C2" s="1263"/>
      <c r="D2" s="1263"/>
      <c r="E2" s="1263"/>
      <c r="F2" s="1263"/>
      <c r="G2" s="1263"/>
      <c r="H2" s="1263"/>
      <c r="I2" s="1263"/>
      <c r="N2" s="292" t="s">
        <v>832</v>
      </c>
      <c r="O2" s="1022"/>
      <c r="P2" s="1213"/>
      <c r="Q2" s="1213"/>
      <c r="R2" s="1213"/>
      <c r="S2" s="1213"/>
      <c r="T2" s="1213"/>
      <c r="U2" s="1213"/>
      <c r="V2" s="1213"/>
      <c r="W2" s="1171"/>
    </row>
    <row r="3" spans="1:46" ht="16.5" thickBot="1">
      <c r="A3" s="1239" t="s">
        <v>627</v>
      </c>
      <c r="B3" s="1240"/>
      <c r="C3" s="1268"/>
      <c r="D3" s="1239" t="str">
        <f>PV!J84</f>
        <v>TW Solar TW555-MAP M10-144-H</v>
      </c>
      <c r="E3" s="1240"/>
      <c r="F3" s="1240"/>
      <c r="G3" s="1240"/>
      <c r="H3" s="1240"/>
      <c r="I3" s="163" t="s">
        <v>615</v>
      </c>
      <c r="N3" s="293" t="s">
        <v>648</v>
      </c>
      <c r="O3" s="971">
        <f>PV!U51</f>
        <v>0</v>
      </c>
      <c r="P3" s="1188"/>
      <c r="Q3" s="1188"/>
      <c r="R3" s="1188"/>
      <c r="S3" s="1188"/>
      <c r="T3" s="1188"/>
      <c r="U3" s="1188"/>
      <c r="V3" s="1188"/>
      <c r="W3" s="1214"/>
    </row>
    <row r="4" spans="1:46" ht="16.5" thickBot="1">
      <c r="A4" s="164" t="s">
        <v>609</v>
      </c>
      <c r="C4" s="163"/>
      <c r="D4" s="1264">
        <f>PV!H87</f>
        <v>555</v>
      </c>
      <c r="E4" s="1265"/>
      <c r="F4" s="1265"/>
      <c r="G4" s="1265"/>
      <c r="H4" s="1265"/>
      <c r="I4" s="174" t="s">
        <v>79</v>
      </c>
      <c r="N4" s="1215" t="s">
        <v>950</v>
      </c>
      <c r="O4" s="1216"/>
      <c r="P4" s="1216"/>
      <c r="Q4" s="1216"/>
      <c r="R4" s="1216"/>
      <c r="S4" s="1216"/>
      <c r="T4" s="1216"/>
      <c r="U4" s="1216"/>
      <c r="V4" s="1216"/>
      <c r="W4" s="1217"/>
    </row>
    <row r="5" spans="1:46" ht="16.5" thickBot="1">
      <c r="A5" s="164" t="s">
        <v>610</v>
      </c>
      <c r="C5" s="163"/>
      <c r="D5" s="1264">
        <f>PV!B84</f>
        <v>24</v>
      </c>
      <c r="E5" s="1265"/>
      <c r="F5" s="1265"/>
      <c r="G5" s="1265"/>
      <c r="H5" s="1265"/>
      <c r="I5" s="174" t="s">
        <v>203</v>
      </c>
      <c r="N5" s="292" t="s">
        <v>833</v>
      </c>
      <c r="O5" s="1210"/>
      <c r="P5" s="1211"/>
      <c r="Q5" s="1211"/>
      <c r="R5" s="1211"/>
      <c r="S5" s="1211"/>
      <c r="T5" s="1211"/>
      <c r="U5" s="1211"/>
      <c r="V5" s="1211"/>
      <c r="W5" s="1212"/>
    </row>
    <row r="6" spans="1:46" ht="16.5" thickBot="1">
      <c r="A6" s="164" t="s">
        <v>609</v>
      </c>
      <c r="C6" s="163"/>
      <c r="D6" s="1273">
        <f>PV!K81</f>
        <v>13.32</v>
      </c>
      <c r="E6" s="1274"/>
      <c r="F6" s="1274"/>
      <c r="G6" s="1274"/>
      <c r="H6" s="1274"/>
      <c r="I6" s="174" t="s">
        <v>4</v>
      </c>
      <c r="N6" s="292" t="s">
        <v>834</v>
      </c>
      <c r="O6" s="1218"/>
      <c r="P6" s="1219"/>
      <c r="Q6" s="1219"/>
      <c r="R6" s="1219"/>
      <c r="S6" s="1219"/>
      <c r="T6" s="1219"/>
      <c r="U6" s="1219"/>
      <c r="V6" s="1219"/>
      <c r="W6" s="1220"/>
      <c r="Z6" s="1276"/>
      <c r="AA6" s="1276"/>
      <c r="AB6" s="1276"/>
      <c r="AC6" s="1276"/>
      <c r="AD6" s="1276"/>
      <c r="AE6" s="1276"/>
      <c r="AF6" s="1276"/>
    </row>
    <row r="7" spans="1:46" ht="16.5" thickBot="1">
      <c r="A7" s="164" t="s">
        <v>613</v>
      </c>
      <c r="C7" s="163"/>
      <c r="D7" s="1264">
        <f>PV!H88</f>
        <v>21.5</v>
      </c>
      <c r="E7" s="1265"/>
      <c r="F7" s="1265"/>
      <c r="G7" s="1265"/>
      <c r="H7" s="1265"/>
      <c r="I7" s="174" t="s">
        <v>6</v>
      </c>
      <c r="N7" s="294" t="s">
        <v>951</v>
      </c>
      <c r="O7" s="1199" t="s">
        <v>952</v>
      </c>
      <c r="P7" s="1200"/>
      <c r="Q7" s="1200" t="s">
        <v>953</v>
      </c>
      <c r="R7" s="1200"/>
      <c r="S7" s="1200" t="s">
        <v>952</v>
      </c>
      <c r="T7" s="1200"/>
      <c r="U7" s="1200" t="s">
        <v>953</v>
      </c>
      <c r="V7" s="1200"/>
      <c r="W7" s="89"/>
      <c r="Z7" s="1276"/>
      <c r="AA7" s="1276"/>
      <c r="AB7" s="1276"/>
      <c r="AC7" s="1276"/>
      <c r="AD7" s="1276"/>
      <c r="AE7" s="1276"/>
      <c r="AF7" s="1276"/>
    </row>
    <row r="8" spans="1:46" ht="16.5" thickBot="1">
      <c r="A8" s="164" t="s">
        <v>614</v>
      </c>
      <c r="C8" s="163"/>
      <c r="D8" s="1273">
        <f>PV!H89</f>
        <v>0.55000000000000004</v>
      </c>
      <c r="E8" s="1274"/>
      <c r="F8" s="1274"/>
      <c r="G8" s="1274"/>
      <c r="H8" s="1274"/>
      <c r="I8" s="174" t="s">
        <v>6</v>
      </c>
      <c r="N8" s="292" t="s">
        <v>835</v>
      </c>
      <c r="O8" s="1022" t="s">
        <v>836</v>
      </c>
      <c r="P8" s="1213"/>
      <c r="Q8" s="1213"/>
      <c r="R8" s="1213"/>
      <c r="S8" s="1213" t="s">
        <v>837</v>
      </c>
      <c r="T8" s="1213"/>
      <c r="U8" s="1213"/>
      <c r="V8" s="1213"/>
      <c r="W8" s="89"/>
      <c r="Z8" s="1276"/>
      <c r="AA8" s="1276"/>
      <c r="AB8" s="1276"/>
      <c r="AC8" s="1276"/>
      <c r="AD8" s="1276"/>
      <c r="AE8" s="1276"/>
      <c r="AF8" s="1276"/>
    </row>
    <row r="9" spans="1:46" ht="16.5" thickBot="1">
      <c r="A9" s="164" t="s">
        <v>612</v>
      </c>
      <c r="C9" s="163"/>
      <c r="D9" s="1264">
        <f>PV!C85</f>
        <v>12</v>
      </c>
      <c r="E9" s="1265"/>
      <c r="F9" s="1265"/>
      <c r="G9" s="1265"/>
      <c r="H9" s="1265"/>
      <c r="I9" s="174" t="s">
        <v>295</v>
      </c>
      <c r="J9" s="13"/>
      <c r="N9" s="292" t="s">
        <v>838</v>
      </c>
      <c r="O9" s="912" t="s">
        <v>836</v>
      </c>
      <c r="P9" s="908"/>
      <c r="Q9" s="1221"/>
      <c r="R9" s="1222"/>
      <c r="S9" s="1221" t="s">
        <v>837</v>
      </c>
      <c r="T9" s="1222"/>
      <c r="U9" s="1221"/>
      <c r="V9" s="1222"/>
      <c r="W9" s="89"/>
      <c r="Z9" s="1276"/>
      <c r="AA9" s="1276"/>
      <c r="AB9" s="1276"/>
      <c r="AC9" s="1276"/>
      <c r="AD9" s="1276"/>
      <c r="AE9" s="1276"/>
      <c r="AF9" s="1276"/>
    </row>
    <row r="10" spans="1:46" ht="16.5" thickBot="1">
      <c r="A10" s="165" t="s">
        <v>611</v>
      </c>
      <c r="B10" s="162"/>
      <c r="C10" s="166"/>
      <c r="D10" s="1266">
        <f>PV!C86</f>
        <v>25</v>
      </c>
      <c r="E10" s="1267"/>
      <c r="F10" s="1267"/>
      <c r="G10" s="1267"/>
      <c r="H10" s="1267"/>
      <c r="I10" s="167" t="s">
        <v>295</v>
      </c>
      <c r="J10" s="13"/>
      <c r="N10" s="294" t="s">
        <v>954</v>
      </c>
      <c r="O10" s="1202" t="s">
        <v>952</v>
      </c>
      <c r="P10" s="1193"/>
      <c r="Q10" s="295" t="s">
        <v>953</v>
      </c>
      <c r="R10" s="1201" t="s">
        <v>952</v>
      </c>
      <c r="S10" s="1202"/>
      <c r="T10" s="295" t="s">
        <v>953</v>
      </c>
      <c r="U10" s="1193" t="s">
        <v>952</v>
      </c>
      <c r="V10" s="1193"/>
      <c r="W10" s="295" t="s">
        <v>953</v>
      </c>
      <c r="Z10" s="1276"/>
      <c r="AA10" s="1276"/>
      <c r="AB10" s="1276"/>
      <c r="AC10" s="1276"/>
      <c r="AD10" s="1276"/>
      <c r="AE10" s="1276"/>
      <c r="AF10" s="1276"/>
    </row>
    <row r="11" spans="1:46" ht="16.5" thickBot="1">
      <c r="J11" s="13"/>
      <c r="N11" s="292" t="s">
        <v>839</v>
      </c>
      <c r="O11" s="1022">
        <v>4</v>
      </c>
      <c r="P11" s="1213"/>
      <c r="Q11" s="296"/>
      <c r="R11" s="1213">
        <v>10</v>
      </c>
      <c r="S11" s="1213"/>
      <c r="T11" s="296"/>
      <c r="U11" s="1213">
        <v>16</v>
      </c>
      <c r="V11" s="1213"/>
      <c r="W11" s="296"/>
      <c r="Z11" s="1276"/>
      <c r="AA11" s="1276"/>
      <c r="AB11" s="1276"/>
      <c r="AC11" s="1276"/>
      <c r="AD11" s="1276"/>
      <c r="AE11" s="1276"/>
      <c r="AF11" s="1276"/>
    </row>
    <row r="12" spans="1:46" ht="16.5" thickBot="1">
      <c r="N12" s="294" t="s">
        <v>955</v>
      </c>
      <c r="O12" s="1223" t="s">
        <v>952</v>
      </c>
      <c r="P12" s="1206"/>
      <c r="Q12" s="1202"/>
      <c r="R12" s="1201" t="s">
        <v>953</v>
      </c>
      <c r="S12" s="1206"/>
      <c r="T12" s="1202"/>
      <c r="U12" s="1201"/>
      <c r="V12" s="1206"/>
      <c r="W12" s="1202"/>
      <c r="Z12" s="1276"/>
      <c r="AA12" s="1276"/>
      <c r="AB12" s="1276"/>
      <c r="AC12" s="1276"/>
      <c r="AD12" s="1276"/>
      <c r="AE12" s="1276"/>
      <c r="AF12" s="1276"/>
    </row>
    <row r="13" spans="1:46" ht="16.5" thickBot="1">
      <c r="A13" s="1239"/>
      <c r="B13" s="1240"/>
      <c r="C13" s="1240"/>
      <c r="D13" s="1240"/>
      <c r="E13" s="1240"/>
      <c r="F13" s="1240"/>
      <c r="G13" s="1240"/>
      <c r="H13" s="1240"/>
      <c r="I13" s="1268"/>
      <c r="N13" s="292" t="s">
        <v>840</v>
      </c>
      <c r="O13" s="1005"/>
      <c r="P13" s="988"/>
      <c r="Q13" s="988"/>
      <c r="R13" s="1022"/>
      <c r="S13" s="1213"/>
      <c r="T13" s="1213"/>
      <c r="U13" s="1207" t="s">
        <v>956</v>
      </c>
      <c r="V13" s="1207"/>
      <c r="W13" s="1207"/>
    </row>
    <row r="14" spans="1:46" ht="16.5" thickBot="1">
      <c r="A14" s="1269" t="s">
        <v>616</v>
      </c>
      <c r="B14" s="1270"/>
      <c r="C14" s="1271"/>
      <c r="D14" s="168"/>
      <c r="E14" s="169"/>
      <c r="F14" s="169"/>
      <c r="G14" s="169"/>
      <c r="H14" s="169"/>
      <c r="I14" s="170"/>
      <c r="N14" s="292" t="s">
        <v>840</v>
      </c>
      <c r="O14" s="1005"/>
      <c r="P14" s="988"/>
      <c r="Q14" s="988"/>
      <c r="R14" s="988"/>
      <c r="S14" s="988"/>
      <c r="T14" s="988"/>
      <c r="U14" s="1207" t="s">
        <v>956</v>
      </c>
      <c r="V14" s="1207"/>
      <c r="W14" s="1207"/>
    </row>
    <row r="15" spans="1:46" ht="16.5" thickBot="1">
      <c r="A15" s="1272"/>
      <c r="B15" s="1238"/>
      <c r="C15" s="1238"/>
      <c r="D15" s="162"/>
      <c r="E15" s="162"/>
      <c r="F15" s="162"/>
      <c r="G15" s="162"/>
      <c r="H15" s="162"/>
      <c r="I15" s="166"/>
      <c r="N15" s="292" t="s">
        <v>841</v>
      </c>
      <c r="O15" s="1005"/>
      <c r="P15" s="988"/>
      <c r="Q15" s="988"/>
      <c r="R15" s="988"/>
      <c r="S15" s="988"/>
      <c r="T15" s="988"/>
      <c r="U15" s="1207" t="s">
        <v>956</v>
      </c>
      <c r="V15" s="1207"/>
      <c r="W15" s="1207"/>
      <c r="AK15" s="89"/>
      <c r="AL15" s="89"/>
      <c r="AM15" s="89"/>
      <c r="AN15" s="89"/>
      <c r="AO15" s="89"/>
      <c r="AP15" s="89"/>
      <c r="AQ15" s="89"/>
      <c r="AR15" s="89"/>
      <c r="AS15" s="89"/>
      <c r="AT15" s="89"/>
    </row>
    <row r="16" spans="1:46" ht="16.5" thickBot="1">
      <c r="A16" s="1242" t="s">
        <v>617</v>
      </c>
      <c r="B16" s="1086"/>
      <c r="C16" s="1243"/>
      <c r="D16" s="1239"/>
      <c r="E16" s="1240"/>
      <c r="F16" s="1241"/>
      <c r="G16" s="1231" t="s">
        <v>622</v>
      </c>
      <c r="H16" s="1232"/>
      <c r="I16" s="1233"/>
      <c r="N16" s="292" t="s">
        <v>841</v>
      </c>
      <c r="O16" s="1005"/>
      <c r="P16" s="988"/>
      <c r="Q16" s="988"/>
      <c r="R16" s="988"/>
      <c r="S16" s="988"/>
      <c r="T16" s="988"/>
      <c r="U16" s="1207" t="s">
        <v>956</v>
      </c>
      <c r="V16" s="1207"/>
      <c r="W16" s="1207"/>
      <c r="AK16" s="89"/>
      <c r="AL16" s="89"/>
      <c r="AM16" s="89"/>
      <c r="AN16" s="89"/>
      <c r="AO16" s="89"/>
      <c r="AP16" s="89"/>
      <c r="AQ16" s="89"/>
      <c r="AR16" s="89"/>
      <c r="AS16" s="89"/>
      <c r="AT16" s="89"/>
    </row>
    <row r="17" spans="1:46" ht="16.5" thickBot="1">
      <c r="A17" s="940" t="s">
        <v>618</v>
      </c>
      <c r="B17" s="941"/>
      <c r="C17" s="1244"/>
      <c r="D17" s="1228">
        <f>PV!L100</f>
        <v>647.09453599306164</v>
      </c>
      <c r="E17" s="1045"/>
      <c r="F17" s="4" t="s">
        <v>233</v>
      </c>
      <c r="G17" s="1234"/>
      <c r="H17" s="1235"/>
      <c r="I17" s="1236"/>
      <c r="N17" s="292" t="s">
        <v>957</v>
      </c>
      <c r="O17" s="1005"/>
      <c r="P17" s="988"/>
      <c r="Q17" s="988"/>
      <c r="R17" s="988"/>
      <c r="S17" s="988"/>
      <c r="T17" s="988"/>
      <c r="U17" s="1207" t="s">
        <v>956</v>
      </c>
      <c r="V17" s="1207"/>
      <c r="W17" s="1207"/>
      <c r="AK17" s="89"/>
      <c r="AL17" s="89"/>
      <c r="AM17" s="89"/>
      <c r="AN17" s="89"/>
      <c r="AO17" s="89"/>
      <c r="AP17" s="89"/>
      <c r="AQ17" s="89"/>
      <c r="AR17" s="89"/>
      <c r="AS17" s="89"/>
      <c r="AT17" s="89"/>
    </row>
    <row r="18" spans="1:46" ht="16.5" thickBot="1">
      <c r="A18" s="940" t="s">
        <v>619</v>
      </c>
      <c r="B18" s="941"/>
      <c r="C18" s="941"/>
      <c r="D18" s="1228">
        <f>PV!L101</f>
        <v>746.1</v>
      </c>
      <c r="E18" s="1045"/>
      <c r="F18" s="4" t="s">
        <v>233</v>
      </c>
      <c r="G18" s="1150" t="s">
        <v>623</v>
      </c>
      <c r="H18" s="1151"/>
      <c r="I18" s="1224">
        <f>PV!L97</f>
        <v>18</v>
      </c>
      <c r="N18" s="292" t="s">
        <v>843</v>
      </c>
      <c r="O18" s="1005"/>
      <c r="P18" s="988"/>
      <c r="Q18" s="988"/>
      <c r="R18" s="988"/>
      <c r="S18" s="988"/>
      <c r="T18" s="988"/>
      <c r="U18" s="1207" t="s">
        <v>956</v>
      </c>
      <c r="V18" s="1207"/>
      <c r="W18" s="1207"/>
      <c r="AK18" s="89"/>
      <c r="AL18" s="89"/>
      <c r="AM18" s="89"/>
      <c r="AN18" s="89"/>
      <c r="AO18" s="89"/>
      <c r="AP18" s="89"/>
      <c r="AQ18" s="89"/>
      <c r="AR18" s="89"/>
      <c r="AS18" s="89"/>
      <c r="AT18" s="89"/>
    </row>
    <row r="19" spans="1:46" ht="16.5" thickBot="1">
      <c r="A19" s="1245" t="s">
        <v>620</v>
      </c>
      <c r="B19" s="1246"/>
      <c r="C19" s="1246"/>
      <c r="D19" s="1226">
        <f>PV!L102</f>
        <v>1039.9829400000001</v>
      </c>
      <c r="E19" s="1227"/>
      <c r="F19" s="172" t="s">
        <v>233</v>
      </c>
      <c r="G19" s="1237"/>
      <c r="H19" s="1238"/>
      <c r="I19" s="1225"/>
      <c r="N19" s="292" t="s">
        <v>842</v>
      </c>
      <c r="O19" s="1005"/>
      <c r="P19" s="988"/>
      <c r="Q19" s="988"/>
      <c r="R19" s="988"/>
      <c r="S19" s="988"/>
      <c r="T19" s="988"/>
      <c r="U19" s="1207" t="s">
        <v>956</v>
      </c>
      <c r="V19" s="1207"/>
      <c r="W19" s="1207"/>
      <c r="AK19" s="89"/>
      <c r="AL19" s="89"/>
      <c r="AM19" s="89"/>
      <c r="AN19" s="89"/>
      <c r="AO19" s="89"/>
      <c r="AP19" s="89"/>
      <c r="AQ19" s="89"/>
      <c r="AR19" s="89"/>
      <c r="AS19" s="89"/>
      <c r="AT19" s="89"/>
    </row>
    <row r="20" spans="1:46" ht="16.5" thickBot="1">
      <c r="A20" s="1242" t="s">
        <v>624</v>
      </c>
      <c r="B20" s="1086"/>
      <c r="C20" s="1243"/>
      <c r="D20" s="1239"/>
      <c r="E20" s="1240"/>
      <c r="F20" s="1241"/>
      <c r="G20" s="1231" t="s">
        <v>622</v>
      </c>
      <c r="H20" s="1232"/>
      <c r="I20" s="1233"/>
      <c r="N20" s="294" t="s">
        <v>958</v>
      </c>
      <c r="O20" s="1202" t="s">
        <v>952</v>
      </c>
      <c r="P20" s="1193"/>
      <c r="Q20" s="295" t="s">
        <v>953</v>
      </c>
      <c r="R20" s="1193" t="s">
        <v>952</v>
      </c>
      <c r="S20" s="1193"/>
      <c r="T20" s="295" t="s">
        <v>953</v>
      </c>
      <c r="U20" s="1193" t="s">
        <v>952</v>
      </c>
      <c r="V20" s="1193"/>
      <c r="W20" s="295" t="s">
        <v>953</v>
      </c>
      <c r="AK20" s="89"/>
      <c r="AL20" s="89"/>
      <c r="AM20" s="89"/>
      <c r="AN20" s="89"/>
      <c r="AO20" s="89"/>
      <c r="AP20" s="89"/>
      <c r="AQ20" s="89"/>
      <c r="AR20" s="89"/>
      <c r="AS20" s="89"/>
      <c r="AT20" s="89"/>
    </row>
    <row r="21" spans="1:46" ht="15.75">
      <c r="A21" s="940" t="s">
        <v>618</v>
      </c>
      <c r="B21" s="941"/>
      <c r="C21" s="1244"/>
      <c r="D21" s="1228" t="str">
        <f>PV!N100</f>
        <v>V</v>
      </c>
      <c r="E21" s="1045"/>
      <c r="F21" s="4" t="s">
        <v>233</v>
      </c>
      <c r="G21" s="1234"/>
      <c r="H21" s="1235"/>
      <c r="I21" s="1236"/>
      <c r="N21" s="1208" t="s">
        <v>891</v>
      </c>
      <c r="O21" s="1202" t="s">
        <v>892</v>
      </c>
      <c r="P21" s="1193"/>
      <c r="Q21" s="145"/>
      <c r="R21" s="1193" t="s">
        <v>893</v>
      </c>
      <c r="S21" s="1193"/>
      <c r="T21" s="230"/>
      <c r="U21" s="1193" t="s">
        <v>894</v>
      </c>
      <c r="V21" s="1193"/>
      <c r="W21" s="145"/>
      <c r="AK21" s="89"/>
      <c r="AL21" s="89"/>
      <c r="AM21" s="89"/>
      <c r="AN21" s="89"/>
      <c r="AO21" s="89"/>
      <c r="AP21" s="89"/>
      <c r="AQ21" s="89"/>
      <c r="AR21" s="89"/>
      <c r="AS21" s="89"/>
      <c r="AT21" s="89"/>
    </row>
    <row r="22" spans="1:46" ht="16.5" thickBot="1">
      <c r="A22" s="940" t="s">
        <v>619</v>
      </c>
      <c r="B22" s="941"/>
      <c r="C22" s="941"/>
      <c r="D22" s="1228" t="str">
        <f>PV!N101</f>
        <v>V</v>
      </c>
      <c r="E22" s="1045"/>
      <c r="F22" s="4" t="s">
        <v>233</v>
      </c>
      <c r="G22" s="1247" t="s">
        <v>623</v>
      </c>
      <c r="H22" s="1248"/>
      <c r="I22" s="1229" t="str">
        <f>PV!N97</f>
        <v>szt.</v>
      </c>
      <c r="N22" s="1209"/>
      <c r="O22" s="1202" t="s">
        <v>895</v>
      </c>
      <c r="P22" s="1193"/>
      <c r="Q22" s="145"/>
      <c r="R22" s="1194"/>
      <c r="S22" s="1194"/>
      <c r="T22" s="230"/>
      <c r="U22" s="1194"/>
      <c r="V22" s="1194"/>
      <c r="W22" s="230"/>
      <c r="AK22" s="89"/>
      <c r="AL22" s="89"/>
      <c r="AM22" s="89"/>
      <c r="AN22" s="89"/>
      <c r="AO22" s="89"/>
      <c r="AP22" s="89"/>
      <c r="AQ22" s="89"/>
      <c r="AR22" s="89"/>
      <c r="AS22" s="89"/>
      <c r="AT22" s="89"/>
    </row>
    <row r="23" spans="1:46" ht="16.5" thickBot="1">
      <c r="A23" s="1245" t="s">
        <v>620</v>
      </c>
      <c r="B23" s="1246"/>
      <c r="C23" s="1246"/>
      <c r="D23" s="1251" t="str">
        <f>PV!N102</f>
        <v>V</v>
      </c>
      <c r="E23" s="1252"/>
      <c r="F23" s="172" t="s">
        <v>233</v>
      </c>
      <c r="G23" s="1249"/>
      <c r="H23" s="1250"/>
      <c r="I23" s="1230"/>
      <c r="N23" s="1203" t="s">
        <v>844</v>
      </c>
      <c r="O23" s="1202" t="s">
        <v>845</v>
      </c>
      <c r="P23" s="1193"/>
      <c r="Q23" s="145"/>
      <c r="R23" s="1193" t="s">
        <v>846</v>
      </c>
      <c r="S23" s="1193"/>
      <c r="T23" s="230"/>
      <c r="U23" s="1193" t="s">
        <v>847</v>
      </c>
      <c r="V23" s="1193"/>
      <c r="W23" s="230"/>
      <c r="AK23" s="89"/>
      <c r="AL23" s="89"/>
      <c r="AM23" s="89"/>
      <c r="AN23" s="89"/>
      <c r="AO23" s="89"/>
      <c r="AP23" s="89"/>
      <c r="AQ23" s="89"/>
      <c r="AR23" s="89"/>
      <c r="AS23" s="89"/>
      <c r="AT23" s="89"/>
    </row>
    <row r="24" spans="1:46" ht="16.5" customHeight="1" thickBot="1">
      <c r="A24" s="1242" t="s">
        <v>625</v>
      </c>
      <c r="B24" s="1086"/>
      <c r="C24" s="1243"/>
      <c r="D24" s="1239"/>
      <c r="E24" s="1240"/>
      <c r="F24" s="1241"/>
      <c r="G24" s="1231" t="s">
        <v>621</v>
      </c>
      <c r="H24" s="1232"/>
      <c r="I24" s="1233"/>
      <c r="N24" s="1205"/>
      <c r="O24" s="1202" t="s">
        <v>959</v>
      </c>
      <c r="P24" s="1193"/>
      <c r="Q24" s="145"/>
      <c r="R24" s="1193" t="s">
        <v>848</v>
      </c>
      <c r="S24" s="1193"/>
      <c r="T24" s="230"/>
      <c r="U24" s="1194"/>
      <c r="V24" s="1194"/>
      <c r="W24" s="230"/>
      <c r="AK24" s="89"/>
      <c r="AL24" s="89"/>
      <c r="AM24" s="89"/>
      <c r="AN24" s="89"/>
      <c r="AO24" s="89"/>
      <c r="AP24" s="89"/>
      <c r="AQ24" s="89"/>
      <c r="AR24" s="89"/>
      <c r="AS24" s="89"/>
      <c r="AT24" s="89"/>
    </row>
    <row r="25" spans="1:46" ht="15.75">
      <c r="A25" s="940" t="s">
        <v>618</v>
      </c>
      <c r="B25" s="941"/>
      <c r="C25" s="1244"/>
      <c r="D25" s="1228">
        <f>PV!L108</f>
        <v>0</v>
      </c>
      <c r="E25" s="1045"/>
      <c r="F25" s="4" t="s">
        <v>233</v>
      </c>
      <c r="G25" s="1234"/>
      <c r="H25" s="1235"/>
      <c r="I25" s="1236"/>
      <c r="N25" s="1203" t="s">
        <v>960</v>
      </c>
      <c r="O25" s="1206" t="s">
        <v>881</v>
      </c>
      <c r="P25" s="1202"/>
      <c r="Q25" s="145"/>
      <c r="R25" s="1193" t="s">
        <v>882</v>
      </c>
      <c r="S25" s="1193"/>
      <c r="T25" s="230"/>
      <c r="U25" s="1193" t="s">
        <v>883</v>
      </c>
      <c r="V25" s="1193"/>
      <c r="W25" s="230"/>
      <c r="AK25" s="89"/>
      <c r="AL25" s="89"/>
      <c r="AM25" s="89"/>
      <c r="AN25" s="89"/>
      <c r="AO25" s="89"/>
      <c r="AP25" s="89"/>
      <c r="AQ25" s="89"/>
      <c r="AR25" s="89"/>
      <c r="AS25" s="89"/>
      <c r="AT25" s="89"/>
    </row>
    <row r="26" spans="1:46" ht="15.75">
      <c r="A26" s="940" t="s">
        <v>619</v>
      </c>
      <c r="B26" s="941"/>
      <c r="C26" s="1244"/>
      <c r="D26" s="1228">
        <f>PV!L109</f>
        <v>0</v>
      </c>
      <c r="E26" s="1045"/>
      <c r="F26" s="4" t="s">
        <v>233</v>
      </c>
      <c r="G26" s="1150" t="s">
        <v>623</v>
      </c>
      <c r="H26" s="1151"/>
      <c r="I26" s="1224">
        <f>PV!L105</f>
        <v>0</v>
      </c>
      <c r="N26" s="1204"/>
      <c r="O26" s="1206" t="s">
        <v>884</v>
      </c>
      <c r="P26" s="1202"/>
      <c r="Q26" s="145"/>
      <c r="R26" s="1193" t="s">
        <v>885</v>
      </c>
      <c r="S26" s="1193"/>
      <c r="T26" s="230"/>
      <c r="U26" s="1193" t="s">
        <v>886</v>
      </c>
      <c r="V26" s="1193"/>
      <c r="W26" s="230"/>
      <c r="AK26" s="89"/>
      <c r="AL26" s="89"/>
      <c r="AM26" s="89"/>
      <c r="AN26" s="89"/>
      <c r="AO26" s="89"/>
      <c r="AP26" s="89"/>
      <c r="AQ26" s="89"/>
      <c r="AR26" s="89"/>
      <c r="AS26" s="89"/>
      <c r="AT26" s="89"/>
    </row>
    <row r="27" spans="1:46" ht="16.5" thickBot="1">
      <c r="A27" s="1245" t="s">
        <v>620</v>
      </c>
      <c r="B27" s="1246"/>
      <c r="C27" s="1246"/>
      <c r="D27" s="1226">
        <f>PV!L110</f>
        <v>0</v>
      </c>
      <c r="E27" s="1227"/>
      <c r="F27" s="173" t="s">
        <v>233</v>
      </c>
      <c r="G27" s="1237"/>
      <c r="H27" s="1238"/>
      <c r="I27" s="1225"/>
      <c r="N27" s="1205"/>
      <c r="O27" s="1206" t="s">
        <v>887</v>
      </c>
      <c r="P27" s="1202"/>
      <c r="Q27" s="145"/>
      <c r="R27" s="1194"/>
      <c r="S27" s="1194"/>
      <c r="T27" s="230"/>
      <c r="U27" s="1194"/>
      <c r="V27" s="1194"/>
      <c r="W27" s="230"/>
      <c r="AK27" s="89"/>
      <c r="AL27" s="89"/>
      <c r="AM27" s="89"/>
      <c r="AN27" s="89"/>
      <c r="AO27" s="89"/>
      <c r="AP27" s="89"/>
      <c r="AQ27" s="89"/>
      <c r="AR27" s="89"/>
      <c r="AS27" s="89"/>
      <c r="AT27" s="89"/>
    </row>
    <row r="28" spans="1:46" ht="15.75">
      <c r="A28" s="178"/>
      <c r="B28" s="7"/>
      <c r="C28" s="7"/>
      <c r="F28" s="171"/>
      <c r="G28" s="171"/>
      <c r="H28" s="171"/>
      <c r="I28" s="163"/>
      <c r="N28" s="1203" t="s">
        <v>888</v>
      </c>
      <c r="O28" s="1206" t="s">
        <v>881</v>
      </c>
      <c r="P28" s="1202"/>
      <c r="Q28" s="145"/>
      <c r="R28" s="1193" t="s">
        <v>882</v>
      </c>
      <c r="S28" s="1193"/>
      <c r="T28" s="145"/>
      <c r="U28" s="1193" t="s">
        <v>883</v>
      </c>
      <c r="V28" s="1193"/>
      <c r="W28" s="230"/>
      <c r="AK28" s="89"/>
      <c r="AL28" s="89"/>
      <c r="AM28" s="89"/>
      <c r="AN28" s="89"/>
      <c r="AO28" s="89"/>
      <c r="AP28" s="89"/>
      <c r="AQ28" s="89"/>
      <c r="AR28" s="89"/>
      <c r="AS28" s="89"/>
      <c r="AT28" s="89"/>
    </row>
    <row r="29" spans="1:46" ht="16.5" customHeight="1" thickBot="1">
      <c r="A29" s="1253" t="s">
        <v>626</v>
      </c>
      <c r="B29" s="1253"/>
      <c r="C29" s="1254"/>
      <c r="D29" s="1257" t="str">
        <f>PV!G227</f>
        <v>Rozłącznik ppoż PROJOY 2-stringi</v>
      </c>
      <c r="E29" s="1258"/>
      <c r="F29" s="1258"/>
      <c r="G29" s="1258"/>
      <c r="H29" s="1258"/>
      <c r="I29" s="1259"/>
      <c r="N29" s="1204"/>
      <c r="O29" s="1206" t="s">
        <v>884</v>
      </c>
      <c r="P29" s="1202"/>
      <c r="Q29" s="145"/>
      <c r="R29" s="1193" t="s">
        <v>885</v>
      </c>
      <c r="S29" s="1193"/>
      <c r="T29" s="145"/>
      <c r="U29" s="1193" t="s">
        <v>886</v>
      </c>
      <c r="V29" s="1193"/>
      <c r="W29" s="230"/>
      <c r="AK29" s="89"/>
      <c r="AL29" s="89"/>
      <c r="AM29" s="89"/>
      <c r="AN29" s="89"/>
      <c r="AO29" s="89"/>
      <c r="AP29" s="89"/>
      <c r="AQ29" s="89"/>
      <c r="AR29" s="89"/>
      <c r="AS29" s="89"/>
      <c r="AT29" s="89"/>
    </row>
    <row r="30" spans="1:46" ht="16.5" thickBot="1">
      <c r="A30" s="1255"/>
      <c r="B30" s="1255"/>
      <c r="C30" s="1256"/>
      <c r="D30" s="1260"/>
      <c r="E30" s="1261"/>
      <c r="F30" s="1261"/>
      <c r="G30" s="1261"/>
      <c r="H30" s="1261"/>
      <c r="I30" s="1262"/>
      <c r="N30" s="1205"/>
      <c r="O30" s="1206" t="s">
        <v>887</v>
      </c>
      <c r="P30" s="1202"/>
      <c r="Q30" s="145"/>
      <c r="R30" s="1193" t="s">
        <v>889</v>
      </c>
      <c r="S30" s="1193"/>
      <c r="T30" s="145"/>
      <c r="U30" s="1194"/>
      <c r="V30" s="1194"/>
      <c r="W30" s="230"/>
      <c r="AK30" s="89"/>
      <c r="AL30" s="89"/>
      <c r="AM30" s="89"/>
      <c r="AN30" s="89"/>
      <c r="AO30" s="89"/>
      <c r="AP30" s="89"/>
      <c r="AQ30" s="89"/>
      <c r="AR30" s="89"/>
      <c r="AS30" s="89"/>
      <c r="AT30" s="89"/>
    </row>
    <row r="31" spans="1:46" ht="15.75">
      <c r="N31" s="1203" t="s">
        <v>890</v>
      </c>
      <c r="O31" s="1206" t="s">
        <v>881</v>
      </c>
      <c r="P31" s="1202"/>
      <c r="Q31" s="145"/>
      <c r="R31" s="1193" t="s">
        <v>882</v>
      </c>
      <c r="S31" s="1193"/>
      <c r="T31" s="145"/>
      <c r="U31" s="1193" t="s">
        <v>883</v>
      </c>
      <c r="V31" s="1193"/>
      <c r="W31" s="230"/>
      <c r="AK31" s="89"/>
      <c r="AL31" s="89"/>
      <c r="AM31" s="89"/>
      <c r="AN31" s="89"/>
      <c r="AO31" s="89"/>
      <c r="AP31" s="89"/>
      <c r="AQ31" s="89"/>
      <c r="AR31" s="89"/>
      <c r="AS31" s="89"/>
      <c r="AT31" s="89"/>
    </row>
    <row r="32" spans="1:46" ht="15.75">
      <c r="A32" s="941"/>
      <c r="B32" s="941"/>
      <c r="C32" s="941"/>
      <c r="D32" s="941"/>
      <c r="E32" s="941"/>
      <c r="F32" s="941"/>
      <c r="G32" s="941"/>
      <c r="H32" s="941"/>
      <c r="I32" s="941"/>
      <c r="N32" s="1204"/>
      <c r="O32" s="1206" t="s">
        <v>884</v>
      </c>
      <c r="P32" s="1202"/>
      <c r="Q32" s="145"/>
      <c r="R32" s="1193" t="s">
        <v>885</v>
      </c>
      <c r="S32" s="1193"/>
      <c r="T32" s="145"/>
      <c r="U32" s="1193" t="s">
        <v>886</v>
      </c>
      <c r="V32" s="1193"/>
      <c r="W32" s="230"/>
      <c r="AK32" s="89"/>
      <c r="AL32" s="89"/>
      <c r="AM32" s="89"/>
      <c r="AN32" s="89"/>
      <c r="AO32" s="89"/>
      <c r="AP32" s="89"/>
      <c r="AQ32" s="89"/>
      <c r="AR32" s="89"/>
      <c r="AS32" s="89"/>
      <c r="AT32" s="89"/>
    </row>
    <row r="33" spans="1:46" ht="16.5" thickBot="1">
      <c r="N33" s="1205"/>
      <c r="O33" s="1206" t="s">
        <v>887</v>
      </c>
      <c r="P33" s="1202"/>
      <c r="Q33" s="145"/>
      <c r="R33" s="1193" t="s">
        <v>889</v>
      </c>
      <c r="S33" s="1193"/>
      <c r="T33" s="145"/>
      <c r="U33" s="1194"/>
      <c r="V33" s="1194"/>
      <c r="W33" s="230"/>
      <c r="AK33" s="89"/>
      <c r="AL33" s="89"/>
      <c r="AM33" s="89"/>
      <c r="AN33" s="89"/>
      <c r="AO33" s="89"/>
      <c r="AP33" s="89"/>
      <c r="AQ33" s="89"/>
      <c r="AR33" s="89"/>
      <c r="AS33" s="89"/>
      <c r="AT33" s="89"/>
    </row>
    <row r="34" spans="1:46" ht="16.5" thickBot="1">
      <c r="A34" s="941"/>
      <c r="B34" s="941"/>
      <c r="C34" s="941"/>
      <c r="D34" s="941"/>
      <c r="E34" s="941"/>
      <c r="F34" s="941"/>
      <c r="G34" s="941"/>
      <c r="H34" s="941"/>
      <c r="I34" s="941"/>
      <c r="N34" s="292" t="s">
        <v>961</v>
      </c>
      <c r="O34" s="1199" t="s">
        <v>270</v>
      </c>
      <c r="P34" s="1200"/>
      <c r="Q34" s="296"/>
      <c r="R34" s="1201" t="s">
        <v>271</v>
      </c>
      <c r="S34" s="1202"/>
      <c r="T34" s="145"/>
      <c r="U34" s="908"/>
      <c r="V34" s="908"/>
      <c r="W34" s="89"/>
      <c r="AK34" s="89"/>
      <c r="AL34" s="89"/>
      <c r="AM34" s="89"/>
      <c r="AN34" s="89"/>
      <c r="AO34" s="89"/>
      <c r="AP34" s="89"/>
      <c r="AQ34" s="89"/>
      <c r="AR34" s="89"/>
      <c r="AS34" s="89"/>
      <c r="AT34" s="89"/>
    </row>
    <row r="35" spans="1:46" ht="16.5" thickBot="1">
      <c r="N35" s="292" t="s">
        <v>962</v>
      </c>
      <c r="O35" s="1202" t="s">
        <v>879</v>
      </c>
      <c r="P35" s="1193"/>
      <c r="Q35" s="145"/>
      <c r="R35" s="1201" t="s">
        <v>880</v>
      </c>
      <c r="S35" s="1202"/>
      <c r="T35" s="145"/>
      <c r="U35" s="908"/>
      <c r="V35" s="908"/>
      <c r="W35" s="89"/>
      <c r="AK35" s="89"/>
      <c r="AL35" s="89"/>
      <c r="AM35" s="89"/>
      <c r="AN35" s="89"/>
      <c r="AO35" s="89"/>
      <c r="AP35" s="89"/>
      <c r="AQ35" s="89"/>
      <c r="AR35" s="89"/>
      <c r="AS35" s="89"/>
      <c r="AT35" s="89"/>
    </row>
    <row r="36" spans="1:46" ht="16.5" thickBot="1">
      <c r="N36" s="292" t="s">
        <v>877</v>
      </c>
      <c r="O36" s="1202" t="s">
        <v>963</v>
      </c>
      <c r="P36" s="1193"/>
      <c r="Q36" s="145"/>
      <c r="R36" s="1201" t="s">
        <v>964</v>
      </c>
      <c r="S36" s="1202"/>
      <c r="T36" s="145"/>
      <c r="U36" s="908"/>
      <c r="V36" s="908"/>
      <c r="W36" s="89"/>
      <c r="AK36" s="89"/>
      <c r="AL36" s="89"/>
      <c r="AM36" s="89"/>
      <c r="AN36" s="89"/>
      <c r="AO36" s="89"/>
      <c r="AP36" s="89"/>
      <c r="AQ36" s="89"/>
      <c r="AR36" s="89"/>
      <c r="AS36" s="89"/>
      <c r="AT36" s="89"/>
    </row>
    <row r="37" spans="1:46" ht="16.5" thickBot="1">
      <c r="N37" s="292" t="s">
        <v>878</v>
      </c>
      <c r="O37" s="1005"/>
      <c r="P37" s="988"/>
      <c r="Q37" s="89"/>
      <c r="R37" s="89"/>
      <c r="S37" s="89"/>
      <c r="T37" s="89"/>
      <c r="U37" s="89"/>
      <c r="V37" s="89"/>
      <c r="W37" s="89"/>
      <c r="AK37" s="89"/>
      <c r="AL37" s="89"/>
      <c r="AM37" s="89"/>
      <c r="AN37" s="89"/>
      <c r="AO37" s="89"/>
      <c r="AP37" s="89"/>
      <c r="AQ37" s="89"/>
      <c r="AR37" s="89"/>
      <c r="AS37" s="89"/>
      <c r="AT37" s="89"/>
    </row>
    <row r="38" spans="1:46" ht="16.5" thickBot="1">
      <c r="N38" s="297" t="s">
        <v>965</v>
      </c>
      <c r="O38" s="1005"/>
      <c r="P38" s="988"/>
      <c r="Q38" s="89"/>
      <c r="R38" s="89"/>
      <c r="S38" s="89"/>
      <c r="T38" s="89"/>
      <c r="U38" s="89"/>
      <c r="V38" s="89"/>
      <c r="W38" s="89"/>
      <c r="AK38" s="89"/>
      <c r="AL38" s="89"/>
      <c r="AM38" s="89"/>
      <c r="AN38" s="89"/>
      <c r="AO38" s="89"/>
      <c r="AP38" s="89"/>
      <c r="AQ38" s="89"/>
      <c r="AR38" s="89"/>
      <c r="AS38" s="89"/>
      <c r="AT38" s="89"/>
    </row>
    <row r="39" spans="1:46" ht="15.75" customHeight="1">
      <c r="N39" s="1197" t="s">
        <v>849</v>
      </c>
      <c r="O39" s="1193">
        <v>16</v>
      </c>
      <c r="P39" s="1193"/>
      <c r="Q39" s="145"/>
      <c r="R39" s="1193">
        <v>25</v>
      </c>
      <c r="S39" s="1193"/>
      <c r="T39" s="230"/>
      <c r="U39" s="1193">
        <v>32</v>
      </c>
      <c r="V39" s="1193"/>
      <c r="W39" s="145"/>
      <c r="AK39" s="89"/>
      <c r="AL39" s="89"/>
      <c r="AM39" s="89"/>
      <c r="AN39" s="89"/>
      <c r="AO39" s="89"/>
      <c r="AP39" s="89"/>
      <c r="AQ39" s="89"/>
      <c r="AR39" s="89"/>
      <c r="AS39" s="89"/>
      <c r="AT39" s="89"/>
    </row>
    <row r="40" spans="1:46" ht="16.5" thickBot="1">
      <c r="N40" s="1198"/>
      <c r="O40" s="1193">
        <v>40</v>
      </c>
      <c r="P40" s="1193"/>
      <c r="Q40" s="145"/>
      <c r="R40" s="1194"/>
      <c r="S40" s="1194"/>
      <c r="T40" s="230"/>
      <c r="U40" s="1194"/>
      <c r="V40" s="1194"/>
      <c r="W40" s="230"/>
      <c r="AK40" s="89"/>
      <c r="AL40" s="89"/>
      <c r="AM40" s="89"/>
      <c r="AN40" s="89"/>
      <c r="AO40" s="89"/>
      <c r="AP40" s="89"/>
      <c r="AQ40" s="89"/>
      <c r="AR40" s="89"/>
      <c r="AS40" s="89"/>
      <c r="AT40" s="89"/>
    </row>
    <row r="41" spans="1:46" ht="16.5" customHeight="1" thickBot="1">
      <c r="N41" s="298" t="s">
        <v>853</v>
      </c>
      <c r="O41" s="1193" t="s">
        <v>854</v>
      </c>
      <c r="P41" s="1193"/>
      <c r="Q41" s="145"/>
      <c r="R41" s="1193" t="s">
        <v>855</v>
      </c>
      <c r="S41" s="1193"/>
      <c r="T41" s="230"/>
      <c r="U41" s="1194"/>
      <c r="V41" s="1194"/>
      <c r="W41" s="230"/>
      <c r="AK41" s="89"/>
      <c r="AL41" s="89"/>
      <c r="AM41" s="89"/>
      <c r="AN41" s="89"/>
      <c r="AO41" s="89"/>
      <c r="AP41" s="89"/>
      <c r="AQ41" s="89"/>
      <c r="AR41" s="89"/>
      <c r="AS41" s="89"/>
      <c r="AT41" s="89"/>
    </row>
    <row r="42" spans="1:46" ht="22.5" customHeight="1">
      <c r="N42" s="1195" t="s">
        <v>851</v>
      </c>
      <c r="O42" s="1193">
        <v>22</v>
      </c>
      <c r="P42" s="1193"/>
      <c r="Q42" s="145"/>
      <c r="R42" s="1193">
        <v>25</v>
      </c>
      <c r="S42" s="1193"/>
      <c r="T42" s="230"/>
      <c r="U42" s="1193">
        <v>28</v>
      </c>
      <c r="V42" s="1193"/>
      <c r="W42" s="230"/>
      <c r="AK42" s="89"/>
      <c r="AL42" s="89"/>
      <c r="AM42" s="89"/>
      <c r="AN42" s="89"/>
      <c r="AO42" s="89"/>
      <c r="AP42" s="89"/>
      <c r="AQ42" s="89"/>
      <c r="AR42" s="89"/>
      <c r="AS42" s="89"/>
      <c r="AT42" s="89"/>
    </row>
    <row r="43" spans="1:46" ht="24.75" customHeight="1" thickBot="1">
      <c r="N43" s="1196"/>
      <c r="O43" s="1193">
        <v>47</v>
      </c>
      <c r="P43" s="1193"/>
      <c r="Q43" s="145"/>
      <c r="R43" s="1194"/>
      <c r="S43" s="1194"/>
      <c r="T43" s="230"/>
      <c r="U43" s="1194"/>
      <c r="V43" s="1194"/>
      <c r="W43" s="230"/>
      <c r="AK43" s="89"/>
      <c r="AL43" s="89"/>
      <c r="AM43" s="89"/>
      <c r="AN43" s="89"/>
      <c r="AO43" s="89"/>
      <c r="AP43" s="89"/>
      <c r="AQ43" s="89"/>
      <c r="AR43" s="89"/>
      <c r="AS43" s="89"/>
      <c r="AT43" s="89"/>
    </row>
    <row r="44" spans="1:46" ht="15.75" customHeight="1">
      <c r="N44" s="1195" t="s">
        <v>856</v>
      </c>
      <c r="O44" s="1193">
        <v>22</v>
      </c>
      <c r="P44" s="1193"/>
      <c r="Q44" s="145"/>
      <c r="R44" s="1193">
        <v>25</v>
      </c>
      <c r="S44" s="1193"/>
      <c r="T44" s="230"/>
      <c r="U44" s="1193">
        <v>28</v>
      </c>
      <c r="V44" s="1193"/>
      <c r="W44" s="230"/>
      <c r="AK44" s="89"/>
      <c r="AL44" s="89"/>
      <c r="AM44" s="89"/>
      <c r="AN44" s="89"/>
      <c r="AO44" s="89"/>
      <c r="AP44" s="89"/>
      <c r="AQ44" s="89"/>
      <c r="AR44" s="89"/>
      <c r="AS44" s="89"/>
      <c r="AT44" s="89"/>
    </row>
    <row r="45" spans="1:46" ht="16.5" thickBot="1">
      <c r="N45" s="1196"/>
      <c r="O45" s="1193">
        <v>47</v>
      </c>
      <c r="P45" s="1193"/>
      <c r="Q45" s="145"/>
      <c r="R45" s="1194"/>
      <c r="S45" s="1194"/>
      <c r="T45" s="230"/>
      <c r="U45" s="1194"/>
      <c r="V45" s="1194"/>
      <c r="W45" s="230"/>
      <c r="AK45" s="89"/>
      <c r="AL45" s="89"/>
      <c r="AM45" s="89"/>
      <c r="AN45" s="89"/>
      <c r="AO45" s="89"/>
      <c r="AP45" s="89"/>
      <c r="AQ45" s="89"/>
      <c r="AR45" s="89"/>
      <c r="AS45" s="89"/>
      <c r="AT45" s="89"/>
    </row>
    <row r="46" spans="1:46" ht="15.75" customHeight="1">
      <c r="N46" s="1197" t="s">
        <v>852</v>
      </c>
      <c r="O46" s="1193">
        <v>22</v>
      </c>
      <c r="P46" s="1193"/>
      <c r="Q46" s="145"/>
      <c r="R46" s="1193">
        <v>25</v>
      </c>
      <c r="S46" s="1193"/>
      <c r="T46" s="230"/>
      <c r="U46" s="1193">
        <v>28</v>
      </c>
      <c r="V46" s="1193"/>
      <c r="W46" s="230"/>
      <c r="AK46" s="89"/>
      <c r="AL46" s="89"/>
      <c r="AM46" s="89"/>
      <c r="AN46" s="89"/>
      <c r="AO46" s="89"/>
      <c r="AP46" s="89"/>
      <c r="AQ46" s="89"/>
      <c r="AR46" s="89"/>
      <c r="AS46" s="89"/>
      <c r="AT46" s="89"/>
    </row>
    <row r="47" spans="1:46" ht="16.5" thickBot="1">
      <c r="N47" s="1198"/>
      <c r="O47" s="1193">
        <v>47</v>
      </c>
      <c r="P47" s="1193"/>
      <c r="Q47" s="145"/>
      <c r="R47" s="1194"/>
      <c r="S47" s="1194"/>
      <c r="T47" s="230"/>
      <c r="U47" s="1194"/>
      <c r="V47" s="1194"/>
      <c r="W47" s="230"/>
      <c r="AK47" s="89"/>
      <c r="AL47" s="89"/>
      <c r="AM47" s="89"/>
      <c r="AN47" s="89"/>
      <c r="AO47" s="89"/>
      <c r="AP47" s="89"/>
      <c r="AQ47" s="89"/>
      <c r="AR47" s="89"/>
      <c r="AS47" s="89"/>
      <c r="AT47" s="89"/>
    </row>
    <row r="48" spans="1:46" ht="16.5" thickBot="1">
      <c r="N48" s="298" t="s">
        <v>850</v>
      </c>
      <c r="O48" s="1193">
        <v>40</v>
      </c>
      <c r="P48" s="1193"/>
      <c r="Q48" s="145"/>
      <c r="R48" s="1193">
        <v>50</v>
      </c>
      <c r="S48" s="1193"/>
      <c r="T48" s="230"/>
      <c r="U48" s="1194"/>
      <c r="V48" s="1194"/>
      <c r="W48" s="230"/>
      <c r="AK48" s="89"/>
      <c r="AL48" s="89"/>
      <c r="AM48" s="89"/>
      <c r="AN48" s="89"/>
      <c r="AO48" s="89"/>
      <c r="AP48" s="89"/>
      <c r="AQ48" s="89"/>
      <c r="AR48" s="89"/>
      <c r="AS48" s="89"/>
      <c r="AT48" s="89"/>
    </row>
    <row r="49" spans="1:46" ht="15.75">
      <c r="N49" s="1195" t="s">
        <v>862</v>
      </c>
      <c r="O49" s="1193" t="s">
        <v>863</v>
      </c>
      <c r="P49" s="1193"/>
      <c r="Q49" s="145"/>
      <c r="R49" s="1193" t="s">
        <v>864</v>
      </c>
      <c r="S49" s="1193"/>
      <c r="T49" s="230"/>
      <c r="U49" s="1193" t="s">
        <v>865</v>
      </c>
      <c r="V49" s="1193"/>
      <c r="W49" s="230"/>
      <c r="AK49" s="89"/>
      <c r="AL49" s="89"/>
      <c r="AM49" s="89"/>
      <c r="AN49" s="89"/>
      <c r="AO49" s="89"/>
      <c r="AP49" s="89"/>
      <c r="AQ49" s="89"/>
      <c r="AR49" s="89"/>
      <c r="AS49" s="89"/>
      <c r="AT49" s="89"/>
    </row>
    <row r="50" spans="1:46" ht="16.5" thickBot="1">
      <c r="N50" s="1196"/>
      <c r="O50" s="1193" t="s">
        <v>866</v>
      </c>
      <c r="P50" s="1193"/>
      <c r="Q50" s="145"/>
      <c r="R50" s="1193" t="s">
        <v>867</v>
      </c>
      <c r="S50" s="1193"/>
      <c r="T50" s="230"/>
      <c r="U50" s="1193" t="s">
        <v>868</v>
      </c>
      <c r="V50" s="1193"/>
      <c r="W50" s="230"/>
      <c r="AK50" s="89"/>
      <c r="AL50" s="89"/>
      <c r="AM50" s="89"/>
      <c r="AN50" s="89"/>
      <c r="AO50" s="89"/>
      <c r="AP50" s="89"/>
      <c r="AQ50" s="89"/>
      <c r="AR50" s="89"/>
      <c r="AS50" s="89"/>
      <c r="AT50" s="89"/>
    </row>
    <row r="51" spans="1:46" ht="15.75">
      <c r="N51" s="1195" t="s">
        <v>857</v>
      </c>
      <c r="O51" s="1193" t="s">
        <v>858</v>
      </c>
      <c r="P51" s="1193"/>
      <c r="Q51" s="145"/>
      <c r="R51" s="1193" t="s">
        <v>859</v>
      </c>
      <c r="S51" s="1193"/>
      <c r="T51" s="230"/>
      <c r="U51" s="1193" t="s">
        <v>860</v>
      </c>
      <c r="V51" s="1193"/>
      <c r="W51" s="230"/>
      <c r="AK51" s="89"/>
      <c r="AL51" s="89"/>
      <c r="AM51" s="89"/>
      <c r="AN51" s="89"/>
      <c r="AO51" s="89"/>
      <c r="AP51" s="89"/>
      <c r="AQ51" s="89"/>
      <c r="AR51" s="89"/>
      <c r="AS51" s="89"/>
      <c r="AT51" s="89"/>
    </row>
    <row r="52" spans="1:46" ht="16.5" thickBot="1">
      <c r="A52" s="941"/>
      <c r="B52" s="941"/>
      <c r="C52" s="941"/>
      <c r="D52" s="941"/>
      <c r="E52" s="941"/>
      <c r="F52" s="941"/>
      <c r="G52" s="941"/>
      <c r="H52" s="941"/>
      <c r="I52" s="941"/>
      <c r="N52" s="1196"/>
      <c r="O52" s="1193" t="s">
        <v>861</v>
      </c>
      <c r="P52" s="1193"/>
      <c r="Q52" s="145"/>
      <c r="R52" s="1194"/>
      <c r="S52" s="1194"/>
      <c r="T52" s="230"/>
      <c r="U52" s="1194"/>
      <c r="V52" s="1194"/>
      <c r="W52" s="230"/>
      <c r="AK52" s="89"/>
      <c r="AL52" s="89"/>
      <c r="AM52" s="89"/>
      <c r="AN52" s="89"/>
      <c r="AO52" s="89"/>
      <c r="AP52" s="89"/>
      <c r="AQ52" s="89"/>
      <c r="AR52" s="89"/>
      <c r="AS52" s="89"/>
      <c r="AT52" s="89"/>
    </row>
    <row r="53" spans="1:46" ht="15.75">
      <c r="A53" s="1275"/>
      <c r="B53" s="1275"/>
      <c r="C53" s="1275"/>
      <c r="D53" s="1275"/>
      <c r="E53" s="1275"/>
      <c r="F53" s="1275"/>
      <c r="G53" s="1275"/>
      <c r="H53" s="1275"/>
      <c r="I53" s="1275"/>
      <c r="N53" s="1195" t="s">
        <v>869</v>
      </c>
      <c r="O53" s="1193" t="s">
        <v>870</v>
      </c>
      <c r="P53" s="1193"/>
      <c r="Q53" s="145"/>
      <c r="R53" s="1193" t="s">
        <v>871</v>
      </c>
      <c r="S53" s="1193"/>
      <c r="T53" s="145"/>
      <c r="U53" s="1193" t="s">
        <v>872</v>
      </c>
      <c r="V53" s="1193"/>
      <c r="W53" s="230"/>
      <c r="AK53" s="89"/>
      <c r="AL53" s="89"/>
      <c r="AM53" s="89"/>
      <c r="AN53" s="89"/>
      <c r="AO53" s="89"/>
      <c r="AP53" s="89"/>
      <c r="AQ53" s="89"/>
      <c r="AR53" s="89"/>
      <c r="AS53" s="89"/>
      <c r="AT53" s="89"/>
    </row>
    <row r="54" spans="1:46" ht="16.5" thickBot="1">
      <c r="A54" s="941"/>
      <c r="B54" s="941"/>
      <c r="C54" s="941"/>
      <c r="D54" s="941"/>
      <c r="E54" s="941"/>
      <c r="F54" s="941"/>
      <c r="G54" s="941"/>
      <c r="H54" s="941"/>
      <c r="I54" s="941"/>
      <c r="N54" s="1196"/>
      <c r="O54" s="1193" t="s">
        <v>873</v>
      </c>
      <c r="P54" s="1193"/>
      <c r="Q54" s="145"/>
      <c r="R54" s="1193" t="s">
        <v>874</v>
      </c>
      <c r="S54" s="1193"/>
      <c r="T54" s="145"/>
      <c r="U54" s="1194"/>
      <c r="V54" s="1194"/>
      <c r="W54" s="230"/>
      <c r="AK54" s="89"/>
      <c r="AL54" s="89"/>
      <c r="AM54" s="89"/>
      <c r="AN54" s="89"/>
      <c r="AO54" s="89"/>
      <c r="AP54" s="89"/>
      <c r="AQ54" s="89"/>
      <c r="AR54" s="89"/>
      <c r="AS54" s="89"/>
      <c r="AT54" s="89"/>
    </row>
    <row r="55" spans="1:46" ht="16.5" thickBot="1">
      <c r="A55" s="941"/>
      <c r="B55" s="941"/>
      <c r="C55" s="941"/>
      <c r="D55" s="941"/>
      <c r="E55" s="941"/>
      <c r="F55" s="941"/>
      <c r="G55" s="941"/>
      <c r="H55" s="941"/>
      <c r="I55" s="941"/>
      <c r="N55" s="298" t="s">
        <v>875</v>
      </c>
      <c r="O55" s="1193" t="s">
        <v>637</v>
      </c>
      <c r="P55" s="1193"/>
      <c r="Q55" s="145"/>
      <c r="R55" s="1193" t="s">
        <v>876</v>
      </c>
      <c r="S55" s="1193"/>
      <c r="T55" s="145"/>
      <c r="U55" s="1193" t="s">
        <v>638</v>
      </c>
      <c r="V55" s="1193"/>
      <c r="W55" s="230"/>
      <c r="AK55" s="89"/>
      <c r="AL55" s="89"/>
      <c r="AM55" s="89"/>
      <c r="AN55" s="89"/>
      <c r="AO55" s="89"/>
      <c r="AP55" s="89"/>
      <c r="AQ55" s="89"/>
      <c r="AR55" s="89"/>
      <c r="AS55" s="89"/>
      <c r="AT55" s="89"/>
    </row>
    <row r="56" spans="1:46" ht="16.5" thickBot="1">
      <c r="A56" s="941"/>
      <c r="B56" s="941"/>
      <c r="C56" s="941"/>
      <c r="D56" s="941"/>
      <c r="E56" s="941"/>
      <c r="F56" s="941"/>
      <c r="G56" s="941"/>
      <c r="H56" s="941"/>
      <c r="I56" s="941"/>
      <c r="N56" s="298" t="s">
        <v>966</v>
      </c>
      <c r="O56" s="1193" t="s">
        <v>918</v>
      </c>
      <c r="P56" s="1193"/>
      <c r="Q56" s="145"/>
      <c r="R56" s="1193" t="s">
        <v>919</v>
      </c>
      <c r="S56" s="1193"/>
      <c r="T56" s="145"/>
      <c r="U56" s="1194"/>
      <c r="V56" s="1194"/>
      <c r="W56" s="230"/>
      <c r="AK56" s="89"/>
      <c r="AL56" s="89"/>
      <c r="AM56" s="89"/>
      <c r="AN56" s="89"/>
      <c r="AO56" s="89"/>
      <c r="AP56" s="89"/>
      <c r="AQ56" s="89"/>
      <c r="AR56" s="89"/>
      <c r="AS56" s="89"/>
      <c r="AT56" s="89"/>
    </row>
    <row r="57" spans="1:46" ht="16.5" thickBot="1">
      <c r="A57" s="941"/>
      <c r="B57" s="941"/>
      <c r="C57" s="941"/>
      <c r="D57" s="941"/>
      <c r="E57" s="941"/>
      <c r="F57" s="941"/>
      <c r="G57" s="941"/>
      <c r="H57" s="941"/>
      <c r="I57" s="941"/>
      <c r="N57" s="292" t="s">
        <v>967</v>
      </c>
      <c r="O57" s="1005"/>
      <c r="P57" s="988"/>
      <c r="AK57" s="89"/>
      <c r="AL57" s="89"/>
      <c r="AM57" s="89"/>
      <c r="AN57" s="89"/>
      <c r="AO57" s="89"/>
      <c r="AP57" s="89"/>
      <c r="AQ57" s="89"/>
      <c r="AR57" s="89"/>
      <c r="AS57" s="89"/>
      <c r="AT57" s="89"/>
    </row>
    <row r="58" spans="1:46" ht="16.5" customHeight="1" thickBot="1">
      <c r="A58" s="941"/>
      <c r="B58" s="941"/>
      <c r="C58" s="941"/>
      <c r="D58" s="941"/>
      <c r="E58" s="941"/>
      <c r="F58" s="941"/>
      <c r="G58" s="941"/>
      <c r="H58" s="941"/>
      <c r="I58" s="941"/>
      <c r="N58" s="293" t="s">
        <v>968</v>
      </c>
      <c r="O58" s="1005"/>
      <c r="P58" s="988"/>
      <c r="AK58" s="89"/>
      <c r="AL58" s="89"/>
      <c r="AM58" s="89"/>
      <c r="AN58" s="89"/>
      <c r="AO58" s="89"/>
      <c r="AP58" s="89"/>
      <c r="AQ58" s="89"/>
      <c r="AR58" s="89"/>
      <c r="AS58" s="89"/>
      <c r="AT58" s="89"/>
    </row>
    <row r="59" spans="1:46" ht="16.5" thickBot="1">
      <c r="A59" s="941"/>
      <c r="B59" s="941"/>
      <c r="C59" s="941"/>
      <c r="D59" s="941"/>
      <c r="E59" s="941"/>
      <c r="F59" s="941"/>
      <c r="G59" s="941"/>
      <c r="H59" s="941"/>
      <c r="I59" s="941"/>
      <c r="N59" s="292" t="s">
        <v>969</v>
      </c>
      <c r="O59" s="1005"/>
      <c r="P59" s="988"/>
      <c r="AK59" s="89"/>
      <c r="AL59" s="89"/>
      <c r="AM59" s="89"/>
      <c r="AN59" s="89"/>
      <c r="AO59" s="89"/>
      <c r="AP59" s="89"/>
      <c r="AQ59" s="89"/>
      <c r="AR59" s="89"/>
      <c r="AS59" s="89"/>
      <c r="AT59" s="89"/>
    </row>
    <row r="60" spans="1:46" ht="32.25" customHeight="1" thickBot="1">
      <c r="A60" s="941"/>
      <c r="B60" s="941"/>
      <c r="C60" s="941"/>
      <c r="D60" s="941"/>
      <c r="E60" s="941"/>
      <c r="F60" s="941"/>
      <c r="G60" s="941"/>
      <c r="H60" s="941"/>
      <c r="I60" s="941"/>
      <c r="N60" s="299" t="s">
        <v>970</v>
      </c>
      <c r="O60" s="971"/>
      <c r="P60" s="1188"/>
      <c r="AK60" s="89"/>
      <c r="AL60" s="89"/>
      <c r="AM60" s="89"/>
      <c r="AN60" s="89"/>
      <c r="AO60" s="89"/>
      <c r="AP60" s="89"/>
      <c r="AQ60" s="89"/>
      <c r="AR60" s="89"/>
      <c r="AS60" s="89"/>
      <c r="AT60" s="89"/>
    </row>
    <row r="61" spans="1:46" ht="16.5" thickBot="1">
      <c r="A61" s="941"/>
      <c r="B61" s="941"/>
      <c r="C61" s="941"/>
      <c r="D61" s="941"/>
      <c r="E61" s="941"/>
      <c r="F61" s="941"/>
      <c r="G61" s="941"/>
      <c r="H61" s="941"/>
      <c r="I61" s="941"/>
      <c r="N61" s="299" t="s">
        <v>971</v>
      </c>
      <c r="O61" s="1189"/>
      <c r="P61" s="971"/>
      <c r="AK61" s="89"/>
      <c r="AL61" s="89"/>
      <c r="AM61" s="89"/>
      <c r="AN61" s="89"/>
      <c r="AO61" s="89"/>
      <c r="AP61" s="89"/>
      <c r="AQ61" s="89"/>
      <c r="AR61" s="89"/>
      <c r="AS61" s="89"/>
      <c r="AT61" s="89"/>
    </row>
    <row r="62" spans="1:46" ht="15.75">
      <c r="A62" s="941"/>
      <c r="B62" s="941"/>
      <c r="C62" s="941"/>
      <c r="D62" s="941"/>
      <c r="E62" s="941"/>
      <c r="F62" s="941"/>
      <c r="G62" s="941"/>
      <c r="H62" s="941"/>
      <c r="I62" s="941"/>
      <c r="N62" s="1190" t="s">
        <v>972</v>
      </c>
      <c r="O62" s="1191"/>
      <c r="P62" s="1191"/>
      <c r="Q62" s="1191"/>
      <c r="R62" s="1191"/>
      <c r="S62" s="1191"/>
      <c r="T62" s="1191"/>
      <c r="U62" s="1191"/>
      <c r="V62" s="1191"/>
      <c r="W62" s="1192"/>
      <c r="AK62" s="89"/>
      <c r="AL62" s="89"/>
      <c r="AM62" s="89"/>
      <c r="AN62" s="89"/>
      <c r="AO62" s="89"/>
      <c r="AP62" s="89"/>
      <c r="AQ62" s="89"/>
      <c r="AR62" s="89"/>
      <c r="AS62" s="89"/>
      <c r="AT62" s="89"/>
    </row>
    <row r="63" spans="1:46" ht="15.75" customHeight="1">
      <c r="A63" s="941"/>
      <c r="B63" s="941"/>
      <c r="C63" s="941"/>
      <c r="D63" s="941"/>
      <c r="E63" s="941"/>
      <c r="F63" s="941"/>
      <c r="G63" s="941"/>
      <c r="H63" s="941"/>
      <c r="I63" s="941"/>
      <c r="N63" s="1069"/>
      <c r="O63" s="1036"/>
      <c r="P63" s="1036"/>
      <c r="Q63" s="1036"/>
      <c r="R63" s="1036"/>
      <c r="S63" s="1036"/>
      <c r="T63" s="1036"/>
      <c r="U63" s="1036"/>
      <c r="V63" s="1036"/>
      <c r="W63" s="1070"/>
      <c r="AK63" s="89"/>
      <c r="AL63" s="89"/>
      <c r="AM63" s="89"/>
      <c r="AN63" s="89"/>
      <c r="AO63" s="89"/>
      <c r="AP63" s="89"/>
      <c r="AQ63" s="89"/>
      <c r="AR63" s="89"/>
      <c r="AS63" s="89"/>
      <c r="AT63" s="89"/>
    </row>
    <row r="64" spans="1:46" ht="15.75" customHeight="1">
      <c r="A64" s="941"/>
      <c r="B64" s="941"/>
      <c r="C64" s="941"/>
      <c r="D64" s="941"/>
      <c r="E64" s="941"/>
      <c r="F64" s="941"/>
      <c r="G64" s="941"/>
      <c r="H64" s="941"/>
      <c r="I64" s="941"/>
      <c r="N64" s="1069"/>
      <c r="O64" s="1036"/>
      <c r="P64" s="1036"/>
      <c r="Q64" s="1036"/>
      <c r="R64" s="1036"/>
      <c r="S64" s="1036"/>
      <c r="T64" s="1036"/>
      <c r="U64" s="1036"/>
      <c r="V64" s="1036"/>
      <c r="W64" s="1070"/>
      <c r="AK64" s="89"/>
      <c r="AL64" s="89"/>
      <c r="AM64" s="89"/>
      <c r="AN64" s="89"/>
      <c r="AO64" s="89"/>
      <c r="AP64" s="89"/>
      <c r="AQ64" s="89"/>
      <c r="AR64" s="89"/>
      <c r="AS64" s="89"/>
      <c r="AT64" s="89"/>
    </row>
    <row r="65" spans="1:46" ht="15.75" customHeight="1">
      <c r="A65" s="941"/>
      <c r="B65" s="941"/>
      <c r="C65" s="941"/>
      <c r="D65" s="941"/>
      <c r="E65" s="941"/>
      <c r="F65" s="941"/>
      <c r="G65" s="941"/>
      <c r="H65" s="941"/>
      <c r="I65" s="941"/>
      <c r="N65" s="1069"/>
      <c r="O65" s="1036"/>
      <c r="P65" s="1036"/>
      <c r="Q65" s="1036"/>
      <c r="R65" s="1036"/>
      <c r="S65" s="1036"/>
      <c r="T65" s="1036"/>
      <c r="U65" s="1036"/>
      <c r="V65" s="1036"/>
      <c r="W65" s="1070"/>
      <c r="AK65" s="89"/>
      <c r="AL65" s="89"/>
      <c r="AM65" s="89"/>
      <c r="AN65" s="89"/>
      <c r="AO65" s="89"/>
      <c r="AP65" s="89"/>
      <c r="AQ65" s="89"/>
      <c r="AR65" s="89"/>
      <c r="AS65" s="89"/>
      <c r="AT65" s="89"/>
    </row>
    <row r="66" spans="1:46" ht="15.75" customHeight="1">
      <c r="A66" s="941"/>
      <c r="B66" s="941"/>
      <c r="C66" s="941"/>
      <c r="D66" s="941"/>
      <c r="E66" s="941"/>
      <c r="F66" s="941"/>
      <c r="G66" s="941"/>
      <c r="H66" s="941"/>
      <c r="I66" s="941"/>
      <c r="N66" s="1069"/>
      <c r="O66" s="1036"/>
      <c r="P66" s="1036"/>
      <c r="Q66" s="1036"/>
      <c r="R66" s="1036"/>
      <c r="S66" s="1036"/>
      <c r="T66" s="1036"/>
      <c r="U66" s="1036"/>
      <c r="V66" s="1036"/>
      <c r="W66" s="1070"/>
      <c r="AK66" s="89"/>
      <c r="AL66" s="89"/>
      <c r="AM66" s="89"/>
      <c r="AN66" s="89"/>
      <c r="AO66" s="89"/>
      <c r="AP66" s="89"/>
      <c r="AQ66" s="89"/>
      <c r="AR66" s="89"/>
      <c r="AS66" s="89"/>
      <c r="AT66" s="89"/>
    </row>
    <row r="67" spans="1:46" ht="15.75" customHeight="1">
      <c r="A67" s="941"/>
      <c r="B67" s="941"/>
      <c r="C67" s="941"/>
      <c r="D67" s="941"/>
      <c r="E67" s="941"/>
      <c r="F67" s="941"/>
      <c r="G67" s="941"/>
      <c r="H67" s="941"/>
      <c r="I67" s="941"/>
      <c r="N67" s="1069"/>
      <c r="O67" s="1036"/>
      <c r="P67" s="1036"/>
      <c r="Q67" s="1036"/>
      <c r="R67" s="1036"/>
      <c r="S67" s="1036"/>
      <c r="T67" s="1036"/>
      <c r="U67" s="1036"/>
      <c r="V67" s="1036"/>
      <c r="W67" s="1070"/>
      <c r="AK67" s="89"/>
      <c r="AL67" s="89"/>
      <c r="AM67" s="89"/>
      <c r="AN67" s="89"/>
      <c r="AO67" s="89"/>
      <c r="AP67" s="89"/>
      <c r="AQ67" s="89"/>
      <c r="AR67" s="89"/>
      <c r="AS67" s="89"/>
      <c r="AT67" s="89"/>
    </row>
    <row r="68" spans="1:46" ht="15.75" customHeight="1">
      <c r="A68" s="941"/>
      <c r="B68" s="941"/>
      <c r="C68" s="941"/>
      <c r="D68" s="941"/>
      <c r="E68" s="941"/>
      <c r="F68" s="941"/>
      <c r="G68" s="941"/>
      <c r="H68" s="941"/>
      <c r="I68" s="941"/>
      <c r="N68" s="1069"/>
      <c r="O68" s="1036"/>
      <c r="P68" s="1036"/>
      <c r="Q68" s="1036"/>
      <c r="R68" s="1036"/>
      <c r="S68" s="1036"/>
      <c r="T68" s="1036"/>
      <c r="U68" s="1036"/>
      <c r="V68" s="1036"/>
      <c r="W68" s="1070"/>
      <c r="AK68" s="89"/>
      <c r="AL68" s="89"/>
      <c r="AM68" s="89"/>
      <c r="AN68" s="89"/>
      <c r="AO68" s="89"/>
      <c r="AP68" s="89"/>
      <c r="AQ68" s="89"/>
      <c r="AR68" s="89"/>
      <c r="AS68" s="89"/>
      <c r="AT68" s="89"/>
    </row>
    <row r="69" spans="1:46" ht="15.75" customHeight="1">
      <c r="A69" s="941"/>
      <c r="B69" s="941"/>
      <c r="C69" s="941"/>
      <c r="D69" s="941"/>
      <c r="E69" s="941"/>
      <c r="F69" s="941"/>
      <c r="G69" s="941"/>
      <c r="H69" s="941"/>
      <c r="I69" s="941"/>
      <c r="N69" s="1069"/>
      <c r="O69" s="1036"/>
      <c r="P69" s="1036"/>
      <c r="Q69" s="1036"/>
      <c r="R69" s="1036"/>
      <c r="S69" s="1036"/>
      <c r="T69" s="1036"/>
      <c r="U69" s="1036"/>
      <c r="V69" s="1036"/>
      <c r="W69" s="1070"/>
      <c r="AK69" s="89"/>
      <c r="AL69" s="89"/>
      <c r="AM69" s="89"/>
      <c r="AN69" s="89"/>
      <c r="AO69" s="89"/>
      <c r="AP69" s="89"/>
      <c r="AQ69" s="89"/>
      <c r="AR69" s="89"/>
      <c r="AS69" s="89"/>
      <c r="AT69" s="89"/>
    </row>
    <row r="70" spans="1:46" ht="15.75" customHeight="1">
      <c r="A70" s="941"/>
      <c r="B70" s="941"/>
      <c r="C70" s="941"/>
      <c r="D70" s="941"/>
      <c r="E70" s="941"/>
      <c r="F70" s="941"/>
      <c r="G70" s="941"/>
      <c r="H70" s="941"/>
      <c r="I70" s="941"/>
      <c r="N70" s="1069"/>
      <c r="O70" s="1036"/>
      <c r="P70" s="1036"/>
      <c r="Q70" s="1036"/>
      <c r="R70" s="1036"/>
      <c r="S70" s="1036"/>
      <c r="T70" s="1036"/>
      <c r="U70" s="1036"/>
      <c r="V70" s="1036"/>
      <c r="W70" s="1070"/>
      <c r="AK70" s="89"/>
      <c r="AL70" s="89"/>
      <c r="AM70" s="89"/>
      <c r="AN70" s="89"/>
      <c r="AO70" s="89"/>
      <c r="AP70" s="89"/>
      <c r="AQ70" s="89"/>
      <c r="AR70" s="89"/>
      <c r="AS70" s="89"/>
      <c r="AT70" s="89"/>
    </row>
    <row r="71" spans="1:46" ht="15.75" customHeight="1">
      <c r="A71" s="941"/>
      <c r="B71" s="941"/>
      <c r="C71" s="941"/>
      <c r="D71" s="941"/>
      <c r="E71" s="941"/>
      <c r="F71" s="941"/>
      <c r="G71" s="941"/>
      <c r="H71" s="941"/>
      <c r="I71" s="941"/>
      <c r="N71" s="1069"/>
      <c r="O71" s="1036"/>
      <c r="P71" s="1036"/>
      <c r="Q71" s="1036"/>
      <c r="R71" s="1036"/>
      <c r="S71" s="1036"/>
      <c r="T71" s="1036"/>
      <c r="U71" s="1036"/>
      <c r="V71" s="1036"/>
      <c r="W71" s="1070"/>
      <c r="AK71" s="89"/>
      <c r="AL71" s="89"/>
      <c r="AM71" s="89"/>
      <c r="AN71" s="89"/>
      <c r="AO71" s="89"/>
      <c r="AP71" s="89"/>
      <c r="AQ71" s="89"/>
      <c r="AR71" s="89"/>
      <c r="AS71" s="89"/>
      <c r="AT71" s="89"/>
    </row>
    <row r="72" spans="1:46" ht="15.75" customHeight="1">
      <c r="A72" s="941"/>
      <c r="B72" s="941"/>
      <c r="C72" s="941"/>
      <c r="D72" s="941"/>
      <c r="E72" s="941"/>
      <c r="F72" s="941"/>
      <c r="G72" s="941"/>
      <c r="H72" s="941"/>
      <c r="I72" s="941"/>
      <c r="N72" s="1069"/>
      <c r="O72" s="1036"/>
      <c r="P72" s="1036"/>
      <c r="Q72" s="1036"/>
      <c r="R72" s="1036"/>
      <c r="S72" s="1036"/>
      <c r="T72" s="1036"/>
      <c r="U72" s="1036"/>
      <c r="V72" s="1036"/>
      <c r="W72" s="1070"/>
      <c r="AK72" s="89"/>
      <c r="AL72" s="89"/>
      <c r="AM72" s="89"/>
      <c r="AN72" s="89"/>
      <c r="AO72" s="89"/>
      <c r="AP72" s="89"/>
      <c r="AQ72" s="89"/>
      <c r="AR72" s="89"/>
      <c r="AS72" s="89"/>
      <c r="AT72" s="89"/>
    </row>
    <row r="73" spans="1:46" ht="15.75" customHeight="1">
      <c r="A73" s="941"/>
      <c r="B73" s="941"/>
      <c r="C73" s="941"/>
      <c r="D73" s="941"/>
      <c r="E73" s="941"/>
      <c r="F73" s="941"/>
      <c r="G73" s="941"/>
      <c r="H73" s="941"/>
      <c r="I73" s="941"/>
      <c r="N73" s="1069"/>
      <c r="O73" s="1036"/>
      <c r="P73" s="1036"/>
      <c r="Q73" s="1036"/>
      <c r="R73" s="1036"/>
      <c r="S73" s="1036"/>
      <c r="T73" s="1036"/>
      <c r="U73" s="1036"/>
      <c r="V73" s="1036"/>
      <c r="W73" s="1070"/>
      <c r="AK73" s="89"/>
      <c r="AL73" s="89"/>
      <c r="AM73" s="89"/>
      <c r="AN73" s="89"/>
      <c r="AO73" s="89"/>
      <c r="AP73" s="89"/>
      <c r="AQ73" s="89"/>
      <c r="AR73" s="89"/>
      <c r="AS73" s="89"/>
      <c r="AT73" s="89"/>
    </row>
    <row r="74" spans="1:46" ht="15.75" customHeight="1">
      <c r="A74" s="941"/>
      <c r="B74" s="941"/>
      <c r="C74" s="941"/>
      <c r="D74" s="941"/>
      <c r="E74" s="941"/>
      <c r="F74" s="941"/>
      <c r="G74" s="941"/>
      <c r="H74" s="941"/>
      <c r="I74" s="941"/>
      <c r="N74" s="1069"/>
      <c r="O74" s="1036"/>
      <c r="P74" s="1036"/>
      <c r="Q74" s="1036"/>
      <c r="R74" s="1036"/>
      <c r="S74" s="1036"/>
      <c r="T74" s="1036"/>
      <c r="U74" s="1036"/>
      <c r="V74" s="1036"/>
      <c r="W74" s="1070"/>
      <c r="AK74" s="89"/>
      <c r="AL74" s="89"/>
      <c r="AM74" s="89"/>
      <c r="AN74" s="89"/>
      <c r="AO74" s="89"/>
      <c r="AP74" s="89"/>
      <c r="AQ74" s="89"/>
      <c r="AR74" s="89"/>
      <c r="AS74" s="89"/>
      <c r="AT74" s="89"/>
    </row>
    <row r="75" spans="1:46" ht="15.75" customHeight="1">
      <c r="A75" s="941"/>
      <c r="B75" s="941"/>
      <c r="C75" s="941"/>
      <c r="D75" s="941"/>
      <c r="E75" s="941"/>
      <c r="F75" s="941"/>
      <c r="G75" s="941"/>
      <c r="H75" s="941"/>
      <c r="I75" s="941"/>
      <c r="N75" s="1069"/>
      <c r="O75" s="1036"/>
      <c r="P75" s="1036"/>
      <c r="Q75" s="1036"/>
      <c r="R75" s="1036"/>
      <c r="S75" s="1036"/>
      <c r="T75" s="1036"/>
      <c r="U75" s="1036"/>
      <c r="V75" s="1036"/>
      <c r="W75" s="1070"/>
      <c r="AK75" s="89"/>
      <c r="AL75" s="89"/>
      <c r="AM75" s="89"/>
      <c r="AN75" s="89"/>
      <c r="AO75" s="89"/>
      <c r="AP75" s="89"/>
      <c r="AQ75" s="89"/>
      <c r="AR75" s="89"/>
      <c r="AS75" s="89"/>
      <c r="AT75" s="89"/>
    </row>
    <row r="76" spans="1:46" ht="15.75" customHeight="1">
      <c r="N76" s="1069"/>
      <c r="O76" s="1036"/>
      <c r="P76" s="1036"/>
      <c r="Q76" s="1036"/>
      <c r="R76" s="1036"/>
      <c r="S76" s="1036"/>
      <c r="T76" s="1036"/>
      <c r="U76" s="1036"/>
      <c r="V76" s="1036"/>
      <c r="W76" s="1070"/>
      <c r="AK76" s="89"/>
      <c r="AL76" s="89"/>
      <c r="AM76" s="89"/>
      <c r="AN76" s="89"/>
      <c r="AO76" s="89"/>
      <c r="AP76" s="89"/>
      <c r="AQ76" s="89"/>
      <c r="AR76" s="89"/>
      <c r="AS76" s="89"/>
      <c r="AT76" s="89"/>
    </row>
    <row r="77" spans="1:46" ht="15" customHeight="1">
      <c r="N77" s="1069"/>
      <c r="O77" s="1036"/>
      <c r="P77" s="1036"/>
      <c r="Q77" s="1036"/>
      <c r="R77" s="1036"/>
      <c r="S77" s="1036"/>
      <c r="T77" s="1036"/>
      <c r="U77" s="1036"/>
      <c r="V77" s="1036"/>
      <c r="W77" s="1070"/>
      <c r="AK77" s="89"/>
      <c r="AL77" s="89"/>
      <c r="AM77" s="89"/>
      <c r="AN77" s="89"/>
      <c r="AO77" s="89"/>
      <c r="AP77" s="89"/>
      <c r="AQ77" s="89"/>
      <c r="AR77" s="89"/>
      <c r="AS77" s="89"/>
      <c r="AT77" s="89"/>
    </row>
    <row r="78" spans="1:46" ht="15" customHeight="1">
      <c r="N78" s="1069"/>
      <c r="O78" s="1036"/>
      <c r="P78" s="1036"/>
      <c r="Q78" s="1036"/>
      <c r="R78" s="1036"/>
      <c r="S78" s="1036"/>
      <c r="T78" s="1036"/>
      <c r="U78" s="1036"/>
      <c r="V78" s="1036"/>
      <c r="W78" s="1070"/>
      <c r="AK78" s="89"/>
      <c r="AL78" s="89"/>
      <c r="AM78" s="89"/>
      <c r="AN78" s="89"/>
      <c r="AO78" s="89"/>
      <c r="AP78" s="89"/>
      <c r="AQ78" s="89"/>
      <c r="AR78" s="89"/>
      <c r="AS78" s="89"/>
      <c r="AT78" s="89"/>
    </row>
    <row r="79" spans="1:46" ht="15" customHeight="1">
      <c r="N79" s="1069"/>
      <c r="O79" s="1036"/>
      <c r="P79" s="1036"/>
      <c r="Q79" s="1036"/>
      <c r="R79" s="1036"/>
      <c r="S79" s="1036"/>
      <c r="T79" s="1036"/>
      <c r="U79" s="1036"/>
      <c r="V79" s="1036"/>
      <c r="W79" s="1070"/>
      <c r="AK79" s="89"/>
      <c r="AL79" s="89"/>
      <c r="AM79" s="89"/>
      <c r="AN79" s="89"/>
      <c r="AO79" s="89"/>
      <c r="AP79" s="89"/>
      <c r="AQ79" s="89"/>
      <c r="AR79" s="89"/>
      <c r="AS79" s="89"/>
      <c r="AT79" s="89"/>
    </row>
    <row r="80" spans="1:46" ht="15" customHeight="1">
      <c r="N80" s="1069"/>
      <c r="O80" s="1036"/>
      <c r="P80" s="1036"/>
      <c r="Q80" s="1036"/>
      <c r="R80" s="1036"/>
      <c r="S80" s="1036"/>
      <c r="T80" s="1036"/>
      <c r="U80" s="1036"/>
      <c r="V80" s="1036"/>
      <c r="W80" s="1070"/>
      <c r="AK80" s="89"/>
      <c r="AL80" s="89"/>
      <c r="AM80" s="89"/>
      <c r="AN80" s="89"/>
      <c r="AO80" s="89"/>
      <c r="AP80" s="89"/>
      <c r="AQ80" s="89"/>
      <c r="AR80" s="89"/>
      <c r="AS80" s="89"/>
      <c r="AT80" s="89"/>
    </row>
    <row r="81" spans="14:46" ht="15" customHeight="1">
      <c r="N81" s="1069"/>
      <c r="O81" s="1036"/>
      <c r="P81" s="1036"/>
      <c r="Q81" s="1036"/>
      <c r="R81" s="1036"/>
      <c r="S81" s="1036"/>
      <c r="T81" s="1036"/>
      <c r="U81" s="1036"/>
      <c r="V81" s="1036"/>
      <c r="W81" s="1070"/>
      <c r="AK81" s="89"/>
      <c r="AL81" s="89"/>
      <c r="AM81" s="89"/>
      <c r="AN81" s="89"/>
      <c r="AO81" s="89"/>
      <c r="AP81" s="89"/>
      <c r="AQ81" s="89"/>
      <c r="AR81" s="89"/>
      <c r="AS81" s="89"/>
      <c r="AT81" s="89"/>
    </row>
    <row r="82" spans="14:46" ht="15.75" customHeight="1" thickBot="1">
      <c r="N82" s="1112"/>
      <c r="O82" s="1113"/>
      <c r="P82" s="1113"/>
      <c r="Q82" s="1113"/>
      <c r="R82" s="1113"/>
      <c r="S82" s="1113"/>
      <c r="T82" s="1113"/>
      <c r="U82" s="1113"/>
      <c r="V82" s="1113"/>
      <c r="W82" s="1128"/>
      <c r="AK82" s="89"/>
      <c r="AL82" s="89"/>
      <c r="AM82" s="89"/>
      <c r="AN82" s="89"/>
      <c r="AO82" s="89"/>
      <c r="AP82" s="89"/>
      <c r="AQ82" s="89"/>
      <c r="AR82" s="89"/>
      <c r="AS82" s="89"/>
      <c r="AT82" s="89"/>
    </row>
    <row r="83" spans="14:46" ht="15" customHeight="1">
      <c r="AK83" s="89"/>
      <c r="AL83" s="89"/>
      <c r="AM83" s="89"/>
      <c r="AN83" s="89"/>
      <c r="AO83" s="89"/>
      <c r="AP83" s="89"/>
      <c r="AQ83" s="89"/>
      <c r="AR83" s="89"/>
      <c r="AS83" s="89"/>
      <c r="AT83" s="89"/>
    </row>
    <row r="84" spans="14:46" ht="15" customHeight="1">
      <c r="AK84" s="89"/>
      <c r="AL84" s="89"/>
      <c r="AM84" s="89"/>
      <c r="AN84" s="89"/>
      <c r="AO84" s="89"/>
      <c r="AP84" s="89"/>
      <c r="AQ84" s="89"/>
      <c r="AR84" s="89"/>
      <c r="AS84" s="89"/>
      <c r="AT84" s="89"/>
    </row>
    <row r="85" spans="14:46" ht="15" customHeight="1">
      <c r="AK85" s="89"/>
      <c r="AL85" s="89"/>
      <c r="AM85" s="89"/>
      <c r="AN85" s="89"/>
      <c r="AO85" s="89"/>
      <c r="AP85" s="89"/>
      <c r="AQ85" s="89"/>
      <c r="AR85" s="89"/>
      <c r="AS85" s="89"/>
      <c r="AT85" s="89"/>
    </row>
    <row r="86" spans="14:46" ht="15" customHeight="1">
      <c r="AK86" s="89"/>
      <c r="AL86" s="89"/>
      <c r="AM86" s="89"/>
      <c r="AN86" s="89"/>
      <c r="AO86" s="89"/>
      <c r="AP86" s="89"/>
      <c r="AQ86" s="89"/>
      <c r="AR86" s="89"/>
      <c r="AS86" s="89"/>
      <c r="AT86" s="89"/>
    </row>
    <row r="87" spans="14:46" ht="15" customHeight="1">
      <c r="AK87" s="89"/>
      <c r="AL87" s="89"/>
      <c r="AM87" s="89"/>
      <c r="AN87" s="89"/>
      <c r="AO87" s="89"/>
      <c r="AP87" s="89"/>
      <c r="AQ87" s="89"/>
      <c r="AR87" s="89"/>
      <c r="AS87" s="89"/>
      <c r="AT87" s="89"/>
    </row>
    <row r="88" spans="14:46" ht="15" customHeight="1">
      <c r="AK88" s="89"/>
      <c r="AL88" s="89"/>
      <c r="AM88" s="89"/>
      <c r="AN88" s="89"/>
      <c r="AO88" s="89"/>
      <c r="AP88" s="89"/>
      <c r="AQ88" s="89"/>
      <c r="AR88" s="89"/>
      <c r="AS88" s="89"/>
      <c r="AT88" s="89"/>
    </row>
    <row r="89" spans="14:46" ht="15" customHeight="1">
      <c r="AK89" s="89"/>
      <c r="AL89" s="89"/>
      <c r="AM89" s="89"/>
      <c r="AN89" s="89"/>
      <c r="AO89" s="89"/>
      <c r="AP89" s="89"/>
      <c r="AQ89" s="89"/>
      <c r="AR89" s="89"/>
      <c r="AS89" s="89"/>
      <c r="AT89" s="89"/>
    </row>
    <row r="90" spans="14:46" ht="15" customHeight="1">
      <c r="AK90" s="89"/>
      <c r="AL90" s="89"/>
      <c r="AM90" s="89"/>
      <c r="AN90" s="89"/>
      <c r="AO90" s="89"/>
      <c r="AP90" s="89"/>
      <c r="AQ90" s="89"/>
      <c r="AR90" s="89"/>
      <c r="AS90" s="89"/>
      <c r="AT90" s="89"/>
    </row>
    <row r="91" spans="14:46" ht="15" customHeight="1">
      <c r="AK91" s="89"/>
      <c r="AL91" s="89"/>
      <c r="AM91" s="89"/>
      <c r="AN91" s="89"/>
      <c r="AO91" s="89"/>
      <c r="AP91" s="89"/>
      <c r="AQ91" s="89"/>
      <c r="AR91" s="89"/>
      <c r="AS91" s="89"/>
      <c r="AT91" s="89"/>
    </row>
    <row r="92" spans="14:46" ht="15" customHeight="1">
      <c r="AK92" s="89"/>
      <c r="AL92" s="89"/>
      <c r="AM92" s="89"/>
      <c r="AN92" s="89"/>
      <c r="AO92" s="89"/>
      <c r="AP92" s="89"/>
      <c r="AQ92" s="89"/>
      <c r="AR92" s="89"/>
      <c r="AS92" s="89"/>
      <c r="AT92" s="89"/>
    </row>
    <row r="93" spans="14:46" ht="15" customHeight="1">
      <c r="AK93" s="89"/>
      <c r="AL93" s="89"/>
      <c r="AM93" s="89"/>
      <c r="AN93" s="89"/>
      <c r="AO93" s="89"/>
      <c r="AP93" s="89"/>
      <c r="AQ93" s="89"/>
      <c r="AR93" s="89"/>
      <c r="AS93" s="89"/>
      <c r="AT93" s="89"/>
    </row>
    <row r="94" spans="14:46" ht="15" customHeight="1">
      <c r="AK94" s="89"/>
      <c r="AL94" s="89"/>
      <c r="AM94" s="89"/>
      <c r="AN94" s="89"/>
      <c r="AO94" s="89"/>
      <c r="AP94" s="89"/>
      <c r="AQ94" s="89"/>
      <c r="AR94" s="89"/>
      <c r="AS94" s="89"/>
      <c r="AT94" s="89"/>
    </row>
    <row r="95" spans="14:46" ht="15" customHeight="1">
      <c r="AK95" s="89"/>
      <c r="AL95" s="89"/>
      <c r="AM95" s="89"/>
      <c r="AN95" s="89"/>
      <c r="AO95" s="89"/>
      <c r="AP95" s="89"/>
      <c r="AQ95" s="89"/>
      <c r="AR95" s="89"/>
      <c r="AS95" s="89"/>
      <c r="AT95" s="89"/>
    </row>
    <row r="96" spans="14:46" ht="15" customHeight="1">
      <c r="AK96" s="89"/>
      <c r="AL96" s="89"/>
      <c r="AM96" s="89"/>
      <c r="AN96" s="89"/>
      <c r="AO96" s="89"/>
      <c r="AP96" s="89"/>
      <c r="AQ96" s="89"/>
      <c r="AR96" s="89"/>
      <c r="AS96" s="89"/>
      <c r="AT96" s="89"/>
    </row>
    <row r="97" spans="37:46" ht="15" customHeight="1">
      <c r="AK97" s="89"/>
      <c r="AL97" s="89"/>
      <c r="AM97" s="89"/>
      <c r="AN97" s="89"/>
      <c r="AO97" s="89"/>
      <c r="AP97" s="89"/>
      <c r="AQ97" s="89"/>
      <c r="AR97" s="89"/>
      <c r="AS97" s="89"/>
      <c r="AT97" s="89"/>
    </row>
    <row r="98" spans="37:46" ht="15" customHeight="1">
      <c r="AK98" s="89"/>
      <c r="AL98" s="89"/>
      <c r="AM98" s="89"/>
      <c r="AN98" s="89"/>
      <c r="AO98" s="89"/>
      <c r="AP98" s="89"/>
      <c r="AQ98" s="89"/>
      <c r="AR98" s="89"/>
      <c r="AS98" s="89"/>
      <c r="AT98" s="89"/>
    </row>
    <row r="99" spans="37:46" ht="15" customHeight="1">
      <c r="AK99" s="89"/>
      <c r="AL99" s="89"/>
      <c r="AM99" s="89"/>
      <c r="AN99" s="89"/>
      <c r="AO99" s="89"/>
      <c r="AP99" s="89"/>
      <c r="AQ99" s="89"/>
      <c r="AR99" s="89"/>
      <c r="AS99" s="89"/>
      <c r="AT99" s="89"/>
    </row>
    <row r="100" spans="37:46" ht="15" customHeight="1">
      <c r="AK100" s="89"/>
      <c r="AL100" s="89"/>
      <c r="AM100" s="89"/>
      <c r="AN100" s="89"/>
      <c r="AO100" s="89"/>
      <c r="AP100" s="89"/>
      <c r="AQ100" s="89"/>
      <c r="AR100" s="89"/>
      <c r="AS100" s="89"/>
      <c r="AT100" s="89"/>
    </row>
    <row r="101" spans="37:46" ht="15" customHeight="1">
      <c r="AK101" s="89"/>
      <c r="AL101" s="89"/>
      <c r="AM101" s="89"/>
      <c r="AN101" s="89"/>
      <c r="AO101" s="89"/>
      <c r="AP101" s="89"/>
      <c r="AQ101" s="89"/>
      <c r="AR101" s="89"/>
      <c r="AS101" s="89"/>
      <c r="AT101" s="89"/>
    </row>
  </sheetData>
  <mergeCells count="294">
    <mergeCell ref="Z6:AF12"/>
    <mergeCell ref="A73:G73"/>
    <mergeCell ref="A74:G74"/>
    <mergeCell ref="A75:G75"/>
    <mergeCell ref="H65:I65"/>
    <mergeCell ref="H66:I66"/>
    <mergeCell ref="H67:I67"/>
    <mergeCell ref="H68:I68"/>
    <mergeCell ref="H69:I69"/>
    <mergeCell ref="H70:I70"/>
    <mergeCell ref="H71:I71"/>
    <mergeCell ref="H72:I72"/>
    <mergeCell ref="H73:I73"/>
    <mergeCell ref="H74:I74"/>
    <mergeCell ref="H75:I75"/>
    <mergeCell ref="A68:G68"/>
    <mergeCell ref="A69:G69"/>
    <mergeCell ref="A70:G70"/>
    <mergeCell ref="A71:G71"/>
    <mergeCell ref="A72:G72"/>
    <mergeCell ref="A65:G65"/>
    <mergeCell ref="A66:G66"/>
    <mergeCell ref="A67:G67"/>
    <mergeCell ref="A61:G61"/>
    <mergeCell ref="H61:I61"/>
    <mergeCell ref="A62:G62"/>
    <mergeCell ref="H62:I62"/>
    <mergeCell ref="A63:G63"/>
    <mergeCell ref="H63:I63"/>
    <mergeCell ref="A64:G64"/>
    <mergeCell ref="H64:I64"/>
    <mergeCell ref="A58:G58"/>
    <mergeCell ref="H58:I58"/>
    <mergeCell ref="A59:G59"/>
    <mergeCell ref="H59:I59"/>
    <mergeCell ref="A60:G60"/>
    <mergeCell ref="H60:I60"/>
    <mergeCell ref="A55:G55"/>
    <mergeCell ref="H55:I55"/>
    <mergeCell ref="A56:G56"/>
    <mergeCell ref="H56:I56"/>
    <mergeCell ref="A57:G57"/>
    <mergeCell ref="H57:I57"/>
    <mergeCell ref="A52:G52"/>
    <mergeCell ref="H52:I52"/>
    <mergeCell ref="A53:G53"/>
    <mergeCell ref="H53:I53"/>
    <mergeCell ref="A54:G54"/>
    <mergeCell ref="H54:I54"/>
    <mergeCell ref="A2:I2"/>
    <mergeCell ref="D7:H7"/>
    <mergeCell ref="A17:C17"/>
    <mergeCell ref="A18:C18"/>
    <mergeCell ref="G16:I17"/>
    <mergeCell ref="I18:I19"/>
    <mergeCell ref="D10:H10"/>
    <mergeCell ref="A13:I13"/>
    <mergeCell ref="D16:F16"/>
    <mergeCell ref="D4:H4"/>
    <mergeCell ref="A14:C14"/>
    <mergeCell ref="A15:C15"/>
    <mergeCell ref="A16:C16"/>
    <mergeCell ref="D9:H9"/>
    <mergeCell ref="D8:H8"/>
    <mergeCell ref="A3:C3"/>
    <mergeCell ref="D3:H3"/>
    <mergeCell ref="D5:H5"/>
    <mergeCell ref="D6:H6"/>
    <mergeCell ref="A20:C20"/>
    <mergeCell ref="A34:C34"/>
    <mergeCell ref="D34:I34"/>
    <mergeCell ref="A21:C21"/>
    <mergeCell ref="G18:H19"/>
    <mergeCell ref="A19:C19"/>
    <mergeCell ref="A24:C24"/>
    <mergeCell ref="A25:C25"/>
    <mergeCell ref="A22:C22"/>
    <mergeCell ref="A23:C23"/>
    <mergeCell ref="G22:H23"/>
    <mergeCell ref="D23:E23"/>
    <mergeCell ref="D22:E22"/>
    <mergeCell ref="A29:C30"/>
    <mergeCell ref="D29:I30"/>
    <mergeCell ref="A32:C32"/>
    <mergeCell ref="D32:I32"/>
    <mergeCell ref="A26:C26"/>
    <mergeCell ref="A27:C27"/>
    <mergeCell ref="D24:F24"/>
    <mergeCell ref="O18:Q18"/>
    <mergeCell ref="R18:T18"/>
    <mergeCell ref="U18:W18"/>
    <mergeCell ref="I26:I27"/>
    <mergeCell ref="D27:E27"/>
    <mergeCell ref="D21:E21"/>
    <mergeCell ref="D17:E17"/>
    <mergeCell ref="D18:E18"/>
    <mergeCell ref="D19:E19"/>
    <mergeCell ref="I22:I23"/>
    <mergeCell ref="G24:I25"/>
    <mergeCell ref="D25:E25"/>
    <mergeCell ref="D26:E26"/>
    <mergeCell ref="G26:H27"/>
    <mergeCell ref="D20:F20"/>
    <mergeCell ref="G20:I21"/>
    <mergeCell ref="O22:P22"/>
    <mergeCell ref="N23:N24"/>
    <mergeCell ref="O23:P23"/>
    <mergeCell ref="O24:P24"/>
    <mergeCell ref="R24:S24"/>
    <mergeCell ref="U24:V24"/>
    <mergeCell ref="N25:N27"/>
    <mergeCell ref="U25:V25"/>
    <mergeCell ref="O15:Q15"/>
    <mergeCell ref="R15:T15"/>
    <mergeCell ref="U15:W15"/>
    <mergeCell ref="O16:Q16"/>
    <mergeCell ref="R16:T16"/>
    <mergeCell ref="U16:W16"/>
    <mergeCell ref="O17:Q17"/>
    <mergeCell ref="R17:T17"/>
    <mergeCell ref="U17:W17"/>
    <mergeCell ref="O9:P9"/>
    <mergeCell ref="S9:T9"/>
    <mergeCell ref="O12:Q12"/>
    <mergeCell ref="R12:T12"/>
    <mergeCell ref="O13:Q13"/>
    <mergeCell ref="R13:T13"/>
    <mergeCell ref="U13:W13"/>
    <mergeCell ref="O14:Q14"/>
    <mergeCell ref="R14:T14"/>
    <mergeCell ref="U14:W14"/>
    <mergeCell ref="O10:P10"/>
    <mergeCell ref="O11:P11"/>
    <mergeCell ref="U12:W12"/>
    <mergeCell ref="Q9:R9"/>
    <mergeCell ref="U9:V9"/>
    <mergeCell ref="R10:S10"/>
    <mergeCell ref="U10:V10"/>
    <mergeCell ref="R11:S11"/>
    <mergeCell ref="U11:V11"/>
    <mergeCell ref="O1:W1"/>
    <mergeCell ref="O2:W2"/>
    <mergeCell ref="O3:W3"/>
    <mergeCell ref="N4:W4"/>
    <mergeCell ref="O5:W5"/>
    <mergeCell ref="O6:W6"/>
    <mergeCell ref="O7:P7"/>
    <mergeCell ref="S7:T7"/>
    <mergeCell ref="S8:T8"/>
    <mergeCell ref="O8:P8"/>
    <mergeCell ref="Q7:R7"/>
    <mergeCell ref="U7:V7"/>
    <mergeCell ref="Q8:R8"/>
    <mergeCell ref="U8:V8"/>
    <mergeCell ref="N80:W80"/>
    <mergeCell ref="N81:W81"/>
    <mergeCell ref="N82:W82"/>
    <mergeCell ref="N78:W78"/>
    <mergeCell ref="N79:W79"/>
    <mergeCell ref="O19:Q19"/>
    <mergeCell ref="R19:T19"/>
    <mergeCell ref="U19:W19"/>
    <mergeCell ref="N46:N47"/>
    <mergeCell ref="N42:N43"/>
    <mergeCell ref="N44:N45"/>
    <mergeCell ref="O20:P20"/>
    <mergeCell ref="N21:N22"/>
    <mergeCell ref="O21:P21"/>
    <mergeCell ref="R20:S20"/>
    <mergeCell ref="U20:V20"/>
    <mergeCell ref="R21:S21"/>
    <mergeCell ref="U21:V21"/>
    <mergeCell ref="R22:S22"/>
    <mergeCell ref="U22:V22"/>
    <mergeCell ref="R23:S23"/>
    <mergeCell ref="U23:V23"/>
    <mergeCell ref="O25:P25"/>
    <mergeCell ref="R25:S25"/>
    <mergeCell ref="O26:P26"/>
    <mergeCell ref="R26:S26"/>
    <mergeCell ref="U26:V26"/>
    <mergeCell ref="O27:P27"/>
    <mergeCell ref="R27:S27"/>
    <mergeCell ref="U27:V27"/>
    <mergeCell ref="N28:N30"/>
    <mergeCell ref="O28:P28"/>
    <mergeCell ref="R28:S28"/>
    <mergeCell ref="U28:V28"/>
    <mergeCell ref="O29:P29"/>
    <mergeCell ref="R29:S29"/>
    <mergeCell ref="U29:V29"/>
    <mergeCell ref="O30:P30"/>
    <mergeCell ref="R30:S30"/>
    <mergeCell ref="U30:V30"/>
    <mergeCell ref="N31:N33"/>
    <mergeCell ref="O31:P31"/>
    <mergeCell ref="R31:S31"/>
    <mergeCell ref="U31:V31"/>
    <mergeCell ref="O32:P32"/>
    <mergeCell ref="R32:S32"/>
    <mergeCell ref="U32:V32"/>
    <mergeCell ref="O33:P33"/>
    <mergeCell ref="R33:S33"/>
    <mergeCell ref="U33:V33"/>
    <mergeCell ref="O34:P34"/>
    <mergeCell ref="R34:S34"/>
    <mergeCell ref="U34:V34"/>
    <mergeCell ref="O35:P35"/>
    <mergeCell ref="R35:S35"/>
    <mergeCell ref="U35:V35"/>
    <mergeCell ref="O36:P36"/>
    <mergeCell ref="R36:S36"/>
    <mergeCell ref="U36:V36"/>
    <mergeCell ref="O37:P37"/>
    <mergeCell ref="O38:P38"/>
    <mergeCell ref="N39:N40"/>
    <mergeCell ref="O39:P39"/>
    <mergeCell ref="R39:S39"/>
    <mergeCell ref="U39:V39"/>
    <mergeCell ref="O40:P40"/>
    <mergeCell ref="R40:S40"/>
    <mergeCell ref="U40:V40"/>
    <mergeCell ref="O41:P41"/>
    <mergeCell ref="R41:S41"/>
    <mergeCell ref="U41:V41"/>
    <mergeCell ref="O42:P42"/>
    <mergeCell ref="R42:S42"/>
    <mergeCell ref="U42:V42"/>
    <mergeCell ref="O43:P43"/>
    <mergeCell ref="R43:S43"/>
    <mergeCell ref="U43:V43"/>
    <mergeCell ref="O44:P44"/>
    <mergeCell ref="R44:S44"/>
    <mergeCell ref="U44:V44"/>
    <mergeCell ref="O45:P45"/>
    <mergeCell ref="R45:S45"/>
    <mergeCell ref="U45:V45"/>
    <mergeCell ref="O46:P46"/>
    <mergeCell ref="R46:S46"/>
    <mergeCell ref="U46:V46"/>
    <mergeCell ref="O47:P47"/>
    <mergeCell ref="R47:S47"/>
    <mergeCell ref="U47:V47"/>
    <mergeCell ref="O48:P48"/>
    <mergeCell ref="R48:S48"/>
    <mergeCell ref="U48:V48"/>
    <mergeCell ref="N49:N50"/>
    <mergeCell ref="O49:P49"/>
    <mergeCell ref="R49:S49"/>
    <mergeCell ref="U49:V49"/>
    <mergeCell ref="O50:P50"/>
    <mergeCell ref="R50:S50"/>
    <mergeCell ref="U50:V50"/>
    <mergeCell ref="N51:N52"/>
    <mergeCell ref="O51:P51"/>
    <mergeCell ref="R51:S51"/>
    <mergeCell ref="U51:V51"/>
    <mergeCell ref="O52:P52"/>
    <mergeCell ref="R52:S52"/>
    <mergeCell ref="U52:V52"/>
    <mergeCell ref="N53:N54"/>
    <mergeCell ref="O53:P53"/>
    <mergeCell ref="R53:S53"/>
    <mergeCell ref="U53:V53"/>
    <mergeCell ref="O54:P54"/>
    <mergeCell ref="R54:S54"/>
    <mergeCell ref="U54:V54"/>
    <mergeCell ref="O55:P55"/>
    <mergeCell ref="R55:S55"/>
    <mergeCell ref="U55:V55"/>
    <mergeCell ref="O56:P56"/>
    <mergeCell ref="R56:S56"/>
    <mergeCell ref="U56:V56"/>
    <mergeCell ref="O57:P57"/>
    <mergeCell ref="O58:P58"/>
    <mergeCell ref="O59:P59"/>
    <mergeCell ref="O60:P60"/>
    <mergeCell ref="O61:P61"/>
    <mergeCell ref="N62:W62"/>
    <mergeCell ref="N63:W63"/>
    <mergeCell ref="N64:W64"/>
    <mergeCell ref="N65:W65"/>
    <mergeCell ref="N66:W66"/>
    <mergeCell ref="N67:W67"/>
    <mergeCell ref="N68:W68"/>
    <mergeCell ref="N69:W69"/>
    <mergeCell ref="N70:W70"/>
    <mergeCell ref="N71:W71"/>
    <mergeCell ref="N72:W72"/>
    <mergeCell ref="N73:W73"/>
    <mergeCell ref="N74:W74"/>
    <mergeCell ref="N75:W75"/>
    <mergeCell ref="N76:W76"/>
    <mergeCell ref="N77:W77"/>
  </mergeCells>
  <phoneticPr fontId="28" type="noConversion"/>
  <dataValidations disablePrompts="1" count="1">
    <dataValidation type="list" allowBlank="1" showInputMessage="1" showErrorMessage="1" sqref="G24:I25 G20:I21 G16:I17" xr:uid="{8FD66E85-907C-496F-877B-985DEFBD8441}">
      <formula1>#REF!</formula1>
    </dataValidation>
  </dataValidations>
  <pageMargins left="0.11811023622047245" right="0.11811023622047245" top="0.19685039370078741" bottom="0.39370078740157483" header="0.31496062992125984" footer="0.31496062992125984"/>
  <pageSetup paperSize="9" scale="31"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6E5B1-1960-4C56-87AC-3FCB5855B809}">
  <sheetPr codeName="Arkusz12">
    <tabColor theme="4" tint="-0.499984740745262"/>
  </sheetPr>
  <dimension ref="A1:BO111"/>
  <sheetViews>
    <sheetView topLeftCell="A4" workbookViewId="0">
      <selection activeCell="AO11" sqref="AO11"/>
    </sheetView>
  </sheetViews>
  <sheetFormatPr defaultRowHeight="15"/>
  <cols>
    <col min="1" max="40" width="4.28515625" customWidth="1"/>
    <col min="50" max="50" width="6.42578125" bestFit="1" customWidth="1"/>
  </cols>
  <sheetData>
    <row r="1" spans="1:58" ht="12.95" customHeight="1">
      <c r="A1" s="915">
        <f>'Protokół odbioru'!D8</f>
        <v>0</v>
      </c>
      <c r="B1" s="915"/>
      <c r="C1" s="915"/>
      <c r="D1" s="915"/>
      <c r="E1" s="915"/>
      <c r="F1" s="915"/>
      <c r="G1" s="915"/>
      <c r="H1" s="915"/>
      <c r="I1" s="915"/>
      <c r="Q1" s="1294">
        <f ca="1">PV!AB59</f>
        <v>45306</v>
      </c>
      <c r="R1" s="1294"/>
      <c r="S1" s="1294"/>
      <c r="T1" s="1294"/>
      <c r="U1" s="915">
        <f>'Protokół odbioru'!X9</f>
        <v>0</v>
      </c>
      <c r="V1" s="915"/>
      <c r="W1" s="915"/>
      <c r="X1" s="915"/>
      <c r="Y1" s="915"/>
      <c r="Z1" s="915"/>
      <c r="AA1" s="915"/>
      <c r="AB1" s="915"/>
      <c r="AC1" s="915"/>
      <c r="AK1" s="1294">
        <f ca="1">PV!AB59</f>
        <v>45306</v>
      </c>
      <c r="AL1" s="1294"/>
      <c r="AM1" s="1294"/>
      <c r="AN1" s="1294"/>
    </row>
    <row r="2" spans="1:58" ht="12.95" customHeight="1">
      <c r="A2" s="1295">
        <f>'Protokół odbioru'!D9</f>
        <v>0</v>
      </c>
      <c r="B2" s="1295"/>
      <c r="C2" s="1295"/>
      <c r="D2" s="1295"/>
      <c r="E2" s="1295"/>
      <c r="F2" s="1295"/>
      <c r="G2" s="1295"/>
      <c r="H2" s="1295"/>
      <c r="I2" s="1295"/>
      <c r="Q2" s="1294"/>
      <c r="R2" s="1294"/>
      <c r="S2" s="1294"/>
      <c r="T2" s="1294"/>
      <c r="U2" s="1295">
        <f>'Protokół odbioru'!X10</f>
        <v>0</v>
      </c>
      <c r="V2" s="1295"/>
      <c r="W2" s="1295"/>
      <c r="X2" s="1295"/>
      <c r="Y2" s="1295"/>
      <c r="Z2" s="1295"/>
      <c r="AA2" s="1295"/>
      <c r="AB2" s="1295"/>
      <c r="AC2" s="1295"/>
      <c r="AK2" s="1294"/>
      <c r="AL2" s="1294"/>
      <c r="AM2" s="1294"/>
      <c r="AN2" s="1294"/>
    </row>
    <row r="3" spans="1:58" ht="12.95" customHeight="1">
      <c r="A3" s="1295"/>
      <c r="B3" s="1295"/>
      <c r="C3" s="1295"/>
      <c r="D3" s="1295"/>
      <c r="E3" s="1295"/>
      <c r="F3" s="1295"/>
      <c r="G3" s="1295"/>
      <c r="H3" s="1295"/>
      <c r="I3" s="1295"/>
      <c r="U3" s="1295"/>
      <c r="V3" s="1295"/>
      <c r="W3" s="1295"/>
      <c r="X3" s="1295"/>
      <c r="Y3" s="1295"/>
      <c r="Z3" s="1295"/>
      <c r="AA3" s="1295"/>
      <c r="AB3" s="1295"/>
      <c r="AC3" s="1295"/>
    </row>
    <row r="4" spans="1:58" ht="12.95" customHeight="1">
      <c r="A4" s="915"/>
      <c r="B4" s="915"/>
      <c r="C4" s="915"/>
      <c r="D4" s="915"/>
      <c r="E4" s="915"/>
      <c r="F4" s="915"/>
      <c r="G4" s="915"/>
      <c r="H4" s="915"/>
      <c r="I4" s="915"/>
      <c r="U4" s="915"/>
      <c r="V4" s="915"/>
      <c r="W4" s="915"/>
      <c r="X4" s="915"/>
      <c r="Y4" s="915"/>
      <c r="Z4" s="915"/>
      <c r="AA4" s="915"/>
      <c r="AB4" s="915"/>
      <c r="AC4" s="915"/>
    </row>
    <row r="5" spans="1:58" ht="12.95" customHeight="1">
      <c r="A5" s="79"/>
      <c r="B5" s="79"/>
      <c r="C5" s="79"/>
      <c r="D5" s="79"/>
      <c r="E5" s="79"/>
      <c r="F5" s="79"/>
      <c r="G5" s="79"/>
      <c r="H5" s="79"/>
      <c r="I5" s="79"/>
      <c r="U5" s="79"/>
      <c r="V5" s="79"/>
      <c r="W5" s="79"/>
      <c r="X5" s="79"/>
      <c r="Y5" s="79"/>
      <c r="Z5" s="79"/>
      <c r="AA5" s="79"/>
      <c r="AB5" s="79"/>
      <c r="AC5" s="79"/>
    </row>
    <row r="6" spans="1:58" ht="12.95" customHeight="1">
      <c r="A6" s="1296" t="s">
        <v>434</v>
      </c>
      <c r="B6" s="1296"/>
      <c r="C6" s="1296"/>
      <c r="D6" s="1296"/>
      <c r="E6" s="1296"/>
      <c r="F6" s="1296"/>
      <c r="G6" s="1296"/>
      <c r="H6" s="1296"/>
      <c r="I6" s="1296"/>
      <c r="J6" s="1296"/>
      <c r="K6" s="1296"/>
      <c r="L6" s="1296"/>
      <c r="M6" s="1296"/>
      <c r="N6" s="1296"/>
      <c r="O6" s="1296"/>
      <c r="P6" s="1296"/>
      <c r="Q6" s="1296"/>
      <c r="R6" s="1296"/>
      <c r="S6" s="1296"/>
      <c r="T6" s="1296"/>
      <c r="U6" s="1296" t="s">
        <v>434</v>
      </c>
      <c r="V6" s="1296"/>
      <c r="W6" s="1296"/>
      <c r="X6" s="1296"/>
      <c r="Y6" s="1296"/>
      <c r="Z6" s="1296"/>
      <c r="AA6" s="1296"/>
      <c r="AB6" s="1296"/>
      <c r="AC6" s="1296"/>
      <c r="AD6" s="1296"/>
      <c r="AE6" s="1296"/>
      <c r="AF6" s="1296"/>
      <c r="AG6" s="1296"/>
      <c r="AH6" s="1296"/>
      <c r="AI6" s="1296"/>
      <c r="AJ6" s="1296"/>
      <c r="AK6" s="1296"/>
      <c r="AL6" s="1296"/>
      <c r="AM6" s="1296"/>
      <c r="AN6" s="1296"/>
      <c r="AX6" s="277"/>
    </row>
    <row r="7" spans="1:58" ht="12.95" customHeight="1">
      <c r="A7" s="1296"/>
      <c r="B7" s="1296"/>
      <c r="C7" s="1296"/>
      <c r="D7" s="1296"/>
      <c r="E7" s="1296"/>
      <c r="F7" s="1296"/>
      <c r="G7" s="1296"/>
      <c r="H7" s="1296"/>
      <c r="I7" s="1296"/>
      <c r="J7" s="1296"/>
      <c r="K7" s="1296"/>
      <c r="L7" s="1296"/>
      <c r="M7" s="1296"/>
      <c r="N7" s="1296"/>
      <c r="O7" s="1296"/>
      <c r="P7" s="1296"/>
      <c r="Q7" s="1296"/>
      <c r="R7" s="1296"/>
      <c r="S7" s="1296"/>
      <c r="T7" s="1296"/>
      <c r="U7" s="1296"/>
      <c r="V7" s="1296"/>
      <c r="W7" s="1296"/>
      <c r="X7" s="1296"/>
      <c r="Y7" s="1296"/>
      <c r="Z7" s="1296"/>
      <c r="AA7" s="1296"/>
      <c r="AB7" s="1296"/>
      <c r="AC7" s="1296"/>
      <c r="AD7" s="1296"/>
      <c r="AE7" s="1296"/>
      <c r="AF7" s="1296"/>
      <c r="AG7" s="1296"/>
      <c r="AH7" s="1296"/>
      <c r="AI7" s="1296"/>
      <c r="AJ7" s="1296"/>
      <c r="AK7" s="1296"/>
      <c r="AL7" s="1296"/>
      <c r="AM7" s="1296"/>
      <c r="AN7" s="1296"/>
    </row>
    <row r="8" spans="1:58" ht="12.95" customHeight="1">
      <c r="A8" s="102" t="s">
        <v>435</v>
      </c>
      <c r="U8" s="102" t="s">
        <v>435</v>
      </c>
    </row>
    <row r="9" spans="1:58" ht="12.95" customHeight="1">
      <c r="E9" s="1283" t="str">
        <f>PV!P68</f>
        <v>AMPERE Sp. z o.o.</v>
      </c>
      <c r="F9" s="1283"/>
      <c r="G9" s="1283"/>
      <c r="H9" s="1283"/>
      <c r="I9" s="1283"/>
      <c r="J9" s="1283"/>
      <c r="K9" s="1283"/>
      <c r="L9" s="1283"/>
      <c r="M9" s="1283"/>
      <c r="N9" s="1283"/>
      <c r="O9" s="1283"/>
      <c r="P9" s="1283"/>
      <c r="Y9" s="1283" t="str">
        <f>PV!P68</f>
        <v>AMPERE Sp. z o.o.</v>
      </c>
      <c r="Z9" s="1283"/>
      <c r="AA9" s="1283"/>
      <c r="AB9" s="1283"/>
      <c r="AC9" s="1283"/>
      <c r="AD9" s="1283"/>
      <c r="AE9" s="1283"/>
      <c r="AF9" s="1283"/>
      <c r="AG9" s="1283"/>
      <c r="AH9" s="1283"/>
      <c r="AI9" s="1283"/>
      <c r="AJ9" s="1283"/>
    </row>
    <row r="10" spans="1:58" ht="12.95" customHeight="1">
      <c r="E10" s="1283"/>
      <c r="F10" s="1283"/>
      <c r="G10" s="1283"/>
      <c r="H10" s="1283"/>
      <c r="I10" s="1283"/>
      <c r="J10" s="1283"/>
      <c r="K10" s="1283"/>
      <c r="L10" s="1283"/>
      <c r="M10" s="1283"/>
      <c r="N10" s="1283"/>
      <c r="O10" s="1283"/>
      <c r="P10" s="1283"/>
      <c r="Y10" s="1283"/>
      <c r="Z10" s="1283"/>
      <c r="AA10" s="1283"/>
      <c r="AB10" s="1283"/>
      <c r="AC10" s="1283"/>
      <c r="AD10" s="1283"/>
      <c r="AE10" s="1283"/>
      <c r="AF10" s="1283"/>
      <c r="AG10" s="1283"/>
      <c r="AH10" s="1283"/>
      <c r="AI10" s="1283"/>
      <c r="AJ10" s="1283"/>
      <c r="AQ10" s="278"/>
      <c r="AR10" s="278"/>
      <c r="AS10" s="278"/>
      <c r="AT10" s="278"/>
      <c r="AU10" s="278"/>
      <c r="AV10" s="278"/>
      <c r="AW10" s="278"/>
      <c r="AX10" s="278"/>
      <c r="AY10" s="278"/>
      <c r="AZ10" s="278"/>
      <c r="BA10" s="278"/>
      <c r="BB10" s="278"/>
      <c r="BC10" s="278"/>
      <c r="BD10" s="278"/>
      <c r="BE10" s="278"/>
      <c r="BF10" s="278"/>
    </row>
    <row r="11" spans="1:58" ht="12.95" customHeight="1">
      <c r="F11" s="1291" t="s">
        <v>1280</v>
      </c>
      <c r="G11" s="1291"/>
      <c r="H11" s="1291"/>
      <c r="I11" s="1291"/>
      <c r="J11" s="1291"/>
      <c r="K11" s="1291"/>
      <c r="L11" s="1291"/>
      <c r="M11" s="1291"/>
      <c r="N11" s="1291"/>
      <c r="O11" s="1291"/>
      <c r="Z11" s="1291" t="s">
        <v>1280</v>
      </c>
      <c r="AA11" s="1291"/>
      <c r="AB11" s="1291"/>
      <c r="AC11" s="1291"/>
      <c r="AD11" s="1291"/>
      <c r="AE11" s="1291"/>
      <c r="AF11" s="1291"/>
      <c r="AG11" s="1291"/>
      <c r="AH11" s="1291"/>
      <c r="AI11" s="1291"/>
      <c r="AQ11" s="278"/>
      <c r="AR11" s="278"/>
      <c r="AS11" s="278"/>
      <c r="AT11" s="278"/>
      <c r="AU11" s="278"/>
      <c r="AV11" s="278"/>
      <c r="AW11" s="278"/>
      <c r="AX11" s="278"/>
      <c r="AY11" s="278"/>
      <c r="AZ11" s="278"/>
      <c r="BA11" s="278"/>
      <c r="BB11" s="278"/>
      <c r="BC11" s="278"/>
      <c r="BD11" s="278"/>
      <c r="BE11" s="278"/>
      <c r="BF11" s="278"/>
    </row>
    <row r="12" spans="1:58" ht="12.95" customHeight="1">
      <c r="F12" s="1291"/>
      <c r="G12" s="1291"/>
      <c r="H12" s="1291"/>
      <c r="I12" s="1291"/>
      <c r="J12" s="1291"/>
      <c r="K12" s="1291"/>
      <c r="L12" s="1291"/>
      <c r="M12" s="1291"/>
      <c r="N12" s="1291"/>
      <c r="O12" s="1291"/>
      <c r="Z12" s="1291"/>
      <c r="AA12" s="1291"/>
      <c r="AB12" s="1291"/>
      <c r="AC12" s="1291"/>
      <c r="AD12" s="1291"/>
      <c r="AE12" s="1291"/>
      <c r="AF12" s="1291"/>
      <c r="AG12" s="1291"/>
      <c r="AH12" s="1291"/>
      <c r="AI12" s="1291"/>
    </row>
    <row r="13" spans="1:58" ht="12.95" customHeight="1">
      <c r="F13" s="1086" t="str">
        <f>PV!P78</f>
        <v>NIP: 6472602198</v>
      </c>
      <c r="G13" s="1086"/>
      <c r="H13" s="1086"/>
      <c r="I13" s="1086"/>
      <c r="J13" s="1086"/>
      <c r="K13" s="1086"/>
      <c r="L13" s="1086"/>
      <c r="M13" s="1086"/>
      <c r="N13" s="1086"/>
      <c r="O13" s="1086"/>
      <c r="Z13" s="1086" t="str">
        <f>PV!P78</f>
        <v>NIP: 6472602198</v>
      </c>
      <c r="AA13" s="1086"/>
      <c r="AB13" s="1086"/>
      <c r="AC13" s="1086"/>
      <c r="AD13" s="1086"/>
      <c r="AE13" s="1086"/>
      <c r="AF13" s="1086"/>
      <c r="AG13" s="1086"/>
      <c r="AH13" s="1086"/>
      <c r="AI13" s="1086"/>
    </row>
    <row r="14" spans="1:58" ht="12.95" customHeight="1">
      <c r="A14" s="1298" t="s">
        <v>933</v>
      </c>
      <c r="B14" s="1298"/>
      <c r="C14" s="1298"/>
      <c r="D14" s="1298"/>
      <c r="E14" s="1298"/>
      <c r="F14" s="1298"/>
      <c r="G14" s="1298"/>
      <c r="H14" s="1292"/>
      <c r="I14" s="1292"/>
      <c r="J14" s="1292"/>
      <c r="K14" s="102" t="s">
        <v>458</v>
      </c>
      <c r="L14" s="1292"/>
      <c r="M14" s="1292"/>
      <c r="N14" s="1292"/>
      <c r="O14" s="102" t="s">
        <v>457</v>
      </c>
      <c r="P14" s="102"/>
      <c r="Q14" s="102"/>
      <c r="R14" s="102"/>
      <c r="S14" s="102"/>
      <c r="T14" s="102"/>
      <c r="U14" s="1286" t="s">
        <v>932</v>
      </c>
      <c r="V14" s="1286"/>
      <c r="W14" s="1286"/>
      <c r="X14" s="1286"/>
      <c r="Y14" s="1286"/>
      <c r="Z14" s="1286"/>
      <c r="AA14" s="1286"/>
      <c r="AB14" s="1292"/>
      <c r="AC14" s="1292"/>
      <c r="AD14" s="1292"/>
      <c r="AE14" s="102" t="s">
        <v>458</v>
      </c>
      <c r="AF14" s="1292"/>
      <c r="AG14" s="1292"/>
      <c r="AH14" s="1292"/>
      <c r="AI14" s="102" t="s">
        <v>457</v>
      </c>
      <c r="AJ14" s="102"/>
      <c r="AK14" s="102"/>
      <c r="AL14" s="102"/>
      <c r="AM14" s="102"/>
      <c r="AN14" s="102"/>
    </row>
    <row r="15" spans="1:58" ht="12.95" customHeight="1">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row>
    <row r="16" spans="1:58" ht="12.95" customHeight="1">
      <c r="A16" s="1302" t="s">
        <v>1034</v>
      </c>
      <c r="B16" s="1302"/>
      <c r="C16" s="1302"/>
      <c r="D16" s="1302"/>
      <c r="E16" s="1302"/>
      <c r="F16" s="1302"/>
      <c r="G16" s="1302"/>
      <c r="H16" s="1302"/>
      <c r="I16" s="1302"/>
      <c r="J16" s="1302"/>
      <c r="K16" s="1302"/>
      <c r="L16" s="1302"/>
      <c r="M16" s="1302"/>
      <c r="N16" s="1302"/>
      <c r="O16" s="1302"/>
      <c r="P16" s="1302"/>
      <c r="Q16" s="1299">
        <f>'Protokół odbioru'!D16</f>
        <v>13.32</v>
      </c>
      <c r="R16" s="1300"/>
      <c r="S16" s="1303" t="s">
        <v>446</v>
      </c>
      <c r="T16" s="1303"/>
      <c r="U16" s="1293" t="str">
        <f>'Protokół odbioru'!U16:AN17</f>
        <v>Projekt oraz wykonanie instalacji kotła peletowego</v>
      </c>
      <c r="V16" s="1293"/>
      <c r="W16" s="1293"/>
      <c r="X16" s="1293"/>
      <c r="Y16" s="1293"/>
      <c r="Z16" s="1293"/>
      <c r="AA16" s="1293"/>
      <c r="AB16" s="1293"/>
      <c r="AC16" s="1293"/>
      <c r="AD16" s="1293"/>
      <c r="AE16" s="1293"/>
      <c r="AF16" s="1293"/>
      <c r="AG16" s="1293"/>
      <c r="AH16" s="1293"/>
      <c r="AI16" s="1293"/>
      <c r="AJ16" s="1293"/>
      <c r="AK16" s="1299">
        <f>'Protokół odbioru'!X18</f>
        <v>13.32</v>
      </c>
      <c r="AL16" s="1300"/>
      <c r="AM16" s="1303" t="s">
        <v>49</v>
      </c>
      <c r="AN16" s="1303"/>
    </row>
    <row r="17" spans="1:40" ht="12.95" customHeight="1">
      <c r="A17" s="1302"/>
      <c r="B17" s="1302"/>
      <c r="C17" s="1302"/>
      <c r="D17" s="1302"/>
      <c r="E17" s="1302"/>
      <c r="F17" s="1302"/>
      <c r="G17" s="1302"/>
      <c r="H17" s="1302"/>
      <c r="I17" s="1302"/>
      <c r="J17" s="1302"/>
      <c r="K17" s="1302"/>
      <c r="L17" s="1302"/>
      <c r="M17" s="1302"/>
      <c r="N17" s="1302"/>
      <c r="O17" s="1302"/>
      <c r="P17" s="1302"/>
      <c r="Q17" s="1300"/>
      <c r="R17" s="1300"/>
      <c r="S17" s="1303"/>
      <c r="T17" s="1303"/>
      <c r="U17" s="1293"/>
      <c r="V17" s="1293"/>
      <c r="W17" s="1293"/>
      <c r="X17" s="1293"/>
      <c r="Y17" s="1293"/>
      <c r="Z17" s="1293"/>
      <c r="AA17" s="1293"/>
      <c r="AB17" s="1293"/>
      <c r="AC17" s="1293"/>
      <c r="AD17" s="1293"/>
      <c r="AE17" s="1293"/>
      <c r="AF17" s="1293"/>
      <c r="AG17" s="1293"/>
      <c r="AH17" s="1293"/>
      <c r="AI17" s="1293"/>
      <c r="AJ17" s="1293"/>
      <c r="AK17" s="1300"/>
      <c r="AL17" s="1300"/>
      <c r="AM17" s="1303"/>
      <c r="AN17" s="1303"/>
    </row>
    <row r="18" spans="1:40" ht="12.95" customHeight="1">
      <c r="A18" s="1300" t="s">
        <v>439</v>
      </c>
      <c r="B18" s="1300"/>
      <c r="C18" s="1300"/>
      <c r="D18" s="1300"/>
      <c r="E18" s="1301">
        <f>'Protokół odbioru'!D9</f>
        <v>0</v>
      </c>
      <c r="F18" s="1301"/>
      <c r="G18" s="1301"/>
      <c r="H18" s="1301"/>
      <c r="I18" s="1301"/>
      <c r="J18" s="1301"/>
      <c r="K18" s="1301"/>
      <c r="L18" s="1301"/>
      <c r="M18" s="1301"/>
      <c r="N18" s="1301"/>
      <c r="O18" s="1301"/>
      <c r="P18" s="1301"/>
      <c r="Q18" s="1301"/>
      <c r="R18" s="1301"/>
      <c r="S18" s="1301"/>
      <c r="T18" s="1301"/>
      <c r="U18" s="1300" t="s">
        <v>439</v>
      </c>
      <c r="V18" s="1300"/>
      <c r="W18" s="1300"/>
      <c r="X18" s="1300"/>
      <c r="Y18" s="1301">
        <f>'Protokół odbioru'!X10</f>
        <v>0</v>
      </c>
      <c r="Z18" s="1301"/>
      <c r="AA18" s="1301"/>
      <c r="AB18" s="1301"/>
      <c r="AC18" s="1301"/>
      <c r="AD18" s="1301"/>
      <c r="AE18" s="1301"/>
      <c r="AF18" s="1301"/>
      <c r="AG18" s="1301"/>
      <c r="AH18" s="1301"/>
      <c r="AI18" s="1301"/>
      <c r="AJ18" s="1301"/>
      <c r="AK18" s="1301"/>
      <c r="AL18" s="1301"/>
      <c r="AM18" s="1301"/>
      <c r="AN18" s="1301"/>
    </row>
    <row r="19" spans="1:40" ht="12.95" customHeight="1">
      <c r="A19" s="1300"/>
      <c r="B19" s="1300"/>
      <c r="C19" s="1300"/>
      <c r="D19" s="1300"/>
      <c r="E19" s="1301"/>
      <c r="F19" s="1301"/>
      <c r="G19" s="1301"/>
      <c r="H19" s="1301"/>
      <c r="I19" s="1301"/>
      <c r="J19" s="1301"/>
      <c r="K19" s="1301"/>
      <c r="L19" s="1301"/>
      <c r="M19" s="1301"/>
      <c r="N19" s="1301"/>
      <c r="O19" s="1301"/>
      <c r="P19" s="1301"/>
      <c r="Q19" s="1301"/>
      <c r="R19" s="1301"/>
      <c r="S19" s="1301"/>
      <c r="T19" s="1301"/>
      <c r="U19" s="1300"/>
      <c r="V19" s="1300"/>
      <c r="W19" s="1300"/>
      <c r="X19" s="1300"/>
      <c r="Y19" s="1301"/>
      <c r="Z19" s="1301"/>
      <c r="AA19" s="1301"/>
      <c r="AB19" s="1301"/>
      <c r="AC19" s="1301"/>
      <c r="AD19" s="1301"/>
      <c r="AE19" s="1301"/>
      <c r="AF19" s="1301"/>
      <c r="AG19" s="1301"/>
      <c r="AH19" s="1301"/>
      <c r="AI19" s="1301"/>
      <c r="AJ19" s="1301"/>
      <c r="AK19" s="1301"/>
      <c r="AL19" s="1301"/>
      <c r="AM19" s="1301"/>
      <c r="AN19" s="1301"/>
    </row>
    <row r="20" spans="1:40" ht="12.95" customHeight="1">
      <c r="A20" s="1281" t="s">
        <v>436</v>
      </c>
      <c r="B20" s="1281"/>
      <c r="C20" s="1281"/>
      <c r="D20" s="1281"/>
      <c r="E20" s="1281"/>
      <c r="F20" s="1281"/>
      <c r="G20" s="1281"/>
      <c r="U20" s="1281" t="s">
        <v>436</v>
      </c>
      <c r="V20" s="1281"/>
      <c r="W20" s="1281"/>
      <c r="X20" s="1281"/>
      <c r="Y20" s="1281"/>
      <c r="Z20" s="1281"/>
      <c r="AA20" s="1281"/>
    </row>
    <row r="21" spans="1:40" ht="12.95" customHeight="1">
      <c r="A21" s="1281"/>
      <c r="B21" s="1281"/>
      <c r="C21" s="1281"/>
      <c r="D21" s="1281"/>
      <c r="E21" s="1281"/>
      <c r="F21" s="1281"/>
      <c r="G21" s="1281"/>
      <c r="U21" s="1281"/>
      <c r="V21" s="1281"/>
      <c r="W21" s="1281"/>
      <c r="X21" s="1281"/>
      <c r="Y21" s="1281"/>
      <c r="Z21" s="1281"/>
      <c r="AA21" s="1281"/>
    </row>
    <row r="22" spans="1:40" ht="12.95" customHeight="1">
      <c r="B22" s="108"/>
      <c r="C22" s="1281" t="s">
        <v>440</v>
      </c>
      <c r="D22" s="1281"/>
      <c r="E22" s="1281"/>
      <c r="F22" s="1281"/>
      <c r="G22" s="1281"/>
      <c r="H22" s="1281"/>
      <c r="I22" s="1281"/>
      <c r="J22" s="1281"/>
      <c r="K22" s="1281"/>
      <c r="L22" s="1281"/>
      <c r="M22" s="1281"/>
      <c r="N22" s="1281"/>
      <c r="O22" s="1281"/>
      <c r="P22" s="1281"/>
      <c r="Q22" s="1281"/>
      <c r="R22" s="108"/>
      <c r="S22" s="1282" t="s">
        <v>1035</v>
      </c>
      <c r="T22" s="1282"/>
      <c r="V22" s="108"/>
      <c r="W22" s="1290" t="s">
        <v>931</v>
      </c>
      <c r="X22" s="1281"/>
      <c r="Y22" s="1281"/>
      <c r="Z22" s="1281"/>
      <c r="AA22" s="1281"/>
      <c r="AB22" s="1281"/>
      <c r="AC22" s="1281"/>
      <c r="AD22" s="1281"/>
      <c r="AE22" s="1281"/>
      <c r="AF22" s="1281"/>
      <c r="AG22" s="1281"/>
      <c r="AH22" s="1281"/>
      <c r="AI22" s="1281"/>
      <c r="AJ22" s="1281"/>
      <c r="AK22" s="1281"/>
      <c r="AL22" s="108"/>
      <c r="AM22" s="853"/>
      <c r="AN22" s="853"/>
    </row>
    <row r="23" spans="1:40" ht="12.95" customHeight="1">
      <c r="A23" s="108"/>
      <c r="B23" s="108"/>
      <c r="C23" s="1281"/>
      <c r="D23" s="1281"/>
      <c r="E23" s="1281"/>
      <c r="F23" s="1281"/>
      <c r="G23" s="1281"/>
      <c r="H23" s="1281"/>
      <c r="I23" s="1281"/>
      <c r="J23" s="1281"/>
      <c r="K23" s="1281"/>
      <c r="L23" s="1281"/>
      <c r="M23" s="1281"/>
      <c r="N23" s="1281"/>
      <c r="O23" s="1281"/>
      <c r="P23" s="1281"/>
      <c r="Q23" s="1281"/>
      <c r="R23" s="108"/>
      <c r="S23" s="1282"/>
      <c r="T23" s="1282"/>
      <c r="U23" s="108"/>
      <c r="V23" s="108"/>
      <c r="W23" s="1281"/>
      <c r="X23" s="1281"/>
      <c r="Y23" s="1281"/>
      <c r="Z23" s="1281"/>
      <c r="AA23" s="1281"/>
      <c r="AB23" s="1281"/>
      <c r="AC23" s="1281"/>
      <c r="AD23" s="1281"/>
      <c r="AE23" s="1281"/>
      <c r="AF23" s="1281"/>
      <c r="AG23" s="1281"/>
      <c r="AH23" s="1281"/>
      <c r="AI23" s="1281"/>
      <c r="AJ23" s="1281"/>
      <c r="AK23" s="1281"/>
      <c r="AL23" s="108"/>
      <c r="AM23" s="853"/>
      <c r="AN23" s="853"/>
    </row>
    <row r="24" spans="1:40" ht="12.95" customHeight="1">
      <c r="B24" s="108"/>
      <c r="C24" s="1280" t="s">
        <v>442</v>
      </c>
      <c r="D24" s="1280"/>
      <c r="E24" s="1280"/>
      <c r="F24" s="1280"/>
      <c r="G24" s="1280"/>
      <c r="H24" s="1280"/>
      <c r="I24" s="1280"/>
      <c r="J24" s="1280"/>
      <c r="K24" s="1280"/>
      <c r="L24" s="1280"/>
      <c r="M24" s="1280"/>
      <c r="N24" s="1280"/>
      <c r="O24" s="1280"/>
      <c r="P24" s="1280"/>
      <c r="Q24" s="1280"/>
      <c r="R24" s="109"/>
      <c r="S24" s="1282" t="s">
        <v>1035</v>
      </c>
      <c r="T24" s="1282"/>
      <c r="V24" s="108"/>
      <c r="W24" s="1290" t="s">
        <v>678</v>
      </c>
      <c r="X24" s="1281"/>
      <c r="Y24" s="1281"/>
      <c r="Z24" s="1281"/>
      <c r="AA24" s="1281"/>
      <c r="AB24" s="1281"/>
      <c r="AC24" s="1281"/>
      <c r="AD24" s="1281"/>
      <c r="AE24" s="1281"/>
      <c r="AF24" s="1281"/>
      <c r="AG24" s="1281"/>
      <c r="AH24" s="1281"/>
      <c r="AI24" s="1281"/>
      <c r="AJ24" s="1281"/>
      <c r="AK24" s="1281"/>
      <c r="AL24" s="108"/>
      <c r="AM24" s="853"/>
      <c r="AN24" s="853"/>
    </row>
    <row r="25" spans="1:40" ht="15.75" customHeight="1">
      <c r="A25" s="108"/>
      <c r="B25" s="108"/>
      <c r="C25" s="1280"/>
      <c r="D25" s="1280"/>
      <c r="E25" s="1280"/>
      <c r="F25" s="1280"/>
      <c r="G25" s="1280"/>
      <c r="H25" s="1280"/>
      <c r="I25" s="1280"/>
      <c r="J25" s="1280"/>
      <c r="K25" s="1280"/>
      <c r="L25" s="1280"/>
      <c r="M25" s="1280"/>
      <c r="N25" s="1280"/>
      <c r="O25" s="1280"/>
      <c r="P25" s="1280"/>
      <c r="Q25" s="1280"/>
      <c r="R25" s="109"/>
      <c r="S25" s="1282"/>
      <c r="T25" s="1282"/>
      <c r="U25" s="108"/>
      <c r="V25" s="108"/>
      <c r="W25" s="1281"/>
      <c r="X25" s="1281"/>
      <c r="Y25" s="1281"/>
      <c r="Z25" s="1281"/>
      <c r="AA25" s="1281"/>
      <c r="AB25" s="1281"/>
      <c r="AC25" s="1281"/>
      <c r="AD25" s="1281"/>
      <c r="AE25" s="1281"/>
      <c r="AF25" s="1281"/>
      <c r="AG25" s="1281"/>
      <c r="AH25" s="1281"/>
      <c r="AI25" s="1281"/>
      <c r="AJ25" s="1281"/>
      <c r="AK25" s="1281"/>
      <c r="AL25" s="108"/>
      <c r="AM25" s="853"/>
      <c r="AN25" s="853"/>
    </row>
    <row r="26" spans="1:40" ht="12.95" customHeight="1">
      <c r="B26" s="109"/>
      <c r="C26" s="1280" t="s">
        <v>441</v>
      </c>
      <c r="D26" s="1280"/>
      <c r="E26" s="1280"/>
      <c r="F26" s="1280"/>
      <c r="G26" s="1280"/>
      <c r="H26" s="1280"/>
      <c r="I26" s="1280"/>
      <c r="J26" s="1280"/>
      <c r="K26" s="1280"/>
      <c r="L26" s="1280"/>
      <c r="M26" s="1280"/>
      <c r="N26" s="1280"/>
      <c r="O26" s="1280"/>
      <c r="P26" s="1280"/>
      <c r="Q26" s="1280"/>
      <c r="R26" s="109"/>
      <c r="S26" s="1282" t="s">
        <v>1035</v>
      </c>
      <c r="T26" s="1282"/>
      <c r="V26" s="109"/>
      <c r="W26" s="1284" t="s">
        <v>354</v>
      </c>
      <c r="X26" s="1280"/>
      <c r="Y26" s="1280"/>
      <c r="Z26" s="1280"/>
      <c r="AA26" s="1280"/>
      <c r="AB26" s="1280"/>
      <c r="AC26" s="1280"/>
      <c r="AD26" s="1280"/>
      <c r="AE26" s="1280"/>
      <c r="AF26" s="1280"/>
      <c r="AG26" s="1280"/>
      <c r="AH26" s="1280"/>
      <c r="AI26" s="1280"/>
      <c r="AJ26" s="1280"/>
      <c r="AK26" s="1280"/>
      <c r="AL26" s="109"/>
      <c r="AM26" s="853"/>
      <c r="AN26" s="853"/>
    </row>
    <row r="27" spans="1:40" ht="15.75" customHeight="1">
      <c r="A27" s="109"/>
      <c r="B27" s="109"/>
      <c r="C27" s="1280"/>
      <c r="D27" s="1280"/>
      <c r="E27" s="1280"/>
      <c r="F27" s="1280"/>
      <c r="G27" s="1280"/>
      <c r="H27" s="1280"/>
      <c r="I27" s="1280"/>
      <c r="J27" s="1280"/>
      <c r="K27" s="1280"/>
      <c r="L27" s="1280"/>
      <c r="M27" s="1280"/>
      <c r="N27" s="1280"/>
      <c r="O27" s="1280"/>
      <c r="P27" s="1280"/>
      <c r="Q27" s="1280"/>
      <c r="R27" s="109"/>
      <c r="S27" s="1282"/>
      <c r="T27" s="1282"/>
      <c r="U27" s="109"/>
      <c r="V27" s="109"/>
      <c r="W27" s="1280"/>
      <c r="X27" s="1280"/>
      <c r="Y27" s="1280"/>
      <c r="Z27" s="1280"/>
      <c r="AA27" s="1280"/>
      <c r="AB27" s="1280"/>
      <c r="AC27" s="1280"/>
      <c r="AD27" s="1280"/>
      <c r="AE27" s="1280"/>
      <c r="AF27" s="1280"/>
      <c r="AG27" s="1280"/>
      <c r="AH27" s="1280"/>
      <c r="AI27" s="1280"/>
      <c r="AJ27" s="1280"/>
      <c r="AK27" s="1280"/>
      <c r="AL27" s="109"/>
      <c r="AM27" s="853"/>
      <c r="AN27" s="853"/>
    </row>
    <row r="28" spans="1:40" ht="12.95" customHeight="1">
      <c r="B28" s="109"/>
      <c r="C28" s="1280" t="s">
        <v>443</v>
      </c>
      <c r="D28" s="1280"/>
      <c r="E28" s="1280"/>
      <c r="F28" s="1280"/>
      <c r="G28" s="1280"/>
      <c r="H28" s="1280"/>
      <c r="I28" s="1280"/>
      <c r="J28" s="1280"/>
      <c r="K28" s="1280"/>
      <c r="L28" s="1280"/>
      <c r="M28" s="1280"/>
      <c r="N28" s="1280"/>
      <c r="O28" s="1280"/>
      <c r="P28" s="1280"/>
      <c r="Q28" s="1280"/>
      <c r="R28" s="109"/>
      <c r="S28" s="1282" t="s">
        <v>1035</v>
      </c>
      <c r="T28" s="1282"/>
      <c r="V28" s="109"/>
      <c r="W28" s="1284" t="s">
        <v>371</v>
      </c>
      <c r="X28" s="1280"/>
      <c r="Y28" s="1280"/>
      <c r="Z28" s="1280"/>
      <c r="AA28" s="1280"/>
      <c r="AB28" s="1280"/>
      <c r="AC28" s="1280"/>
      <c r="AD28" s="1280"/>
      <c r="AE28" s="1280"/>
      <c r="AF28" s="1280"/>
      <c r="AG28" s="1280"/>
      <c r="AH28" s="1280"/>
      <c r="AI28" s="1280"/>
      <c r="AJ28" s="1280"/>
      <c r="AK28" s="1280"/>
      <c r="AL28" s="109"/>
      <c r="AM28" s="853"/>
      <c r="AN28" s="853"/>
    </row>
    <row r="29" spans="1:40" ht="12.95" customHeight="1">
      <c r="A29" s="109"/>
      <c r="B29" s="109"/>
      <c r="C29" s="1280"/>
      <c r="D29" s="1280"/>
      <c r="E29" s="1280"/>
      <c r="F29" s="1280"/>
      <c r="G29" s="1280"/>
      <c r="H29" s="1280"/>
      <c r="I29" s="1280"/>
      <c r="J29" s="1280"/>
      <c r="K29" s="1280"/>
      <c r="L29" s="1280"/>
      <c r="M29" s="1280"/>
      <c r="N29" s="1280"/>
      <c r="O29" s="1280"/>
      <c r="P29" s="1280"/>
      <c r="Q29" s="1280"/>
      <c r="R29" s="109"/>
      <c r="S29" s="1282"/>
      <c r="T29" s="1282"/>
      <c r="U29" s="109"/>
      <c r="V29" s="109"/>
      <c r="W29" s="1280"/>
      <c r="X29" s="1280"/>
      <c r="Y29" s="1280"/>
      <c r="Z29" s="1280"/>
      <c r="AA29" s="1280"/>
      <c r="AB29" s="1280"/>
      <c r="AC29" s="1280"/>
      <c r="AD29" s="1280"/>
      <c r="AE29" s="1280"/>
      <c r="AF29" s="1280"/>
      <c r="AG29" s="1280"/>
      <c r="AH29" s="1280"/>
      <c r="AI29" s="1280"/>
      <c r="AJ29" s="1280"/>
      <c r="AK29" s="1280"/>
      <c r="AL29" s="109"/>
      <c r="AM29" s="853"/>
      <c r="AN29" s="853"/>
    </row>
    <row r="30" spans="1:40" ht="12.95" customHeight="1">
      <c r="A30" s="109"/>
      <c r="B30" s="109"/>
      <c r="C30" s="1281" t="s">
        <v>438</v>
      </c>
      <c r="D30" s="1281"/>
      <c r="E30" s="1281"/>
      <c r="F30" s="1281"/>
      <c r="G30" s="1281"/>
      <c r="H30" s="1281"/>
      <c r="I30" s="1281"/>
      <c r="J30" s="1281"/>
      <c r="K30" s="1281"/>
      <c r="L30" s="1281"/>
      <c r="M30" s="1281"/>
      <c r="N30" s="1281"/>
      <c r="O30" s="1281"/>
      <c r="P30" s="1281"/>
      <c r="Q30" s="1281"/>
      <c r="R30" s="108"/>
      <c r="S30" s="1282" t="s">
        <v>1035</v>
      </c>
      <c r="T30" s="1282"/>
      <c r="U30" s="109"/>
      <c r="V30" s="109"/>
      <c r="W30" s="1284" t="s">
        <v>373</v>
      </c>
      <c r="X30" s="1284"/>
      <c r="Y30" s="1284"/>
      <c r="Z30" s="1284"/>
      <c r="AA30" s="1284"/>
      <c r="AB30" s="1284"/>
      <c r="AC30" s="1284"/>
      <c r="AD30" s="1284"/>
      <c r="AE30" s="1284"/>
      <c r="AF30" s="1284"/>
      <c r="AG30" s="1284"/>
      <c r="AH30" s="1284"/>
      <c r="AI30" s="1284"/>
      <c r="AJ30" s="1284"/>
      <c r="AK30" s="1284"/>
      <c r="AL30" s="109"/>
      <c r="AM30" s="853"/>
      <c r="AN30" s="853"/>
    </row>
    <row r="31" spans="1:40" ht="12.95" customHeight="1">
      <c r="A31" s="109"/>
      <c r="B31" s="109"/>
      <c r="C31" s="1281"/>
      <c r="D31" s="1281"/>
      <c r="E31" s="1281"/>
      <c r="F31" s="1281"/>
      <c r="G31" s="1281"/>
      <c r="H31" s="1281"/>
      <c r="I31" s="1281"/>
      <c r="J31" s="1281"/>
      <c r="K31" s="1281"/>
      <c r="L31" s="1281"/>
      <c r="M31" s="1281"/>
      <c r="N31" s="1281"/>
      <c r="O31" s="1281"/>
      <c r="P31" s="1281"/>
      <c r="Q31" s="1281"/>
      <c r="R31" s="108"/>
      <c r="S31" s="1282"/>
      <c r="T31" s="1282"/>
      <c r="U31" s="109"/>
      <c r="V31" s="109"/>
      <c r="W31" s="1284"/>
      <c r="X31" s="1284"/>
      <c r="Y31" s="1284"/>
      <c r="Z31" s="1284"/>
      <c r="AA31" s="1284"/>
      <c r="AB31" s="1284"/>
      <c r="AC31" s="1284"/>
      <c r="AD31" s="1284"/>
      <c r="AE31" s="1284"/>
      <c r="AF31" s="1284"/>
      <c r="AG31" s="1284"/>
      <c r="AH31" s="1284"/>
      <c r="AI31" s="1284"/>
      <c r="AJ31" s="1284"/>
      <c r="AK31" s="1284"/>
      <c r="AL31" s="109"/>
      <c r="AM31" s="853"/>
      <c r="AN31" s="853"/>
    </row>
    <row r="32" spans="1:40" ht="12.95" customHeight="1">
      <c r="B32" s="108"/>
      <c r="C32" s="1281"/>
      <c r="D32" s="1281"/>
      <c r="E32" s="1281"/>
      <c r="F32" s="1281"/>
      <c r="G32" s="1281"/>
      <c r="H32" s="1281"/>
      <c r="I32" s="1281"/>
      <c r="J32" s="1281"/>
      <c r="K32" s="1281"/>
      <c r="L32" s="1281"/>
      <c r="M32" s="1281"/>
      <c r="N32" s="1281"/>
      <c r="O32" s="1281"/>
      <c r="P32" s="1281"/>
      <c r="Q32" s="1281"/>
      <c r="R32" s="110"/>
      <c r="S32" s="1297"/>
      <c r="T32" s="1297"/>
      <c r="V32" s="108"/>
      <c r="W32" s="1290" t="str">
        <f>IF(PV!AC50="PC","- Montaż pompy ciepła","- Montaż kotła peletowego")</f>
        <v>- Montaż kotła peletowego</v>
      </c>
      <c r="X32" s="1290"/>
      <c r="Y32" s="1290"/>
      <c r="Z32" s="1290"/>
      <c r="AA32" s="1290"/>
      <c r="AB32" s="1290"/>
      <c r="AC32" s="1290"/>
      <c r="AD32" s="1290"/>
      <c r="AE32" s="1290"/>
      <c r="AF32" s="1290"/>
      <c r="AG32" s="1290"/>
      <c r="AH32" s="1290"/>
      <c r="AI32" s="1290"/>
      <c r="AJ32" s="1290"/>
      <c r="AK32" s="1290"/>
      <c r="AL32" s="1290"/>
      <c r="AM32" s="853" t="s">
        <v>437</v>
      </c>
      <c r="AN32" s="853"/>
    </row>
    <row r="33" spans="1:40" ht="12.95" customHeight="1">
      <c r="A33" s="108"/>
      <c r="B33" s="108"/>
      <c r="C33" s="1281"/>
      <c r="D33" s="1281"/>
      <c r="E33" s="1281"/>
      <c r="F33" s="1281"/>
      <c r="G33" s="1281"/>
      <c r="H33" s="1281"/>
      <c r="I33" s="1281"/>
      <c r="J33" s="1281"/>
      <c r="K33" s="1281"/>
      <c r="L33" s="1281"/>
      <c r="M33" s="1281"/>
      <c r="N33" s="1281"/>
      <c r="O33" s="1281"/>
      <c r="P33" s="1281"/>
      <c r="Q33" s="1281"/>
      <c r="R33" s="110"/>
      <c r="S33" s="1297"/>
      <c r="T33" s="1297"/>
      <c r="U33" s="108"/>
      <c r="V33" s="108"/>
      <c r="W33" s="1290"/>
      <c r="X33" s="1290"/>
      <c r="Y33" s="1290"/>
      <c r="Z33" s="1290"/>
      <c r="AA33" s="1290"/>
      <c r="AB33" s="1290"/>
      <c r="AC33" s="1290"/>
      <c r="AD33" s="1290"/>
      <c r="AE33" s="1290"/>
      <c r="AF33" s="1290"/>
      <c r="AG33" s="1290"/>
      <c r="AH33" s="1290"/>
      <c r="AI33" s="1290"/>
      <c r="AJ33" s="1290"/>
      <c r="AK33" s="1290"/>
      <c r="AL33" s="1290"/>
      <c r="AM33" s="853"/>
      <c r="AN33" s="853"/>
    </row>
    <row r="34" spans="1:40" ht="12.95" customHeight="1">
      <c r="B34" s="110"/>
      <c r="V34" s="110"/>
      <c r="W34" s="1027" t="s">
        <v>671</v>
      </c>
      <c r="X34" s="1027"/>
      <c r="Y34" s="1027"/>
      <c r="Z34" s="1027"/>
      <c r="AA34" s="1027"/>
      <c r="AB34" s="1027"/>
      <c r="AC34" s="1027"/>
      <c r="AD34" s="1027"/>
      <c r="AE34" s="1027"/>
      <c r="AF34" s="1027"/>
      <c r="AG34" s="1027"/>
      <c r="AH34" s="1027"/>
      <c r="AI34" s="1027"/>
      <c r="AJ34" s="1027"/>
      <c r="AK34" s="1027"/>
      <c r="AL34" s="1027"/>
      <c r="AM34" s="853" t="s">
        <v>437</v>
      </c>
      <c r="AN34" s="853"/>
    </row>
    <row r="35" spans="1:40" ht="12.95" customHeight="1">
      <c r="A35" s="110"/>
      <c r="B35" s="110"/>
      <c r="U35" s="110"/>
      <c r="V35" s="110"/>
      <c r="W35" s="1027"/>
      <c r="X35" s="1027"/>
      <c r="Y35" s="1027"/>
      <c r="Z35" s="1027"/>
      <c r="AA35" s="1027"/>
      <c r="AB35" s="1027"/>
      <c r="AC35" s="1027"/>
      <c r="AD35" s="1027"/>
      <c r="AE35" s="1027"/>
      <c r="AF35" s="1027"/>
      <c r="AG35" s="1027"/>
      <c r="AH35" s="1027"/>
      <c r="AI35" s="1027"/>
      <c r="AJ35" s="1027"/>
      <c r="AK35" s="1027"/>
      <c r="AL35" s="1027"/>
      <c r="AM35" s="853"/>
      <c r="AN35" s="853"/>
    </row>
    <row r="36" spans="1:40" ht="12.95" customHeight="1">
      <c r="W36" s="1027" t="s">
        <v>651</v>
      </c>
      <c r="X36" s="1027"/>
      <c r="Y36" s="1027"/>
      <c r="Z36" s="1027"/>
      <c r="AA36" s="1027"/>
      <c r="AB36" s="1027"/>
      <c r="AC36" s="1027"/>
      <c r="AD36" s="1027"/>
      <c r="AE36" s="1027"/>
      <c r="AF36" s="1027"/>
      <c r="AG36" s="1027"/>
      <c r="AH36" s="1027"/>
      <c r="AI36" s="1027"/>
      <c r="AJ36" s="1027"/>
      <c r="AK36" s="1027"/>
      <c r="AL36" s="1027"/>
      <c r="AM36" s="941" t="s">
        <v>437</v>
      </c>
      <c r="AN36" s="941"/>
    </row>
    <row r="37" spans="1:40" ht="12.95" customHeight="1">
      <c r="A37" s="103"/>
      <c r="T37" s="100"/>
      <c r="U37" s="103"/>
      <c r="W37" s="1027"/>
      <c r="X37" s="1027"/>
      <c r="Y37" s="1027"/>
      <c r="Z37" s="1027"/>
      <c r="AA37" s="1027"/>
      <c r="AB37" s="1027"/>
      <c r="AC37" s="1027"/>
      <c r="AD37" s="1027"/>
      <c r="AE37" s="1027"/>
      <c r="AF37" s="1027"/>
      <c r="AG37" s="1027"/>
      <c r="AH37" s="1027"/>
      <c r="AI37" s="1027"/>
      <c r="AJ37" s="1027"/>
      <c r="AK37" s="1027"/>
      <c r="AL37" s="1027"/>
      <c r="AM37" s="941"/>
      <c r="AN37" s="941"/>
    </row>
    <row r="38" spans="1:40" ht="12.95" customHeight="1">
      <c r="A38" s="1286" t="s">
        <v>444</v>
      </c>
      <c r="B38" s="1286"/>
      <c r="C38" s="1286"/>
      <c r="D38" s="1286"/>
      <c r="E38" s="1286"/>
      <c r="F38" s="1286"/>
      <c r="G38" s="1286"/>
      <c r="H38" s="1286"/>
      <c r="I38" s="1287" t="e">
        <f>'Protokół odbioru'!I19</f>
        <v>#N/A</v>
      </c>
      <c r="J38" s="944"/>
      <c r="K38" s="944"/>
      <c r="L38" s="944"/>
      <c r="M38" s="944"/>
      <c r="N38" s="944"/>
      <c r="O38" s="944"/>
      <c r="P38" s="944"/>
      <c r="Q38" s="1288" t="s">
        <v>445</v>
      </c>
      <c r="R38" s="1288"/>
      <c r="S38" s="1288"/>
      <c r="T38" s="1288"/>
    </row>
    <row r="39" spans="1:40" ht="12.95" customHeight="1">
      <c r="A39" s="1286"/>
      <c r="B39" s="1286"/>
      <c r="C39" s="1286"/>
      <c r="D39" s="1286"/>
      <c r="E39" s="1286"/>
      <c r="F39" s="1286"/>
      <c r="G39" s="1286"/>
      <c r="H39" s="1286"/>
      <c r="I39" s="939"/>
      <c r="J39" s="939"/>
      <c r="K39" s="939"/>
      <c r="L39" s="939"/>
      <c r="M39" s="939"/>
      <c r="N39" s="939"/>
      <c r="O39" s="939"/>
      <c r="P39" s="939"/>
      <c r="Q39" s="1288"/>
      <c r="R39" s="1288"/>
      <c r="S39" s="1288"/>
      <c r="T39" s="1288"/>
    </row>
    <row r="40" spans="1:40" ht="12.95" customHeight="1">
      <c r="U40" s="1286" t="s">
        <v>444</v>
      </c>
      <c r="V40" s="1286"/>
      <c r="W40" s="1286"/>
      <c r="X40" s="1286"/>
      <c r="Y40" s="1286"/>
      <c r="Z40" s="1286"/>
      <c r="AA40" s="1286"/>
      <c r="AB40" s="1286"/>
      <c r="AC40" s="1287" t="e">
        <f>'Protokół odbioru'!AC22:AJ22</f>
        <v>#N/A</v>
      </c>
      <c r="AD40" s="944"/>
      <c r="AE40" s="944"/>
      <c r="AF40" s="944"/>
      <c r="AG40" s="944"/>
      <c r="AH40" s="944"/>
      <c r="AI40" s="944"/>
      <c r="AJ40" s="944"/>
      <c r="AK40" s="1288" t="s">
        <v>445</v>
      </c>
      <c r="AL40" s="1288"/>
      <c r="AM40" s="1288"/>
      <c r="AN40" s="1288"/>
    </row>
    <row r="41" spans="1:40" ht="12.95" customHeight="1">
      <c r="U41" s="1286"/>
      <c r="V41" s="1286"/>
      <c r="W41" s="1286"/>
      <c r="X41" s="1286"/>
      <c r="Y41" s="1286"/>
      <c r="Z41" s="1286"/>
      <c r="AA41" s="1286"/>
      <c r="AB41" s="1286"/>
      <c r="AC41" s="939"/>
      <c r="AD41" s="939"/>
      <c r="AE41" s="939"/>
      <c r="AF41" s="939"/>
      <c r="AG41" s="939"/>
      <c r="AH41" s="939"/>
      <c r="AI41" s="939"/>
      <c r="AJ41" s="939"/>
      <c r="AK41" s="1288"/>
      <c r="AL41" s="1288"/>
      <c r="AM41" s="1288"/>
      <c r="AN41" s="1288"/>
    </row>
    <row r="42" spans="1:40" ht="12.95" customHeight="1"/>
    <row r="43" spans="1:40" ht="12.95" customHeight="1"/>
    <row r="44" spans="1:40" ht="12.95" customHeight="1"/>
    <row r="45" spans="1:40" ht="12.95" customHeight="1"/>
    <row r="46" spans="1:40" ht="12.95" customHeight="1"/>
    <row r="47" spans="1:40" ht="12.95" customHeight="1"/>
    <row r="48" spans="1:40" ht="12.95" customHeight="1"/>
    <row r="49" spans="1:43" ht="12.95" customHeight="1"/>
    <row r="50" spans="1:43" ht="12.95" customHeight="1"/>
    <row r="51" spans="1:43" ht="12.95" customHeight="1">
      <c r="A51" s="1289" t="s">
        <v>655</v>
      </c>
      <c r="B51" s="1289"/>
      <c r="C51" s="1289"/>
      <c r="D51" s="1289"/>
      <c r="E51" s="1289"/>
      <c r="F51" s="1289"/>
      <c r="G51" s="1289"/>
      <c r="H51" s="1289"/>
      <c r="I51" s="1289"/>
      <c r="J51" s="1289"/>
      <c r="K51" s="1289"/>
      <c r="L51" s="1289"/>
      <c r="M51" s="1289"/>
      <c r="N51" s="1289"/>
      <c r="O51" s="1289"/>
      <c r="P51" s="1289"/>
      <c r="Q51" s="1289"/>
      <c r="R51" s="1289"/>
      <c r="S51" s="1289"/>
      <c r="T51" s="1289"/>
      <c r="U51" s="1289" t="s">
        <v>655</v>
      </c>
      <c r="V51" s="1289"/>
      <c r="W51" s="1289"/>
      <c r="X51" s="1289"/>
      <c r="Y51" s="1289"/>
      <c r="Z51" s="1289"/>
      <c r="AA51" s="1289"/>
      <c r="AB51" s="1289"/>
      <c r="AC51" s="1289"/>
      <c r="AD51" s="1289"/>
      <c r="AE51" s="1289"/>
      <c r="AF51" s="1289"/>
      <c r="AG51" s="1289"/>
      <c r="AH51" s="1289"/>
      <c r="AI51" s="1289"/>
      <c r="AJ51" s="1289"/>
      <c r="AK51" s="1289"/>
      <c r="AL51" s="1289"/>
      <c r="AM51" s="1289"/>
      <c r="AN51" s="1289"/>
    </row>
    <row r="52" spans="1:43" ht="12.95" customHeight="1">
      <c r="A52" s="1289"/>
      <c r="B52" s="1289"/>
      <c r="C52" s="1289"/>
      <c r="D52" s="1289"/>
      <c r="E52" s="1289"/>
      <c r="F52" s="1289"/>
      <c r="G52" s="1289"/>
      <c r="H52" s="1289"/>
      <c r="I52" s="1289"/>
      <c r="J52" s="1289"/>
      <c r="K52" s="1289"/>
      <c r="L52" s="1289"/>
      <c r="M52" s="1289"/>
      <c r="N52" s="1289"/>
      <c r="O52" s="1289"/>
      <c r="P52" s="1289"/>
      <c r="Q52" s="1289"/>
      <c r="R52" s="1289"/>
      <c r="S52" s="1289"/>
      <c r="T52" s="1289"/>
      <c r="U52" s="1289"/>
      <c r="V52" s="1289"/>
      <c r="W52" s="1289"/>
      <c r="X52" s="1289"/>
      <c r="Y52" s="1289"/>
      <c r="Z52" s="1289"/>
      <c r="AA52" s="1289"/>
      <c r="AB52" s="1289"/>
      <c r="AC52" s="1289"/>
      <c r="AD52" s="1289"/>
      <c r="AE52" s="1289"/>
      <c r="AF52" s="1289"/>
      <c r="AG52" s="1289"/>
      <c r="AH52" s="1289"/>
      <c r="AI52" s="1289"/>
      <c r="AJ52" s="1289"/>
      <c r="AK52" s="1289"/>
      <c r="AL52" s="1289"/>
      <c r="AM52" s="1289"/>
      <c r="AN52" s="1289"/>
      <c r="AO52" s="214"/>
      <c r="AP52" s="214"/>
      <c r="AQ52" s="214"/>
    </row>
    <row r="53" spans="1:43" ht="12.95" customHeight="1">
      <c r="A53" s="1289"/>
      <c r="B53" s="1289"/>
      <c r="C53" s="1289"/>
      <c r="D53" s="1289"/>
      <c r="E53" s="1289"/>
      <c r="F53" s="1289"/>
      <c r="G53" s="1289"/>
      <c r="H53" s="1289"/>
      <c r="I53" s="1289"/>
      <c r="J53" s="1289"/>
      <c r="K53" s="1289"/>
      <c r="L53" s="1289"/>
      <c r="M53" s="1289"/>
      <c r="N53" s="1289"/>
      <c r="O53" s="1289"/>
      <c r="P53" s="1289"/>
      <c r="Q53" s="1289"/>
      <c r="R53" s="1289"/>
      <c r="S53" s="1289"/>
      <c r="T53" s="1289"/>
      <c r="U53" s="1289"/>
      <c r="V53" s="1289"/>
      <c r="W53" s="1289"/>
      <c r="X53" s="1289"/>
      <c r="Y53" s="1289"/>
      <c r="Z53" s="1289"/>
      <c r="AA53" s="1289"/>
      <c r="AB53" s="1289"/>
      <c r="AC53" s="1289"/>
      <c r="AD53" s="1289"/>
      <c r="AE53" s="1289"/>
      <c r="AF53" s="1289"/>
      <c r="AG53" s="1289"/>
      <c r="AH53" s="1289"/>
      <c r="AI53" s="1289"/>
      <c r="AJ53" s="1289"/>
      <c r="AK53" s="1289"/>
      <c r="AL53" s="1289"/>
      <c r="AM53" s="1289"/>
      <c r="AN53" s="1289"/>
      <c r="AO53" s="214"/>
      <c r="AP53" s="214"/>
      <c r="AQ53" s="214"/>
    </row>
    <row r="54" spans="1:43" ht="12.95" customHeight="1">
      <c r="A54" s="1289"/>
      <c r="B54" s="1289"/>
      <c r="C54" s="1289"/>
      <c r="D54" s="1289"/>
      <c r="E54" s="1289"/>
      <c r="F54" s="1289"/>
      <c r="G54" s="1289"/>
      <c r="H54" s="1289"/>
      <c r="I54" s="1289"/>
      <c r="J54" s="1289"/>
      <c r="K54" s="1289"/>
      <c r="L54" s="1289"/>
      <c r="M54" s="1289"/>
      <c r="N54" s="1289"/>
      <c r="O54" s="1289"/>
      <c r="P54" s="1289"/>
      <c r="Q54" s="1289"/>
      <c r="R54" s="1289"/>
      <c r="S54" s="1289"/>
      <c r="T54" s="1289"/>
      <c r="U54" s="1289"/>
      <c r="V54" s="1289"/>
      <c r="W54" s="1289"/>
      <c r="X54" s="1289"/>
      <c r="Y54" s="1289"/>
      <c r="Z54" s="1289"/>
      <c r="AA54" s="1289"/>
      <c r="AB54" s="1289"/>
      <c r="AC54" s="1289"/>
      <c r="AD54" s="1289"/>
      <c r="AE54" s="1289"/>
      <c r="AF54" s="1289"/>
      <c r="AG54" s="1289"/>
      <c r="AH54" s="1289"/>
      <c r="AI54" s="1289"/>
      <c r="AJ54" s="1289"/>
      <c r="AK54" s="1289"/>
      <c r="AL54" s="1289"/>
      <c r="AM54" s="1289"/>
      <c r="AN54" s="1289"/>
      <c r="AO54" s="214"/>
      <c r="AP54" s="214"/>
      <c r="AQ54" s="214"/>
    </row>
    <row r="55" spans="1:43" ht="12.95" customHeight="1">
      <c r="A55" s="1289"/>
      <c r="B55" s="1289"/>
      <c r="C55" s="1289"/>
      <c r="D55" s="1289"/>
      <c r="E55" s="1289"/>
      <c r="F55" s="1289"/>
      <c r="G55" s="1289"/>
      <c r="H55" s="1289"/>
      <c r="I55" s="1289"/>
      <c r="J55" s="1289"/>
      <c r="K55" s="1289"/>
      <c r="L55" s="1289"/>
      <c r="M55" s="1289"/>
      <c r="N55" s="1289"/>
      <c r="O55" s="1289"/>
      <c r="P55" s="1289"/>
      <c r="Q55" s="1289"/>
      <c r="R55" s="1289"/>
      <c r="S55" s="1289"/>
      <c r="T55" s="1289"/>
      <c r="U55" s="1289"/>
      <c r="V55" s="1289"/>
      <c r="W55" s="1289"/>
      <c r="X55" s="1289"/>
      <c r="Y55" s="1289"/>
      <c r="Z55" s="1289"/>
      <c r="AA55" s="1289"/>
      <c r="AB55" s="1289"/>
      <c r="AC55" s="1289"/>
      <c r="AD55" s="1289"/>
      <c r="AE55" s="1289"/>
      <c r="AF55" s="1289"/>
      <c r="AG55" s="1289"/>
      <c r="AH55" s="1289"/>
      <c r="AI55" s="1289"/>
      <c r="AJ55" s="1289"/>
      <c r="AK55" s="1289"/>
      <c r="AL55" s="1289"/>
      <c r="AM55" s="1289"/>
      <c r="AN55" s="1289"/>
      <c r="AO55" s="214"/>
      <c r="AP55" s="214"/>
      <c r="AQ55" s="214"/>
    </row>
    <row r="57" spans="1:43">
      <c r="M57" s="941" t="s">
        <v>628</v>
      </c>
      <c r="N57" s="941"/>
      <c r="O57" s="941"/>
      <c r="P57" s="941"/>
      <c r="Q57" s="941"/>
      <c r="R57" s="941"/>
      <c r="S57" s="941"/>
      <c r="AG57" s="941" t="s">
        <v>628</v>
      </c>
      <c r="AH57" s="941"/>
      <c r="AI57" s="941"/>
      <c r="AJ57" s="941"/>
      <c r="AK57" s="941"/>
      <c r="AL57" s="941"/>
      <c r="AM57" s="941"/>
    </row>
    <row r="58" spans="1:43">
      <c r="M58" s="1279" t="s">
        <v>629</v>
      </c>
      <c r="N58" s="1279"/>
      <c r="O58" s="1279"/>
      <c r="P58" s="1279"/>
      <c r="Q58" s="1279"/>
      <c r="R58" s="1279"/>
      <c r="S58" s="1279"/>
      <c r="AG58" s="1279" t="s">
        <v>629</v>
      </c>
      <c r="AH58" s="1279"/>
      <c r="AI58" s="1279"/>
      <c r="AJ58" s="1279"/>
      <c r="AK58" s="1279"/>
      <c r="AL58" s="1279"/>
      <c r="AM58" s="1279"/>
    </row>
    <row r="60" spans="1:43">
      <c r="A60" s="1285" t="s">
        <v>431</v>
      </c>
      <c r="B60" s="1285"/>
      <c r="C60" s="1285"/>
      <c r="D60" s="1285"/>
      <c r="E60" s="1285"/>
      <c r="F60" s="1285"/>
      <c r="G60" s="1285"/>
      <c r="H60" s="1285"/>
      <c r="I60" s="1285"/>
      <c r="J60" s="1285"/>
      <c r="K60" s="1285"/>
      <c r="L60" s="1285"/>
      <c r="M60" s="1285"/>
      <c r="N60" s="1285"/>
      <c r="O60" s="1285"/>
      <c r="P60" s="1285"/>
      <c r="Q60" s="1285"/>
      <c r="R60" s="1285"/>
      <c r="S60" s="1285"/>
      <c r="T60" s="1285"/>
      <c r="U60" s="1285" t="s">
        <v>431</v>
      </c>
      <c r="V60" s="1285"/>
      <c r="W60" s="1285"/>
      <c r="X60" s="1285"/>
      <c r="Y60" s="1285"/>
      <c r="Z60" s="1285"/>
      <c r="AA60" s="1285"/>
      <c r="AB60" s="1285"/>
      <c r="AC60" s="1285"/>
      <c r="AD60" s="1285"/>
      <c r="AE60" s="1285"/>
      <c r="AF60" s="1285"/>
      <c r="AG60" s="1285"/>
      <c r="AH60" s="1285"/>
      <c r="AI60" s="1285"/>
      <c r="AJ60" s="1285"/>
      <c r="AK60" s="1285"/>
      <c r="AL60" s="1285"/>
      <c r="AM60" s="1285"/>
      <c r="AN60" s="1285"/>
    </row>
    <row r="61" spans="1:43">
      <c r="A61" s="1285"/>
      <c r="B61" s="1285"/>
      <c r="C61" s="1285"/>
      <c r="D61" s="1285"/>
      <c r="E61" s="1285"/>
      <c r="F61" s="1285"/>
      <c r="G61" s="1285"/>
      <c r="H61" s="1285"/>
      <c r="I61" s="1285"/>
      <c r="J61" s="1285"/>
      <c r="K61" s="1285"/>
      <c r="L61" s="1285"/>
      <c r="M61" s="1285"/>
      <c r="N61" s="1285"/>
      <c r="O61" s="1285"/>
      <c r="P61" s="1285"/>
      <c r="Q61" s="1285"/>
      <c r="R61" s="1285"/>
      <c r="S61" s="1285"/>
      <c r="T61" s="1285"/>
      <c r="U61" s="1285"/>
      <c r="V61" s="1285"/>
      <c r="W61" s="1285"/>
      <c r="X61" s="1285"/>
      <c r="Y61" s="1285"/>
      <c r="Z61" s="1285"/>
      <c r="AA61" s="1285"/>
      <c r="AB61" s="1285"/>
      <c r="AC61" s="1285"/>
      <c r="AD61" s="1285"/>
      <c r="AE61" s="1285"/>
      <c r="AF61" s="1285"/>
      <c r="AG61" s="1285"/>
      <c r="AH61" s="1285"/>
      <c r="AI61" s="1285"/>
      <c r="AJ61" s="1285"/>
      <c r="AK61" s="1285"/>
      <c r="AL61" s="1285"/>
      <c r="AM61" s="1285"/>
      <c r="AN61" s="1285"/>
    </row>
    <row r="62" spans="1:43">
      <c r="A62" s="1285"/>
      <c r="B62" s="1285"/>
      <c r="C62" s="1285"/>
      <c r="D62" s="1285"/>
      <c r="E62" s="1285"/>
      <c r="F62" s="1285"/>
      <c r="G62" s="1285"/>
      <c r="H62" s="1285"/>
      <c r="I62" s="1285"/>
      <c r="J62" s="1285"/>
      <c r="K62" s="1285"/>
      <c r="L62" s="1285"/>
      <c r="M62" s="1285"/>
      <c r="N62" s="1285"/>
      <c r="O62" s="1285"/>
      <c r="P62" s="1285"/>
      <c r="Q62" s="1285"/>
      <c r="R62" s="1285"/>
      <c r="S62" s="1285"/>
      <c r="T62" s="1285"/>
      <c r="U62" s="1285"/>
      <c r="V62" s="1285"/>
      <c r="W62" s="1285"/>
      <c r="X62" s="1285"/>
      <c r="Y62" s="1285"/>
      <c r="Z62" s="1285"/>
      <c r="AA62" s="1285"/>
      <c r="AB62" s="1285"/>
      <c r="AC62" s="1285"/>
      <c r="AD62" s="1285"/>
      <c r="AE62" s="1285"/>
      <c r="AF62" s="1285"/>
      <c r="AG62" s="1285"/>
      <c r="AH62" s="1285"/>
      <c r="AI62" s="1285"/>
      <c r="AJ62" s="1285"/>
      <c r="AK62" s="1285"/>
      <c r="AL62" s="1285"/>
      <c r="AM62" s="1285"/>
      <c r="AN62" s="1285"/>
    </row>
    <row r="64" spans="1:43">
      <c r="A64" s="1277" t="s">
        <v>432</v>
      </c>
      <c r="B64" s="1277"/>
      <c r="C64" s="1277"/>
      <c r="D64" s="1277"/>
      <c r="E64" s="1277"/>
      <c r="F64" s="1277"/>
      <c r="G64" s="1277"/>
      <c r="H64" s="1277"/>
      <c r="I64" s="1277"/>
      <c r="J64" s="1277"/>
      <c r="K64" s="1277"/>
      <c r="L64" s="1277"/>
      <c r="M64" s="1277"/>
      <c r="N64" s="1277"/>
      <c r="O64" s="1277"/>
      <c r="P64" s="1277"/>
      <c r="Q64" s="1277"/>
      <c r="R64" s="1277"/>
      <c r="S64" s="1277"/>
      <c r="T64" s="1277"/>
      <c r="U64" s="1277" t="s">
        <v>432</v>
      </c>
      <c r="V64" s="1277"/>
      <c r="W64" s="1277"/>
      <c r="X64" s="1277"/>
      <c r="Y64" s="1277"/>
      <c r="Z64" s="1277"/>
      <c r="AA64" s="1277"/>
      <c r="AB64" s="1277"/>
      <c r="AC64" s="1277"/>
      <c r="AD64" s="1277"/>
      <c r="AE64" s="1277"/>
      <c r="AF64" s="1277"/>
      <c r="AG64" s="1277"/>
      <c r="AH64" s="1277"/>
      <c r="AI64" s="1277"/>
      <c r="AJ64" s="1277"/>
      <c r="AK64" s="1277"/>
      <c r="AL64" s="1277"/>
      <c r="AM64" s="1277"/>
      <c r="AN64" s="1277"/>
    </row>
    <row r="65" spans="1:67">
      <c r="A65" s="1277"/>
      <c r="B65" s="1277"/>
      <c r="C65" s="1277"/>
      <c r="D65" s="1277"/>
      <c r="E65" s="1277"/>
      <c r="F65" s="1277"/>
      <c r="G65" s="1277"/>
      <c r="H65" s="1277"/>
      <c r="I65" s="1277"/>
      <c r="J65" s="1277"/>
      <c r="K65" s="1277"/>
      <c r="L65" s="1277"/>
      <c r="M65" s="1277"/>
      <c r="N65" s="1277"/>
      <c r="O65" s="1277"/>
      <c r="P65" s="1277"/>
      <c r="Q65" s="1277"/>
      <c r="R65" s="1277"/>
      <c r="S65" s="1277"/>
      <c r="T65" s="1277"/>
      <c r="U65" s="1277"/>
      <c r="V65" s="1277"/>
      <c r="W65" s="1277"/>
      <c r="X65" s="1277"/>
      <c r="Y65" s="1277"/>
      <c r="Z65" s="1277"/>
      <c r="AA65" s="1277"/>
      <c r="AB65" s="1277"/>
      <c r="AC65" s="1277"/>
      <c r="AD65" s="1277"/>
      <c r="AE65" s="1277"/>
      <c r="AF65" s="1277"/>
      <c r="AG65" s="1277"/>
      <c r="AH65" s="1277"/>
      <c r="AI65" s="1277"/>
      <c r="AJ65" s="1277"/>
      <c r="AK65" s="1277"/>
      <c r="AL65" s="1277"/>
      <c r="AM65" s="1277"/>
      <c r="AN65" s="1277"/>
    </row>
    <row r="66" spans="1:67">
      <c r="A66" s="1277"/>
      <c r="B66" s="1277"/>
      <c r="C66" s="1277"/>
      <c r="D66" s="1277"/>
      <c r="E66" s="1277"/>
      <c r="F66" s="1277"/>
      <c r="G66" s="1277"/>
      <c r="H66" s="1277"/>
      <c r="I66" s="1277"/>
      <c r="J66" s="1277"/>
      <c r="K66" s="1277"/>
      <c r="L66" s="1277"/>
      <c r="M66" s="1277"/>
      <c r="N66" s="1277"/>
      <c r="O66" s="1277"/>
      <c r="P66" s="1277"/>
      <c r="Q66" s="1277"/>
      <c r="R66" s="1277"/>
      <c r="S66" s="1277"/>
      <c r="T66" s="1277"/>
      <c r="U66" s="1277"/>
      <c r="V66" s="1277"/>
      <c r="W66" s="1277"/>
      <c r="X66" s="1277"/>
      <c r="Y66" s="1277"/>
      <c r="Z66" s="1277"/>
      <c r="AA66" s="1277"/>
      <c r="AB66" s="1277"/>
      <c r="AC66" s="1277"/>
      <c r="AD66" s="1277"/>
      <c r="AE66" s="1277"/>
      <c r="AF66" s="1277"/>
      <c r="AG66" s="1277"/>
      <c r="AH66" s="1277"/>
      <c r="AI66" s="1277"/>
      <c r="AJ66" s="1277"/>
      <c r="AK66" s="1277"/>
      <c r="AL66" s="1277"/>
      <c r="AM66" s="1277"/>
      <c r="AN66" s="1277"/>
    </row>
    <row r="67" spans="1:67">
      <c r="A67" s="1277"/>
      <c r="B67" s="1277"/>
      <c r="C67" s="1277"/>
      <c r="D67" s="1277"/>
      <c r="E67" s="1277"/>
      <c r="F67" s="1277"/>
      <c r="G67" s="1277"/>
      <c r="H67" s="1277"/>
      <c r="I67" s="1277"/>
      <c r="J67" s="1277"/>
      <c r="K67" s="1277"/>
      <c r="L67" s="1277"/>
      <c r="M67" s="1277"/>
      <c r="N67" s="1277"/>
      <c r="O67" s="1277"/>
      <c r="P67" s="1277"/>
      <c r="Q67" s="1277"/>
      <c r="R67" s="1277"/>
      <c r="S67" s="1277"/>
      <c r="T67" s="1277"/>
      <c r="U67" s="1277"/>
      <c r="V67" s="1277"/>
      <c r="W67" s="1277"/>
      <c r="X67" s="1277"/>
      <c r="Y67" s="1277"/>
      <c r="Z67" s="1277"/>
      <c r="AA67" s="1277"/>
      <c r="AB67" s="1277"/>
      <c r="AC67" s="1277"/>
      <c r="AD67" s="1277"/>
      <c r="AE67" s="1277"/>
      <c r="AF67" s="1277"/>
      <c r="AG67" s="1277"/>
      <c r="AH67" s="1277"/>
      <c r="AI67" s="1277"/>
      <c r="AJ67" s="1277"/>
      <c r="AK67" s="1277"/>
      <c r="AL67" s="1277"/>
      <c r="AM67" s="1277"/>
      <c r="AN67" s="1277"/>
    </row>
    <row r="68" spans="1:67">
      <c r="A68" s="1277"/>
      <c r="B68" s="1277"/>
      <c r="C68" s="1277"/>
      <c r="D68" s="1277"/>
      <c r="E68" s="1277"/>
      <c r="F68" s="1277"/>
      <c r="G68" s="1277"/>
      <c r="H68" s="1277"/>
      <c r="I68" s="1277"/>
      <c r="J68" s="1277"/>
      <c r="K68" s="1277"/>
      <c r="L68" s="1277"/>
      <c r="M68" s="1277"/>
      <c r="N68" s="1277"/>
      <c r="O68" s="1277"/>
      <c r="P68" s="1277"/>
      <c r="Q68" s="1277"/>
      <c r="R68" s="1277"/>
      <c r="S68" s="1277"/>
      <c r="T68" s="1277"/>
      <c r="U68" s="1277"/>
      <c r="V68" s="1277"/>
      <c r="W68" s="1277"/>
      <c r="X68" s="1277"/>
      <c r="Y68" s="1277"/>
      <c r="Z68" s="1277"/>
      <c r="AA68" s="1277"/>
      <c r="AB68" s="1277"/>
      <c r="AC68" s="1277"/>
      <c r="AD68" s="1277"/>
      <c r="AE68" s="1277"/>
      <c r="AF68" s="1277"/>
      <c r="AG68" s="1277"/>
      <c r="AH68" s="1277"/>
      <c r="AI68" s="1277"/>
      <c r="AJ68" s="1277"/>
      <c r="AK68" s="1277"/>
      <c r="AL68" s="1277"/>
      <c r="AM68" s="1277"/>
      <c r="AN68" s="1277"/>
    </row>
    <row r="69" spans="1:67" ht="18.75" customHeight="1">
      <c r="A69" s="1277"/>
      <c r="B69" s="1277"/>
      <c r="C69" s="1277"/>
      <c r="D69" s="1277"/>
      <c r="E69" s="1277"/>
      <c r="F69" s="1277"/>
      <c r="G69" s="1277"/>
      <c r="H69" s="1277"/>
      <c r="I69" s="1277"/>
      <c r="J69" s="1277"/>
      <c r="K69" s="1277"/>
      <c r="L69" s="1277"/>
      <c r="M69" s="1277"/>
      <c r="N69" s="1277"/>
      <c r="O69" s="1277"/>
      <c r="P69" s="1277"/>
      <c r="Q69" s="1277"/>
      <c r="R69" s="1277"/>
      <c r="S69" s="1277"/>
      <c r="T69" s="1277"/>
      <c r="U69" s="1277"/>
      <c r="V69" s="1277"/>
      <c r="W69" s="1277"/>
      <c r="X69" s="1277"/>
      <c r="Y69" s="1277"/>
      <c r="Z69" s="1277"/>
      <c r="AA69" s="1277"/>
      <c r="AB69" s="1277"/>
      <c r="AC69" s="1277"/>
      <c r="AD69" s="1277"/>
      <c r="AE69" s="1277"/>
      <c r="AF69" s="1277"/>
      <c r="AG69" s="1277"/>
      <c r="AH69" s="1277"/>
      <c r="AI69" s="1277"/>
      <c r="AJ69" s="1277"/>
      <c r="AK69" s="1277"/>
      <c r="AL69" s="1277"/>
      <c r="AM69" s="1277"/>
      <c r="AN69" s="1277"/>
    </row>
    <row r="70" spans="1:67" ht="16.5" customHeight="1">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row>
    <row r="71" spans="1:67" ht="15" customHeight="1">
      <c r="A71" s="1277" t="str">
        <f>VLOOKUP(E9,Tabela11[#All],2,0)</f>
        <v>1. Administratorem danych jest firma Ampere Spółka z o.o., ul. Letnia 212, 44-313 Wodzisław Śląski , adres e-mail: biuro@ampere-solar.pl
2. Korespondencyjne dane kontaktowe inspektora ochrony danych: Inspektor Ochrony Danych w Ampere  Spółka z o.o. adres e-mailowy: biuro@ampere-solar.pl                                                                                                                                                                                                                                
3. Celem zbierania danych jest realizacja praw i obowiązków związanych  z zawarciem i realizacją umowy zlecenia.  
4. Przysługuje Pani/Panu prawo dostępu do treści danych oraz ich sprostowania, usunięcia lub ograniczenia przetwarzania, a także prawo sprzeciwu, zażądania zaprzestania przetwarzania i przenoszenia danych oraz prawo do wniesienia skargi do organu nadzorczego, tj. Prezesa Urzędu Ochrony Danych Osobowych.
5. Podanie przez Panią/Pana danych osobowych jest wymogiem ustawowym; ich nieprzekazanie spowoduje niemożność realizacji zawartej umowy zlecenia i związanych z nią obowiązków podatkowo-składkowych.
6. Odbiorcami Pani/Pana danych osobowych mogą być organy lub instytucje  upoważnione  z mocy prawa, a także inne podmioty  wyłącznie  w celu realizacji naszych ustawowych zadań. 
7. Dane udostępnione przez Panią/Pana nie będą podlegały profilowaniu.
8. Administrator danych nie ma zamiaru przekazywać danych osobowych do państwa trzeciego lub organizacji międzynarodowej.
9. Dane osobowe są przetwarzane przez okres  niezbędny dla realizacji celu, dla którego zostały zebrane, jednak nie dłużej niż okres wymagany  przepisami prawa, a dane osobowe przetwarzane na podstawie zgody są przetwarzane przez okres wskazany w oświadczeniu lub  do czasu cofnięcia zgody.</v>
      </c>
      <c r="B71" s="1278"/>
      <c r="C71" s="1278"/>
      <c r="D71" s="1278"/>
      <c r="E71" s="1278"/>
      <c r="F71" s="1278"/>
      <c r="G71" s="1278"/>
      <c r="H71" s="1278"/>
      <c r="I71" s="1278"/>
      <c r="J71" s="1278"/>
      <c r="K71" s="1278"/>
      <c r="L71" s="1278"/>
      <c r="M71" s="1278"/>
      <c r="N71" s="1278"/>
      <c r="O71" s="1278"/>
      <c r="P71" s="1278"/>
      <c r="Q71" s="1278"/>
      <c r="R71" s="1278"/>
      <c r="S71" s="1278"/>
      <c r="T71" s="1278"/>
      <c r="U71" s="1277" t="str">
        <f>VLOOKUP(E9,Tabela11[#All],2,0)</f>
        <v>1. Administratorem danych jest firma Ampere Spółka z o.o., ul. Letnia 212, 44-313 Wodzisław Śląski , adres e-mail: biuro@ampere-solar.pl
2. Korespondencyjne dane kontaktowe inspektora ochrony danych: Inspektor Ochrony Danych w Ampere  Spółka z o.o. adres e-mailowy: biuro@ampere-solar.pl                                                                                                                                                                                                                                
3. Celem zbierania danych jest realizacja praw i obowiązków związanych  z zawarciem i realizacją umowy zlecenia.  
4. Przysługuje Pani/Panu prawo dostępu do treści danych oraz ich sprostowania, usunięcia lub ograniczenia przetwarzania, a także prawo sprzeciwu, zażądania zaprzestania przetwarzania i przenoszenia danych oraz prawo do wniesienia skargi do organu nadzorczego, tj. Prezesa Urzędu Ochrony Danych Osobowych.
5. Podanie przez Panią/Pana danych osobowych jest wymogiem ustawowym; ich nieprzekazanie spowoduje niemożność realizacji zawartej umowy zlecenia i związanych z nią obowiązków podatkowo-składkowych.
6. Odbiorcami Pani/Pana danych osobowych mogą być organy lub instytucje  upoważnione  z mocy prawa, a także inne podmioty  wyłącznie  w celu realizacji naszych ustawowych zadań. 
7. Dane udostępnione przez Panią/Pana nie będą podlegały profilowaniu.
8. Administrator danych nie ma zamiaru przekazywać danych osobowych do państwa trzeciego lub organizacji międzynarodowej.
9. Dane osobowe są przetwarzane przez okres  niezbędny dla realizacji celu, dla którego zostały zebrane, jednak nie dłużej niż okres wymagany  przepisami prawa, a dane osobowe przetwarzane na podstawie zgody są przetwarzane przez okres wskazany w oświadczeniu lub  do czasu cofnięcia zgody.</v>
      </c>
      <c r="V71" s="1278"/>
      <c r="W71" s="1278"/>
      <c r="X71" s="1278"/>
      <c r="Y71" s="1278"/>
      <c r="Z71" s="1278"/>
      <c r="AA71" s="1278"/>
      <c r="AB71" s="1278"/>
      <c r="AC71" s="1278"/>
      <c r="AD71" s="1278"/>
      <c r="AE71" s="1278"/>
      <c r="AF71" s="1278"/>
      <c r="AG71" s="1278"/>
      <c r="AH71" s="1278"/>
      <c r="AI71" s="1278"/>
      <c r="AJ71" s="1278"/>
      <c r="AK71" s="1278"/>
      <c r="AL71" s="1278"/>
      <c r="AM71" s="1278"/>
      <c r="AN71" s="1278"/>
      <c r="AO71" s="101"/>
      <c r="AP71" s="336"/>
      <c r="AQ71" s="336"/>
      <c r="AR71" s="336"/>
      <c r="AS71" s="336"/>
      <c r="AT71" s="336"/>
      <c r="AU71" s="336"/>
      <c r="AV71" s="336"/>
      <c r="AW71" s="336"/>
      <c r="AX71" s="101"/>
      <c r="AY71" s="336"/>
      <c r="AZ71" s="336"/>
      <c r="BA71" s="336"/>
      <c r="BB71" s="336"/>
      <c r="BC71" s="336"/>
      <c r="BD71" s="336"/>
      <c r="BE71" s="336"/>
      <c r="BF71" s="336"/>
      <c r="BG71" s="101"/>
      <c r="BH71" s="336"/>
      <c r="BI71" s="336"/>
      <c r="BJ71" s="336"/>
      <c r="BK71" s="336"/>
      <c r="BL71" s="336"/>
      <c r="BM71" s="336"/>
      <c r="BN71" s="336"/>
      <c r="BO71" s="336"/>
    </row>
    <row r="72" spans="1:67" ht="15" customHeight="1">
      <c r="A72" s="1278"/>
      <c r="B72" s="1278"/>
      <c r="C72" s="1278"/>
      <c r="D72" s="1278"/>
      <c r="E72" s="1278"/>
      <c r="F72" s="1278"/>
      <c r="G72" s="1278"/>
      <c r="H72" s="1278"/>
      <c r="I72" s="1278"/>
      <c r="J72" s="1278"/>
      <c r="K72" s="1278"/>
      <c r="L72" s="1278"/>
      <c r="M72" s="1278"/>
      <c r="N72" s="1278"/>
      <c r="O72" s="1278"/>
      <c r="P72" s="1278"/>
      <c r="Q72" s="1278"/>
      <c r="R72" s="1278"/>
      <c r="S72" s="1278"/>
      <c r="T72" s="1278"/>
      <c r="U72" s="1278"/>
      <c r="V72" s="1278"/>
      <c r="W72" s="1278"/>
      <c r="X72" s="1278"/>
      <c r="Y72" s="1278"/>
      <c r="Z72" s="1278"/>
      <c r="AA72" s="1278"/>
      <c r="AB72" s="1278"/>
      <c r="AC72" s="1278"/>
      <c r="AD72" s="1278"/>
      <c r="AE72" s="1278"/>
      <c r="AF72" s="1278"/>
      <c r="AG72" s="1278"/>
      <c r="AH72" s="1278"/>
      <c r="AI72" s="1278"/>
      <c r="AJ72" s="1278"/>
      <c r="AK72" s="1278"/>
      <c r="AL72" s="1278"/>
      <c r="AM72" s="1278"/>
      <c r="AN72" s="1278"/>
      <c r="AO72" s="336"/>
      <c r="AP72" s="336"/>
      <c r="AQ72" s="336"/>
      <c r="AR72" s="336"/>
      <c r="AS72" s="336"/>
      <c r="AT72" s="336"/>
      <c r="AU72" s="336"/>
      <c r="AV72" s="336"/>
      <c r="AW72" s="336"/>
      <c r="AX72" s="336"/>
      <c r="AY72" s="336"/>
      <c r="AZ72" s="336"/>
      <c r="BA72" s="336"/>
      <c r="BB72" s="336"/>
      <c r="BC72" s="336"/>
      <c r="BD72" s="336"/>
      <c r="BE72" s="336"/>
      <c r="BF72" s="336"/>
      <c r="BG72" s="336"/>
      <c r="BH72" s="336"/>
      <c r="BI72" s="336"/>
      <c r="BJ72" s="336"/>
      <c r="BK72" s="336"/>
      <c r="BL72" s="336"/>
      <c r="BM72" s="336"/>
      <c r="BN72" s="336"/>
      <c r="BO72" s="336"/>
    </row>
    <row r="73" spans="1:67" ht="15" customHeight="1">
      <c r="A73" s="1278"/>
      <c r="B73" s="1278"/>
      <c r="C73" s="1278"/>
      <c r="D73" s="1278"/>
      <c r="E73" s="1278"/>
      <c r="F73" s="1278"/>
      <c r="G73" s="1278"/>
      <c r="H73" s="1278"/>
      <c r="I73" s="1278"/>
      <c r="J73" s="1278"/>
      <c r="K73" s="1278"/>
      <c r="L73" s="1278"/>
      <c r="M73" s="1278"/>
      <c r="N73" s="1278"/>
      <c r="O73" s="1278"/>
      <c r="P73" s="1278"/>
      <c r="Q73" s="1278"/>
      <c r="R73" s="1278"/>
      <c r="S73" s="1278"/>
      <c r="T73" s="1278"/>
      <c r="U73" s="1278"/>
      <c r="V73" s="1278"/>
      <c r="W73" s="1278"/>
      <c r="X73" s="1278"/>
      <c r="Y73" s="1278"/>
      <c r="Z73" s="1278"/>
      <c r="AA73" s="1278"/>
      <c r="AB73" s="1278"/>
      <c r="AC73" s="1278"/>
      <c r="AD73" s="1278"/>
      <c r="AE73" s="1278"/>
      <c r="AF73" s="1278"/>
      <c r="AG73" s="1278"/>
      <c r="AH73" s="1278"/>
      <c r="AI73" s="1278"/>
      <c r="AJ73" s="1278"/>
      <c r="AK73" s="1278"/>
      <c r="AL73" s="1278"/>
      <c r="AM73" s="1278"/>
      <c r="AN73" s="1278"/>
      <c r="AO73" s="336"/>
      <c r="AP73" s="336"/>
      <c r="AQ73" s="336"/>
      <c r="AR73" s="336"/>
      <c r="AS73" s="336"/>
      <c r="AT73" s="336"/>
      <c r="AU73" s="336"/>
      <c r="AV73" s="336"/>
      <c r="AW73" s="336"/>
      <c r="AX73" s="336"/>
      <c r="AY73" s="336"/>
      <c r="AZ73" s="336"/>
      <c r="BA73" s="336"/>
      <c r="BB73" s="336"/>
      <c r="BC73" s="336"/>
      <c r="BD73" s="336"/>
      <c r="BE73" s="336"/>
      <c r="BF73" s="336"/>
      <c r="BG73" s="336"/>
      <c r="BH73" s="336"/>
      <c r="BI73" s="336"/>
      <c r="BJ73" s="336"/>
      <c r="BK73" s="336"/>
      <c r="BL73" s="336"/>
      <c r="BM73" s="336"/>
      <c r="BN73" s="336"/>
      <c r="BO73" s="336"/>
    </row>
    <row r="74" spans="1:67" ht="15" customHeight="1">
      <c r="A74" s="1278"/>
      <c r="B74" s="1278"/>
      <c r="C74" s="1278"/>
      <c r="D74" s="1278"/>
      <c r="E74" s="1278"/>
      <c r="F74" s="1278"/>
      <c r="G74" s="1278"/>
      <c r="H74" s="1278"/>
      <c r="I74" s="1278"/>
      <c r="J74" s="1278"/>
      <c r="K74" s="1278"/>
      <c r="L74" s="1278"/>
      <c r="M74" s="1278"/>
      <c r="N74" s="1278"/>
      <c r="O74" s="1278"/>
      <c r="P74" s="1278"/>
      <c r="Q74" s="1278"/>
      <c r="R74" s="1278"/>
      <c r="S74" s="1278"/>
      <c r="T74" s="1278"/>
      <c r="U74" s="1278"/>
      <c r="V74" s="1278"/>
      <c r="W74" s="1278"/>
      <c r="X74" s="1278"/>
      <c r="Y74" s="1278"/>
      <c r="Z74" s="1278"/>
      <c r="AA74" s="1278"/>
      <c r="AB74" s="1278"/>
      <c r="AC74" s="1278"/>
      <c r="AD74" s="1278"/>
      <c r="AE74" s="1278"/>
      <c r="AF74" s="1278"/>
      <c r="AG74" s="1278"/>
      <c r="AH74" s="1278"/>
      <c r="AI74" s="1278"/>
      <c r="AJ74" s="1278"/>
      <c r="AK74" s="1278"/>
      <c r="AL74" s="1278"/>
      <c r="AM74" s="1278"/>
      <c r="AN74" s="1278"/>
      <c r="AO74" s="336"/>
      <c r="AP74" s="336"/>
      <c r="AQ74" s="336"/>
      <c r="AR74" s="336"/>
      <c r="AS74" s="336"/>
      <c r="AT74" s="336"/>
      <c r="AU74" s="336"/>
      <c r="AV74" s="336"/>
      <c r="AW74" s="336"/>
      <c r="AX74" s="336"/>
      <c r="AY74" s="336"/>
      <c r="AZ74" s="336"/>
      <c r="BA74" s="336"/>
      <c r="BB74" s="336"/>
      <c r="BC74" s="336"/>
      <c r="BD74" s="336"/>
      <c r="BE74" s="336"/>
      <c r="BF74" s="336"/>
      <c r="BG74" s="336"/>
      <c r="BH74" s="336"/>
      <c r="BI74" s="336"/>
      <c r="BJ74" s="336"/>
      <c r="BK74" s="336"/>
      <c r="BL74" s="336"/>
      <c r="BM74" s="336"/>
      <c r="BN74" s="336"/>
      <c r="BO74" s="336"/>
    </row>
    <row r="75" spans="1:67" ht="15" customHeight="1">
      <c r="A75" s="1278"/>
      <c r="B75" s="1278"/>
      <c r="C75" s="1278"/>
      <c r="D75" s="1278"/>
      <c r="E75" s="1278"/>
      <c r="F75" s="1278"/>
      <c r="G75" s="1278"/>
      <c r="H75" s="1278"/>
      <c r="I75" s="1278"/>
      <c r="J75" s="1278"/>
      <c r="K75" s="1278"/>
      <c r="L75" s="1278"/>
      <c r="M75" s="1278"/>
      <c r="N75" s="1278"/>
      <c r="O75" s="1278"/>
      <c r="P75" s="1278"/>
      <c r="Q75" s="1278"/>
      <c r="R75" s="1278"/>
      <c r="S75" s="1278"/>
      <c r="T75" s="1278"/>
      <c r="U75" s="1278"/>
      <c r="V75" s="1278"/>
      <c r="W75" s="1278"/>
      <c r="X75" s="1278"/>
      <c r="Y75" s="1278"/>
      <c r="Z75" s="1278"/>
      <c r="AA75" s="1278"/>
      <c r="AB75" s="1278"/>
      <c r="AC75" s="1278"/>
      <c r="AD75" s="1278"/>
      <c r="AE75" s="1278"/>
      <c r="AF75" s="1278"/>
      <c r="AG75" s="1278"/>
      <c r="AH75" s="1278"/>
      <c r="AI75" s="1278"/>
      <c r="AJ75" s="1278"/>
      <c r="AK75" s="1278"/>
      <c r="AL75" s="1278"/>
      <c r="AM75" s="1278"/>
      <c r="AN75" s="1278"/>
      <c r="AO75" s="336"/>
      <c r="AP75" s="336"/>
      <c r="AQ75" s="336"/>
      <c r="AR75" s="336"/>
      <c r="AS75" s="336"/>
      <c r="AT75" s="336"/>
      <c r="AU75" s="336"/>
      <c r="AV75" s="336"/>
      <c r="AW75" s="336"/>
      <c r="AX75" s="336"/>
      <c r="AY75" s="336"/>
      <c r="AZ75" s="336"/>
      <c r="BA75" s="336"/>
      <c r="BB75" s="336"/>
      <c r="BC75" s="336"/>
      <c r="BD75" s="336"/>
      <c r="BE75" s="336"/>
      <c r="BF75" s="336"/>
      <c r="BG75" s="336"/>
      <c r="BH75" s="336"/>
      <c r="BI75" s="336"/>
      <c r="BJ75" s="336"/>
      <c r="BK75" s="336"/>
      <c r="BL75" s="336"/>
      <c r="BM75" s="336"/>
      <c r="BN75" s="336"/>
      <c r="BO75" s="336"/>
    </row>
    <row r="76" spans="1:67" ht="15" customHeight="1">
      <c r="A76" s="1278"/>
      <c r="B76" s="1278"/>
      <c r="C76" s="1278"/>
      <c r="D76" s="1278"/>
      <c r="E76" s="1278"/>
      <c r="F76" s="1278"/>
      <c r="G76" s="1278"/>
      <c r="H76" s="1278"/>
      <c r="I76" s="1278"/>
      <c r="J76" s="1278"/>
      <c r="K76" s="1278"/>
      <c r="L76" s="1278"/>
      <c r="M76" s="1278"/>
      <c r="N76" s="1278"/>
      <c r="O76" s="1278"/>
      <c r="P76" s="1278"/>
      <c r="Q76" s="1278"/>
      <c r="R76" s="1278"/>
      <c r="S76" s="1278"/>
      <c r="T76" s="1278"/>
      <c r="U76" s="1278"/>
      <c r="V76" s="1278"/>
      <c r="W76" s="1278"/>
      <c r="X76" s="1278"/>
      <c r="Y76" s="1278"/>
      <c r="Z76" s="1278"/>
      <c r="AA76" s="1278"/>
      <c r="AB76" s="1278"/>
      <c r="AC76" s="1278"/>
      <c r="AD76" s="1278"/>
      <c r="AE76" s="1278"/>
      <c r="AF76" s="1278"/>
      <c r="AG76" s="1278"/>
      <c r="AH76" s="1278"/>
      <c r="AI76" s="1278"/>
      <c r="AJ76" s="1278"/>
      <c r="AK76" s="1278"/>
      <c r="AL76" s="1278"/>
      <c r="AM76" s="1278"/>
      <c r="AN76" s="1278"/>
      <c r="AO76" s="336"/>
      <c r="AP76" s="336"/>
      <c r="AQ76" s="336"/>
      <c r="AR76" s="336"/>
      <c r="AS76" s="336"/>
      <c r="AT76" s="336"/>
      <c r="AU76" s="336"/>
      <c r="AV76" s="336"/>
      <c r="AW76" s="336"/>
      <c r="AX76" s="336"/>
      <c r="AY76" s="336"/>
      <c r="AZ76" s="336"/>
      <c r="BA76" s="336"/>
      <c r="BB76" s="336"/>
      <c r="BC76" s="336"/>
      <c r="BD76" s="336"/>
      <c r="BE76" s="336"/>
      <c r="BF76" s="336"/>
      <c r="BG76" s="336"/>
      <c r="BH76" s="336"/>
      <c r="BI76" s="336"/>
      <c r="BJ76" s="336"/>
      <c r="BK76" s="336"/>
      <c r="BL76" s="336"/>
      <c r="BM76" s="336"/>
      <c r="BN76" s="336"/>
      <c r="BO76" s="336"/>
    </row>
    <row r="77" spans="1:67" ht="15" customHeight="1">
      <c r="A77" s="1278"/>
      <c r="B77" s="1278"/>
      <c r="C77" s="1278"/>
      <c r="D77" s="1278"/>
      <c r="E77" s="1278"/>
      <c r="F77" s="1278"/>
      <c r="G77" s="1278"/>
      <c r="H77" s="1278"/>
      <c r="I77" s="1278"/>
      <c r="J77" s="1278"/>
      <c r="K77" s="1278"/>
      <c r="L77" s="1278"/>
      <c r="M77" s="1278"/>
      <c r="N77" s="1278"/>
      <c r="O77" s="1278"/>
      <c r="P77" s="1278"/>
      <c r="Q77" s="1278"/>
      <c r="R77" s="1278"/>
      <c r="S77" s="1278"/>
      <c r="T77" s="1278"/>
      <c r="U77" s="1278"/>
      <c r="V77" s="1278"/>
      <c r="W77" s="1278"/>
      <c r="X77" s="1278"/>
      <c r="Y77" s="1278"/>
      <c r="Z77" s="1278"/>
      <c r="AA77" s="1278"/>
      <c r="AB77" s="1278"/>
      <c r="AC77" s="1278"/>
      <c r="AD77" s="1278"/>
      <c r="AE77" s="1278"/>
      <c r="AF77" s="1278"/>
      <c r="AG77" s="1278"/>
      <c r="AH77" s="1278"/>
      <c r="AI77" s="1278"/>
      <c r="AJ77" s="1278"/>
      <c r="AK77" s="1278"/>
      <c r="AL77" s="1278"/>
      <c r="AM77" s="1278"/>
      <c r="AN77" s="1278"/>
      <c r="AO77" s="336"/>
      <c r="AP77" s="336"/>
      <c r="AQ77" s="336"/>
      <c r="AR77" s="336"/>
      <c r="AS77" s="336"/>
      <c r="AT77" s="336"/>
      <c r="AU77" s="336"/>
      <c r="AV77" s="336"/>
      <c r="AW77" s="336"/>
      <c r="AX77" s="336"/>
      <c r="AY77" s="336"/>
      <c r="AZ77" s="336"/>
      <c r="BA77" s="336"/>
      <c r="BB77" s="336"/>
      <c r="BC77" s="336"/>
      <c r="BD77" s="336"/>
      <c r="BE77" s="336"/>
      <c r="BF77" s="336"/>
      <c r="BG77" s="336"/>
      <c r="BH77" s="336"/>
      <c r="BI77" s="336"/>
      <c r="BJ77" s="336"/>
      <c r="BK77" s="336"/>
      <c r="BL77" s="336"/>
      <c r="BM77" s="336"/>
      <c r="BN77" s="336"/>
      <c r="BO77" s="336"/>
    </row>
    <row r="78" spans="1:67" ht="15" customHeight="1">
      <c r="A78" s="1278"/>
      <c r="B78" s="1278"/>
      <c r="C78" s="1278"/>
      <c r="D78" s="1278"/>
      <c r="E78" s="1278"/>
      <c r="F78" s="1278"/>
      <c r="G78" s="1278"/>
      <c r="H78" s="1278"/>
      <c r="I78" s="1278"/>
      <c r="J78" s="1278"/>
      <c r="K78" s="1278"/>
      <c r="L78" s="1278"/>
      <c r="M78" s="1278"/>
      <c r="N78" s="1278"/>
      <c r="O78" s="1278"/>
      <c r="P78" s="1278"/>
      <c r="Q78" s="1278"/>
      <c r="R78" s="1278"/>
      <c r="S78" s="1278"/>
      <c r="T78" s="1278"/>
      <c r="U78" s="1278"/>
      <c r="V78" s="1278"/>
      <c r="W78" s="1278"/>
      <c r="X78" s="1278"/>
      <c r="Y78" s="1278"/>
      <c r="Z78" s="1278"/>
      <c r="AA78" s="1278"/>
      <c r="AB78" s="1278"/>
      <c r="AC78" s="1278"/>
      <c r="AD78" s="1278"/>
      <c r="AE78" s="1278"/>
      <c r="AF78" s="1278"/>
      <c r="AG78" s="1278"/>
      <c r="AH78" s="1278"/>
      <c r="AI78" s="1278"/>
      <c r="AJ78" s="1278"/>
      <c r="AK78" s="1278"/>
      <c r="AL78" s="1278"/>
      <c r="AM78" s="1278"/>
      <c r="AN78" s="1278"/>
      <c r="AO78" s="336"/>
      <c r="AP78" s="336"/>
      <c r="AQ78" s="336"/>
      <c r="AR78" s="336"/>
      <c r="AS78" s="336"/>
      <c r="AT78" s="336"/>
      <c r="AU78" s="336"/>
      <c r="AV78" s="336"/>
      <c r="AW78" s="336"/>
      <c r="AX78" s="336"/>
      <c r="AY78" s="336"/>
      <c r="AZ78" s="336"/>
      <c r="BA78" s="336"/>
      <c r="BB78" s="336"/>
      <c r="BC78" s="336"/>
      <c r="BD78" s="336"/>
      <c r="BE78" s="336"/>
      <c r="BF78" s="336"/>
      <c r="BG78" s="336"/>
      <c r="BH78" s="336"/>
      <c r="BI78" s="336"/>
      <c r="BJ78" s="336"/>
      <c r="BK78" s="336"/>
      <c r="BL78" s="336"/>
      <c r="BM78" s="336"/>
      <c r="BN78" s="336"/>
      <c r="BO78" s="336"/>
    </row>
    <row r="79" spans="1:67" ht="15" customHeight="1">
      <c r="A79" s="1278"/>
      <c r="B79" s="1278"/>
      <c r="C79" s="1278"/>
      <c r="D79" s="1278"/>
      <c r="E79" s="1278"/>
      <c r="F79" s="1278"/>
      <c r="G79" s="1278"/>
      <c r="H79" s="1278"/>
      <c r="I79" s="1278"/>
      <c r="J79" s="1278"/>
      <c r="K79" s="1278"/>
      <c r="L79" s="1278"/>
      <c r="M79" s="1278"/>
      <c r="N79" s="1278"/>
      <c r="O79" s="1278"/>
      <c r="P79" s="1278"/>
      <c r="Q79" s="1278"/>
      <c r="R79" s="1278"/>
      <c r="S79" s="1278"/>
      <c r="T79" s="1278"/>
      <c r="U79" s="1278"/>
      <c r="V79" s="1278"/>
      <c r="W79" s="1278"/>
      <c r="X79" s="1278"/>
      <c r="Y79" s="1278"/>
      <c r="Z79" s="1278"/>
      <c r="AA79" s="1278"/>
      <c r="AB79" s="1278"/>
      <c r="AC79" s="1278"/>
      <c r="AD79" s="1278"/>
      <c r="AE79" s="1278"/>
      <c r="AF79" s="1278"/>
      <c r="AG79" s="1278"/>
      <c r="AH79" s="1278"/>
      <c r="AI79" s="1278"/>
      <c r="AJ79" s="1278"/>
      <c r="AK79" s="1278"/>
      <c r="AL79" s="1278"/>
      <c r="AM79" s="1278"/>
      <c r="AN79" s="1278"/>
      <c r="AO79" s="336"/>
      <c r="AP79" s="336"/>
      <c r="AQ79" s="336"/>
      <c r="AR79" s="336"/>
      <c r="AS79" s="336"/>
      <c r="AT79" s="336"/>
      <c r="AU79" s="336"/>
      <c r="AV79" s="336"/>
      <c r="AW79" s="336"/>
      <c r="AX79" s="336"/>
      <c r="AY79" s="336"/>
      <c r="AZ79" s="336"/>
      <c r="BA79" s="336"/>
      <c r="BB79" s="336"/>
      <c r="BC79" s="336"/>
      <c r="BD79" s="336"/>
      <c r="BE79" s="336"/>
      <c r="BF79" s="336"/>
      <c r="BG79" s="336"/>
      <c r="BH79" s="336"/>
      <c r="BI79" s="336"/>
      <c r="BJ79" s="336"/>
      <c r="BK79" s="336"/>
      <c r="BL79" s="336"/>
      <c r="BM79" s="336"/>
      <c r="BN79" s="336"/>
      <c r="BO79" s="336"/>
    </row>
    <row r="80" spans="1:67" ht="15" customHeight="1">
      <c r="A80" s="1278"/>
      <c r="B80" s="1278"/>
      <c r="C80" s="1278"/>
      <c r="D80" s="1278"/>
      <c r="E80" s="1278"/>
      <c r="F80" s="1278"/>
      <c r="G80" s="1278"/>
      <c r="H80" s="1278"/>
      <c r="I80" s="1278"/>
      <c r="J80" s="1278"/>
      <c r="K80" s="1278"/>
      <c r="L80" s="1278"/>
      <c r="M80" s="1278"/>
      <c r="N80" s="1278"/>
      <c r="O80" s="1278"/>
      <c r="P80" s="1278"/>
      <c r="Q80" s="1278"/>
      <c r="R80" s="1278"/>
      <c r="S80" s="1278"/>
      <c r="T80" s="1278"/>
      <c r="U80" s="1278"/>
      <c r="V80" s="1278"/>
      <c r="W80" s="1278"/>
      <c r="X80" s="1278"/>
      <c r="Y80" s="1278"/>
      <c r="Z80" s="1278"/>
      <c r="AA80" s="1278"/>
      <c r="AB80" s="1278"/>
      <c r="AC80" s="1278"/>
      <c r="AD80" s="1278"/>
      <c r="AE80" s="1278"/>
      <c r="AF80" s="1278"/>
      <c r="AG80" s="1278"/>
      <c r="AH80" s="1278"/>
      <c r="AI80" s="1278"/>
      <c r="AJ80" s="1278"/>
      <c r="AK80" s="1278"/>
      <c r="AL80" s="1278"/>
      <c r="AM80" s="1278"/>
      <c r="AN80" s="1278"/>
      <c r="AO80" s="336"/>
      <c r="AP80" s="336"/>
      <c r="AQ80" s="336"/>
      <c r="AR80" s="336"/>
      <c r="AS80" s="336"/>
      <c r="AT80" s="336"/>
      <c r="AU80" s="336"/>
      <c r="AV80" s="336"/>
      <c r="AW80" s="336"/>
      <c r="AX80" s="336"/>
      <c r="AY80" s="336"/>
      <c r="AZ80" s="336"/>
      <c r="BA80" s="336"/>
      <c r="BB80" s="336"/>
      <c r="BC80" s="336"/>
      <c r="BD80" s="336"/>
      <c r="BE80" s="336"/>
      <c r="BF80" s="336"/>
      <c r="BG80" s="336"/>
      <c r="BH80" s="336"/>
      <c r="BI80" s="336"/>
      <c r="BJ80" s="336"/>
      <c r="BK80" s="336"/>
      <c r="BL80" s="336"/>
      <c r="BM80" s="336"/>
      <c r="BN80" s="336"/>
      <c r="BO80" s="336"/>
    </row>
    <row r="81" spans="1:67" ht="15" customHeight="1">
      <c r="A81" s="1278"/>
      <c r="B81" s="1278"/>
      <c r="C81" s="1278"/>
      <c r="D81" s="1278"/>
      <c r="E81" s="1278"/>
      <c r="F81" s="1278"/>
      <c r="G81" s="1278"/>
      <c r="H81" s="1278"/>
      <c r="I81" s="1278"/>
      <c r="J81" s="1278"/>
      <c r="K81" s="1278"/>
      <c r="L81" s="1278"/>
      <c r="M81" s="1278"/>
      <c r="N81" s="1278"/>
      <c r="O81" s="1278"/>
      <c r="P81" s="1278"/>
      <c r="Q81" s="1278"/>
      <c r="R81" s="1278"/>
      <c r="S81" s="1278"/>
      <c r="T81" s="1278"/>
      <c r="U81" s="1278"/>
      <c r="V81" s="1278"/>
      <c r="W81" s="1278"/>
      <c r="X81" s="1278"/>
      <c r="Y81" s="1278"/>
      <c r="Z81" s="1278"/>
      <c r="AA81" s="1278"/>
      <c r="AB81" s="1278"/>
      <c r="AC81" s="1278"/>
      <c r="AD81" s="1278"/>
      <c r="AE81" s="1278"/>
      <c r="AF81" s="1278"/>
      <c r="AG81" s="1278"/>
      <c r="AH81" s="1278"/>
      <c r="AI81" s="1278"/>
      <c r="AJ81" s="1278"/>
      <c r="AK81" s="1278"/>
      <c r="AL81" s="1278"/>
      <c r="AM81" s="1278"/>
      <c r="AN81" s="1278"/>
      <c r="AO81" s="336"/>
      <c r="AP81" s="336"/>
      <c r="AQ81" s="336"/>
      <c r="AR81" s="336"/>
      <c r="AS81" s="336"/>
      <c r="AT81" s="336"/>
      <c r="AU81" s="336"/>
      <c r="AV81" s="336"/>
      <c r="AW81" s="336"/>
      <c r="AX81" s="336"/>
      <c r="AY81" s="336"/>
      <c r="AZ81" s="336"/>
      <c r="BA81" s="336"/>
      <c r="BB81" s="336"/>
      <c r="BC81" s="336"/>
      <c r="BD81" s="336"/>
      <c r="BE81" s="336"/>
      <c r="BF81" s="336"/>
      <c r="BG81" s="336"/>
      <c r="BH81" s="336"/>
      <c r="BI81" s="336"/>
      <c r="BJ81" s="336"/>
      <c r="BK81" s="336"/>
      <c r="BL81" s="336"/>
      <c r="BM81" s="336"/>
      <c r="BN81" s="336"/>
      <c r="BO81" s="336"/>
    </row>
    <row r="82" spans="1:67" ht="15" customHeight="1">
      <c r="A82" s="1278"/>
      <c r="B82" s="1278"/>
      <c r="C82" s="1278"/>
      <c r="D82" s="1278"/>
      <c r="E82" s="1278"/>
      <c r="F82" s="1278"/>
      <c r="G82" s="1278"/>
      <c r="H82" s="1278"/>
      <c r="I82" s="1278"/>
      <c r="J82" s="1278"/>
      <c r="K82" s="1278"/>
      <c r="L82" s="1278"/>
      <c r="M82" s="1278"/>
      <c r="N82" s="1278"/>
      <c r="O82" s="1278"/>
      <c r="P82" s="1278"/>
      <c r="Q82" s="1278"/>
      <c r="R82" s="1278"/>
      <c r="S82" s="1278"/>
      <c r="T82" s="1278"/>
      <c r="U82" s="1278"/>
      <c r="V82" s="1278"/>
      <c r="W82" s="1278"/>
      <c r="X82" s="1278"/>
      <c r="Y82" s="1278"/>
      <c r="Z82" s="1278"/>
      <c r="AA82" s="1278"/>
      <c r="AB82" s="1278"/>
      <c r="AC82" s="1278"/>
      <c r="AD82" s="1278"/>
      <c r="AE82" s="1278"/>
      <c r="AF82" s="1278"/>
      <c r="AG82" s="1278"/>
      <c r="AH82" s="1278"/>
      <c r="AI82" s="1278"/>
      <c r="AJ82" s="1278"/>
      <c r="AK82" s="1278"/>
      <c r="AL82" s="1278"/>
      <c r="AM82" s="1278"/>
      <c r="AN82" s="1278"/>
      <c r="AO82" s="336"/>
      <c r="AP82" s="336"/>
      <c r="AQ82" s="336"/>
      <c r="AR82" s="336"/>
      <c r="AS82" s="336"/>
      <c r="AT82" s="336"/>
      <c r="AU82" s="336"/>
      <c r="AV82" s="336"/>
      <c r="AW82" s="336"/>
      <c r="AX82" s="336"/>
      <c r="AY82" s="336"/>
      <c r="AZ82" s="336"/>
      <c r="BA82" s="336"/>
      <c r="BB82" s="336"/>
      <c r="BC82" s="336"/>
      <c r="BD82" s="336"/>
      <c r="BE82" s="336"/>
      <c r="BF82" s="336"/>
      <c r="BG82" s="336"/>
      <c r="BH82" s="336"/>
      <c r="BI82" s="336"/>
      <c r="BJ82" s="336"/>
      <c r="BK82" s="336"/>
      <c r="BL82" s="336"/>
      <c r="BM82" s="336"/>
      <c r="BN82" s="336"/>
      <c r="BO82" s="336"/>
    </row>
    <row r="83" spans="1:67" ht="15" customHeight="1">
      <c r="A83" s="1278"/>
      <c r="B83" s="1278"/>
      <c r="C83" s="1278"/>
      <c r="D83" s="1278"/>
      <c r="E83" s="1278"/>
      <c r="F83" s="1278"/>
      <c r="G83" s="1278"/>
      <c r="H83" s="1278"/>
      <c r="I83" s="1278"/>
      <c r="J83" s="1278"/>
      <c r="K83" s="1278"/>
      <c r="L83" s="1278"/>
      <c r="M83" s="1278"/>
      <c r="N83" s="1278"/>
      <c r="O83" s="1278"/>
      <c r="P83" s="1278"/>
      <c r="Q83" s="1278"/>
      <c r="R83" s="1278"/>
      <c r="S83" s="1278"/>
      <c r="T83" s="1278"/>
      <c r="U83" s="1278"/>
      <c r="V83" s="1278"/>
      <c r="W83" s="1278"/>
      <c r="X83" s="1278"/>
      <c r="Y83" s="1278"/>
      <c r="Z83" s="1278"/>
      <c r="AA83" s="1278"/>
      <c r="AB83" s="1278"/>
      <c r="AC83" s="1278"/>
      <c r="AD83" s="1278"/>
      <c r="AE83" s="1278"/>
      <c r="AF83" s="1278"/>
      <c r="AG83" s="1278"/>
      <c r="AH83" s="1278"/>
      <c r="AI83" s="1278"/>
      <c r="AJ83" s="1278"/>
      <c r="AK83" s="1278"/>
      <c r="AL83" s="1278"/>
      <c r="AM83" s="1278"/>
      <c r="AN83" s="1278"/>
      <c r="AO83" s="336"/>
      <c r="AP83" s="336"/>
      <c r="AQ83" s="336"/>
      <c r="AR83" s="336"/>
      <c r="AS83" s="336"/>
      <c r="AT83" s="336"/>
      <c r="AU83" s="336"/>
      <c r="AV83" s="336"/>
      <c r="AW83" s="336"/>
      <c r="AX83" s="336"/>
      <c r="AY83" s="336"/>
      <c r="AZ83" s="336"/>
      <c r="BA83" s="336"/>
      <c r="BB83" s="336"/>
      <c r="BC83" s="336"/>
      <c r="BD83" s="336"/>
      <c r="BE83" s="336"/>
      <c r="BF83" s="336"/>
      <c r="BG83" s="336"/>
      <c r="BH83" s="336"/>
      <c r="BI83" s="336"/>
      <c r="BJ83" s="336"/>
      <c r="BK83" s="336"/>
      <c r="BL83" s="336"/>
      <c r="BM83" s="336"/>
      <c r="BN83" s="336"/>
      <c r="BO83" s="336"/>
    </row>
    <row r="84" spans="1:67" ht="15" customHeight="1">
      <c r="A84" s="1278"/>
      <c r="B84" s="1278"/>
      <c r="C84" s="1278"/>
      <c r="D84" s="1278"/>
      <c r="E84" s="1278"/>
      <c r="F84" s="1278"/>
      <c r="G84" s="1278"/>
      <c r="H84" s="1278"/>
      <c r="I84" s="1278"/>
      <c r="J84" s="1278"/>
      <c r="K84" s="1278"/>
      <c r="L84" s="1278"/>
      <c r="M84" s="1278"/>
      <c r="N84" s="1278"/>
      <c r="O84" s="1278"/>
      <c r="P84" s="1278"/>
      <c r="Q84" s="1278"/>
      <c r="R84" s="1278"/>
      <c r="S84" s="1278"/>
      <c r="T84" s="1278"/>
      <c r="U84" s="1278"/>
      <c r="V84" s="1278"/>
      <c r="W84" s="1278"/>
      <c r="X84" s="1278"/>
      <c r="Y84" s="1278"/>
      <c r="Z84" s="1278"/>
      <c r="AA84" s="1278"/>
      <c r="AB84" s="1278"/>
      <c r="AC84" s="1278"/>
      <c r="AD84" s="1278"/>
      <c r="AE84" s="1278"/>
      <c r="AF84" s="1278"/>
      <c r="AG84" s="1278"/>
      <c r="AH84" s="1278"/>
      <c r="AI84" s="1278"/>
      <c r="AJ84" s="1278"/>
      <c r="AK84" s="1278"/>
      <c r="AL84" s="1278"/>
      <c r="AM84" s="1278"/>
      <c r="AN84" s="1278"/>
      <c r="AO84" s="336"/>
      <c r="AP84" s="336"/>
      <c r="AQ84" s="336"/>
      <c r="AR84" s="336"/>
      <c r="AS84" s="336"/>
      <c r="AT84" s="336"/>
      <c r="AU84" s="336"/>
      <c r="AV84" s="336"/>
      <c r="AW84" s="336"/>
      <c r="AX84" s="336"/>
      <c r="AY84" s="336"/>
      <c r="AZ84" s="336"/>
      <c r="BA84" s="336"/>
      <c r="BB84" s="336"/>
      <c r="BC84" s="336"/>
      <c r="BD84" s="336"/>
      <c r="BE84" s="336"/>
      <c r="BF84" s="336"/>
      <c r="BG84" s="336"/>
      <c r="BH84" s="336"/>
      <c r="BI84" s="336"/>
      <c r="BJ84" s="336"/>
      <c r="BK84" s="336"/>
      <c r="BL84" s="336"/>
      <c r="BM84" s="336"/>
      <c r="BN84" s="336"/>
      <c r="BO84" s="336"/>
    </row>
    <row r="85" spans="1:67" ht="15" customHeight="1">
      <c r="A85" s="1278"/>
      <c r="B85" s="1278"/>
      <c r="C85" s="1278"/>
      <c r="D85" s="1278"/>
      <c r="E85" s="1278"/>
      <c r="F85" s="1278"/>
      <c r="G85" s="1278"/>
      <c r="H85" s="1278"/>
      <c r="I85" s="1278"/>
      <c r="J85" s="1278"/>
      <c r="K85" s="1278"/>
      <c r="L85" s="1278"/>
      <c r="M85" s="1278"/>
      <c r="N85" s="1278"/>
      <c r="O85" s="1278"/>
      <c r="P85" s="1278"/>
      <c r="Q85" s="1278"/>
      <c r="R85" s="1278"/>
      <c r="S85" s="1278"/>
      <c r="T85" s="1278"/>
      <c r="U85" s="1278"/>
      <c r="V85" s="1278"/>
      <c r="W85" s="1278"/>
      <c r="X85" s="1278"/>
      <c r="Y85" s="1278"/>
      <c r="Z85" s="1278"/>
      <c r="AA85" s="1278"/>
      <c r="AB85" s="1278"/>
      <c r="AC85" s="1278"/>
      <c r="AD85" s="1278"/>
      <c r="AE85" s="1278"/>
      <c r="AF85" s="1278"/>
      <c r="AG85" s="1278"/>
      <c r="AH85" s="1278"/>
      <c r="AI85" s="1278"/>
      <c r="AJ85" s="1278"/>
      <c r="AK85" s="1278"/>
      <c r="AL85" s="1278"/>
      <c r="AM85" s="1278"/>
      <c r="AN85" s="1278"/>
      <c r="AO85" s="336"/>
      <c r="AP85" s="336"/>
      <c r="AQ85" s="336"/>
      <c r="AR85" s="336"/>
      <c r="AS85" s="336"/>
      <c r="AT85" s="336"/>
      <c r="AU85" s="336"/>
      <c r="AV85" s="336"/>
      <c r="AW85" s="336"/>
      <c r="AX85" s="336"/>
      <c r="AY85" s="336"/>
      <c r="AZ85" s="336"/>
      <c r="BA85" s="336"/>
      <c r="BB85" s="336"/>
      <c r="BC85" s="336"/>
      <c r="BD85" s="336"/>
      <c r="BE85" s="336"/>
      <c r="BF85" s="336"/>
      <c r="BG85" s="336"/>
      <c r="BH85" s="336"/>
      <c r="BI85" s="336"/>
      <c r="BJ85" s="336"/>
      <c r="BK85" s="336"/>
      <c r="BL85" s="336"/>
      <c r="BM85" s="336"/>
      <c r="BN85" s="336"/>
      <c r="BO85" s="336"/>
    </row>
    <row r="86" spans="1:67" ht="15" customHeight="1">
      <c r="A86" s="1278"/>
      <c r="B86" s="1278"/>
      <c r="C86" s="1278"/>
      <c r="D86" s="1278"/>
      <c r="E86" s="1278"/>
      <c r="F86" s="1278"/>
      <c r="G86" s="1278"/>
      <c r="H86" s="1278"/>
      <c r="I86" s="1278"/>
      <c r="J86" s="1278"/>
      <c r="K86" s="1278"/>
      <c r="L86" s="1278"/>
      <c r="M86" s="1278"/>
      <c r="N86" s="1278"/>
      <c r="O86" s="1278"/>
      <c r="P86" s="1278"/>
      <c r="Q86" s="1278"/>
      <c r="R86" s="1278"/>
      <c r="S86" s="1278"/>
      <c r="T86" s="1278"/>
      <c r="U86" s="1278"/>
      <c r="V86" s="1278"/>
      <c r="W86" s="1278"/>
      <c r="X86" s="1278"/>
      <c r="Y86" s="1278"/>
      <c r="Z86" s="1278"/>
      <c r="AA86" s="1278"/>
      <c r="AB86" s="1278"/>
      <c r="AC86" s="1278"/>
      <c r="AD86" s="1278"/>
      <c r="AE86" s="1278"/>
      <c r="AF86" s="1278"/>
      <c r="AG86" s="1278"/>
      <c r="AH86" s="1278"/>
      <c r="AI86" s="1278"/>
      <c r="AJ86" s="1278"/>
      <c r="AK86" s="1278"/>
      <c r="AL86" s="1278"/>
      <c r="AM86" s="1278"/>
      <c r="AN86" s="1278"/>
      <c r="AO86" s="336"/>
      <c r="AP86" s="336"/>
      <c r="AQ86" s="336"/>
      <c r="AR86" s="336"/>
      <c r="AS86" s="336"/>
      <c r="AT86" s="336"/>
      <c r="AU86" s="336"/>
      <c r="AV86" s="336"/>
      <c r="AW86" s="336"/>
      <c r="AX86" s="336"/>
      <c r="AY86" s="336"/>
      <c r="AZ86" s="336"/>
      <c r="BA86" s="336"/>
      <c r="BB86" s="336"/>
      <c r="BC86" s="336"/>
      <c r="BD86" s="336"/>
      <c r="BE86" s="336"/>
      <c r="BF86" s="336"/>
      <c r="BG86" s="336"/>
      <c r="BH86" s="336"/>
      <c r="BI86" s="336"/>
      <c r="BJ86" s="336"/>
      <c r="BK86" s="336"/>
      <c r="BL86" s="336"/>
      <c r="BM86" s="336"/>
      <c r="BN86" s="336"/>
      <c r="BO86" s="336"/>
    </row>
    <row r="87" spans="1:67" ht="15" customHeight="1">
      <c r="A87" s="1278"/>
      <c r="B87" s="1278"/>
      <c r="C87" s="1278"/>
      <c r="D87" s="1278"/>
      <c r="E87" s="1278"/>
      <c r="F87" s="1278"/>
      <c r="G87" s="1278"/>
      <c r="H87" s="1278"/>
      <c r="I87" s="1278"/>
      <c r="J87" s="1278"/>
      <c r="K87" s="1278"/>
      <c r="L87" s="1278"/>
      <c r="M87" s="1278"/>
      <c r="N87" s="1278"/>
      <c r="O87" s="1278"/>
      <c r="P87" s="1278"/>
      <c r="Q87" s="1278"/>
      <c r="R87" s="1278"/>
      <c r="S87" s="1278"/>
      <c r="T87" s="1278"/>
      <c r="U87" s="1278"/>
      <c r="V87" s="1278"/>
      <c r="W87" s="1278"/>
      <c r="X87" s="1278"/>
      <c r="Y87" s="1278"/>
      <c r="Z87" s="1278"/>
      <c r="AA87" s="1278"/>
      <c r="AB87" s="1278"/>
      <c r="AC87" s="1278"/>
      <c r="AD87" s="1278"/>
      <c r="AE87" s="1278"/>
      <c r="AF87" s="1278"/>
      <c r="AG87" s="1278"/>
      <c r="AH87" s="1278"/>
      <c r="AI87" s="1278"/>
      <c r="AJ87" s="1278"/>
      <c r="AK87" s="1278"/>
      <c r="AL87" s="1278"/>
      <c r="AM87" s="1278"/>
      <c r="AN87" s="1278"/>
      <c r="AO87" s="336"/>
      <c r="AP87" s="336"/>
      <c r="AQ87" s="336"/>
      <c r="AR87" s="336"/>
      <c r="AS87" s="336"/>
      <c r="AT87" s="336"/>
      <c r="AU87" s="336"/>
      <c r="AV87" s="336"/>
      <c r="AW87" s="336"/>
      <c r="AX87" s="336"/>
      <c r="AY87" s="336"/>
      <c r="AZ87" s="336"/>
      <c r="BA87" s="336"/>
      <c r="BB87" s="336"/>
      <c r="BC87" s="336"/>
      <c r="BD87" s="336"/>
      <c r="BE87" s="336"/>
      <c r="BF87" s="336"/>
      <c r="BG87" s="336"/>
      <c r="BH87" s="336"/>
      <c r="BI87" s="336"/>
      <c r="BJ87" s="336"/>
      <c r="BK87" s="336"/>
      <c r="BL87" s="336"/>
      <c r="BM87" s="336"/>
      <c r="BN87" s="336"/>
      <c r="BO87" s="336"/>
    </row>
    <row r="88" spans="1:67" ht="15" customHeight="1">
      <c r="A88" s="1278"/>
      <c r="B88" s="1278"/>
      <c r="C88" s="1278"/>
      <c r="D88" s="1278"/>
      <c r="E88" s="1278"/>
      <c r="F88" s="1278"/>
      <c r="G88" s="1278"/>
      <c r="H88" s="1278"/>
      <c r="I88" s="1278"/>
      <c r="J88" s="1278"/>
      <c r="K88" s="1278"/>
      <c r="L88" s="1278"/>
      <c r="M88" s="1278"/>
      <c r="N88" s="1278"/>
      <c r="O88" s="1278"/>
      <c r="P88" s="1278"/>
      <c r="Q88" s="1278"/>
      <c r="R88" s="1278"/>
      <c r="S88" s="1278"/>
      <c r="T88" s="1278"/>
      <c r="U88" s="1278"/>
      <c r="V88" s="1278"/>
      <c r="W88" s="1278"/>
      <c r="X88" s="1278"/>
      <c r="Y88" s="1278"/>
      <c r="Z88" s="1278"/>
      <c r="AA88" s="1278"/>
      <c r="AB88" s="1278"/>
      <c r="AC88" s="1278"/>
      <c r="AD88" s="1278"/>
      <c r="AE88" s="1278"/>
      <c r="AF88" s="1278"/>
      <c r="AG88" s="1278"/>
      <c r="AH88" s="1278"/>
      <c r="AI88" s="1278"/>
      <c r="AJ88" s="1278"/>
      <c r="AK88" s="1278"/>
      <c r="AL88" s="1278"/>
      <c r="AM88" s="1278"/>
      <c r="AN88" s="1278"/>
      <c r="AO88" s="336"/>
      <c r="AP88" s="336"/>
      <c r="AQ88" s="336"/>
      <c r="AR88" s="336"/>
      <c r="AS88" s="336"/>
      <c r="AT88" s="336"/>
      <c r="AU88" s="336"/>
      <c r="AV88" s="336"/>
      <c r="AW88" s="336"/>
      <c r="AX88" s="336"/>
      <c r="AY88" s="336"/>
      <c r="AZ88" s="336"/>
      <c r="BA88" s="336"/>
      <c r="BB88" s="336"/>
      <c r="BC88" s="336"/>
      <c r="BD88" s="336"/>
      <c r="BE88" s="336"/>
      <c r="BF88" s="336"/>
      <c r="BG88" s="336"/>
      <c r="BH88" s="336"/>
      <c r="BI88" s="336"/>
      <c r="BJ88" s="336"/>
      <c r="BK88" s="336"/>
      <c r="BL88" s="336"/>
      <c r="BM88" s="336"/>
      <c r="BN88" s="336"/>
      <c r="BO88" s="336"/>
    </row>
    <row r="89" spans="1:67" ht="15" customHeight="1">
      <c r="A89" s="1278"/>
      <c r="B89" s="1278"/>
      <c r="C89" s="1278"/>
      <c r="D89" s="1278"/>
      <c r="E89" s="1278"/>
      <c r="F89" s="1278"/>
      <c r="G89" s="1278"/>
      <c r="H89" s="1278"/>
      <c r="I89" s="1278"/>
      <c r="J89" s="1278"/>
      <c r="K89" s="1278"/>
      <c r="L89" s="1278"/>
      <c r="M89" s="1278"/>
      <c r="N89" s="1278"/>
      <c r="O89" s="1278"/>
      <c r="P89" s="1278"/>
      <c r="Q89" s="1278"/>
      <c r="R89" s="1278"/>
      <c r="S89" s="1278"/>
      <c r="T89" s="1278"/>
      <c r="U89" s="1278"/>
      <c r="V89" s="1278"/>
      <c r="W89" s="1278"/>
      <c r="X89" s="1278"/>
      <c r="Y89" s="1278"/>
      <c r="Z89" s="1278"/>
      <c r="AA89" s="1278"/>
      <c r="AB89" s="1278"/>
      <c r="AC89" s="1278"/>
      <c r="AD89" s="1278"/>
      <c r="AE89" s="1278"/>
      <c r="AF89" s="1278"/>
      <c r="AG89" s="1278"/>
      <c r="AH89" s="1278"/>
      <c r="AI89" s="1278"/>
      <c r="AJ89" s="1278"/>
      <c r="AK89" s="1278"/>
      <c r="AL89" s="1278"/>
      <c r="AM89" s="1278"/>
      <c r="AN89" s="1278"/>
      <c r="AO89" s="336"/>
      <c r="AP89" s="336"/>
      <c r="AQ89" s="336"/>
      <c r="AR89" s="336"/>
      <c r="AS89" s="336"/>
      <c r="AT89" s="336"/>
      <c r="AU89" s="336"/>
      <c r="AV89" s="336"/>
      <c r="AW89" s="336"/>
      <c r="AX89" s="336"/>
      <c r="AY89" s="336"/>
      <c r="AZ89" s="336"/>
      <c r="BA89" s="336"/>
      <c r="BB89" s="336"/>
      <c r="BC89" s="336"/>
      <c r="BD89" s="336"/>
      <c r="BE89" s="336"/>
      <c r="BF89" s="336"/>
      <c r="BG89" s="336"/>
      <c r="BH89" s="336"/>
      <c r="BI89" s="336"/>
      <c r="BJ89" s="336"/>
      <c r="BK89" s="336"/>
      <c r="BL89" s="336"/>
      <c r="BM89" s="336"/>
      <c r="BN89" s="336"/>
      <c r="BO89" s="336"/>
    </row>
    <row r="90" spans="1:67" ht="15" customHeight="1">
      <c r="A90" s="1278"/>
      <c r="B90" s="1278"/>
      <c r="C90" s="1278"/>
      <c r="D90" s="1278"/>
      <c r="E90" s="1278"/>
      <c r="F90" s="1278"/>
      <c r="G90" s="1278"/>
      <c r="H90" s="1278"/>
      <c r="I90" s="1278"/>
      <c r="J90" s="1278"/>
      <c r="K90" s="1278"/>
      <c r="L90" s="1278"/>
      <c r="M90" s="1278"/>
      <c r="N90" s="1278"/>
      <c r="O90" s="1278"/>
      <c r="P90" s="1278"/>
      <c r="Q90" s="1278"/>
      <c r="R90" s="1278"/>
      <c r="S90" s="1278"/>
      <c r="T90" s="1278"/>
      <c r="U90" s="1278"/>
      <c r="V90" s="1278"/>
      <c r="W90" s="1278"/>
      <c r="X90" s="1278"/>
      <c r="Y90" s="1278"/>
      <c r="Z90" s="1278"/>
      <c r="AA90" s="1278"/>
      <c r="AB90" s="1278"/>
      <c r="AC90" s="1278"/>
      <c r="AD90" s="1278"/>
      <c r="AE90" s="1278"/>
      <c r="AF90" s="1278"/>
      <c r="AG90" s="1278"/>
      <c r="AH90" s="1278"/>
      <c r="AI90" s="1278"/>
      <c r="AJ90" s="1278"/>
      <c r="AK90" s="1278"/>
      <c r="AL90" s="1278"/>
      <c r="AM90" s="1278"/>
      <c r="AN90" s="1278"/>
      <c r="AO90" s="336"/>
      <c r="AP90" s="336"/>
      <c r="AQ90" s="336"/>
      <c r="AR90" s="336"/>
      <c r="AS90" s="336"/>
      <c r="AT90" s="336"/>
      <c r="AU90" s="336"/>
      <c r="AV90" s="336"/>
      <c r="AW90" s="336"/>
      <c r="AX90" s="336"/>
      <c r="AY90" s="336"/>
      <c r="AZ90" s="336"/>
      <c r="BA90" s="336"/>
      <c r="BB90" s="336"/>
      <c r="BC90" s="336"/>
      <c r="BD90" s="336"/>
      <c r="BE90" s="336"/>
      <c r="BF90" s="336"/>
      <c r="BG90" s="336"/>
      <c r="BH90" s="336"/>
      <c r="BI90" s="336"/>
      <c r="BJ90" s="336"/>
      <c r="BK90" s="336"/>
      <c r="BL90" s="336"/>
      <c r="BM90" s="336"/>
      <c r="BN90" s="336"/>
      <c r="BO90" s="336"/>
    </row>
    <row r="91" spans="1:67" ht="15" customHeight="1">
      <c r="A91" s="1278"/>
      <c r="B91" s="1278"/>
      <c r="C91" s="1278"/>
      <c r="D91" s="1278"/>
      <c r="E91" s="1278"/>
      <c r="F91" s="1278"/>
      <c r="G91" s="1278"/>
      <c r="H91" s="1278"/>
      <c r="I91" s="1278"/>
      <c r="J91" s="1278"/>
      <c r="K91" s="1278"/>
      <c r="L91" s="1278"/>
      <c r="M91" s="1278"/>
      <c r="N91" s="1278"/>
      <c r="O91" s="1278"/>
      <c r="P91" s="1278"/>
      <c r="Q91" s="1278"/>
      <c r="R91" s="1278"/>
      <c r="S91" s="1278"/>
      <c r="T91" s="1278"/>
      <c r="U91" s="1278"/>
      <c r="V91" s="1278"/>
      <c r="W91" s="1278"/>
      <c r="X91" s="1278"/>
      <c r="Y91" s="1278"/>
      <c r="Z91" s="1278"/>
      <c r="AA91" s="1278"/>
      <c r="AB91" s="1278"/>
      <c r="AC91" s="1278"/>
      <c r="AD91" s="1278"/>
      <c r="AE91" s="1278"/>
      <c r="AF91" s="1278"/>
      <c r="AG91" s="1278"/>
      <c r="AH91" s="1278"/>
      <c r="AI91" s="1278"/>
      <c r="AJ91" s="1278"/>
      <c r="AK91" s="1278"/>
      <c r="AL91" s="1278"/>
      <c r="AM91" s="1278"/>
      <c r="AN91" s="1278"/>
      <c r="AO91" s="336"/>
      <c r="AP91" s="336"/>
      <c r="AQ91" s="336"/>
      <c r="AR91" s="336"/>
      <c r="AS91" s="336"/>
      <c r="AT91" s="336"/>
      <c r="AU91" s="336"/>
      <c r="AV91" s="336"/>
      <c r="AW91" s="336"/>
      <c r="AX91" s="336"/>
      <c r="AY91" s="336"/>
      <c r="AZ91" s="336"/>
      <c r="BA91" s="336"/>
      <c r="BB91" s="336"/>
      <c r="BC91" s="336"/>
      <c r="BD91" s="336"/>
      <c r="BE91" s="336"/>
      <c r="BF91" s="336"/>
      <c r="BG91" s="336"/>
      <c r="BH91" s="336"/>
      <c r="BI91" s="336"/>
      <c r="BJ91" s="336"/>
      <c r="BK91" s="336"/>
      <c r="BL91" s="336"/>
      <c r="BM91" s="336"/>
      <c r="BN91" s="336"/>
      <c r="BO91" s="336"/>
    </row>
    <row r="92" spans="1:67" ht="15" customHeight="1">
      <c r="A92" s="1278"/>
      <c r="B92" s="1278"/>
      <c r="C92" s="1278"/>
      <c r="D92" s="1278"/>
      <c r="E92" s="1278"/>
      <c r="F92" s="1278"/>
      <c r="G92" s="1278"/>
      <c r="H92" s="1278"/>
      <c r="I92" s="1278"/>
      <c r="J92" s="1278"/>
      <c r="K92" s="1278"/>
      <c r="L92" s="1278"/>
      <c r="M92" s="1278"/>
      <c r="N92" s="1278"/>
      <c r="O92" s="1278"/>
      <c r="P92" s="1278"/>
      <c r="Q92" s="1278"/>
      <c r="R92" s="1278"/>
      <c r="S92" s="1278"/>
      <c r="T92" s="1278"/>
      <c r="U92" s="1278"/>
      <c r="V92" s="1278"/>
      <c r="W92" s="1278"/>
      <c r="X92" s="1278"/>
      <c r="Y92" s="1278"/>
      <c r="Z92" s="1278"/>
      <c r="AA92" s="1278"/>
      <c r="AB92" s="1278"/>
      <c r="AC92" s="1278"/>
      <c r="AD92" s="1278"/>
      <c r="AE92" s="1278"/>
      <c r="AF92" s="1278"/>
      <c r="AG92" s="1278"/>
      <c r="AH92" s="1278"/>
      <c r="AI92" s="1278"/>
      <c r="AJ92" s="1278"/>
      <c r="AK92" s="1278"/>
      <c r="AL92" s="1278"/>
      <c r="AM92" s="1278"/>
      <c r="AN92" s="1278"/>
      <c r="AO92" s="336"/>
      <c r="AP92" s="336"/>
      <c r="AQ92" s="336"/>
      <c r="AR92" s="336"/>
      <c r="AS92" s="336"/>
      <c r="AT92" s="336"/>
      <c r="AU92" s="336"/>
      <c r="AV92" s="336"/>
      <c r="AW92" s="336"/>
      <c r="AX92" s="336"/>
      <c r="AY92" s="336"/>
      <c r="AZ92" s="336"/>
      <c r="BA92" s="336"/>
      <c r="BB92" s="336"/>
      <c r="BC92" s="336"/>
      <c r="BD92" s="336"/>
      <c r="BE92" s="336"/>
      <c r="BF92" s="336"/>
      <c r="BG92" s="336"/>
      <c r="BH92" s="336"/>
      <c r="BI92" s="336"/>
      <c r="BJ92" s="336"/>
      <c r="BK92" s="336"/>
      <c r="BL92" s="336"/>
      <c r="BM92" s="336"/>
      <c r="BN92" s="336"/>
      <c r="BO92" s="336"/>
    </row>
    <row r="93" spans="1:67" ht="15" customHeight="1">
      <c r="A93" s="1278"/>
      <c r="B93" s="1278"/>
      <c r="C93" s="1278"/>
      <c r="D93" s="1278"/>
      <c r="E93" s="1278"/>
      <c r="F93" s="1278"/>
      <c r="G93" s="1278"/>
      <c r="H93" s="1278"/>
      <c r="I93" s="1278"/>
      <c r="J93" s="1278"/>
      <c r="K93" s="1278"/>
      <c r="L93" s="1278"/>
      <c r="M93" s="1278"/>
      <c r="N93" s="1278"/>
      <c r="O93" s="1278"/>
      <c r="P93" s="1278"/>
      <c r="Q93" s="1278"/>
      <c r="R93" s="1278"/>
      <c r="S93" s="1278"/>
      <c r="T93" s="1278"/>
      <c r="U93" s="1278"/>
      <c r="V93" s="1278"/>
      <c r="W93" s="1278"/>
      <c r="X93" s="1278"/>
      <c r="Y93" s="1278"/>
      <c r="Z93" s="1278"/>
      <c r="AA93" s="1278"/>
      <c r="AB93" s="1278"/>
      <c r="AC93" s="1278"/>
      <c r="AD93" s="1278"/>
      <c r="AE93" s="1278"/>
      <c r="AF93" s="1278"/>
      <c r="AG93" s="1278"/>
      <c r="AH93" s="1278"/>
      <c r="AI93" s="1278"/>
      <c r="AJ93" s="1278"/>
      <c r="AK93" s="1278"/>
      <c r="AL93" s="1278"/>
      <c r="AM93" s="1278"/>
      <c r="AN93" s="1278"/>
      <c r="AO93" s="336"/>
      <c r="AP93" s="336"/>
      <c r="AQ93" s="336"/>
      <c r="AR93" s="336"/>
      <c r="AS93" s="336"/>
      <c r="AT93" s="336"/>
      <c r="AU93" s="336"/>
      <c r="AV93" s="336"/>
      <c r="AW93" s="336"/>
      <c r="AX93" s="336"/>
      <c r="AY93" s="336"/>
      <c r="AZ93" s="336"/>
      <c r="BA93" s="336"/>
      <c r="BB93" s="336"/>
      <c r="BC93" s="336"/>
      <c r="BD93" s="336"/>
      <c r="BE93" s="336"/>
      <c r="BF93" s="336"/>
      <c r="BG93" s="336"/>
      <c r="BH93" s="336"/>
      <c r="BI93" s="336"/>
      <c r="BJ93" s="336"/>
      <c r="BK93" s="336"/>
      <c r="BL93" s="336"/>
      <c r="BM93" s="336"/>
      <c r="BN93" s="336"/>
      <c r="BO93" s="336"/>
    </row>
    <row r="94" spans="1:67" ht="15" customHeight="1">
      <c r="A94" s="1278"/>
      <c r="B94" s="1278"/>
      <c r="C94" s="1278"/>
      <c r="D94" s="1278"/>
      <c r="E94" s="1278"/>
      <c r="F94" s="1278"/>
      <c r="G94" s="1278"/>
      <c r="H94" s="1278"/>
      <c r="I94" s="1278"/>
      <c r="J94" s="1278"/>
      <c r="K94" s="1278"/>
      <c r="L94" s="1278"/>
      <c r="M94" s="1278"/>
      <c r="N94" s="1278"/>
      <c r="O94" s="1278"/>
      <c r="P94" s="1278"/>
      <c r="Q94" s="1278"/>
      <c r="R94" s="1278"/>
      <c r="S94" s="1278"/>
      <c r="T94" s="1278"/>
      <c r="U94" s="1278"/>
      <c r="V94" s="1278"/>
      <c r="W94" s="1278"/>
      <c r="X94" s="1278"/>
      <c r="Y94" s="1278"/>
      <c r="Z94" s="1278"/>
      <c r="AA94" s="1278"/>
      <c r="AB94" s="1278"/>
      <c r="AC94" s="1278"/>
      <c r="AD94" s="1278"/>
      <c r="AE94" s="1278"/>
      <c r="AF94" s="1278"/>
      <c r="AG94" s="1278"/>
      <c r="AH94" s="1278"/>
      <c r="AI94" s="1278"/>
      <c r="AJ94" s="1278"/>
      <c r="AK94" s="1278"/>
      <c r="AL94" s="1278"/>
      <c r="AM94" s="1278"/>
      <c r="AN94" s="1278"/>
      <c r="AO94" s="336"/>
      <c r="AP94" s="336"/>
      <c r="AQ94" s="336"/>
      <c r="AR94" s="336"/>
      <c r="AS94" s="336"/>
      <c r="AT94" s="336"/>
      <c r="AU94" s="336"/>
      <c r="AV94" s="336"/>
      <c r="AW94" s="336"/>
      <c r="AX94" s="336"/>
      <c r="AY94" s="336"/>
      <c r="AZ94" s="336"/>
      <c r="BA94" s="336"/>
      <c r="BB94" s="336"/>
      <c r="BC94" s="336"/>
      <c r="BD94" s="336"/>
      <c r="BE94" s="336"/>
      <c r="BF94" s="336"/>
      <c r="BG94" s="336"/>
      <c r="BH94" s="336"/>
      <c r="BI94" s="336"/>
      <c r="BJ94" s="336"/>
      <c r="BK94" s="336"/>
      <c r="BL94" s="336"/>
      <c r="BM94" s="336"/>
      <c r="BN94" s="336"/>
      <c r="BO94" s="336"/>
    </row>
    <row r="95" spans="1:67" ht="15" customHeight="1">
      <c r="A95" s="1278"/>
      <c r="B95" s="1278"/>
      <c r="C95" s="1278"/>
      <c r="D95" s="1278"/>
      <c r="E95" s="1278"/>
      <c r="F95" s="1278"/>
      <c r="G95" s="1278"/>
      <c r="H95" s="1278"/>
      <c r="I95" s="1278"/>
      <c r="J95" s="1278"/>
      <c r="K95" s="1278"/>
      <c r="L95" s="1278"/>
      <c r="M95" s="1278"/>
      <c r="N95" s="1278"/>
      <c r="O95" s="1278"/>
      <c r="P95" s="1278"/>
      <c r="Q95" s="1278"/>
      <c r="R95" s="1278"/>
      <c r="S95" s="1278"/>
      <c r="T95" s="1278"/>
      <c r="U95" s="1278"/>
      <c r="V95" s="1278"/>
      <c r="W95" s="1278"/>
      <c r="X95" s="1278"/>
      <c r="Y95" s="1278"/>
      <c r="Z95" s="1278"/>
      <c r="AA95" s="1278"/>
      <c r="AB95" s="1278"/>
      <c r="AC95" s="1278"/>
      <c r="AD95" s="1278"/>
      <c r="AE95" s="1278"/>
      <c r="AF95" s="1278"/>
      <c r="AG95" s="1278"/>
      <c r="AH95" s="1278"/>
      <c r="AI95" s="1278"/>
      <c r="AJ95" s="1278"/>
      <c r="AK95" s="1278"/>
      <c r="AL95" s="1278"/>
      <c r="AM95" s="1278"/>
      <c r="AN95" s="1278"/>
      <c r="AO95" s="336"/>
      <c r="AP95" s="336"/>
      <c r="AQ95" s="336"/>
      <c r="AR95" s="336"/>
      <c r="AS95" s="336"/>
      <c r="AT95" s="336"/>
      <c r="AU95" s="336"/>
      <c r="AV95" s="336"/>
      <c r="AW95" s="336"/>
      <c r="AX95" s="336"/>
      <c r="AY95" s="336"/>
      <c r="AZ95" s="336"/>
      <c r="BA95" s="336"/>
      <c r="BB95" s="336"/>
      <c r="BC95" s="336"/>
      <c r="BD95" s="336"/>
      <c r="BE95" s="336"/>
      <c r="BF95" s="336"/>
      <c r="BG95" s="336"/>
      <c r="BH95" s="336"/>
      <c r="BI95" s="336"/>
      <c r="BJ95" s="336"/>
      <c r="BK95" s="336"/>
      <c r="BL95" s="336"/>
      <c r="BM95" s="336"/>
      <c r="BN95" s="336"/>
      <c r="BO95" s="336"/>
    </row>
    <row r="96" spans="1:67" ht="15" customHeight="1">
      <c r="A96" s="1278"/>
      <c r="B96" s="1278"/>
      <c r="C96" s="1278"/>
      <c r="D96" s="1278"/>
      <c r="E96" s="1278"/>
      <c r="F96" s="1278"/>
      <c r="G96" s="1278"/>
      <c r="H96" s="1278"/>
      <c r="I96" s="1278"/>
      <c r="J96" s="1278"/>
      <c r="K96" s="1278"/>
      <c r="L96" s="1278"/>
      <c r="M96" s="1278"/>
      <c r="N96" s="1278"/>
      <c r="O96" s="1278"/>
      <c r="P96" s="1278"/>
      <c r="Q96" s="1278"/>
      <c r="R96" s="1278"/>
      <c r="S96" s="1278"/>
      <c r="T96" s="1278"/>
      <c r="U96" s="1278"/>
      <c r="V96" s="1278"/>
      <c r="W96" s="1278"/>
      <c r="X96" s="1278"/>
      <c r="Y96" s="1278"/>
      <c r="Z96" s="1278"/>
      <c r="AA96" s="1278"/>
      <c r="AB96" s="1278"/>
      <c r="AC96" s="1278"/>
      <c r="AD96" s="1278"/>
      <c r="AE96" s="1278"/>
      <c r="AF96" s="1278"/>
      <c r="AG96" s="1278"/>
      <c r="AH96" s="1278"/>
      <c r="AI96" s="1278"/>
      <c r="AJ96" s="1278"/>
      <c r="AK96" s="1278"/>
      <c r="AL96" s="1278"/>
      <c r="AM96" s="1278"/>
      <c r="AN96" s="1278"/>
      <c r="AO96" s="336"/>
      <c r="AP96" s="336"/>
      <c r="AQ96" s="336"/>
      <c r="AR96" s="336"/>
      <c r="AS96" s="336"/>
      <c r="AT96" s="336"/>
      <c r="AU96" s="336"/>
      <c r="AV96" s="336"/>
      <c r="AW96" s="336"/>
      <c r="AX96" s="336"/>
      <c r="AY96" s="336"/>
      <c r="AZ96" s="336"/>
      <c r="BA96" s="336"/>
      <c r="BB96" s="336"/>
      <c r="BC96" s="336"/>
      <c r="BD96" s="336"/>
      <c r="BE96" s="336"/>
      <c r="BF96" s="336"/>
      <c r="BG96" s="336"/>
      <c r="BH96" s="336"/>
      <c r="BI96" s="336"/>
      <c r="BJ96" s="336"/>
      <c r="BK96" s="336"/>
      <c r="BL96" s="336"/>
      <c r="BM96" s="336"/>
      <c r="BN96" s="336"/>
      <c r="BO96" s="336"/>
    </row>
    <row r="97" spans="1:67" ht="15" customHeight="1">
      <c r="A97" s="1278"/>
      <c r="B97" s="1278"/>
      <c r="C97" s="1278"/>
      <c r="D97" s="1278"/>
      <c r="E97" s="1278"/>
      <c r="F97" s="1278"/>
      <c r="G97" s="1278"/>
      <c r="H97" s="1278"/>
      <c r="I97" s="1278"/>
      <c r="J97" s="1278"/>
      <c r="K97" s="1278"/>
      <c r="L97" s="1278"/>
      <c r="M97" s="1278"/>
      <c r="N97" s="1278"/>
      <c r="O97" s="1278"/>
      <c r="P97" s="1278"/>
      <c r="Q97" s="1278"/>
      <c r="R97" s="1278"/>
      <c r="S97" s="1278"/>
      <c r="T97" s="1278"/>
      <c r="U97" s="1278"/>
      <c r="V97" s="1278"/>
      <c r="W97" s="1278"/>
      <c r="X97" s="1278"/>
      <c r="Y97" s="1278"/>
      <c r="Z97" s="1278"/>
      <c r="AA97" s="1278"/>
      <c r="AB97" s="1278"/>
      <c r="AC97" s="1278"/>
      <c r="AD97" s="1278"/>
      <c r="AE97" s="1278"/>
      <c r="AF97" s="1278"/>
      <c r="AG97" s="1278"/>
      <c r="AH97" s="1278"/>
      <c r="AI97" s="1278"/>
      <c r="AJ97" s="1278"/>
      <c r="AK97" s="1278"/>
      <c r="AL97" s="1278"/>
      <c r="AM97" s="1278"/>
      <c r="AN97" s="1278"/>
      <c r="AO97" s="336"/>
      <c r="AP97" s="336"/>
      <c r="AQ97" s="336"/>
      <c r="AR97" s="336"/>
      <c r="AS97" s="336"/>
      <c r="AT97" s="336"/>
      <c r="AU97" s="336"/>
      <c r="AV97" s="336"/>
      <c r="AW97" s="336"/>
      <c r="AX97" s="336"/>
      <c r="AY97" s="336"/>
      <c r="AZ97" s="336"/>
      <c r="BA97" s="336"/>
      <c r="BB97" s="336"/>
      <c r="BC97" s="336"/>
      <c r="BD97" s="336"/>
      <c r="BE97" s="336"/>
      <c r="BF97" s="336"/>
      <c r="BG97" s="336"/>
      <c r="BH97" s="336"/>
      <c r="BI97" s="336"/>
      <c r="BJ97" s="336"/>
      <c r="BK97" s="336"/>
      <c r="BL97" s="336"/>
      <c r="BM97" s="336"/>
      <c r="BN97" s="336"/>
      <c r="BO97" s="336"/>
    </row>
    <row r="98" spans="1:67" ht="15" customHeight="1">
      <c r="A98" s="1278"/>
      <c r="B98" s="1278"/>
      <c r="C98" s="1278"/>
      <c r="D98" s="1278"/>
      <c r="E98" s="1278"/>
      <c r="F98" s="1278"/>
      <c r="G98" s="1278"/>
      <c r="H98" s="1278"/>
      <c r="I98" s="1278"/>
      <c r="J98" s="1278"/>
      <c r="K98" s="1278"/>
      <c r="L98" s="1278"/>
      <c r="M98" s="1278"/>
      <c r="N98" s="1278"/>
      <c r="O98" s="1278"/>
      <c r="P98" s="1278"/>
      <c r="Q98" s="1278"/>
      <c r="R98" s="1278"/>
      <c r="S98" s="1278"/>
      <c r="T98" s="1278"/>
      <c r="U98" s="1278"/>
      <c r="V98" s="1278"/>
      <c r="W98" s="1278"/>
      <c r="X98" s="1278"/>
      <c r="Y98" s="1278"/>
      <c r="Z98" s="1278"/>
      <c r="AA98" s="1278"/>
      <c r="AB98" s="1278"/>
      <c r="AC98" s="1278"/>
      <c r="AD98" s="1278"/>
      <c r="AE98" s="1278"/>
      <c r="AF98" s="1278"/>
      <c r="AG98" s="1278"/>
      <c r="AH98" s="1278"/>
      <c r="AI98" s="1278"/>
      <c r="AJ98" s="1278"/>
      <c r="AK98" s="1278"/>
      <c r="AL98" s="1278"/>
      <c r="AM98" s="1278"/>
      <c r="AN98" s="1278"/>
      <c r="AO98" s="336"/>
      <c r="AP98" s="336"/>
      <c r="AQ98" s="336"/>
      <c r="AR98" s="336"/>
      <c r="AS98" s="336"/>
      <c r="AT98" s="336"/>
      <c r="AU98" s="336"/>
      <c r="AV98" s="336"/>
      <c r="AW98" s="336"/>
      <c r="AX98" s="336"/>
      <c r="AY98" s="336"/>
      <c r="AZ98" s="336"/>
      <c r="BA98" s="336"/>
      <c r="BB98" s="336"/>
      <c r="BC98" s="336"/>
      <c r="BD98" s="336"/>
      <c r="BE98" s="336"/>
      <c r="BF98" s="336"/>
      <c r="BG98" s="336"/>
      <c r="BH98" s="336"/>
      <c r="BI98" s="336"/>
      <c r="BJ98" s="336"/>
      <c r="BK98" s="336"/>
      <c r="BL98" s="336"/>
      <c r="BM98" s="336"/>
      <c r="BN98" s="336"/>
      <c r="BO98" s="336"/>
    </row>
    <row r="99" spans="1:67" ht="15" customHeight="1">
      <c r="A99" s="1278"/>
      <c r="B99" s="1278"/>
      <c r="C99" s="1278"/>
      <c r="D99" s="1278"/>
      <c r="E99" s="1278"/>
      <c r="F99" s="1278"/>
      <c r="G99" s="1278"/>
      <c r="H99" s="1278"/>
      <c r="I99" s="1278"/>
      <c r="J99" s="1278"/>
      <c r="K99" s="1278"/>
      <c r="L99" s="1278"/>
      <c r="M99" s="1278"/>
      <c r="N99" s="1278"/>
      <c r="O99" s="1278"/>
      <c r="P99" s="1278"/>
      <c r="Q99" s="1278"/>
      <c r="R99" s="1278"/>
      <c r="S99" s="1278"/>
      <c r="T99" s="1278"/>
      <c r="U99" s="1278"/>
      <c r="V99" s="1278"/>
      <c r="W99" s="1278"/>
      <c r="X99" s="1278"/>
      <c r="Y99" s="1278"/>
      <c r="Z99" s="1278"/>
      <c r="AA99" s="1278"/>
      <c r="AB99" s="1278"/>
      <c r="AC99" s="1278"/>
      <c r="AD99" s="1278"/>
      <c r="AE99" s="1278"/>
      <c r="AF99" s="1278"/>
      <c r="AG99" s="1278"/>
      <c r="AH99" s="1278"/>
      <c r="AI99" s="1278"/>
      <c r="AJ99" s="1278"/>
      <c r="AK99" s="1278"/>
      <c r="AL99" s="1278"/>
      <c r="AM99" s="1278"/>
      <c r="AN99" s="1278"/>
      <c r="AO99" s="336"/>
      <c r="AP99" s="336"/>
      <c r="AQ99" s="336"/>
      <c r="AR99" s="336"/>
      <c r="AS99" s="336"/>
      <c r="AT99" s="336"/>
      <c r="AU99" s="336"/>
      <c r="AV99" s="336"/>
      <c r="AW99" s="336"/>
      <c r="AX99" s="336"/>
      <c r="AY99" s="336"/>
      <c r="AZ99" s="336"/>
      <c r="BA99" s="336"/>
      <c r="BB99" s="336"/>
      <c r="BC99" s="336"/>
      <c r="BD99" s="336"/>
      <c r="BE99" s="336"/>
      <c r="BF99" s="336"/>
      <c r="BG99" s="336"/>
      <c r="BH99" s="336"/>
      <c r="BI99" s="336"/>
      <c r="BJ99" s="336"/>
      <c r="BK99" s="336"/>
      <c r="BL99" s="336"/>
      <c r="BM99" s="336"/>
      <c r="BN99" s="336"/>
      <c r="BO99" s="336"/>
    </row>
    <row r="100" spans="1:67" ht="15" customHeight="1">
      <c r="A100" s="1278"/>
      <c r="B100" s="1278"/>
      <c r="C100" s="1278"/>
      <c r="D100" s="1278"/>
      <c r="E100" s="1278"/>
      <c r="F100" s="1278"/>
      <c r="G100" s="1278"/>
      <c r="H100" s="1278"/>
      <c r="I100" s="1278"/>
      <c r="J100" s="1278"/>
      <c r="K100" s="1278"/>
      <c r="L100" s="1278"/>
      <c r="M100" s="1278"/>
      <c r="N100" s="1278"/>
      <c r="O100" s="1278"/>
      <c r="P100" s="1278"/>
      <c r="Q100" s="1278"/>
      <c r="R100" s="1278"/>
      <c r="S100" s="1278"/>
      <c r="T100" s="1278"/>
      <c r="U100" s="1278"/>
      <c r="V100" s="1278"/>
      <c r="W100" s="1278"/>
      <c r="X100" s="1278"/>
      <c r="Y100" s="1278"/>
      <c r="Z100" s="1278"/>
      <c r="AA100" s="1278"/>
      <c r="AB100" s="1278"/>
      <c r="AC100" s="1278"/>
      <c r="AD100" s="1278"/>
      <c r="AE100" s="1278"/>
      <c r="AF100" s="1278"/>
      <c r="AG100" s="1278"/>
      <c r="AH100" s="1278"/>
      <c r="AI100" s="1278"/>
      <c r="AJ100" s="1278"/>
      <c r="AK100" s="1278"/>
      <c r="AL100" s="1278"/>
      <c r="AM100" s="1278"/>
      <c r="AN100" s="1278"/>
      <c r="AO100" s="336"/>
      <c r="AP100" s="336"/>
      <c r="AQ100" s="336"/>
      <c r="AR100" s="336"/>
      <c r="AS100" s="336"/>
      <c r="AT100" s="336"/>
      <c r="AU100" s="336"/>
      <c r="AV100" s="336"/>
      <c r="AW100" s="336"/>
      <c r="AX100" s="336"/>
      <c r="AY100" s="336"/>
      <c r="AZ100" s="336"/>
      <c r="BA100" s="336"/>
      <c r="BB100" s="336"/>
      <c r="BC100" s="336"/>
      <c r="BD100" s="336"/>
      <c r="BE100" s="336"/>
      <c r="BF100" s="336"/>
      <c r="BG100" s="336"/>
      <c r="BH100" s="336"/>
      <c r="BI100" s="336"/>
      <c r="BJ100" s="336"/>
      <c r="BK100" s="336"/>
      <c r="BL100" s="336"/>
      <c r="BM100" s="336"/>
      <c r="BN100" s="336"/>
      <c r="BO100" s="336"/>
    </row>
    <row r="101" spans="1:67" ht="15" customHeight="1">
      <c r="A101" s="1278"/>
      <c r="B101" s="1278"/>
      <c r="C101" s="1278"/>
      <c r="D101" s="1278"/>
      <c r="E101" s="1278"/>
      <c r="F101" s="1278"/>
      <c r="G101" s="1278"/>
      <c r="H101" s="1278"/>
      <c r="I101" s="1278"/>
      <c r="J101" s="1278"/>
      <c r="K101" s="1278"/>
      <c r="L101" s="1278"/>
      <c r="M101" s="1278"/>
      <c r="N101" s="1278"/>
      <c r="O101" s="1278"/>
      <c r="P101" s="1278"/>
      <c r="Q101" s="1278"/>
      <c r="R101" s="1278"/>
      <c r="S101" s="1278"/>
      <c r="T101" s="1278"/>
      <c r="U101" s="1278"/>
      <c r="V101" s="1278"/>
      <c r="W101" s="1278"/>
      <c r="X101" s="1278"/>
      <c r="Y101" s="1278"/>
      <c r="Z101" s="1278"/>
      <c r="AA101" s="1278"/>
      <c r="AB101" s="1278"/>
      <c r="AC101" s="1278"/>
      <c r="AD101" s="1278"/>
      <c r="AE101" s="1278"/>
      <c r="AF101" s="1278"/>
      <c r="AG101" s="1278"/>
      <c r="AH101" s="1278"/>
      <c r="AI101" s="1278"/>
      <c r="AJ101" s="1278"/>
      <c r="AK101" s="1278"/>
      <c r="AL101" s="1278"/>
      <c r="AM101" s="1278"/>
      <c r="AN101" s="1278"/>
      <c r="AO101" s="336"/>
      <c r="AP101" s="336"/>
      <c r="AQ101" s="336"/>
      <c r="AR101" s="336"/>
      <c r="AS101" s="336"/>
      <c r="AT101" s="336"/>
      <c r="AU101" s="336"/>
      <c r="AV101" s="336"/>
      <c r="AW101" s="336"/>
      <c r="AX101" s="336"/>
      <c r="AY101" s="336"/>
      <c r="AZ101" s="336"/>
      <c r="BA101" s="336"/>
      <c r="BB101" s="336"/>
      <c r="BC101" s="336"/>
      <c r="BD101" s="336"/>
      <c r="BE101" s="336"/>
      <c r="BF101" s="336"/>
      <c r="BG101" s="336"/>
      <c r="BH101" s="336"/>
      <c r="BI101" s="336"/>
      <c r="BJ101" s="336"/>
      <c r="BK101" s="336"/>
      <c r="BL101" s="336"/>
      <c r="BM101" s="336"/>
      <c r="BN101" s="336"/>
      <c r="BO101" s="336"/>
    </row>
    <row r="102" spans="1:67" ht="15" customHeight="1">
      <c r="A102" s="1278"/>
      <c r="B102" s="1278"/>
      <c r="C102" s="1278"/>
      <c r="D102" s="1278"/>
      <c r="E102" s="1278"/>
      <c r="F102" s="1278"/>
      <c r="G102" s="1278"/>
      <c r="H102" s="1278"/>
      <c r="I102" s="1278"/>
      <c r="J102" s="1278"/>
      <c r="K102" s="1278"/>
      <c r="L102" s="1278"/>
      <c r="M102" s="1278"/>
      <c r="N102" s="1278"/>
      <c r="O102" s="1278"/>
      <c r="P102" s="1278"/>
      <c r="Q102" s="1278"/>
      <c r="R102" s="1278"/>
      <c r="S102" s="1278"/>
      <c r="T102" s="1278"/>
      <c r="U102" s="1278"/>
      <c r="V102" s="1278"/>
      <c r="W102" s="1278"/>
      <c r="X102" s="1278"/>
      <c r="Y102" s="1278"/>
      <c r="Z102" s="1278"/>
      <c r="AA102" s="1278"/>
      <c r="AB102" s="1278"/>
      <c r="AC102" s="1278"/>
      <c r="AD102" s="1278"/>
      <c r="AE102" s="1278"/>
      <c r="AF102" s="1278"/>
      <c r="AG102" s="1278"/>
      <c r="AH102" s="1278"/>
      <c r="AI102" s="1278"/>
      <c r="AJ102" s="1278"/>
      <c r="AK102" s="1278"/>
      <c r="AL102" s="1278"/>
      <c r="AM102" s="1278"/>
      <c r="AN102" s="1278"/>
      <c r="AO102" s="336"/>
      <c r="AP102" s="336"/>
      <c r="AQ102" s="336"/>
      <c r="AR102" s="336"/>
      <c r="AS102" s="336"/>
      <c r="AT102" s="336"/>
      <c r="AU102" s="336"/>
      <c r="AV102" s="336"/>
      <c r="AW102" s="336"/>
      <c r="AX102" s="336"/>
      <c r="AY102" s="336"/>
      <c r="AZ102" s="336"/>
      <c r="BA102" s="336"/>
      <c r="BB102" s="336"/>
      <c r="BC102" s="336"/>
      <c r="BD102" s="336"/>
      <c r="BE102" s="336"/>
      <c r="BF102" s="336"/>
      <c r="BG102" s="336"/>
      <c r="BH102" s="336"/>
      <c r="BI102" s="336"/>
      <c r="BJ102" s="336"/>
      <c r="BK102" s="336"/>
      <c r="BL102" s="336"/>
      <c r="BM102" s="336"/>
      <c r="BN102" s="336"/>
      <c r="BO102" s="336"/>
    </row>
    <row r="103" spans="1:67" ht="15" customHeight="1">
      <c r="A103" s="1278"/>
      <c r="B103" s="1278"/>
      <c r="C103" s="1278"/>
      <c r="D103" s="1278"/>
      <c r="E103" s="1278"/>
      <c r="F103" s="1278"/>
      <c r="G103" s="1278"/>
      <c r="H103" s="1278"/>
      <c r="I103" s="1278"/>
      <c r="J103" s="1278"/>
      <c r="K103" s="1278"/>
      <c r="L103" s="1278"/>
      <c r="M103" s="1278"/>
      <c r="N103" s="1278"/>
      <c r="O103" s="1278"/>
      <c r="P103" s="1278"/>
      <c r="Q103" s="1278"/>
      <c r="R103" s="1278"/>
      <c r="S103" s="1278"/>
      <c r="T103" s="1278"/>
      <c r="U103" s="1278"/>
      <c r="V103" s="1278"/>
      <c r="W103" s="1278"/>
      <c r="X103" s="1278"/>
      <c r="Y103" s="1278"/>
      <c r="Z103" s="1278"/>
      <c r="AA103" s="1278"/>
      <c r="AB103" s="1278"/>
      <c r="AC103" s="1278"/>
      <c r="AD103" s="1278"/>
      <c r="AE103" s="1278"/>
      <c r="AF103" s="1278"/>
      <c r="AG103" s="1278"/>
      <c r="AH103" s="1278"/>
      <c r="AI103" s="1278"/>
      <c r="AJ103" s="1278"/>
      <c r="AK103" s="1278"/>
      <c r="AL103" s="1278"/>
      <c r="AM103" s="1278"/>
      <c r="AN103" s="1278"/>
      <c r="AO103" s="336"/>
      <c r="AP103" s="336"/>
      <c r="AQ103" s="336"/>
      <c r="AR103" s="336"/>
      <c r="AS103" s="336"/>
      <c r="AT103" s="336"/>
      <c r="AU103" s="336"/>
      <c r="AV103" s="336"/>
      <c r="AW103" s="336"/>
      <c r="AX103" s="336"/>
      <c r="AY103" s="336"/>
      <c r="AZ103" s="336"/>
      <c r="BA103" s="336"/>
      <c r="BB103" s="336"/>
      <c r="BC103" s="336"/>
      <c r="BD103" s="336"/>
      <c r="BE103" s="336"/>
      <c r="BF103" s="336"/>
      <c r="BG103" s="336"/>
      <c r="BH103" s="336"/>
      <c r="BI103" s="336"/>
      <c r="BJ103" s="336"/>
      <c r="BK103" s="336"/>
      <c r="BL103" s="336"/>
      <c r="BM103" s="336"/>
      <c r="BN103" s="336"/>
      <c r="BO103" s="336"/>
    </row>
    <row r="104" spans="1:67" ht="15" customHeight="1">
      <c r="A104" s="1278"/>
      <c r="B104" s="1278"/>
      <c r="C104" s="1278"/>
      <c r="D104" s="1278"/>
      <c r="E104" s="1278"/>
      <c r="F104" s="1278"/>
      <c r="G104" s="1278"/>
      <c r="H104" s="1278"/>
      <c r="I104" s="1278"/>
      <c r="J104" s="1278"/>
      <c r="K104" s="1278"/>
      <c r="L104" s="1278"/>
      <c r="M104" s="1278"/>
      <c r="N104" s="1278"/>
      <c r="O104" s="1278"/>
      <c r="P104" s="1278"/>
      <c r="Q104" s="1278"/>
      <c r="R104" s="1278"/>
      <c r="S104" s="1278"/>
      <c r="T104" s="1278"/>
      <c r="U104" s="1278"/>
      <c r="V104" s="1278"/>
      <c r="W104" s="1278"/>
      <c r="X104" s="1278"/>
      <c r="Y104" s="1278"/>
      <c r="Z104" s="1278"/>
      <c r="AA104" s="1278"/>
      <c r="AB104" s="1278"/>
      <c r="AC104" s="1278"/>
      <c r="AD104" s="1278"/>
      <c r="AE104" s="1278"/>
      <c r="AF104" s="1278"/>
      <c r="AG104" s="1278"/>
      <c r="AH104" s="1278"/>
      <c r="AI104" s="1278"/>
      <c r="AJ104" s="1278"/>
      <c r="AK104" s="1278"/>
      <c r="AL104" s="1278"/>
      <c r="AM104" s="1278"/>
      <c r="AN104" s="1278"/>
      <c r="AO104" s="336"/>
      <c r="AP104" s="336"/>
      <c r="AQ104" s="336"/>
      <c r="AR104" s="336"/>
      <c r="AS104" s="336"/>
      <c r="AT104" s="336"/>
      <c r="AU104" s="336"/>
      <c r="AV104" s="336"/>
      <c r="AW104" s="336"/>
      <c r="AX104" s="336"/>
      <c r="AY104" s="336"/>
      <c r="AZ104" s="336"/>
      <c r="BA104" s="336"/>
      <c r="BB104" s="336"/>
      <c r="BC104" s="336"/>
      <c r="BD104" s="336"/>
      <c r="BE104" s="336"/>
      <c r="BF104" s="336"/>
      <c r="BG104" s="336"/>
      <c r="BH104" s="336"/>
      <c r="BI104" s="336"/>
      <c r="BJ104" s="336"/>
      <c r="BK104" s="336"/>
      <c r="BL104" s="336"/>
      <c r="BM104" s="336"/>
      <c r="BN104" s="336"/>
      <c r="BO104" s="336"/>
    </row>
    <row r="105" spans="1:67" ht="15" customHeight="1">
      <c r="A105" s="1278"/>
      <c r="B105" s="1278"/>
      <c r="C105" s="1278"/>
      <c r="D105" s="1278"/>
      <c r="E105" s="1278"/>
      <c r="F105" s="1278"/>
      <c r="G105" s="1278"/>
      <c r="H105" s="1278"/>
      <c r="I105" s="1278"/>
      <c r="J105" s="1278"/>
      <c r="K105" s="1278"/>
      <c r="L105" s="1278"/>
      <c r="M105" s="1278"/>
      <c r="N105" s="1278"/>
      <c r="O105" s="1278"/>
      <c r="P105" s="1278"/>
      <c r="Q105" s="1278"/>
      <c r="R105" s="1278"/>
      <c r="S105" s="1278"/>
      <c r="T105" s="1278"/>
      <c r="U105" s="1278"/>
      <c r="V105" s="1278"/>
      <c r="W105" s="1278"/>
      <c r="X105" s="1278"/>
      <c r="Y105" s="1278"/>
      <c r="Z105" s="1278"/>
      <c r="AA105" s="1278"/>
      <c r="AB105" s="1278"/>
      <c r="AC105" s="1278"/>
      <c r="AD105" s="1278"/>
      <c r="AE105" s="1278"/>
      <c r="AF105" s="1278"/>
      <c r="AG105" s="1278"/>
      <c r="AH105" s="1278"/>
      <c r="AI105" s="1278"/>
      <c r="AJ105" s="1278"/>
      <c r="AK105" s="1278"/>
      <c r="AL105" s="1278"/>
      <c r="AM105" s="1278"/>
      <c r="AN105" s="1278"/>
      <c r="AO105" s="336"/>
      <c r="AP105" s="336"/>
      <c r="AQ105" s="336"/>
      <c r="AR105" s="336"/>
      <c r="AS105" s="336"/>
      <c r="AT105" s="336"/>
      <c r="AU105" s="336"/>
      <c r="AV105" s="336"/>
      <c r="AW105" s="336"/>
      <c r="AX105" s="336"/>
      <c r="AY105" s="336"/>
      <c r="AZ105" s="336"/>
      <c r="BA105" s="336"/>
      <c r="BB105" s="336"/>
      <c r="BC105" s="336"/>
      <c r="BD105" s="336"/>
      <c r="BE105" s="336"/>
      <c r="BF105" s="336"/>
      <c r="BG105" s="336"/>
      <c r="BH105" s="336"/>
      <c r="BI105" s="336"/>
      <c r="BJ105" s="336"/>
      <c r="BK105" s="336"/>
      <c r="BL105" s="336"/>
      <c r="BM105" s="336"/>
      <c r="BN105" s="336"/>
      <c r="BO105" s="336"/>
    </row>
    <row r="106" spans="1:67">
      <c r="M106" s="941" t="s">
        <v>628</v>
      </c>
      <c r="N106" s="941"/>
      <c r="O106" s="941"/>
      <c r="P106" s="941"/>
      <c r="Q106" s="941"/>
      <c r="R106" s="941"/>
      <c r="S106" s="941"/>
      <c r="AG106" s="941" t="s">
        <v>628</v>
      </c>
      <c r="AH106" s="941"/>
      <c r="AI106" s="941"/>
      <c r="AJ106" s="941"/>
      <c r="AK106" s="941"/>
      <c r="AL106" s="941"/>
      <c r="AM106" s="941"/>
    </row>
    <row r="107" spans="1:67">
      <c r="M107" s="1279" t="s">
        <v>629</v>
      </c>
      <c r="N107" s="1279"/>
      <c r="O107" s="1279"/>
      <c r="P107" s="1279"/>
      <c r="Q107" s="1279"/>
      <c r="R107" s="1279"/>
      <c r="S107" s="1279"/>
      <c r="AG107" s="1279" t="s">
        <v>629</v>
      </c>
      <c r="AH107" s="1279"/>
      <c r="AI107" s="1279"/>
      <c r="AJ107" s="1279"/>
      <c r="AK107" s="1279"/>
      <c r="AL107" s="1279"/>
      <c r="AM107" s="1279"/>
    </row>
    <row r="108" spans="1:67">
      <c r="A108" t="s">
        <v>115</v>
      </c>
      <c r="B108" t="s">
        <v>1036</v>
      </c>
      <c r="C108" t="s">
        <v>378</v>
      </c>
    </row>
    <row r="109" spans="1:67" ht="18.75" customHeight="1">
      <c r="A109" s="401" t="s">
        <v>1181</v>
      </c>
      <c r="B109" s="1389" t="s">
        <v>1279</v>
      </c>
      <c r="C109">
        <v>0</v>
      </c>
    </row>
    <row r="111" spans="1:67" ht="12.75" customHeight="1"/>
  </sheetData>
  <mergeCells count="84">
    <mergeCell ref="W22:AK23"/>
    <mergeCell ref="AM22:AN23"/>
    <mergeCell ref="W24:AK25"/>
    <mergeCell ref="AM24:AN25"/>
    <mergeCell ref="W26:AK27"/>
    <mergeCell ref="AM26:AN27"/>
    <mergeCell ref="AK16:AL17"/>
    <mergeCell ref="AM16:AN17"/>
    <mergeCell ref="U18:X19"/>
    <mergeCell ref="Y18:AN19"/>
    <mergeCell ref="U20:AA21"/>
    <mergeCell ref="M107:S107"/>
    <mergeCell ref="A6:T7"/>
    <mergeCell ref="Q1:T2"/>
    <mergeCell ref="Q16:R17"/>
    <mergeCell ref="F11:O12"/>
    <mergeCell ref="M106:S106"/>
    <mergeCell ref="A60:T62"/>
    <mergeCell ref="A64:T69"/>
    <mergeCell ref="A71:T105"/>
    <mergeCell ref="S22:T23"/>
    <mergeCell ref="S24:T25"/>
    <mergeCell ref="A20:G21"/>
    <mergeCell ref="A18:D19"/>
    <mergeCell ref="E18:T19"/>
    <mergeCell ref="A16:P17"/>
    <mergeCell ref="S16:T17"/>
    <mergeCell ref="C22:Q23"/>
    <mergeCell ref="A1:I1"/>
    <mergeCell ref="A4:I4"/>
    <mergeCell ref="A2:I3"/>
    <mergeCell ref="H14:J14"/>
    <mergeCell ref="L14:N14"/>
    <mergeCell ref="A14:G14"/>
    <mergeCell ref="E9:P10"/>
    <mergeCell ref="F13:O13"/>
    <mergeCell ref="S32:T33"/>
    <mergeCell ref="A51:T55"/>
    <mergeCell ref="C32:Q33"/>
    <mergeCell ref="A38:H39"/>
    <mergeCell ref="Q38:T39"/>
    <mergeCell ref="I38:P39"/>
    <mergeCell ref="U1:AC1"/>
    <mergeCell ref="AK1:AN2"/>
    <mergeCell ref="U2:AC3"/>
    <mergeCell ref="U4:AC4"/>
    <mergeCell ref="U6:AN7"/>
    <mergeCell ref="Z11:AI12"/>
    <mergeCell ref="AB14:AD14"/>
    <mergeCell ref="AF14:AH14"/>
    <mergeCell ref="U16:AJ17"/>
    <mergeCell ref="U14:AA14"/>
    <mergeCell ref="Y9:AJ10"/>
    <mergeCell ref="Z13:AI13"/>
    <mergeCell ref="AG107:AM107"/>
    <mergeCell ref="AM34:AN35"/>
    <mergeCell ref="W28:AK29"/>
    <mergeCell ref="W30:AK31"/>
    <mergeCell ref="U60:AN62"/>
    <mergeCell ref="U40:AB41"/>
    <mergeCell ref="AC40:AJ41"/>
    <mergeCell ref="AK40:AN41"/>
    <mergeCell ref="U51:AN55"/>
    <mergeCell ref="AM32:AN33"/>
    <mergeCell ref="AM28:AN29"/>
    <mergeCell ref="AM30:AN31"/>
    <mergeCell ref="W32:AL33"/>
    <mergeCell ref="W34:AL35"/>
    <mergeCell ref="U71:AN105"/>
    <mergeCell ref="AG106:AM106"/>
    <mergeCell ref="AG57:AM57"/>
    <mergeCell ref="AG58:AM58"/>
    <mergeCell ref="C24:Q25"/>
    <mergeCell ref="C26:Q27"/>
    <mergeCell ref="C28:Q29"/>
    <mergeCell ref="C30:Q31"/>
    <mergeCell ref="S28:T29"/>
    <mergeCell ref="S30:T31"/>
    <mergeCell ref="W36:AL37"/>
    <mergeCell ref="AM36:AN37"/>
    <mergeCell ref="M57:S57"/>
    <mergeCell ref="M58:S58"/>
    <mergeCell ref="U64:AN69"/>
    <mergeCell ref="S26:T27"/>
  </mergeCells>
  <phoneticPr fontId="28" type="noConversion"/>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3E53C3B-B067-482A-BF3F-376BA85E0AEB}">
          <x14:formula1>
            <xm:f>'Protokół odbioru'!$BO$30:$BO$32</xm:f>
          </x14:formula1>
          <xm:sqref>W34:AL37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09FFB-35BB-4AAA-AFF2-9DBE4D96508F}">
  <sheetPr codeName="Arkusz14">
    <tabColor rgb="FF7030A0"/>
    <pageSetUpPr fitToPage="1"/>
  </sheetPr>
  <dimension ref="A1:AI145"/>
  <sheetViews>
    <sheetView topLeftCell="A44" zoomScale="85" zoomScaleNormal="85" workbookViewId="0">
      <selection activeCell="H57" sqref="A1:I57"/>
    </sheetView>
  </sheetViews>
  <sheetFormatPr defaultRowHeight="15"/>
  <cols>
    <col min="11" max="11" width="15.42578125" customWidth="1"/>
    <col min="16" max="16" width="22.42578125" bestFit="1" customWidth="1"/>
    <col min="17" max="17" width="13.85546875" customWidth="1"/>
    <col min="24" max="24" width="17.42578125" customWidth="1"/>
    <col min="25" max="25" width="13" customWidth="1"/>
    <col min="26" max="26" width="9.85546875" customWidth="1"/>
    <col min="28" max="28" width="11.5703125" customWidth="1"/>
    <col min="29" max="29" width="9.5703125" customWidth="1"/>
    <col min="30" max="30" width="11.5703125" customWidth="1"/>
  </cols>
  <sheetData>
    <row r="1" spans="1:35" ht="19.5" thickBot="1">
      <c r="A1" s="1269" t="s">
        <v>682</v>
      </c>
      <c r="B1" s="1270"/>
      <c r="C1" s="1270"/>
      <c r="D1" s="1270"/>
      <c r="E1" s="1270"/>
      <c r="F1" s="1270"/>
      <c r="G1" s="1270"/>
      <c r="H1" s="1270"/>
      <c r="I1" s="1271"/>
      <c r="K1" s="306" t="s">
        <v>683</v>
      </c>
      <c r="P1" s="216" t="s">
        <v>425</v>
      </c>
      <c r="Q1" s="216" t="s">
        <v>804</v>
      </c>
      <c r="R1" s="216" t="s">
        <v>805</v>
      </c>
      <c r="S1" s="216" t="s">
        <v>806</v>
      </c>
      <c r="T1" s="216" t="s">
        <v>807</v>
      </c>
      <c r="W1" t="s">
        <v>578</v>
      </c>
      <c r="X1" s="216" t="s">
        <v>799</v>
      </c>
      <c r="Y1" s="216" t="s">
        <v>988</v>
      </c>
      <c r="Z1" t="s">
        <v>989</v>
      </c>
      <c r="AA1" s="216" t="s">
        <v>800</v>
      </c>
      <c r="AB1" t="s">
        <v>378</v>
      </c>
      <c r="AC1" s="216" t="s">
        <v>801</v>
      </c>
      <c r="AD1" t="s">
        <v>379</v>
      </c>
      <c r="AE1" t="s">
        <v>802</v>
      </c>
    </row>
    <row r="2" spans="1:35" ht="15.75" thickBot="1">
      <c r="A2" s="1306" t="s">
        <v>684</v>
      </c>
      <c r="B2" s="1307"/>
      <c r="C2" s="1307"/>
      <c r="D2" s="1307"/>
      <c r="E2" s="1307"/>
      <c r="F2" s="1307"/>
      <c r="G2" s="1307"/>
      <c r="H2" s="1307"/>
      <c r="I2" s="1308"/>
      <c r="K2" s="216"/>
      <c r="M2" s="216"/>
      <c r="N2" s="216"/>
      <c r="O2" s="216"/>
      <c r="P2" s="216" t="s">
        <v>813</v>
      </c>
      <c r="Q2">
        <v>9.3699999999999992</v>
      </c>
      <c r="R2">
        <v>0.3</v>
      </c>
      <c r="S2">
        <v>38.799999999999997</v>
      </c>
      <c r="T2">
        <v>280</v>
      </c>
      <c r="W2" t="s">
        <v>976</v>
      </c>
      <c r="X2" s="216" t="s">
        <v>977</v>
      </c>
      <c r="Y2">
        <v>5</v>
      </c>
      <c r="Z2">
        <v>6</v>
      </c>
      <c r="AA2">
        <f>Z2*Y2</f>
        <v>30</v>
      </c>
      <c r="AB2" t="s">
        <v>275</v>
      </c>
      <c r="AC2" s="1">
        <f>230/AA2</f>
        <v>7.666666666666667</v>
      </c>
      <c r="AD2" t="s">
        <v>803</v>
      </c>
      <c r="AE2" s="1">
        <f t="shared" ref="AE2:AE11" si="0">(230*0.75)/AA2</f>
        <v>5.75</v>
      </c>
      <c r="AI2" t="s">
        <v>1019</v>
      </c>
    </row>
    <row r="3" spans="1:35" ht="15.75" thickBot="1">
      <c r="A3" s="1306" t="s">
        <v>685</v>
      </c>
      <c r="B3" s="1307"/>
      <c r="C3" s="1308"/>
      <c r="D3" s="1342"/>
      <c r="E3" s="1343"/>
      <c r="F3" s="1343"/>
      <c r="G3" s="1343"/>
      <c r="H3" s="1343"/>
      <c r="I3" s="1344"/>
      <c r="M3" s="216"/>
      <c r="N3" s="216"/>
      <c r="O3" s="216"/>
      <c r="P3" s="216" t="s">
        <v>941</v>
      </c>
      <c r="Q3">
        <v>11.66</v>
      </c>
      <c r="R3">
        <v>0.35</v>
      </c>
      <c r="S3">
        <v>49.3</v>
      </c>
      <c r="T3">
        <v>455</v>
      </c>
      <c r="W3" t="s">
        <v>976</v>
      </c>
      <c r="X3" s="216" t="s">
        <v>978</v>
      </c>
      <c r="Y3">
        <v>5</v>
      </c>
      <c r="Z3" s="206">
        <v>10</v>
      </c>
      <c r="AA3">
        <f t="shared" ref="AA3:AA12" si="1">Z3*Y3</f>
        <v>50</v>
      </c>
      <c r="AB3" t="s">
        <v>275</v>
      </c>
      <c r="AC3" s="1">
        <v>4.5999999999999996</v>
      </c>
      <c r="AD3" t="s">
        <v>803</v>
      </c>
      <c r="AE3" s="1">
        <f>(230*0.75)/AA3</f>
        <v>3.45</v>
      </c>
      <c r="AI3" t="s">
        <v>1020</v>
      </c>
    </row>
    <row r="4" spans="1:35" ht="15.75" thickBot="1">
      <c r="A4" s="1306" t="s">
        <v>686</v>
      </c>
      <c r="B4" s="1307"/>
      <c r="C4" s="1308"/>
      <c r="D4" s="1309">
        <f>PV!U51</f>
        <v>0</v>
      </c>
      <c r="E4" s="1310"/>
      <c r="F4" s="1310"/>
      <c r="G4" s="1310"/>
      <c r="H4" s="1310"/>
      <c r="I4" s="1311"/>
      <c r="M4" s="216"/>
      <c r="N4" s="216"/>
      <c r="O4" s="216"/>
      <c r="P4" s="216" t="s">
        <v>815</v>
      </c>
      <c r="Q4">
        <v>9.85</v>
      </c>
      <c r="R4">
        <v>0.28999999999999998</v>
      </c>
      <c r="S4">
        <v>40.299999999999997</v>
      </c>
      <c r="T4">
        <v>310</v>
      </c>
      <c r="W4" t="s">
        <v>976</v>
      </c>
      <c r="X4" s="216" t="s">
        <v>979</v>
      </c>
      <c r="Y4">
        <v>5</v>
      </c>
      <c r="Z4" s="225">
        <v>13</v>
      </c>
      <c r="AA4">
        <f t="shared" si="1"/>
        <v>65</v>
      </c>
      <c r="AB4" s="216" t="s">
        <v>275</v>
      </c>
      <c r="AC4" s="1">
        <v>3.5</v>
      </c>
      <c r="AD4" s="216" t="s">
        <v>803</v>
      </c>
      <c r="AE4" s="1">
        <f t="shared" si="0"/>
        <v>2.6538461538461537</v>
      </c>
    </row>
    <row r="5" spans="1:35" ht="15.75" thickBot="1">
      <c r="A5" s="1312" t="s">
        <v>688</v>
      </c>
      <c r="B5" s="1310"/>
      <c r="C5" s="1311"/>
      <c r="D5" s="1345">
        <f>PV!U52</f>
        <v>0</v>
      </c>
      <c r="E5" s="1310"/>
      <c r="F5" s="1310"/>
      <c r="G5" s="1310"/>
      <c r="H5" s="1310"/>
      <c r="I5" s="1311"/>
      <c r="M5" s="216"/>
      <c r="N5" s="216"/>
      <c r="O5" s="216"/>
      <c r="P5" s="216" t="s">
        <v>808</v>
      </c>
      <c r="Q5" s="1">
        <v>10.14</v>
      </c>
      <c r="R5" s="1">
        <v>0.31</v>
      </c>
      <c r="S5" s="1">
        <v>42.2</v>
      </c>
      <c r="T5" s="1">
        <v>330</v>
      </c>
      <c r="W5" t="s">
        <v>976</v>
      </c>
      <c r="X5" s="216" t="s">
        <v>980</v>
      </c>
      <c r="Y5">
        <v>5</v>
      </c>
      <c r="Z5" s="206">
        <v>16</v>
      </c>
      <c r="AA5">
        <f t="shared" si="1"/>
        <v>80</v>
      </c>
      <c r="AB5" t="s">
        <v>275</v>
      </c>
      <c r="AC5" s="1">
        <v>2.8</v>
      </c>
      <c r="AD5" t="s">
        <v>803</v>
      </c>
      <c r="AE5" s="1">
        <f t="shared" si="0"/>
        <v>2.15625</v>
      </c>
    </row>
    <row r="6" spans="1:35" ht="15.75" thickBot="1">
      <c r="A6" s="1306" t="s">
        <v>689</v>
      </c>
      <c r="B6" s="1307"/>
      <c r="C6" s="1307"/>
      <c r="D6" s="1307"/>
      <c r="E6" s="1307"/>
      <c r="F6" s="1307"/>
      <c r="G6" s="1307"/>
      <c r="H6" s="1307"/>
      <c r="I6" s="1308"/>
      <c r="M6" s="216"/>
      <c r="N6" s="216"/>
      <c r="O6" s="216"/>
      <c r="P6" s="216" t="s">
        <v>607</v>
      </c>
      <c r="Q6" s="1">
        <v>10.55</v>
      </c>
      <c r="R6">
        <v>0.28999999999999998</v>
      </c>
      <c r="S6">
        <v>45.8</v>
      </c>
      <c r="T6">
        <v>390</v>
      </c>
      <c r="W6" t="s">
        <v>976</v>
      </c>
      <c r="X6" s="216" t="s">
        <v>981</v>
      </c>
      <c r="Y6">
        <v>5</v>
      </c>
      <c r="Z6" s="206">
        <v>20</v>
      </c>
      <c r="AA6">
        <f t="shared" si="1"/>
        <v>100</v>
      </c>
      <c r="AB6" t="s">
        <v>275</v>
      </c>
      <c r="AC6" s="1">
        <v>2.2999999999999998</v>
      </c>
      <c r="AD6" t="s">
        <v>803</v>
      </c>
      <c r="AE6" s="1">
        <f t="shared" si="0"/>
        <v>1.7250000000000001</v>
      </c>
    </row>
    <row r="7" spans="1:35" ht="15.75" thickBot="1">
      <c r="A7" s="1306" t="s">
        <v>690</v>
      </c>
      <c r="B7" s="1307"/>
      <c r="C7" s="1307"/>
      <c r="D7" s="1307"/>
      <c r="E7" s="1307"/>
      <c r="F7" s="1307"/>
      <c r="G7" s="1308"/>
      <c r="H7" s="1306" t="s">
        <v>691</v>
      </c>
      <c r="I7" s="1308"/>
      <c r="M7" s="216"/>
      <c r="N7" s="216"/>
      <c r="O7" s="216"/>
      <c r="P7" s="216" t="s">
        <v>939</v>
      </c>
      <c r="Q7">
        <v>11.57</v>
      </c>
      <c r="R7">
        <v>0.35</v>
      </c>
      <c r="S7">
        <v>43.93</v>
      </c>
      <c r="T7">
        <v>395</v>
      </c>
      <c r="W7" t="s">
        <v>976</v>
      </c>
      <c r="X7" s="216" t="s">
        <v>982</v>
      </c>
      <c r="Y7">
        <v>5</v>
      </c>
      <c r="Z7" s="206">
        <v>25</v>
      </c>
      <c r="AA7">
        <f t="shared" si="1"/>
        <v>125</v>
      </c>
      <c r="AB7" t="s">
        <v>275</v>
      </c>
      <c r="AC7" s="1">
        <v>1.8</v>
      </c>
      <c r="AD7" t="s">
        <v>803</v>
      </c>
      <c r="AE7" s="1">
        <f t="shared" si="0"/>
        <v>1.38</v>
      </c>
    </row>
    <row r="8" spans="1:35" ht="15.75" thickBot="1">
      <c r="A8" s="1306" t="s">
        <v>692</v>
      </c>
      <c r="B8" s="1307"/>
      <c r="C8" s="1307"/>
      <c r="D8" s="1307"/>
      <c r="E8" s="1307"/>
      <c r="F8" s="1307"/>
      <c r="G8" s="1308"/>
      <c r="H8" s="1316" t="s">
        <v>693</v>
      </c>
      <c r="I8" s="1308"/>
      <c r="M8" s="216"/>
      <c r="N8" s="216"/>
      <c r="O8" s="216"/>
      <c r="P8" s="216" t="s">
        <v>935</v>
      </c>
      <c r="Q8">
        <v>10.029999999999999</v>
      </c>
      <c r="R8">
        <v>0.34</v>
      </c>
      <c r="S8">
        <v>49.3</v>
      </c>
      <c r="T8">
        <v>390</v>
      </c>
      <c r="W8" t="s">
        <v>976</v>
      </c>
      <c r="X8" s="216" t="s">
        <v>983</v>
      </c>
      <c r="Y8">
        <v>5</v>
      </c>
      <c r="Z8" s="206">
        <v>32</v>
      </c>
      <c r="AA8">
        <f t="shared" si="1"/>
        <v>160</v>
      </c>
      <c r="AB8" t="s">
        <v>275</v>
      </c>
      <c r="AC8" s="1">
        <f>230/160</f>
        <v>1.4375</v>
      </c>
      <c r="AD8" t="s">
        <v>803</v>
      </c>
      <c r="AE8" s="1">
        <f t="shared" si="0"/>
        <v>1.078125</v>
      </c>
    </row>
    <row r="9" spans="1:35" ht="15.75" thickBot="1">
      <c r="A9" s="1306" t="s">
        <v>694</v>
      </c>
      <c r="B9" s="1307"/>
      <c r="C9" s="1307"/>
      <c r="D9" s="1307"/>
      <c r="E9" s="1307"/>
      <c r="F9" s="1307"/>
      <c r="G9" s="1308"/>
      <c r="H9" s="1316" t="s">
        <v>693</v>
      </c>
      <c r="I9" s="1308"/>
      <c r="M9" s="216"/>
      <c r="N9" s="216"/>
      <c r="O9" s="216"/>
      <c r="P9" t="s">
        <v>1017</v>
      </c>
      <c r="Q9">
        <v>10.119999999999999</v>
      </c>
      <c r="R9">
        <v>0.34</v>
      </c>
      <c r="S9">
        <v>49.5</v>
      </c>
      <c r="T9">
        <v>400</v>
      </c>
      <c r="W9" t="s">
        <v>976</v>
      </c>
      <c r="X9" s="216" t="s">
        <v>984</v>
      </c>
      <c r="Y9">
        <v>5</v>
      </c>
      <c r="Z9" s="216">
        <v>40</v>
      </c>
      <c r="AA9">
        <f t="shared" si="1"/>
        <v>200</v>
      </c>
      <c r="AB9" s="216" t="s">
        <v>275</v>
      </c>
      <c r="AC9" s="1">
        <f>230/200</f>
        <v>1.1499999999999999</v>
      </c>
      <c r="AD9" s="216" t="s">
        <v>803</v>
      </c>
      <c r="AE9" s="1">
        <f t="shared" si="0"/>
        <v>0.86250000000000004</v>
      </c>
    </row>
    <row r="10" spans="1:35" ht="15.75" thickBot="1">
      <c r="A10" s="1306" t="s">
        <v>695</v>
      </c>
      <c r="B10" s="1307"/>
      <c r="C10" s="1307"/>
      <c r="D10" s="1307"/>
      <c r="E10" s="1307"/>
      <c r="F10" s="1307"/>
      <c r="G10" s="1308"/>
      <c r="H10" s="1316" t="s">
        <v>693</v>
      </c>
      <c r="I10" s="1308"/>
      <c r="M10" s="216"/>
      <c r="N10" s="216"/>
      <c r="O10" s="216"/>
      <c r="P10" s="216" t="s">
        <v>948</v>
      </c>
      <c r="Q10">
        <v>12.07</v>
      </c>
      <c r="R10">
        <v>0.34</v>
      </c>
      <c r="S10">
        <v>49.4</v>
      </c>
      <c r="T10">
        <v>470</v>
      </c>
      <c r="W10" t="s">
        <v>976</v>
      </c>
      <c r="X10" s="216" t="s">
        <v>985</v>
      </c>
      <c r="Y10">
        <v>5</v>
      </c>
      <c r="Z10">
        <v>50</v>
      </c>
      <c r="AA10">
        <f t="shared" si="1"/>
        <v>250</v>
      </c>
      <c r="AB10" t="s">
        <v>275</v>
      </c>
      <c r="AC10" s="1">
        <f>230/250</f>
        <v>0.92</v>
      </c>
      <c r="AD10" s="216" t="s">
        <v>803</v>
      </c>
      <c r="AE10" s="1">
        <f t="shared" si="0"/>
        <v>0.69</v>
      </c>
    </row>
    <row r="11" spans="1:35" ht="15.75" thickBot="1">
      <c r="A11" s="1306" t="s">
        <v>696</v>
      </c>
      <c r="B11" s="1307"/>
      <c r="C11" s="1307"/>
      <c r="D11" s="1307"/>
      <c r="E11" s="1307"/>
      <c r="F11" s="1307"/>
      <c r="G11" s="1308"/>
      <c r="H11" s="1316" t="s">
        <v>693</v>
      </c>
      <c r="I11" s="1308"/>
      <c r="P11" t="s">
        <v>1015</v>
      </c>
      <c r="Q11">
        <v>18.16</v>
      </c>
      <c r="R11">
        <v>0.36</v>
      </c>
      <c r="S11">
        <v>45.58</v>
      </c>
      <c r="T11">
        <v>650</v>
      </c>
      <c r="W11" t="s">
        <v>976</v>
      </c>
      <c r="X11" s="216" t="s">
        <v>986</v>
      </c>
      <c r="Y11">
        <v>5</v>
      </c>
      <c r="Z11">
        <v>63</v>
      </c>
      <c r="AA11">
        <f t="shared" si="1"/>
        <v>315</v>
      </c>
      <c r="AB11" t="s">
        <v>275</v>
      </c>
      <c r="AC11" s="1">
        <f>230/AA11</f>
        <v>0.73015873015873012</v>
      </c>
      <c r="AD11" s="216" t="s">
        <v>803</v>
      </c>
      <c r="AE11" s="1">
        <f t="shared" si="0"/>
        <v>0.54761904761904767</v>
      </c>
    </row>
    <row r="12" spans="1:35" ht="15.75" thickBot="1">
      <c r="A12" s="1306" t="s">
        <v>697</v>
      </c>
      <c r="B12" s="1307"/>
      <c r="C12" s="1307"/>
      <c r="D12" s="1307"/>
      <c r="E12" s="1307"/>
      <c r="F12" s="1307"/>
      <c r="G12" s="1308"/>
      <c r="H12" s="1316" t="s">
        <v>693</v>
      </c>
      <c r="I12" s="1308"/>
      <c r="P12" s="216" t="s">
        <v>828</v>
      </c>
      <c r="Q12">
        <v>11.6</v>
      </c>
      <c r="R12">
        <v>0.35</v>
      </c>
      <c r="S12">
        <v>49.3</v>
      </c>
      <c r="T12">
        <v>450</v>
      </c>
      <c r="W12" t="s">
        <v>976</v>
      </c>
      <c r="X12" s="216" t="s">
        <v>987</v>
      </c>
      <c r="Y12">
        <v>5</v>
      </c>
      <c r="Z12">
        <v>100</v>
      </c>
      <c r="AA12">
        <f t="shared" si="1"/>
        <v>500</v>
      </c>
      <c r="AB12" t="s">
        <v>275</v>
      </c>
      <c r="AC12" s="1">
        <f>230/AA12</f>
        <v>0.46</v>
      </c>
      <c r="AD12" s="216" t="s">
        <v>803</v>
      </c>
      <c r="AE12" s="1">
        <f t="shared" ref="AE12" si="2">(230*0.75)/AA12</f>
        <v>0.34499999999999997</v>
      </c>
    </row>
    <row r="13" spans="1:35" ht="15.75" thickBot="1">
      <c r="A13" s="1306" t="s">
        <v>698</v>
      </c>
      <c r="B13" s="1307"/>
      <c r="C13" s="1307"/>
      <c r="D13" s="1307"/>
      <c r="E13" s="1307"/>
      <c r="F13" s="1307"/>
      <c r="G13" s="1308"/>
      <c r="H13" s="1316" t="s">
        <v>693</v>
      </c>
      <c r="I13" s="1308"/>
      <c r="P13" s="216" t="s">
        <v>936</v>
      </c>
      <c r="Q13">
        <v>11.65</v>
      </c>
      <c r="R13">
        <v>0.35</v>
      </c>
      <c r="S13">
        <v>49.8</v>
      </c>
      <c r="T13">
        <v>455</v>
      </c>
    </row>
    <row r="14" spans="1:35" ht="15.75" thickBot="1">
      <c r="A14" s="1306" t="s">
        <v>699</v>
      </c>
      <c r="B14" s="1307"/>
      <c r="C14" s="1307"/>
      <c r="D14" s="1307"/>
      <c r="E14" s="1307"/>
      <c r="F14" s="1307"/>
      <c r="G14" s="1308"/>
      <c r="H14" s="1316" t="s">
        <v>693</v>
      </c>
      <c r="I14" s="1308"/>
      <c r="P14" s="216" t="s">
        <v>923</v>
      </c>
      <c r="Q14">
        <v>11.23</v>
      </c>
      <c r="R14">
        <v>0.38</v>
      </c>
      <c r="S14">
        <v>45.47</v>
      </c>
      <c r="T14">
        <v>410</v>
      </c>
    </row>
    <row r="15" spans="1:35" ht="15.75" thickBot="1">
      <c r="A15" s="1306" t="s">
        <v>700</v>
      </c>
      <c r="B15" s="1307"/>
      <c r="C15" s="1307"/>
      <c r="D15" s="1307"/>
      <c r="E15" s="1307"/>
      <c r="F15" s="1307"/>
      <c r="G15" s="1307"/>
      <c r="H15" s="1307"/>
      <c r="I15" s="1308"/>
      <c r="P15" s="216" t="s">
        <v>897</v>
      </c>
      <c r="Q15">
        <v>11.38</v>
      </c>
      <c r="R15">
        <v>0.38</v>
      </c>
      <c r="S15">
        <v>49.24</v>
      </c>
      <c r="T15">
        <v>450</v>
      </c>
    </row>
    <row r="16" spans="1:35" ht="15.75" thickBot="1">
      <c r="A16" s="226" t="s">
        <v>701</v>
      </c>
      <c r="B16" s="1327" t="s">
        <v>702</v>
      </c>
      <c r="C16" s="1310"/>
      <c r="D16" s="1311"/>
      <c r="E16" s="1306" t="s">
        <v>703</v>
      </c>
      <c r="F16" s="1307"/>
      <c r="G16" s="1308"/>
      <c r="H16" s="1312">
        <v>728073</v>
      </c>
      <c r="I16" s="1311"/>
      <c r="P16" s="216" t="s">
        <v>829</v>
      </c>
      <c r="Q16">
        <v>10.8</v>
      </c>
      <c r="R16">
        <v>0.37</v>
      </c>
      <c r="S16">
        <v>49</v>
      </c>
      <c r="T16">
        <v>415</v>
      </c>
    </row>
    <row r="17" spans="1:31" ht="15.75" thickBot="1">
      <c r="A17" s="1306" t="s">
        <v>704</v>
      </c>
      <c r="B17" s="1307"/>
      <c r="C17" s="1308"/>
      <c r="D17" s="217">
        <v>1000</v>
      </c>
      <c r="E17" s="1306" t="s">
        <v>705</v>
      </c>
      <c r="F17" s="1307"/>
      <c r="G17" s="1308"/>
      <c r="H17" s="1332"/>
      <c r="I17" s="1333"/>
      <c r="P17" s="216" t="s">
        <v>809</v>
      </c>
      <c r="Q17">
        <v>11.49</v>
      </c>
      <c r="R17">
        <v>0.36</v>
      </c>
      <c r="S17">
        <v>40.9</v>
      </c>
      <c r="T17">
        <v>370</v>
      </c>
      <c r="W17" t="s">
        <v>976</v>
      </c>
      <c r="X17" s="216" t="s">
        <v>1000</v>
      </c>
      <c r="Y17">
        <v>10</v>
      </c>
      <c r="Z17">
        <v>6</v>
      </c>
      <c r="AA17">
        <f>Z17*Y17</f>
        <v>60</v>
      </c>
      <c r="AB17" t="s">
        <v>275</v>
      </c>
      <c r="AC17" s="1">
        <f>230/AA17</f>
        <v>3.8333333333333335</v>
      </c>
      <c r="AD17" t="s">
        <v>803</v>
      </c>
      <c r="AE17" s="1">
        <f t="shared" ref="AE17" si="3">(230*0.75)/AA17</f>
        <v>2.875</v>
      </c>
    </row>
    <row r="18" spans="1:31" ht="15.75" thickBot="1">
      <c r="A18" s="1306" t="s">
        <v>706</v>
      </c>
      <c r="B18" s="1307"/>
      <c r="C18" s="1308"/>
      <c r="D18" s="288"/>
      <c r="E18" s="1306" t="s">
        <v>707</v>
      </c>
      <c r="F18" s="1307"/>
      <c r="G18" s="1308"/>
      <c r="H18" s="1332"/>
      <c r="I18" s="1333"/>
      <c r="K18" s="1341" t="s">
        <v>714</v>
      </c>
      <c r="P18" s="216" t="s">
        <v>810</v>
      </c>
      <c r="Q18">
        <v>9.91</v>
      </c>
      <c r="R18">
        <v>0.34</v>
      </c>
      <c r="S18">
        <v>47.7</v>
      </c>
      <c r="T18">
        <v>375</v>
      </c>
      <c r="W18" t="s">
        <v>976</v>
      </c>
      <c r="X18" s="216" t="s">
        <v>999</v>
      </c>
      <c r="Y18">
        <v>10</v>
      </c>
      <c r="Z18" s="206">
        <v>10</v>
      </c>
      <c r="AA18">
        <f t="shared" ref="AA18:AA27" si="4">Z18*Y18</f>
        <v>100</v>
      </c>
      <c r="AB18" t="s">
        <v>275</v>
      </c>
      <c r="AC18" s="1">
        <v>4.5999999999999996</v>
      </c>
      <c r="AD18" t="s">
        <v>803</v>
      </c>
      <c r="AE18" s="1">
        <f>(230*0.75)/AA18</f>
        <v>1.7250000000000001</v>
      </c>
    </row>
    <row r="19" spans="1:31" ht="15.75" thickBot="1">
      <c r="A19" s="218" t="s">
        <v>708</v>
      </c>
      <c r="B19" s="218" t="s">
        <v>709</v>
      </c>
      <c r="C19" s="226" t="s">
        <v>710</v>
      </c>
      <c r="D19" s="219" t="s">
        <v>711</v>
      </c>
      <c r="E19" s="1306" t="s">
        <v>712</v>
      </c>
      <c r="F19" s="1307"/>
      <c r="G19" s="1308"/>
      <c r="H19" s="218" t="s">
        <v>713</v>
      </c>
      <c r="I19" s="218" t="s">
        <v>691</v>
      </c>
      <c r="J19" s="81" t="s">
        <v>1001</v>
      </c>
      <c r="K19" s="1341"/>
      <c r="L19" s="216" t="s">
        <v>1022</v>
      </c>
      <c r="M19" s="81" t="s">
        <v>1021</v>
      </c>
      <c r="N19" s="216" t="s">
        <v>321</v>
      </c>
      <c r="P19" s="216" t="s">
        <v>811</v>
      </c>
      <c r="Q19">
        <v>9.99</v>
      </c>
      <c r="R19">
        <v>0.34</v>
      </c>
      <c r="S19">
        <v>47.9</v>
      </c>
      <c r="T19">
        <v>380</v>
      </c>
      <c r="W19" t="s">
        <v>976</v>
      </c>
      <c r="X19" s="216" t="s">
        <v>998</v>
      </c>
      <c r="Y19">
        <v>10</v>
      </c>
      <c r="Z19" s="225">
        <v>13</v>
      </c>
      <c r="AA19">
        <f t="shared" si="4"/>
        <v>130</v>
      </c>
      <c r="AB19" s="216" t="s">
        <v>275</v>
      </c>
      <c r="AC19" s="1">
        <v>3.5</v>
      </c>
      <c r="AD19" s="216" t="s">
        <v>803</v>
      </c>
      <c r="AE19" s="1">
        <f t="shared" ref="AE19:AE27" si="5">(230*0.75)/AA19</f>
        <v>1.3269230769230769</v>
      </c>
    </row>
    <row r="20" spans="1:31" ht="24" thickBot="1">
      <c r="A20" s="220"/>
      <c r="B20" s="289"/>
      <c r="C20" s="1313"/>
      <c r="D20" s="1315"/>
      <c r="E20" s="1329">
        <f>$N$20*J20</f>
        <v>13.96</v>
      </c>
      <c r="F20" s="1340"/>
      <c r="G20" s="1330"/>
      <c r="H20" s="221">
        <f>M20*K20</f>
        <v>9990</v>
      </c>
      <c r="I20" s="227" t="s">
        <v>817</v>
      </c>
      <c r="J20">
        <v>1</v>
      </c>
      <c r="K20" s="307">
        <f>PV!AJ97</f>
        <v>18</v>
      </c>
      <c r="L20">
        <f>VLOOKUP(panel,[1]!Panele[#All],MATCH("open_V",[1]!Panele[#Headers],FALSE),FALSE)</f>
        <v>50.11</v>
      </c>
      <c r="M20">
        <f>VLOOKUP(panel,[1]!Panele[#All],MATCH("W",[1]!Panele[#Headers],FALSE),FALSE)</f>
        <v>555</v>
      </c>
      <c r="N20">
        <f>VLOOKUP(panel,[1]!Panele[#All],MATCH("prąd_zwarciowy",[1]!Panele[#Headers],FALSE),FALSE)</f>
        <v>13.96</v>
      </c>
      <c r="P20" s="216" t="s">
        <v>812</v>
      </c>
      <c r="Q20">
        <v>10.17</v>
      </c>
      <c r="R20">
        <v>0.35</v>
      </c>
      <c r="S20">
        <v>49</v>
      </c>
      <c r="T20">
        <v>400</v>
      </c>
      <c r="W20" t="s">
        <v>976</v>
      </c>
      <c r="X20" s="216" t="s">
        <v>997</v>
      </c>
      <c r="Y20">
        <v>10</v>
      </c>
      <c r="Z20" s="206">
        <v>16</v>
      </c>
      <c r="AA20">
        <f t="shared" si="4"/>
        <v>160</v>
      </c>
      <c r="AB20" t="s">
        <v>275</v>
      </c>
      <c r="AC20" s="1">
        <v>2.8</v>
      </c>
      <c r="AD20" t="s">
        <v>803</v>
      </c>
      <c r="AE20" s="1">
        <f t="shared" si="5"/>
        <v>1.078125</v>
      </c>
    </row>
    <row r="21" spans="1:31" ht="24" thickBot="1">
      <c r="A21" s="220"/>
      <c r="B21" s="289"/>
      <c r="C21" s="290"/>
      <c r="D21" s="291"/>
      <c r="E21" s="1329">
        <f>$N$20*J21</f>
        <v>13.96</v>
      </c>
      <c r="F21" s="1340"/>
      <c r="G21" s="1330"/>
      <c r="H21" s="221">
        <f>M21*K21</f>
        <v>9990</v>
      </c>
      <c r="I21" s="227" t="s">
        <v>817</v>
      </c>
      <c r="J21">
        <v>1</v>
      </c>
      <c r="K21" s="307">
        <f>PV!AL97</f>
        <v>18</v>
      </c>
      <c r="L21">
        <f>VLOOKUP(panel,[1]!Panele[#All],MATCH("open_V",[1]!Panele[#Headers],FALSE),FALSE)</f>
        <v>50.11</v>
      </c>
      <c r="M21">
        <f>VLOOKUP(panel,[1]!Panele[#All],MATCH("W",[1]!Panele[#Headers],FALSE),FALSE)</f>
        <v>555</v>
      </c>
      <c r="P21" t="s">
        <v>975</v>
      </c>
      <c r="Q21">
        <v>11.61</v>
      </c>
      <c r="R21">
        <v>0.34</v>
      </c>
      <c r="S21">
        <v>49.8</v>
      </c>
      <c r="T21">
        <v>455</v>
      </c>
      <c r="W21" t="s">
        <v>976</v>
      </c>
      <c r="X21" s="216" t="s">
        <v>996</v>
      </c>
      <c r="Y21">
        <v>10</v>
      </c>
      <c r="Z21" s="206">
        <v>20</v>
      </c>
      <c r="AA21">
        <f t="shared" si="4"/>
        <v>200</v>
      </c>
      <c r="AB21" t="s">
        <v>275</v>
      </c>
      <c r="AC21" s="1">
        <v>2.2999999999999998</v>
      </c>
      <c r="AD21" t="s">
        <v>803</v>
      </c>
      <c r="AE21" s="1">
        <f t="shared" si="5"/>
        <v>0.86250000000000004</v>
      </c>
    </row>
    <row r="22" spans="1:31" ht="24" thickBot="1">
      <c r="A22" s="220"/>
      <c r="B22" s="289"/>
      <c r="C22" s="1313"/>
      <c r="D22" s="1315"/>
      <c r="E22" s="1329">
        <f>$N$20*J22</f>
        <v>13.96</v>
      </c>
      <c r="F22" s="1340"/>
      <c r="G22" s="1330"/>
      <c r="H22" s="221">
        <f>M22*K22</f>
        <v>0</v>
      </c>
      <c r="I22" s="227" t="s">
        <v>817</v>
      </c>
      <c r="J22">
        <v>1</v>
      </c>
      <c r="K22" s="307">
        <f>PV!AN97</f>
        <v>0</v>
      </c>
      <c r="L22">
        <f>VLOOKUP(panel,[1]!Panele[#All],MATCH("open_V",[1]!Panele[#Headers],FALSE),FALSE)</f>
        <v>50.11</v>
      </c>
      <c r="M22">
        <f>VLOOKUP(panel,[1]!Panele[#All],MATCH("W",[1]!Panele[#Headers],FALSE),FALSE)</f>
        <v>555</v>
      </c>
      <c r="P22" s="216" t="s">
        <v>816</v>
      </c>
      <c r="Q22">
        <v>10.55</v>
      </c>
      <c r="R22">
        <v>0.33</v>
      </c>
      <c r="S22">
        <v>49.7</v>
      </c>
      <c r="T22">
        <v>410</v>
      </c>
      <c r="W22" t="s">
        <v>976</v>
      </c>
      <c r="X22" s="216" t="s">
        <v>995</v>
      </c>
      <c r="Y22">
        <v>10</v>
      </c>
      <c r="Z22" s="206">
        <v>25</v>
      </c>
      <c r="AA22">
        <f t="shared" si="4"/>
        <v>250</v>
      </c>
      <c r="AB22" t="s">
        <v>275</v>
      </c>
      <c r="AC22" s="1">
        <v>1.8</v>
      </c>
      <c r="AD22" t="s">
        <v>803</v>
      </c>
      <c r="AE22" s="1">
        <f t="shared" si="5"/>
        <v>0.69</v>
      </c>
    </row>
    <row r="23" spans="1:31" ht="15.75" thickBot="1">
      <c r="A23" s="1306" t="s">
        <v>715</v>
      </c>
      <c r="B23" s="1307"/>
      <c r="C23" s="1307"/>
      <c r="D23" s="1307"/>
      <c r="E23" s="1307"/>
      <c r="F23" s="1307"/>
      <c r="G23" s="1307"/>
      <c r="H23" s="1307"/>
      <c r="I23" s="1308"/>
      <c r="P23" s="216" t="s">
        <v>814</v>
      </c>
      <c r="Q23">
        <v>11.34</v>
      </c>
      <c r="R23">
        <v>0.36</v>
      </c>
      <c r="S23">
        <v>49.6</v>
      </c>
      <c r="T23">
        <v>440</v>
      </c>
      <c r="W23" t="s">
        <v>976</v>
      </c>
      <c r="X23" s="216" t="s">
        <v>994</v>
      </c>
      <c r="Y23">
        <v>10</v>
      </c>
      <c r="Z23" s="206">
        <v>32</v>
      </c>
      <c r="AA23">
        <f t="shared" si="4"/>
        <v>320</v>
      </c>
      <c r="AB23" t="s">
        <v>275</v>
      </c>
      <c r="AC23" s="1">
        <f>230/160</f>
        <v>1.4375</v>
      </c>
      <c r="AD23" t="s">
        <v>803</v>
      </c>
      <c r="AE23" s="1">
        <f t="shared" si="5"/>
        <v>0.5390625</v>
      </c>
    </row>
    <row r="24" spans="1:31" ht="15.75" thickBot="1">
      <c r="A24" s="1306" t="s">
        <v>716</v>
      </c>
      <c r="B24" s="1307"/>
      <c r="C24" s="1307"/>
      <c r="D24" s="1307"/>
      <c r="E24" s="1307"/>
      <c r="F24" s="1307"/>
      <c r="G24" s="1307"/>
      <c r="H24" s="1307"/>
      <c r="I24" s="1308"/>
      <c r="P24" s="216" t="s">
        <v>687</v>
      </c>
      <c r="Q24">
        <v>11.55</v>
      </c>
      <c r="R24">
        <v>0.36</v>
      </c>
      <c r="S24">
        <v>49.8</v>
      </c>
      <c r="T24">
        <v>450</v>
      </c>
      <c r="W24" t="s">
        <v>976</v>
      </c>
      <c r="X24" s="216" t="s">
        <v>993</v>
      </c>
      <c r="Y24">
        <v>10</v>
      </c>
      <c r="Z24" s="216">
        <v>40</v>
      </c>
      <c r="AA24">
        <f t="shared" si="4"/>
        <v>400</v>
      </c>
      <c r="AB24" s="216" t="s">
        <v>275</v>
      </c>
      <c r="AC24" s="1">
        <f>230/200</f>
        <v>1.1499999999999999</v>
      </c>
      <c r="AD24" s="216" t="s">
        <v>803</v>
      </c>
      <c r="AE24" s="1">
        <f t="shared" si="5"/>
        <v>0.43125000000000002</v>
      </c>
    </row>
    <row r="25" spans="1:31" ht="15.75" thickBot="1">
      <c r="A25" s="226" t="s">
        <v>701</v>
      </c>
      <c r="B25" s="1327" t="s">
        <v>702</v>
      </c>
      <c r="C25" s="1310"/>
      <c r="D25" s="1311"/>
      <c r="E25" s="1306" t="s">
        <v>703</v>
      </c>
      <c r="F25" s="1307"/>
      <c r="G25" s="1308"/>
      <c r="H25" s="1329">
        <v>728073</v>
      </c>
      <c r="I25" s="1330"/>
      <c r="P25" s="216" t="s">
        <v>973</v>
      </c>
      <c r="Q25">
        <v>11.98</v>
      </c>
      <c r="R25">
        <v>0.39</v>
      </c>
      <c r="S25">
        <v>41.7</v>
      </c>
      <c r="T25">
        <v>380</v>
      </c>
      <c r="W25" t="s">
        <v>976</v>
      </c>
      <c r="X25" s="216" t="s">
        <v>992</v>
      </c>
      <c r="Y25">
        <v>10</v>
      </c>
      <c r="Z25">
        <v>50</v>
      </c>
      <c r="AA25">
        <f t="shared" si="4"/>
        <v>500</v>
      </c>
      <c r="AB25" t="s">
        <v>275</v>
      </c>
      <c r="AC25" s="1">
        <f>230/250</f>
        <v>0.92</v>
      </c>
      <c r="AD25" s="216" t="s">
        <v>803</v>
      </c>
      <c r="AE25" s="1">
        <f t="shared" si="5"/>
        <v>0.34499999999999997</v>
      </c>
    </row>
    <row r="26" spans="1:31" ht="15.75" thickBot="1">
      <c r="A26" s="1306" t="s">
        <v>704</v>
      </c>
      <c r="B26" s="1307"/>
      <c r="C26" s="1308"/>
      <c r="D26" s="221">
        <v>500</v>
      </c>
      <c r="E26" s="1306" t="s">
        <v>717</v>
      </c>
      <c r="F26" s="1307"/>
      <c r="G26" s="1308"/>
      <c r="H26" s="1313"/>
      <c r="I26" s="1315"/>
      <c r="W26" t="s">
        <v>976</v>
      </c>
      <c r="X26" s="216" t="s">
        <v>991</v>
      </c>
      <c r="Y26">
        <v>10</v>
      </c>
      <c r="Z26">
        <v>63</v>
      </c>
      <c r="AA26">
        <f t="shared" si="4"/>
        <v>630</v>
      </c>
      <c r="AB26" t="s">
        <v>275</v>
      </c>
      <c r="AC26" s="1">
        <f>230/AA26</f>
        <v>0.36507936507936506</v>
      </c>
      <c r="AD26" s="216" t="s">
        <v>803</v>
      </c>
      <c r="AE26" s="1">
        <f t="shared" si="5"/>
        <v>0.27380952380952384</v>
      </c>
    </row>
    <row r="27" spans="1:31" ht="15.75" thickBot="1">
      <c r="A27" s="1312" t="s">
        <v>718</v>
      </c>
      <c r="B27" s="1310"/>
      <c r="C27" s="1311"/>
      <c r="D27" s="1337" t="s">
        <v>822</v>
      </c>
      <c r="E27" s="1338"/>
      <c r="F27" s="1338"/>
      <c r="G27" s="1338"/>
      <c r="H27" s="1338"/>
      <c r="I27" s="1339"/>
      <c r="W27" t="s">
        <v>976</v>
      </c>
      <c r="X27" s="216" t="s">
        <v>990</v>
      </c>
      <c r="Y27">
        <v>10</v>
      </c>
      <c r="Z27">
        <v>100</v>
      </c>
      <c r="AA27">
        <f t="shared" si="4"/>
        <v>1000</v>
      </c>
      <c r="AB27" t="s">
        <v>275</v>
      </c>
      <c r="AC27" s="1">
        <f>230/AA27</f>
        <v>0.23</v>
      </c>
      <c r="AD27" s="216" t="s">
        <v>803</v>
      </c>
      <c r="AE27" s="1">
        <f t="shared" si="5"/>
        <v>0.17249999999999999</v>
      </c>
    </row>
    <row r="28" spans="1:31" ht="15.75" thickBot="1">
      <c r="A28" s="1306" t="s">
        <v>719</v>
      </c>
      <c r="B28" s="1307"/>
      <c r="C28" s="1308"/>
      <c r="D28" s="218" t="s">
        <v>720</v>
      </c>
      <c r="E28" s="1323" t="s">
        <v>818</v>
      </c>
      <c r="F28" s="1308"/>
      <c r="G28" s="222" t="s">
        <v>721</v>
      </c>
      <c r="H28" s="1306" t="s">
        <v>691</v>
      </c>
      <c r="I28" s="1308"/>
    </row>
    <row r="29" spans="1:31" ht="15.75" thickBot="1">
      <c r="A29" s="1306" t="s">
        <v>722</v>
      </c>
      <c r="B29" s="1307"/>
      <c r="C29" s="1308"/>
      <c r="D29" s="273" t="s">
        <v>942</v>
      </c>
      <c r="E29" s="1335">
        <v>1000</v>
      </c>
      <c r="F29" s="1336"/>
      <c r="G29" s="289"/>
      <c r="H29" s="1316" t="s">
        <v>925</v>
      </c>
      <c r="I29" s="1308"/>
    </row>
    <row r="30" spans="1:31" ht="15.75" thickBot="1">
      <c r="A30" s="1306" t="s">
        <v>722</v>
      </c>
      <c r="B30" s="1307"/>
      <c r="C30" s="1308"/>
      <c r="D30" s="273" t="s">
        <v>943</v>
      </c>
      <c r="E30" s="1335">
        <v>1000</v>
      </c>
      <c r="F30" s="1336"/>
      <c r="G30" s="289"/>
      <c r="H30" s="1316" t="s">
        <v>925</v>
      </c>
      <c r="I30" s="1308"/>
    </row>
    <row r="31" spans="1:31" ht="15.75" thickBot="1">
      <c r="A31" s="1316" t="s">
        <v>924</v>
      </c>
      <c r="B31" s="1307"/>
      <c r="C31" s="1308"/>
      <c r="D31" s="275" t="s">
        <v>944</v>
      </c>
      <c r="E31" s="1335">
        <v>1000</v>
      </c>
      <c r="F31" s="1336"/>
      <c r="G31" s="289"/>
      <c r="H31" s="1316" t="s">
        <v>925</v>
      </c>
      <c r="I31" s="1308"/>
    </row>
    <row r="32" spans="1:31" ht="15.75" thickBot="1">
      <c r="A32" s="1316" t="s">
        <v>924</v>
      </c>
      <c r="B32" s="1307"/>
      <c r="C32" s="1308"/>
      <c r="D32" s="275" t="s">
        <v>945</v>
      </c>
      <c r="E32" s="1335">
        <v>1000</v>
      </c>
      <c r="F32" s="1336"/>
      <c r="G32" s="289"/>
      <c r="H32" s="1316" t="s">
        <v>925</v>
      </c>
      <c r="I32" s="1308"/>
      <c r="W32" t="s">
        <v>1002</v>
      </c>
      <c r="X32" s="216" t="s">
        <v>977</v>
      </c>
      <c r="Y32">
        <v>5</v>
      </c>
      <c r="Z32">
        <v>6</v>
      </c>
      <c r="AA32">
        <f>Z32*Y32</f>
        <v>30</v>
      </c>
      <c r="AB32" t="s">
        <v>275</v>
      </c>
      <c r="AC32" s="1">
        <f>230/AA32</f>
        <v>7.666666666666667</v>
      </c>
      <c r="AD32" t="s">
        <v>803</v>
      </c>
      <c r="AE32" s="1">
        <f t="shared" ref="AE32" si="6">(230*0.75)/AA32</f>
        <v>5.75</v>
      </c>
    </row>
    <row r="33" spans="1:31" ht="15.75" thickBot="1">
      <c r="A33" s="1316" t="s">
        <v>924</v>
      </c>
      <c r="B33" s="1307"/>
      <c r="C33" s="1308"/>
      <c r="D33" s="275" t="s">
        <v>946</v>
      </c>
      <c r="E33" s="1335">
        <v>1000</v>
      </c>
      <c r="F33" s="1336"/>
      <c r="G33" s="289"/>
      <c r="H33" s="1316" t="s">
        <v>925</v>
      </c>
      <c r="I33" s="1308"/>
      <c r="W33" t="s">
        <v>1002</v>
      </c>
      <c r="X33" s="216" t="s">
        <v>978</v>
      </c>
      <c r="Y33">
        <v>5</v>
      </c>
      <c r="Z33" s="206">
        <v>10</v>
      </c>
      <c r="AA33">
        <f t="shared" ref="AA33:AA38" si="7">Z33*Y33</f>
        <v>50</v>
      </c>
      <c r="AB33" t="s">
        <v>275</v>
      </c>
      <c r="AC33" s="1">
        <v>4.5999999999999996</v>
      </c>
      <c r="AD33" t="s">
        <v>803</v>
      </c>
      <c r="AE33" s="1">
        <f>(230*0.75)/AA33</f>
        <v>3.45</v>
      </c>
    </row>
    <row r="34" spans="1:31" ht="15.75" thickBot="1">
      <c r="A34" s="1316" t="s">
        <v>924</v>
      </c>
      <c r="B34" s="1307"/>
      <c r="C34" s="1308"/>
      <c r="D34" s="275" t="s">
        <v>947</v>
      </c>
      <c r="E34" s="1335">
        <v>1000</v>
      </c>
      <c r="F34" s="1336"/>
      <c r="G34" s="289"/>
      <c r="H34" s="1316" t="s">
        <v>925</v>
      </c>
      <c r="I34" s="1308"/>
      <c r="W34" t="s">
        <v>1002</v>
      </c>
      <c r="X34" s="216" t="s">
        <v>979</v>
      </c>
      <c r="Y34">
        <v>5</v>
      </c>
      <c r="Z34" s="225">
        <v>13</v>
      </c>
      <c r="AA34">
        <f t="shared" si="7"/>
        <v>65</v>
      </c>
      <c r="AB34" s="216" t="s">
        <v>275</v>
      </c>
      <c r="AC34" s="1">
        <v>3.5</v>
      </c>
      <c r="AD34" s="216" t="s">
        <v>803</v>
      </c>
      <c r="AE34" s="1">
        <f t="shared" ref="AE34:AE38" si="8">(230*0.75)/AA34</f>
        <v>2.6538461538461537</v>
      </c>
    </row>
    <row r="35" spans="1:31" ht="15.75" thickBot="1">
      <c r="A35" s="1316" t="s">
        <v>924</v>
      </c>
      <c r="B35" s="1307"/>
      <c r="C35" s="1308"/>
      <c r="D35" s="274" t="s">
        <v>940</v>
      </c>
      <c r="E35" s="1335">
        <v>1000</v>
      </c>
      <c r="F35" s="1336"/>
      <c r="G35" s="289"/>
      <c r="H35" s="1316" t="s">
        <v>925</v>
      </c>
      <c r="I35" s="1308"/>
      <c r="W35" t="s">
        <v>1002</v>
      </c>
      <c r="X35" s="216" t="s">
        <v>980</v>
      </c>
      <c r="Y35">
        <v>5</v>
      </c>
      <c r="Z35" s="206">
        <v>16</v>
      </c>
      <c r="AA35">
        <f t="shared" si="7"/>
        <v>80</v>
      </c>
      <c r="AB35" t="s">
        <v>275</v>
      </c>
      <c r="AC35" s="1">
        <v>2.8</v>
      </c>
      <c r="AD35" t="s">
        <v>803</v>
      </c>
      <c r="AE35" s="1">
        <f t="shared" si="8"/>
        <v>2.15625</v>
      </c>
    </row>
    <row r="36" spans="1:31" ht="15.75" thickBot="1">
      <c r="A36" s="1306" t="s">
        <v>723</v>
      </c>
      <c r="B36" s="1307"/>
      <c r="C36" s="1307"/>
      <c r="D36" s="1307"/>
      <c r="E36" s="1307"/>
      <c r="F36" s="1307"/>
      <c r="G36" s="1307"/>
      <c r="H36" s="1307"/>
      <c r="I36" s="1308"/>
      <c r="W36" t="s">
        <v>1002</v>
      </c>
      <c r="X36" s="216" t="s">
        <v>981</v>
      </c>
      <c r="Y36">
        <v>5</v>
      </c>
      <c r="Z36" s="206">
        <v>20</v>
      </c>
      <c r="AA36">
        <f t="shared" si="7"/>
        <v>100</v>
      </c>
      <c r="AB36" t="s">
        <v>275</v>
      </c>
      <c r="AC36" s="1">
        <v>2.2999999999999998</v>
      </c>
      <c r="AD36" t="s">
        <v>803</v>
      </c>
      <c r="AE36" s="1">
        <f t="shared" si="8"/>
        <v>1.7250000000000001</v>
      </c>
    </row>
    <row r="37" spans="1:31" ht="15.75" thickBot="1">
      <c r="A37" s="226" t="s">
        <v>701</v>
      </c>
      <c r="B37" s="1327" t="s">
        <v>702</v>
      </c>
      <c r="C37" s="1310"/>
      <c r="D37" s="1311"/>
      <c r="E37" s="1306" t="s">
        <v>703</v>
      </c>
      <c r="F37" s="1307"/>
      <c r="G37" s="1308"/>
      <c r="H37" s="1312">
        <v>723053</v>
      </c>
      <c r="I37" s="1311"/>
      <c r="W37" t="s">
        <v>1002</v>
      </c>
      <c r="X37" s="216" t="s">
        <v>982</v>
      </c>
      <c r="Y37">
        <v>5</v>
      </c>
      <c r="Z37" s="206">
        <v>25</v>
      </c>
      <c r="AA37">
        <f t="shared" si="7"/>
        <v>125</v>
      </c>
      <c r="AB37" t="s">
        <v>275</v>
      </c>
      <c r="AC37" s="1">
        <v>1.8</v>
      </c>
      <c r="AD37" t="s">
        <v>803</v>
      </c>
      <c r="AE37" s="1">
        <f t="shared" si="8"/>
        <v>1.38</v>
      </c>
    </row>
    <row r="38" spans="1:31" ht="15.75" thickBot="1">
      <c r="A38" s="1306" t="s">
        <v>724</v>
      </c>
      <c r="B38" s="1307"/>
      <c r="C38" s="1308"/>
      <c r="D38" s="221">
        <v>50</v>
      </c>
      <c r="E38" s="1306" t="s">
        <v>725</v>
      </c>
      <c r="F38" s="1307"/>
      <c r="G38" s="1308"/>
      <c r="H38" s="1332"/>
      <c r="I38" s="1333"/>
      <c r="W38" t="s">
        <v>1002</v>
      </c>
      <c r="X38" s="216" t="s">
        <v>983</v>
      </c>
      <c r="Y38">
        <v>5</v>
      </c>
      <c r="Z38" s="206">
        <v>32</v>
      </c>
      <c r="AA38">
        <f t="shared" si="7"/>
        <v>160</v>
      </c>
      <c r="AB38" t="s">
        <v>275</v>
      </c>
      <c r="AC38" s="1">
        <f>230/160</f>
        <v>1.4375</v>
      </c>
      <c r="AD38" t="s">
        <v>803</v>
      </c>
      <c r="AE38" s="1">
        <f t="shared" si="8"/>
        <v>1.078125</v>
      </c>
    </row>
    <row r="39" spans="1:31" ht="15.75" thickBot="1">
      <c r="A39" s="1312" t="s">
        <v>726</v>
      </c>
      <c r="B39" s="1310"/>
      <c r="C39" s="1311"/>
      <c r="D39" s="221">
        <v>0.4</v>
      </c>
      <c r="E39" s="1312" t="s">
        <v>727</v>
      </c>
      <c r="F39" s="1310"/>
      <c r="G39" s="1311"/>
      <c r="H39" s="1334"/>
      <c r="I39" s="1333"/>
      <c r="X39" s="216"/>
      <c r="Z39" s="216"/>
      <c r="AB39" s="216"/>
      <c r="AC39" s="1"/>
      <c r="AD39" s="216"/>
      <c r="AE39" s="1"/>
    </row>
    <row r="40" spans="1:31" ht="15.75" thickBot="1">
      <c r="A40" s="1316" t="s">
        <v>1006</v>
      </c>
      <c r="B40" s="1307"/>
      <c r="C40" s="168" t="str">
        <f>'Schematy elektryczne'!AO24</f>
        <v>S303</v>
      </c>
      <c r="D40" s="339" t="str">
        <f>'Schematy elektryczne'!AQ24</f>
        <v>B13</v>
      </c>
      <c r="E40" s="1306" t="s">
        <v>728</v>
      </c>
      <c r="F40" s="1307"/>
      <c r="G40" s="1308"/>
      <c r="H40" s="1329">
        <f>VLOOKUP(D40,X2:AE132,4,FALSE)</f>
        <v>65</v>
      </c>
      <c r="I40" s="1330"/>
      <c r="X40" s="216"/>
      <c r="AC40" s="1"/>
      <c r="AD40" s="216"/>
      <c r="AE40" s="1"/>
    </row>
    <row r="41" spans="1:31" ht="15.75" thickBot="1">
      <c r="A41" s="1306" t="s">
        <v>720</v>
      </c>
      <c r="B41" s="1307"/>
      <c r="C41" s="1308"/>
      <c r="D41" s="222" t="s">
        <v>819</v>
      </c>
      <c r="E41" s="1316" t="s">
        <v>820</v>
      </c>
      <c r="F41" s="1307"/>
      <c r="G41" s="1308"/>
      <c r="H41" s="1306" t="s">
        <v>691</v>
      </c>
      <c r="I41" s="1308"/>
      <c r="X41" s="216"/>
      <c r="AC41" s="1"/>
      <c r="AD41" s="216"/>
      <c r="AE41" s="1"/>
    </row>
    <row r="42" spans="1:31" ht="15.75" thickBot="1">
      <c r="A42" s="1306" t="s">
        <v>729</v>
      </c>
      <c r="B42" s="1307"/>
      <c r="C42" s="1308"/>
      <c r="D42" s="311">
        <f>VLOOKUP(D40,X2:AI32,6,FALSE)</f>
        <v>3.5</v>
      </c>
      <c r="E42" s="1313"/>
      <c r="F42" s="1314"/>
      <c r="G42" s="1315"/>
      <c r="H42" s="1316" t="s">
        <v>730</v>
      </c>
      <c r="I42" s="1308"/>
      <c r="X42" s="216"/>
      <c r="AC42" s="1"/>
      <c r="AD42" s="216"/>
      <c r="AE42" s="1"/>
    </row>
    <row r="43" spans="1:31" ht="15.75" thickBot="1">
      <c r="A43" s="1316" t="s">
        <v>1007</v>
      </c>
      <c r="B43" s="1328"/>
      <c r="C43" s="305" t="s">
        <v>1002</v>
      </c>
      <c r="D43" s="304" t="s">
        <v>977</v>
      </c>
      <c r="E43" s="1306" t="s">
        <v>728</v>
      </c>
      <c r="F43" s="1307"/>
      <c r="G43" s="1308"/>
      <c r="H43" s="1329">
        <f>VLOOKUP(D43,X2:AE132,4,FALSE)</f>
        <v>30</v>
      </c>
      <c r="I43" s="1330"/>
      <c r="J43" s="1304" t="s">
        <v>1010</v>
      </c>
      <c r="K43" s="1305"/>
      <c r="L43" s="1305"/>
      <c r="M43" s="1305"/>
      <c r="X43" s="216"/>
      <c r="AC43" s="1"/>
      <c r="AD43" s="216"/>
      <c r="AE43" s="1"/>
    </row>
    <row r="44" spans="1:31" ht="15.75" thickBot="1">
      <c r="A44" s="1306" t="s">
        <v>720</v>
      </c>
      <c r="B44" s="1307"/>
      <c r="C44" s="1308"/>
      <c r="D44" s="222" t="s">
        <v>819</v>
      </c>
      <c r="E44" s="1316" t="s">
        <v>820</v>
      </c>
      <c r="F44" s="1331"/>
      <c r="G44" s="1328"/>
      <c r="H44" s="1306" t="s">
        <v>691</v>
      </c>
      <c r="I44" s="1308"/>
      <c r="J44" s="1304"/>
      <c r="K44" s="1305"/>
      <c r="L44" s="1305"/>
      <c r="M44" s="1305"/>
    </row>
    <row r="45" spans="1:31" ht="15.75" thickBot="1">
      <c r="A45" s="1306" t="s">
        <v>729</v>
      </c>
      <c r="B45" s="1307"/>
      <c r="C45" s="1308"/>
      <c r="D45" s="311">
        <f>VLOOKUP(D43,X5:AI35,6,FALSE)</f>
        <v>7.666666666666667</v>
      </c>
      <c r="E45" s="1313"/>
      <c r="F45" s="1314"/>
      <c r="G45" s="1315"/>
      <c r="H45" s="1316" t="s">
        <v>730</v>
      </c>
      <c r="I45" s="1328"/>
      <c r="J45" s="1304"/>
      <c r="K45" s="1305"/>
      <c r="L45" s="1305"/>
      <c r="M45" s="1305"/>
    </row>
    <row r="46" spans="1:31" ht="15.75" thickBot="1">
      <c r="A46" s="1324" t="s">
        <v>731</v>
      </c>
      <c r="B46" s="1325"/>
      <c r="C46" s="1325"/>
      <c r="D46" s="1325"/>
      <c r="E46" s="1325"/>
      <c r="F46" s="1325"/>
      <c r="G46" s="1325"/>
      <c r="H46" s="1325"/>
      <c r="I46" s="1326"/>
      <c r="K46" s="216"/>
    </row>
    <row r="47" spans="1:31" ht="15.75" thickBot="1">
      <c r="A47" s="218" t="s">
        <v>701</v>
      </c>
      <c r="B47" s="1327" t="s">
        <v>702</v>
      </c>
      <c r="C47" s="1310"/>
      <c r="D47" s="1311"/>
      <c r="E47" s="223" t="s">
        <v>703</v>
      </c>
      <c r="F47" s="1312">
        <v>723053</v>
      </c>
      <c r="G47" s="1311"/>
      <c r="H47" s="218" t="s">
        <v>732</v>
      </c>
      <c r="I47" s="217">
        <v>25</v>
      </c>
      <c r="K47" s="216"/>
    </row>
    <row r="48" spans="1:31" ht="15.75" thickBot="1">
      <c r="A48" s="218" t="s">
        <v>733</v>
      </c>
      <c r="B48" s="1309" t="s">
        <v>734</v>
      </c>
      <c r="C48" s="1310"/>
      <c r="D48" s="1311"/>
      <c r="E48" s="223" t="s">
        <v>735</v>
      </c>
      <c r="F48" s="1309" t="s">
        <v>736</v>
      </c>
      <c r="G48" s="1311"/>
      <c r="H48" s="218" t="s">
        <v>737</v>
      </c>
      <c r="I48" s="217">
        <v>1.2</v>
      </c>
    </row>
    <row r="49" spans="1:11" ht="15.75" thickBot="1">
      <c r="A49" s="1306" t="s">
        <v>738</v>
      </c>
      <c r="B49" s="1307"/>
      <c r="C49" s="1308"/>
      <c r="D49" s="222" t="s">
        <v>821</v>
      </c>
      <c r="E49" s="1323" t="s">
        <v>739</v>
      </c>
      <c r="F49" s="1307"/>
      <c r="G49" s="1308"/>
      <c r="H49" s="1306" t="s">
        <v>740</v>
      </c>
      <c r="I49" s="1308"/>
    </row>
    <row r="50" spans="1:11" ht="15.75" thickBot="1">
      <c r="A50" s="1306" t="s">
        <v>741</v>
      </c>
      <c r="B50" s="1307"/>
      <c r="C50" s="1308"/>
      <c r="D50" s="221">
        <v>10</v>
      </c>
      <c r="E50" s="1313"/>
      <c r="F50" s="1314"/>
      <c r="G50" s="1315"/>
      <c r="H50" s="1316" t="s">
        <v>730</v>
      </c>
      <c r="I50" s="1308"/>
    </row>
    <row r="51" spans="1:11" ht="15.75" thickBot="1">
      <c r="A51" s="1306" t="s">
        <v>742</v>
      </c>
      <c r="B51" s="1307"/>
      <c r="C51" s="1308"/>
      <c r="D51" s="221">
        <v>10</v>
      </c>
      <c r="E51" s="1313"/>
      <c r="F51" s="1314"/>
      <c r="G51" s="1315"/>
      <c r="H51" s="1316" t="s">
        <v>926</v>
      </c>
      <c r="I51" s="1308"/>
    </row>
    <row r="52" spans="1:11" ht="15.75" thickBot="1">
      <c r="A52" s="1316" t="s">
        <v>1008</v>
      </c>
      <c r="B52" s="1307"/>
      <c r="C52" s="1308"/>
      <c r="D52" s="221">
        <v>10</v>
      </c>
      <c r="E52" s="1313"/>
      <c r="F52" s="1314"/>
      <c r="G52" s="1315"/>
      <c r="H52" s="1316" t="s">
        <v>926</v>
      </c>
      <c r="I52" s="1308"/>
      <c r="K52" s="216"/>
    </row>
    <row r="53" spans="1:11" ht="15.75" thickBot="1">
      <c r="A53" s="1306" t="s">
        <v>743</v>
      </c>
      <c r="B53" s="1307"/>
      <c r="C53" s="1307"/>
      <c r="D53" s="1307"/>
      <c r="E53" s="1307"/>
      <c r="F53" s="1307"/>
      <c r="G53" s="1307"/>
      <c r="H53" s="1307"/>
      <c r="I53" s="1308"/>
      <c r="K53" s="216"/>
    </row>
    <row r="54" spans="1:11" ht="15.75" customHeight="1">
      <c r="A54" s="1317" t="s">
        <v>1009</v>
      </c>
      <c r="B54" s="1318"/>
      <c r="C54" s="1318"/>
      <c r="D54" s="1318"/>
      <c r="E54" s="1318"/>
      <c r="F54" s="1318"/>
      <c r="G54" s="1318"/>
      <c r="H54" s="1318"/>
      <c r="I54" s="1319"/>
    </row>
    <row r="55" spans="1:11" ht="15.75" customHeight="1" thickBot="1">
      <c r="A55" s="1320"/>
      <c r="B55" s="1321"/>
      <c r="C55" s="1321"/>
      <c r="D55" s="1321"/>
      <c r="E55" s="1321"/>
      <c r="F55" s="1321"/>
      <c r="G55" s="1321"/>
      <c r="H55" s="1321"/>
      <c r="I55" s="1322"/>
    </row>
    <row r="56" spans="1:11" ht="15.75" thickBot="1">
      <c r="A56" s="1306" t="s">
        <v>744</v>
      </c>
      <c r="B56" s="1307"/>
      <c r="C56" s="1308"/>
      <c r="D56" s="1306" t="s">
        <v>745</v>
      </c>
      <c r="E56" s="1307"/>
      <c r="F56" s="1307"/>
      <c r="G56" s="1308"/>
      <c r="H56" s="1306" t="s">
        <v>746</v>
      </c>
      <c r="I56" s="1308"/>
    </row>
    <row r="57" spans="1:11" ht="15.75" thickBot="1">
      <c r="A57" s="1309" t="s">
        <v>747</v>
      </c>
      <c r="B57" s="1310"/>
      <c r="C57" s="1311"/>
      <c r="D57" s="1312"/>
      <c r="E57" s="1310"/>
      <c r="F57" s="1310"/>
      <c r="G57" s="1311"/>
      <c r="H57" s="1309" t="s">
        <v>748</v>
      </c>
      <c r="I57" s="1311"/>
    </row>
    <row r="59" spans="1:11" ht="18.75">
      <c r="A59" s="224" t="s">
        <v>749</v>
      </c>
    </row>
    <row r="61" spans="1:11">
      <c r="A61" s="224" t="s">
        <v>750</v>
      </c>
    </row>
    <row r="63" spans="1:11">
      <c r="A63" s="224" t="s">
        <v>751</v>
      </c>
    </row>
    <row r="65" spans="1:1">
      <c r="A65" s="224" t="s">
        <v>752</v>
      </c>
    </row>
    <row r="66" spans="1:1">
      <c r="A66" s="224" t="s">
        <v>753</v>
      </c>
    </row>
    <row r="68" spans="1:1">
      <c r="A68" s="224" t="s">
        <v>754</v>
      </c>
    </row>
    <row r="69" spans="1:1">
      <c r="A69" s="224" t="s">
        <v>755</v>
      </c>
    </row>
    <row r="71" spans="1:1">
      <c r="A71" s="224" t="s">
        <v>756</v>
      </c>
    </row>
    <row r="72" spans="1:1">
      <c r="A72" s="224" t="s">
        <v>757</v>
      </c>
    </row>
    <row r="74" spans="1:1">
      <c r="A74" s="224" t="s">
        <v>758</v>
      </c>
    </row>
    <row r="75" spans="1:1">
      <c r="A75" s="224" t="s">
        <v>759</v>
      </c>
    </row>
    <row r="76" spans="1:1">
      <c r="A76" s="224" t="s">
        <v>760</v>
      </c>
    </row>
    <row r="78" spans="1:1">
      <c r="A78" s="224" t="s">
        <v>761</v>
      </c>
    </row>
    <row r="79" spans="1:1">
      <c r="A79" s="224" t="s">
        <v>762</v>
      </c>
    </row>
    <row r="81" spans="1:1">
      <c r="A81" s="224" t="s">
        <v>763</v>
      </c>
    </row>
    <row r="83" spans="1:1">
      <c r="A83" s="224" t="s">
        <v>764</v>
      </c>
    </row>
    <row r="85" spans="1:1">
      <c r="A85" s="224" t="s">
        <v>765</v>
      </c>
    </row>
    <row r="86" spans="1:1">
      <c r="A86" s="224" t="s">
        <v>766</v>
      </c>
    </row>
    <row r="88" spans="1:1">
      <c r="A88" s="224" t="s">
        <v>767</v>
      </c>
    </row>
    <row r="90" spans="1:1">
      <c r="A90" s="224" t="s">
        <v>768</v>
      </c>
    </row>
    <row r="91" spans="1:1">
      <c r="A91" s="224" t="s">
        <v>769</v>
      </c>
    </row>
    <row r="92" spans="1:1">
      <c r="A92" s="224" t="s">
        <v>770</v>
      </c>
    </row>
    <row r="93" spans="1:1">
      <c r="A93" s="224" t="s">
        <v>771</v>
      </c>
    </row>
    <row r="94" spans="1:1">
      <c r="A94" s="224" t="s">
        <v>772</v>
      </c>
    </row>
    <row r="95" spans="1:1">
      <c r="A95" s="224" t="s">
        <v>773</v>
      </c>
    </row>
    <row r="97" spans="1:1">
      <c r="A97" s="224" t="s">
        <v>774</v>
      </c>
    </row>
    <row r="99" spans="1:1">
      <c r="A99" s="224" t="s">
        <v>775</v>
      </c>
    </row>
    <row r="101" spans="1:1">
      <c r="A101" s="224" t="s">
        <v>776</v>
      </c>
    </row>
    <row r="103" spans="1:1">
      <c r="A103" s="224" t="s">
        <v>777</v>
      </c>
    </row>
    <row r="105" spans="1:1">
      <c r="A105" s="224" t="s">
        <v>778</v>
      </c>
    </row>
    <row r="107" spans="1:1">
      <c r="A107" s="224" t="s">
        <v>779</v>
      </c>
    </row>
    <row r="109" spans="1:1">
      <c r="A109" s="224" t="s">
        <v>780</v>
      </c>
    </row>
    <row r="111" spans="1:1">
      <c r="A111" s="224" t="s">
        <v>781</v>
      </c>
    </row>
    <row r="113" spans="1:1">
      <c r="A113" s="224" t="s">
        <v>782</v>
      </c>
    </row>
    <row r="115" spans="1:1">
      <c r="A115" s="224" t="s">
        <v>783</v>
      </c>
    </row>
    <row r="117" spans="1:1">
      <c r="A117" s="224" t="s">
        <v>784</v>
      </c>
    </row>
    <row r="119" spans="1:1">
      <c r="A119" s="224" t="s">
        <v>785</v>
      </c>
    </row>
    <row r="121" spans="1:1">
      <c r="A121" s="224" t="s">
        <v>786</v>
      </c>
    </row>
    <row r="123" spans="1:1">
      <c r="A123" s="224" t="s">
        <v>787</v>
      </c>
    </row>
    <row r="125" spans="1:1">
      <c r="A125" s="224" t="s">
        <v>788</v>
      </c>
    </row>
    <row r="127" spans="1:1">
      <c r="A127" s="224" t="s">
        <v>789</v>
      </c>
    </row>
    <row r="129" spans="1:1">
      <c r="A129" s="224" t="s">
        <v>790</v>
      </c>
    </row>
    <row r="131" spans="1:1">
      <c r="A131" s="224" t="s">
        <v>791</v>
      </c>
    </row>
    <row r="133" spans="1:1">
      <c r="A133" s="224" t="s">
        <v>792</v>
      </c>
    </row>
    <row r="135" spans="1:1">
      <c r="A135" s="224" t="s">
        <v>793</v>
      </c>
    </row>
    <row r="137" spans="1:1">
      <c r="A137" s="224" t="s">
        <v>794</v>
      </c>
    </row>
    <row r="139" spans="1:1">
      <c r="A139" s="224" t="s">
        <v>795</v>
      </c>
    </row>
    <row r="141" spans="1:1">
      <c r="A141" s="224" t="s">
        <v>796</v>
      </c>
    </row>
    <row r="143" spans="1:1">
      <c r="A143" s="224" t="s">
        <v>797</v>
      </c>
    </row>
    <row r="145" spans="1:1">
      <c r="A145" s="224" t="s">
        <v>798</v>
      </c>
    </row>
  </sheetData>
  <sortState xmlns:xlrd2="http://schemas.microsoft.com/office/spreadsheetml/2017/richdata2" ref="P2:T20">
    <sortCondition ref="P20"/>
  </sortState>
  <mergeCells count="130">
    <mergeCell ref="K18:K19"/>
    <mergeCell ref="A1:I1"/>
    <mergeCell ref="A2:I2"/>
    <mergeCell ref="A3:C3"/>
    <mergeCell ref="D3:I3"/>
    <mergeCell ref="A4:C4"/>
    <mergeCell ref="D4:I4"/>
    <mergeCell ref="A9:G9"/>
    <mergeCell ref="H9:I9"/>
    <mergeCell ref="A10:G10"/>
    <mergeCell ref="H10:I10"/>
    <mergeCell ref="A12:G12"/>
    <mergeCell ref="H12:I12"/>
    <mergeCell ref="A13:G13"/>
    <mergeCell ref="H13:I13"/>
    <mergeCell ref="A14:G14"/>
    <mergeCell ref="H14:I14"/>
    <mergeCell ref="A11:G11"/>
    <mergeCell ref="H11:I11"/>
    <mergeCell ref="A5:C5"/>
    <mergeCell ref="D5:I5"/>
    <mergeCell ref="A6:I6"/>
    <mergeCell ref="A7:G7"/>
    <mergeCell ref="H7:I7"/>
    <mergeCell ref="A8:G8"/>
    <mergeCell ref="H8:I8"/>
    <mergeCell ref="A18:C18"/>
    <mergeCell ref="E18:G18"/>
    <mergeCell ref="H18:I18"/>
    <mergeCell ref="E19:G19"/>
    <mergeCell ref="C20:D20"/>
    <mergeCell ref="E20:G20"/>
    <mergeCell ref="A15:I15"/>
    <mergeCell ref="B16:D16"/>
    <mergeCell ref="E16:G16"/>
    <mergeCell ref="H16:I16"/>
    <mergeCell ref="A17:C17"/>
    <mergeCell ref="E17:G17"/>
    <mergeCell ref="H17:I17"/>
    <mergeCell ref="A26:C26"/>
    <mergeCell ref="E26:G26"/>
    <mergeCell ref="H26:I26"/>
    <mergeCell ref="A27:C27"/>
    <mergeCell ref="D27:I27"/>
    <mergeCell ref="A28:C28"/>
    <mergeCell ref="E28:F28"/>
    <mergeCell ref="H28:I28"/>
    <mergeCell ref="E21:G21"/>
    <mergeCell ref="C22:D22"/>
    <mergeCell ref="E22:G22"/>
    <mergeCell ref="A23:I23"/>
    <mergeCell ref="A24:I24"/>
    <mergeCell ref="B25:D25"/>
    <mergeCell ref="E25:G25"/>
    <mergeCell ref="H25:I25"/>
    <mergeCell ref="A32:C32"/>
    <mergeCell ref="E32:F32"/>
    <mergeCell ref="H32:I32"/>
    <mergeCell ref="A31:C31"/>
    <mergeCell ref="E31:F31"/>
    <mergeCell ref="H31:I31"/>
    <mergeCell ref="A29:C29"/>
    <mergeCell ref="E29:F29"/>
    <mergeCell ref="H29:I29"/>
    <mergeCell ref="A30:C30"/>
    <mergeCell ref="E30:F30"/>
    <mergeCell ref="H30:I30"/>
    <mergeCell ref="A35:C35"/>
    <mergeCell ref="E35:F35"/>
    <mergeCell ref="H35:I35"/>
    <mergeCell ref="A36:I36"/>
    <mergeCell ref="B37:D37"/>
    <mergeCell ref="E37:G37"/>
    <mergeCell ref="H37:I37"/>
    <mergeCell ref="A33:C33"/>
    <mergeCell ref="E33:F33"/>
    <mergeCell ref="H33:I33"/>
    <mergeCell ref="A34:C34"/>
    <mergeCell ref="E34:F34"/>
    <mergeCell ref="H34:I34"/>
    <mergeCell ref="E40:G40"/>
    <mergeCell ref="H40:I40"/>
    <mergeCell ref="A41:C41"/>
    <mergeCell ref="E41:G41"/>
    <mergeCell ref="H41:I41"/>
    <mergeCell ref="A38:C38"/>
    <mergeCell ref="E38:G38"/>
    <mergeCell ref="H38:I38"/>
    <mergeCell ref="A39:C39"/>
    <mergeCell ref="E39:G39"/>
    <mergeCell ref="H39:I39"/>
    <mergeCell ref="A40:B40"/>
    <mergeCell ref="A42:C42"/>
    <mergeCell ref="E42:G42"/>
    <mergeCell ref="H42:I42"/>
    <mergeCell ref="A46:I46"/>
    <mergeCell ref="B47:D47"/>
    <mergeCell ref="F47:G47"/>
    <mergeCell ref="A43:B43"/>
    <mergeCell ref="E43:G43"/>
    <mergeCell ref="H43:I43"/>
    <mergeCell ref="A44:C44"/>
    <mergeCell ref="E44:G44"/>
    <mergeCell ref="H44:I44"/>
    <mergeCell ref="A45:C45"/>
    <mergeCell ref="E45:G45"/>
    <mergeCell ref="H45:I45"/>
    <mergeCell ref="J43:M45"/>
    <mergeCell ref="A53:I53"/>
    <mergeCell ref="A56:C56"/>
    <mergeCell ref="D56:G56"/>
    <mergeCell ref="H56:I56"/>
    <mergeCell ref="A57:C57"/>
    <mergeCell ref="D57:G57"/>
    <mergeCell ref="H57:I57"/>
    <mergeCell ref="A51:C51"/>
    <mergeCell ref="E51:G51"/>
    <mergeCell ref="H51:I51"/>
    <mergeCell ref="A52:C52"/>
    <mergeCell ref="E52:G52"/>
    <mergeCell ref="H52:I52"/>
    <mergeCell ref="A54:I55"/>
    <mergeCell ref="B48:D48"/>
    <mergeCell ref="F48:G48"/>
    <mergeCell ref="A49:C49"/>
    <mergeCell ref="E49:G49"/>
    <mergeCell ref="H49:I49"/>
    <mergeCell ref="A50:C50"/>
    <mergeCell ref="E50:G50"/>
    <mergeCell ref="H50:I50"/>
  </mergeCells>
  <phoneticPr fontId="28" type="noConversion"/>
  <dataValidations count="3">
    <dataValidation type="list" allowBlank="1" showInputMessage="1" showErrorMessage="1" sqref="A57:C57" xr:uid="{CC7D1469-F444-4E70-AE31-D0807A45ABEA}">
      <formula1>#REF!</formula1>
    </dataValidation>
    <dataValidation type="list" allowBlank="1" showInputMessage="1" showErrorMessage="1" sqref="D43" xr:uid="{B14D9FA6-85B0-4558-96B9-A70ED760D9BF}">
      <formula1>$X$2:$X$38</formula1>
    </dataValidation>
    <dataValidation type="list" allowBlank="1" showInputMessage="1" showErrorMessage="1" sqref="C43" xr:uid="{5D24AC7C-F517-4BD3-97BC-2796DBE2951B}">
      <formula1>$W$2:$W$38</formula1>
    </dataValidation>
  </dataValidations>
  <pageMargins left="0.7" right="0.7" top="0.75" bottom="0.75" header="0.3" footer="0.3"/>
  <pageSetup paperSize="9" scale="33" fitToWidth="0" orientation="portrait" r:id="rId1"/>
  <legacy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62C75-CE19-4D6E-A5DA-3FAB59D6D15E}">
  <sheetPr codeName="Arkusz13">
    <pageSetUpPr fitToPage="1"/>
  </sheetPr>
  <dimension ref="A1:BJ50"/>
  <sheetViews>
    <sheetView topLeftCell="A13" zoomScale="85" zoomScaleNormal="85" workbookViewId="0">
      <selection activeCell="AA6" sqref="AA6:AJ6"/>
    </sheetView>
  </sheetViews>
  <sheetFormatPr defaultRowHeight="15"/>
  <cols>
    <col min="1" max="144" width="5.140625" customWidth="1"/>
  </cols>
  <sheetData>
    <row r="1" spans="1:62" ht="18" customHeight="1" thickBot="1">
      <c r="A1" s="1238" t="s">
        <v>42</v>
      </c>
      <c r="B1" s="1238"/>
      <c r="C1" s="1238"/>
      <c r="D1" s="1238"/>
      <c r="E1" s="1238"/>
      <c r="F1" s="1238"/>
      <c r="G1" s="1238"/>
      <c r="H1" s="1238"/>
      <c r="I1" s="1238"/>
      <c r="J1" s="1238"/>
      <c r="K1" s="1238"/>
      <c r="L1" s="1238"/>
      <c r="M1" s="1238"/>
      <c r="N1" s="1238"/>
      <c r="O1" s="1238"/>
      <c r="P1" s="1238"/>
      <c r="Q1" s="1238"/>
      <c r="R1" s="1238"/>
      <c r="S1" s="1238"/>
      <c r="T1" s="1238"/>
      <c r="V1" s="1238" t="s">
        <v>667</v>
      </c>
      <c r="W1" s="1238"/>
      <c r="X1" s="1238"/>
      <c r="Y1" s="1238"/>
      <c r="Z1" s="1238"/>
      <c r="AA1" s="1238"/>
      <c r="AB1" s="1238"/>
      <c r="AC1" s="1238"/>
      <c r="AD1" s="1238"/>
      <c r="AE1" s="1238"/>
      <c r="AF1" s="1238"/>
      <c r="AG1" s="1238"/>
      <c r="AH1" s="1238"/>
      <c r="AI1" s="1238"/>
      <c r="AJ1" s="1238"/>
      <c r="AK1" s="1238"/>
      <c r="AL1" s="1238"/>
      <c r="AM1" s="1238"/>
      <c r="AN1" s="1238"/>
      <c r="AO1" s="1238"/>
      <c r="AQ1" s="1238" t="s">
        <v>669</v>
      </c>
      <c r="AR1" s="1238"/>
      <c r="AS1" s="1238"/>
      <c r="AT1" s="1238"/>
      <c r="AU1" s="1238"/>
      <c r="AV1" s="1238"/>
      <c r="AW1" s="1238"/>
      <c r="AX1" s="1238"/>
      <c r="AY1" s="1238"/>
      <c r="AZ1" s="1238"/>
      <c r="BA1" s="1238"/>
      <c r="BB1" s="1238"/>
      <c r="BC1" s="1238"/>
      <c r="BD1" s="1238"/>
      <c r="BE1" s="1238"/>
      <c r="BF1" s="1238"/>
      <c r="BG1" s="1238"/>
      <c r="BH1" s="1238"/>
      <c r="BI1" s="1238"/>
      <c r="BJ1" s="1238"/>
    </row>
    <row r="2" spans="1:62" ht="18" customHeight="1">
      <c r="A2" s="931" t="s">
        <v>335</v>
      </c>
      <c r="B2" s="932"/>
      <c r="C2" s="932"/>
      <c r="D2" s="932"/>
      <c r="E2" s="932"/>
      <c r="F2" s="932"/>
      <c r="G2" s="932"/>
      <c r="H2" s="932"/>
      <c r="I2" s="932"/>
      <c r="J2" s="932"/>
      <c r="K2" s="932"/>
      <c r="L2" s="932"/>
      <c r="M2" s="932"/>
      <c r="N2" s="932"/>
      <c r="O2" s="932"/>
      <c r="P2" s="932"/>
      <c r="Q2" s="932"/>
      <c r="R2" s="932"/>
      <c r="S2" s="932"/>
      <c r="T2" s="933"/>
      <c r="V2" s="931" t="s">
        <v>335</v>
      </c>
      <c r="W2" s="932"/>
      <c r="X2" s="932"/>
      <c r="Y2" s="932"/>
      <c r="Z2" s="932"/>
      <c r="AA2" s="932"/>
      <c r="AB2" s="932"/>
      <c r="AC2" s="932"/>
      <c r="AD2" s="932"/>
      <c r="AE2" s="932"/>
      <c r="AF2" s="932"/>
      <c r="AG2" s="932"/>
      <c r="AH2" s="932"/>
      <c r="AI2" s="932"/>
      <c r="AJ2" s="932"/>
      <c r="AK2" s="932"/>
      <c r="AL2" s="932"/>
      <c r="AM2" s="932"/>
      <c r="AN2" s="932"/>
      <c r="AO2" s="933"/>
      <c r="AQ2" s="931" t="s">
        <v>335</v>
      </c>
      <c r="AR2" s="932"/>
      <c r="AS2" s="932"/>
      <c r="AT2" s="932"/>
      <c r="AU2" s="932"/>
      <c r="AV2" s="932"/>
      <c r="AW2" s="932"/>
      <c r="AX2" s="932"/>
      <c r="AY2" s="932"/>
      <c r="AZ2" s="932"/>
      <c r="BA2" s="932"/>
      <c r="BB2" s="932"/>
      <c r="BC2" s="932"/>
      <c r="BD2" s="932"/>
      <c r="BE2" s="932"/>
      <c r="BF2" s="932"/>
      <c r="BG2" s="932"/>
      <c r="BH2" s="932"/>
      <c r="BI2" s="932"/>
      <c r="BJ2" s="933"/>
    </row>
    <row r="3" spans="1:62" ht="18" customHeight="1">
      <c r="A3" s="934"/>
      <c r="B3" s="926"/>
      <c r="C3" s="926"/>
      <c r="D3" s="926"/>
      <c r="E3" s="926"/>
      <c r="F3" s="926"/>
      <c r="G3" s="926"/>
      <c r="H3" s="926"/>
      <c r="I3" s="926"/>
      <c r="J3" s="926"/>
      <c r="K3" s="926"/>
      <c r="L3" s="926"/>
      <c r="M3" s="926"/>
      <c r="N3" s="926"/>
      <c r="O3" s="926"/>
      <c r="P3" s="926"/>
      <c r="Q3" s="926"/>
      <c r="R3" s="926"/>
      <c r="S3" s="926"/>
      <c r="T3" s="927"/>
      <c r="V3" s="934"/>
      <c r="W3" s="926"/>
      <c r="X3" s="926"/>
      <c r="Y3" s="926"/>
      <c r="Z3" s="926"/>
      <c r="AA3" s="926"/>
      <c r="AB3" s="926"/>
      <c r="AC3" s="926"/>
      <c r="AD3" s="926"/>
      <c r="AE3" s="926"/>
      <c r="AF3" s="926"/>
      <c r="AG3" s="926"/>
      <c r="AH3" s="926"/>
      <c r="AI3" s="926"/>
      <c r="AJ3" s="926"/>
      <c r="AK3" s="926"/>
      <c r="AL3" s="926"/>
      <c r="AM3" s="926"/>
      <c r="AN3" s="926"/>
      <c r="AO3" s="927"/>
      <c r="AQ3" s="934"/>
      <c r="AR3" s="926"/>
      <c r="AS3" s="926"/>
      <c r="AT3" s="926"/>
      <c r="AU3" s="926"/>
      <c r="AV3" s="926"/>
      <c r="AW3" s="926"/>
      <c r="AX3" s="926"/>
      <c r="AY3" s="926"/>
      <c r="AZ3" s="926"/>
      <c r="BA3" s="926"/>
      <c r="BB3" s="926"/>
      <c r="BC3" s="926"/>
      <c r="BD3" s="926"/>
      <c r="BE3" s="926"/>
      <c r="BF3" s="926"/>
      <c r="BG3" s="926"/>
      <c r="BH3" s="926"/>
      <c r="BI3" s="926"/>
      <c r="BJ3" s="927"/>
    </row>
    <row r="4" spans="1:62" ht="18" customHeight="1">
      <c r="A4" s="934"/>
      <c r="B4" s="926"/>
      <c r="C4" s="926"/>
      <c r="D4" s="926"/>
      <c r="E4" s="926"/>
      <c r="F4" s="926"/>
      <c r="G4" s="926"/>
      <c r="H4" s="926"/>
      <c r="I4" s="926"/>
      <c r="J4" s="926"/>
      <c r="K4" s="926"/>
      <c r="L4" s="926"/>
      <c r="M4" s="926"/>
      <c r="N4" s="926"/>
      <c r="O4" s="926"/>
      <c r="P4" s="926"/>
      <c r="Q4" s="926"/>
      <c r="R4" s="926"/>
      <c r="S4" s="926"/>
      <c r="T4" s="927"/>
      <c r="V4" s="934"/>
      <c r="W4" s="926"/>
      <c r="X4" s="926"/>
      <c r="Y4" s="926"/>
      <c r="Z4" s="926"/>
      <c r="AA4" s="926"/>
      <c r="AB4" s="926"/>
      <c r="AC4" s="926"/>
      <c r="AD4" s="926"/>
      <c r="AE4" s="926"/>
      <c r="AF4" s="926"/>
      <c r="AG4" s="926"/>
      <c r="AH4" s="926"/>
      <c r="AI4" s="926"/>
      <c r="AJ4" s="926"/>
      <c r="AK4" s="926"/>
      <c r="AL4" s="926"/>
      <c r="AM4" s="926"/>
      <c r="AN4" s="926"/>
      <c r="AO4" s="927"/>
      <c r="AQ4" s="934"/>
      <c r="AR4" s="926"/>
      <c r="AS4" s="926"/>
      <c r="AT4" s="926"/>
      <c r="AU4" s="926"/>
      <c r="AV4" s="926"/>
      <c r="AW4" s="926"/>
      <c r="AX4" s="926"/>
      <c r="AY4" s="926"/>
      <c r="AZ4" s="926"/>
      <c r="BA4" s="926"/>
      <c r="BB4" s="926"/>
      <c r="BC4" s="926"/>
      <c r="BD4" s="926"/>
      <c r="BE4" s="926"/>
      <c r="BF4" s="926"/>
      <c r="BG4" s="926"/>
      <c r="BH4" s="926"/>
      <c r="BI4" s="926"/>
      <c r="BJ4" s="927"/>
    </row>
    <row r="5" spans="1:62" ht="18" customHeight="1">
      <c r="A5" s="195"/>
      <c r="B5" s="89"/>
      <c r="C5" s="89"/>
      <c r="D5" s="89"/>
      <c r="E5" s="89"/>
      <c r="F5" s="908" t="str">
        <f>PV!P68</f>
        <v>AMPERE Sp. z o.o.</v>
      </c>
      <c r="G5" s="908"/>
      <c r="H5" s="908"/>
      <c r="I5" s="908"/>
      <c r="J5" s="908"/>
      <c r="K5" s="908"/>
      <c r="L5" s="908"/>
      <c r="M5" s="908"/>
      <c r="N5" s="908"/>
      <c r="O5" s="908"/>
      <c r="P5" s="89"/>
      <c r="Q5" s="89"/>
      <c r="R5" s="89"/>
      <c r="S5" s="89"/>
      <c r="T5" s="196"/>
      <c r="V5" s="195"/>
      <c r="W5" s="89"/>
      <c r="X5" s="89"/>
      <c r="Y5" s="89"/>
      <c r="Z5" s="89"/>
      <c r="AA5" s="908" t="str">
        <f>PV!P68</f>
        <v>AMPERE Sp. z o.o.</v>
      </c>
      <c r="AB5" s="908"/>
      <c r="AC5" s="908"/>
      <c r="AD5" s="908"/>
      <c r="AE5" s="908"/>
      <c r="AF5" s="908"/>
      <c r="AG5" s="908"/>
      <c r="AH5" s="908"/>
      <c r="AI5" s="908"/>
      <c r="AJ5" s="908"/>
      <c r="AK5" s="89"/>
      <c r="AL5" s="89"/>
      <c r="AM5" s="89"/>
      <c r="AN5" s="89"/>
      <c r="AO5" s="196"/>
      <c r="AQ5" s="195"/>
      <c r="AR5" s="89"/>
      <c r="AS5" s="89"/>
      <c r="AT5" s="89"/>
      <c r="AU5" s="89"/>
      <c r="AV5" s="908" t="str">
        <f>PV!P68</f>
        <v>AMPERE Sp. z o.o.</v>
      </c>
      <c r="AW5" s="908"/>
      <c r="AX5" s="908"/>
      <c r="AY5" s="908"/>
      <c r="AZ5" s="908"/>
      <c r="BA5" s="908"/>
      <c r="BB5" s="908"/>
      <c r="BC5" s="908"/>
      <c r="BD5" s="908"/>
      <c r="BE5" s="908"/>
      <c r="BF5" s="89"/>
      <c r="BG5" s="89"/>
      <c r="BH5" s="89"/>
      <c r="BI5" s="89"/>
      <c r="BJ5" s="196"/>
    </row>
    <row r="6" spans="1:62" ht="18" customHeight="1">
      <c r="A6" s="195"/>
      <c r="B6" s="89"/>
      <c r="C6" s="89"/>
      <c r="D6" s="89"/>
      <c r="E6" s="89"/>
      <c r="F6" s="908"/>
      <c r="G6" s="908"/>
      <c r="H6" s="908"/>
      <c r="I6" s="908"/>
      <c r="J6" s="908"/>
      <c r="K6" s="908"/>
      <c r="L6" s="908"/>
      <c r="M6" s="908"/>
      <c r="N6" s="908"/>
      <c r="O6" s="908"/>
      <c r="P6" s="89"/>
      <c r="Q6" s="89"/>
      <c r="R6" s="89"/>
      <c r="S6" s="89"/>
      <c r="T6" s="196"/>
      <c r="V6" s="195"/>
      <c r="W6" s="89"/>
      <c r="X6" s="89"/>
      <c r="Y6" s="89"/>
      <c r="Z6" s="89"/>
      <c r="AA6" s="908"/>
      <c r="AB6" s="908"/>
      <c r="AC6" s="908"/>
      <c r="AD6" s="908"/>
      <c r="AE6" s="908"/>
      <c r="AF6" s="908"/>
      <c r="AG6" s="908"/>
      <c r="AH6" s="908"/>
      <c r="AI6" s="908"/>
      <c r="AJ6" s="908"/>
      <c r="AK6" s="89"/>
      <c r="AL6" s="89"/>
      <c r="AM6" s="89"/>
      <c r="AN6" s="89"/>
      <c r="AO6" s="196"/>
      <c r="AQ6" s="195"/>
      <c r="AR6" s="89"/>
      <c r="AS6" s="89"/>
      <c r="AT6" s="89"/>
      <c r="AU6" s="89"/>
      <c r="AV6" s="908" t="s">
        <v>336</v>
      </c>
      <c r="AW6" s="908"/>
      <c r="AX6" s="908"/>
      <c r="AY6" s="908"/>
      <c r="AZ6" s="908"/>
      <c r="BA6" s="908"/>
      <c r="BB6" s="908"/>
      <c r="BC6" s="908"/>
      <c r="BD6" s="908"/>
      <c r="BE6" s="908"/>
      <c r="BF6" s="89"/>
      <c r="BG6" s="89"/>
      <c r="BH6" s="89"/>
      <c r="BI6" s="89"/>
      <c r="BJ6" s="196"/>
    </row>
    <row r="7" spans="1:62" ht="18" customHeight="1">
      <c r="A7" s="195"/>
      <c r="B7" s="89"/>
      <c r="C7" s="89"/>
      <c r="D7" s="89"/>
      <c r="E7" s="89"/>
      <c r="F7" s="908"/>
      <c r="G7" s="908"/>
      <c r="H7" s="908"/>
      <c r="I7" s="908"/>
      <c r="J7" s="908"/>
      <c r="K7" s="908"/>
      <c r="L7" s="908"/>
      <c r="M7" s="908"/>
      <c r="N7" s="908"/>
      <c r="O7" s="908"/>
      <c r="P7" s="89"/>
      <c r="Q7" s="89"/>
      <c r="R7" s="89"/>
      <c r="S7" s="89"/>
      <c r="T7" s="196"/>
      <c r="V7" s="195"/>
      <c r="W7" s="89"/>
      <c r="X7" s="89"/>
      <c r="Y7" s="89"/>
      <c r="Z7" s="89"/>
      <c r="AA7" s="908"/>
      <c r="AB7" s="908"/>
      <c r="AC7" s="908"/>
      <c r="AD7" s="908"/>
      <c r="AE7" s="908"/>
      <c r="AF7" s="908"/>
      <c r="AG7" s="908"/>
      <c r="AH7" s="908"/>
      <c r="AI7" s="908"/>
      <c r="AJ7" s="908"/>
      <c r="AK7" s="89"/>
      <c r="AL7" s="89"/>
      <c r="AM7" s="89"/>
      <c r="AN7" s="89"/>
      <c r="AO7" s="196"/>
      <c r="AQ7" s="195"/>
      <c r="AR7" s="89"/>
      <c r="AS7" s="89"/>
      <c r="AT7" s="89"/>
      <c r="AU7" s="89"/>
      <c r="AV7" s="908" t="e">
        <f>VLOOKUP(#REF!,CS6:CT7,2,FALSE)</f>
        <v>#REF!</v>
      </c>
      <c r="AW7" s="908"/>
      <c r="AX7" s="908"/>
      <c r="AY7" s="908"/>
      <c r="AZ7" s="908"/>
      <c r="BA7" s="908"/>
      <c r="BB7" s="908"/>
      <c r="BC7" s="908"/>
      <c r="BD7" s="908"/>
      <c r="BE7" s="908"/>
      <c r="BF7" s="89"/>
      <c r="BG7" s="89"/>
      <c r="BH7" s="89"/>
      <c r="BI7" s="89"/>
      <c r="BJ7" s="196"/>
    </row>
    <row r="8" spans="1:62" ht="18" customHeight="1">
      <c r="A8" s="195"/>
      <c r="B8" s="89"/>
      <c r="C8" s="89"/>
      <c r="D8" s="89"/>
      <c r="E8" s="89"/>
      <c r="F8" s="89"/>
      <c r="G8" s="89"/>
      <c r="H8" s="89"/>
      <c r="I8" s="89"/>
      <c r="J8" s="89"/>
      <c r="K8" s="89"/>
      <c r="L8" s="89"/>
      <c r="M8" s="89"/>
      <c r="N8" s="89"/>
      <c r="O8" s="89"/>
      <c r="P8" s="89"/>
      <c r="Q8" s="89"/>
      <c r="R8" s="89"/>
      <c r="S8" s="89"/>
      <c r="T8" s="196"/>
      <c r="V8" s="195"/>
      <c r="W8" s="89"/>
      <c r="X8" s="89"/>
      <c r="Y8" s="89"/>
      <c r="Z8" s="89"/>
      <c r="AA8" s="89"/>
      <c r="AB8" s="89"/>
      <c r="AC8" s="89"/>
      <c r="AD8" s="89"/>
      <c r="AE8" s="89"/>
      <c r="AF8" s="89"/>
      <c r="AG8" s="89"/>
      <c r="AH8" s="89"/>
      <c r="AI8" s="89"/>
      <c r="AJ8" s="89"/>
      <c r="AK8" s="89"/>
      <c r="AL8" s="89"/>
      <c r="AM8" s="89"/>
      <c r="AN8" s="89"/>
      <c r="AO8" s="196"/>
      <c r="AQ8" s="195"/>
      <c r="AR8" s="89"/>
      <c r="AS8" s="89"/>
      <c r="AT8" s="89"/>
      <c r="AU8" s="89"/>
      <c r="AV8" s="89"/>
      <c r="AW8" s="89"/>
      <c r="AX8" s="89"/>
      <c r="AY8" s="89"/>
      <c r="AZ8" s="89"/>
      <c r="BA8" s="89"/>
      <c r="BB8" s="89"/>
      <c r="BC8" s="89"/>
      <c r="BD8" s="89"/>
      <c r="BE8" s="89"/>
      <c r="BF8" s="89"/>
      <c r="BG8" s="89"/>
      <c r="BH8" s="89"/>
      <c r="BI8" s="89"/>
      <c r="BJ8" s="196"/>
    </row>
    <row r="9" spans="1:62" ht="18" customHeight="1">
      <c r="A9" s="195" t="s">
        <v>338</v>
      </c>
      <c r="B9" s="89"/>
      <c r="C9" s="89"/>
      <c r="D9" s="89"/>
      <c r="E9" s="89"/>
      <c r="F9" s="89"/>
      <c r="G9" s="89"/>
      <c r="H9" s="89"/>
      <c r="I9" s="89"/>
      <c r="J9" s="89"/>
      <c r="K9" s="89"/>
      <c r="L9" s="89"/>
      <c r="M9" s="89"/>
      <c r="N9" s="89"/>
      <c r="O9" s="89"/>
      <c r="P9" s="89"/>
      <c r="Q9" s="89"/>
      <c r="R9" s="89"/>
      <c r="S9" s="89"/>
      <c r="T9" s="196"/>
      <c r="V9" s="195" t="s">
        <v>338</v>
      </c>
      <c r="W9" s="89"/>
      <c r="X9" s="89"/>
      <c r="Y9" s="89"/>
      <c r="Z9" s="89"/>
      <c r="AA9" s="89"/>
      <c r="AB9" s="89"/>
      <c r="AC9" s="89"/>
      <c r="AD9" s="89"/>
      <c r="AE9" s="89"/>
      <c r="AF9" s="89"/>
      <c r="AG9" s="89"/>
      <c r="AH9" s="89"/>
      <c r="AI9" s="89"/>
      <c r="AJ9" s="89"/>
      <c r="AK9" s="89"/>
      <c r="AL9" s="89"/>
      <c r="AM9" s="89"/>
      <c r="AN9" s="89"/>
      <c r="AO9" s="196"/>
      <c r="AQ9" s="195" t="s">
        <v>338</v>
      </c>
      <c r="AR9" s="89"/>
      <c r="AS9" s="89"/>
      <c r="AT9" s="89"/>
      <c r="AU9" s="89"/>
      <c r="AV9" s="89"/>
      <c r="AW9" s="89"/>
      <c r="AX9" s="89"/>
      <c r="AY9" s="89"/>
      <c r="AZ9" s="89"/>
      <c r="BA9" s="89"/>
      <c r="BB9" s="89"/>
      <c r="BC9" s="89"/>
      <c r="BD9" s="89"/>
      <c r="BE9" s="89"/>
      <c r="BF9" s="89"/>
      <c r="BG9" s="89"/>
      <c r="BH9" s="89"/>
      <c r="BI9" s="89"/>
      <c r="BJ9" s="196"/>
    </row>
    <row r="10" spans="1:62" ht="18" customHeight="1">
      <c r="A10" s="912" t="s">
        <v>213</v>
      </c>
      <c r="B10" s="908"/>
      <c r="C10" s="908"/>
      <c r="D10" s="916">
        <f>PV!U51</f>
        <v>0</v>
      </c>
      <c r="E10" s="916"/>
      <c r="F10" s="916"/>
      <c r="G10" s="916"/>
      <c r="H10" s="916"/>
      <c r="I10" s="916"/>
      <c r="J10" s="916"/>
      <c r="K10" s="916"/>
      <c r="L10" s="916"/>
      <c r="M10" s="916"/>
      <c r="N10" s="916"/>
      <c r="O10" s="916"/>
      <c r="P10" s="916"/>
      <c r="Q10" s="916"/>
      <c r="R10" s="916"/>
      <c r="S10" s="916"/>
      <c r="T10" s="917"/>
      <c r="V10" s="912" t="s">
        <v>213</v>
      </c>
      <c r="W10" s="908"/>
      <c r="X10" s="908"/>
      <c r="Y10" s="916" t="e">
        <f>#REF!</f>
        <v>#REF!</v>
      </c>
      <c r="Z10" s="916"/>
      <c r="AA10" s="916"/>
      <c r="AB10" s="916"/>
      <c r="AC10" s="916"/>
      <c r="AD10" s="916"/>
      <c r="AE10" s="916"/>
      <c r="AF10" s="916"/>
      <c r="AG10" s="916"/>
      <c r="AH10" s="916"/>
      <c r="AI10" s="916"/>
      <c r="AJ10" s="916"/>
      <c r="AK10" s="916"/>
      <c r="AL10" s="916"/>
      <c r="AM10" s="916"/>
      <c r="AN10" s="916"/>
      <c r="AO10" s="917"/>
      <c r="AQ10" s="912" t="s">
        <v>213</v>
      </c>
      <c r="AR10" s="908"/>
      <c r="AS10" s="908"/>
      <c r="AT10" s="916" t="e">
        <f>#REF!</f>
        <v>#REF!</v>
      </c>
      <c r="AU10" s="916"/>
      <c r="AV10" s="916"/>
      <c r="AW10" s="916"/>
      <c r="AX10" s="916"/>
      <c r="AY10" s="916"/>
      <c r="AZ10" s="916"/>
      <c r="BA10" s="916"/>
      <c r="BB10" s="916"/>
      <c r="BC10" s="916"/>
      <c r="BD10" s="916"/>
      <c r="BE10" s="916"/>
      <c r="BF10" s="916"/>
      <c r="BG10" s="916"/>
      <c r="BH10" s="916"/>
      <c r="BI10" s="916"/>
      <c r="BJ10" s="917"/>
    </row>
    <row r="11" spans="1:62" ht="18" customHeight="1">
      <c r="A11" s="1025" t="s">
        <v>333</v>
      </c>
      <c r="B11" s="961"/>
      <c r="C11" s="961"/>
      <c r="D11" s="916">
        <f>PV!U52</f>
        <v>0</v>
      </c>
      <c r="E11" s="916"/>
      <c r="F11" s="916"/>
      <c r="G11" s="916"/>
      <c r="H11" s="916"/>
      <c r="I11" s="916"/>
      <c r="J11" s="916"/>
      <c r="K11" s="916"/>
      <c r="L11" s="916"/>
      <c r="M11" s="916"/>
      <c r="N11" s="916"/>
      <c r="O11" s="916"/>
      <c r="P11" s="916"/>
      <c r="Q11" s="916"/>
      <c r="R11" s="916"/>
      <c r="S11" s="916"/>
      <c r="T11" s="917"/>
      <c r="V11" s="1025" t="s">
        <v>333</v>
      </c>
      <c r="W11" s="961"/>
      <c r="X11" s="961"/>
      <c r="Y11" s="916" t="e">
        <f>#REF!</f>
        <v>#REF!</v>
      </c>
      <c r="Z11" s="916"/>
      <c r="AA11" s="916"/>
      <c r="AB11" s="916"/>
      <c r="AC11" s="916"/>
      <c r="AD11" s="916"/>
      <c r="AE11" s="916"/>
      <c r="AF11" s="916"/>
      <c r="AG11" s="916"/>
      <c r="AH11" s="916"/>
      <c r="AI11" s="916"/>
      <c r="AJ11" s="916"/>
      <c r="AK11" s="916"/>
      <c r="AL11" s="916"/>
      <c r="AM11" s="916"/>
      <c r="AN11" s="916"/>
      <c r="AO11" s="917"/>
      <c r="AQ11" s="1025" t="s">
        <v>333</v>
      </c>
      <c r="AR11" s="961"/>
      <c r="AS11" s="961"/>
      <c r="AT11" s="916" t="e">
        <f>#REF!</f>
        <v>#REF!</v>
      </c>
      <c r="AU11" s="916"/>
      <c r="AV11" s="916"/>
      <c r="AW11" s="916"/>
      <c r="AX11" s="916"/>
      <c r="AY11" s="916"/>
      <c r="AZ11" s="916"/>
      <c r="BA11" s="916"/>
      <c r="BB11" s="916"/>
      <c r="BC11" s="916"/>
      <c r="BD11" s="916"/>
      <c r="BE11" s="916"/>
      <c r="BF11" s="916"/>
      <c r="BG11" s="916"/>
      <c r="BH11" s="916"/>
      <c r="BI11" s="916"/>
      <c r="BJ11" s="917"/>
    </row>
    <row r="12" spans="1:62" ht="18" customHeight="1">
      <c r="A12" s="1025" t="s">
        <v>334</v>
      </c>
      <c r="B12" s="961"/>
      <c r="C12" s="961"/>
      <c r="D12" s="942">
        <f>PV!U53</f>
        <v>0</v>
      </c>
      <c r="E12" s="916"/>
      <c r="F12" s="916"/>
      <c r="G12" s="916"/>
      <c r="H12" s="916"/>
      <c r="I12" s="916"/>
      <c r="J12" s="916"/>
      <c r="K12" s="916"/>
      <c r="L12" s="916"/>
      <c r="M12" s="916"/>
      <c r="N12" s="916"/>
      <c r="O12" s="916"/>
      <c r="P12" s="916"/>
      <c r="Q12" s="916"/>
      <c r="R12" s="916"/>
      <c r="S12" s="916"/>
      <c r="T12" s="917"/>
      <c r="V12" s="1025" t="s">
        <v>334</v>
      </c>
      <c r="W12" s="961"/>
      <c r="X12" s="961"/>
      <c r="Y12" s="942" t="e">
        <f>#REF!</f>
        <v>#REF!</v>
      </c>
      <c r="Z12" s="916"/>
      <c r="AA12" s="916"/>
      <c r="AB12" s="916"/>
      <c r="AC12" s="916"/>
      <c r="AD12" s="916"/>
      <c r="AE12" s="916"/>
      <c r="AF12" s="916"/>
      <c r="AG12" s="916"/>
      <c r="AH12" s="916"/>
      <c r="AI12" s="916"/>
      <c r="AJ12" s="916"/>
      <c r="AK12" s="916"/>
      <c r="AL12" s="916"/>
      <c r="AM12" s="916"/>
      <c r="AN12" s="916"/>
      <c r="AO12" s="917"/>
      <c r="AQ12" s="1025" t="s">
        <v>334</v>
      </c>
      <c r="AR12" s="961"/>
      <c r="AS12" s="961"/>
      <c r="AT12" s="942" t="e">
        <f>#REF!</f>
        <v>#REF!</v>
      </c>
      <c r="AU12" s="916"/>
      <c r="AV12" s="916"/>
      <c r="AW12" s="916"/>
      <c r="AX12" s="916"/>
      <c r="AY12" s="916"/>
      <c r="AZ12" s="916"/>
      <c r="BA12" s="916"/>
      <c r="BB12" s="916"/>
      <c r="BC12" s="916"/>
      <c r="BD12" s="916"/>
      <c r="BE12" s="916"/>
      <c r="BF12" s="916"/>
      <c r="BG12" s="916"/>
      <c r="BH12" s="916"/>
      <c r="BI12" s="916"/>
      <c r="BJ12" s="917"/>
    </row>
    <row r="13" spans="1:62" ht="18" customHeight="1">
      <c r="A13" s="195"/>
      <c r="B13" s="89"/>
      <c r="C13" s="89"/>
      <c r="D13" s="89"/>
      <c r="E13" s="89"/>
      <c r="F13" s="89"/>
      <c r="G13" s="89"/>
      <c r="H13" s="89"/>
      <c r="I13" s="89"/>
      <c r="J13" s="89"/>
      <c r="K13" s="89"/>
      <c r="L13" s="89"/>
      <c r="M13" s="89"/>
      <c r="N13" s="89"/>
      <c r="O13" s="89"/>
      <c r="P13" s="89"/>
      <c r="Q13" s="89"/>
      <c r="R13" s="89"/>
      <c r="S13" s="89"/>
      <c r="T13" s="196"/>
      <c r="V13" s="195"/>
      <c r="W13" s="89"/>
      <c r="X13" s="89"/>
      <c r="Y13" s="89"/>
      <c r="Z13" s="89"/>
      <c r="AA13" s="89"/>
      <c r="AB13" s="89"/>
      <c r="AC13" s="89"/>
      <c r="AD13" s="89"/>
      <c r="AE13" s="89"/>
      <c r="AF13" s="89"/>
      <c r="AG13" s="89"/>
      <c r="AH13" s="89"/>
      <c r="AI13" s="89"/>
      <c r="AJ13" s="89"/>
      <c r="AK13" s="89"/>
      <c r="AL13" s="89"/>
      <c r="AM13" s="89"/>
      <c r="AN13" s="89"/>
      <c r="AO13" s="196"/>
      <c r="AQ13" s="195"/>
      <c r="AR13" s="89"/>
      <c r="AS13" s="89"/>
      <c r="AT13" s="89"/>
      <c r="AU13" s="89"/>
      <c r="AV13" s="89"/>
      <c r="AW13" s="89"/>
      <c r="AX13" s="89"/>
      <c r="AY13" s="89"/>
      <c r="AZ13" s="89"/>
      <c r="BA13" s="89"/>
      <c r="BB13" s="89"/>
      <c r="BC13" s="89"/>
      <c r="BD13" s="89"/>
      <c r="BE13" s="89"/>
      <c r="BF13" s="89"/>
      <c r="BG13" s="89"/>
      <c r="BH13" s="89"/>
      <c r="BI13" s="89"/>
      <c r="BJ13" s="196"/>
    </row>
    <row r="14" spans="1:62" ht="18" customHeight="1">
      <c r="A14" s="912" t="s">
        <v>339</v>
      </c>
      <c r="B14" s="908"/>
      <c r="C14" s="908"/>
      <c r="D14" s="908"/>
      <c r="E14" s="913"/>
      <c r="F14" s="913"/>
      <c r="G14" s="913"/>
      <c r="H14" s="913"/>
      <c r="I14" s="913"/>
      <c r="J14" s="89" t="s">
        <v>340</v>
      </c>
      <c r="K14" s="913"/>
      <c r="L14" s="913"/>
      <c r="M14" s="913"/>
      <c r="N14" s="913"/>
      <c r="O14" s="913"/>
      <c r="P14" s="913"/>
      <c r="Q14" s="913"/>
      <c r="R14" s="913"/>
      <c r="S14" s="89"/>
      <c r="T14" s="196"/>
      <c r="V14" s="912" t="s">
        <v>339</v>
      </c>
      <c r="W14" s="908"/>
      <c r="X14" s="908"/>
      <c r="Y14" s="908"/>
      <c r="Z14" s="913"/>
      <c r="AA14" s="913"/>
      <c r="AB14" s="913"/>
      <c r="AC14" s="913"/>
      <c r="AD14" s="913"/>
      <c r="AE14" s="89" t="s">
        <v>340</v>
      </c>
      <c r="AF14" s="913"/>
      <c r="AG14" s="913"/>
      <c r="AH14" s="913"/>
      <c r="AI14" s="913"/>
      <c r="AJ14" s="913"/>
      <c r="AK14" s="913"/>
      <c r="AL14" s="913"/>
      <c r="AM14" s="913"/>
      <c r="AN14" s="89"/>
      <c r="AO14" s="196"/>
      <c r="AQ14" s="912" t="s">
        <v>339</v>
      </c>
      <c r="AR14" s="908"/>
      <c r="AS14" s="908"/>
      <c r="AT14" s="908"/>
      <c r="AU14" s="913"/>
      <c r="AV14" s="913"/>
      <c r="AW14" s="913"/>
      <c r="AX14" s="913"/>
      <c r="AY14" s="913"/>
      <c r="AZ14" s="89" t="s">
        <v>340</v>
      </c>
      <c r="BA14" s="913"/>
      <c r="BB14" s="913"/>
      <c r="BC14" s="913"/>
      <c r="BD14" s="913"/>
      <c r="BE14" s="913"/>
      <c r="BF14" s="913"/>
      <c r="BG14" s="913"/>
      <c r="BH14" s="913"/>
      <c r="BI14" s="89"/>
      <c r="BJ14" s="196"/>
    </row>
    <row r="15" spans="1:62" ht="18" customHeight="1">
      <c r="A15" s="195"/>
      <c r="B15" s="89"/>
      <c r="C15" s="89"/>
      <c r="D15" s="89"/>
      <c r="E15" s="89"/>
      <c r="F15" s="89"/>
      <c r="G15" s="89"/>
      <c r="H15" s="89"/>
      <c r="I15" s="89"/>
      <c r="J15" s="89"/>
      <c r="K15" s="89"/>
      <c r="L15" s="89"/>
      <c r="M15" s="11" t="s">
        <v>341</v>
      </c>
      <c r="N15" s="89"/>
      <c r="O15" s="89"/>
      <c r="P15" s="89"/>
      <c r="Q15" s="89"/>
      <c r="R15" s="89"/>
      <c r="S15" s="89"/>
      <c r="T15" s="196"/>
      <c r="V15" s="195"/>
      <c r="W15" s="89"/>
      <c r="X15" s="89"/>
      <c r="Y15" s="89"/>
      <c r="Z15" s="89"/>
      <c r="AA15" s="89"/>
      <c r="AB15" s="89"/>
      <c r="AC15" s="89"/>
      <c r="AD15" s="89"/>
      <c r="AE15" s="89"/>
      <c r="AF15" s="89"/>
      <c r="AG15" s="89"/>
      <c r="AH15" s="11" t="s">
        <v>341</v>
      </c>
      <c r="AI15" s="89"/>
      <c r="AJ15" s="89"/>
      <c r="AK15" s="89"/>
      <c r="AL15" s="89"/>
      <c r="AM15" s="89"/>
      <c r="AN15" s="89"/>
      <c r="AO15" s="196"/>
      <c r="AQ15" s="195"/>
      <c r="AR15" s="89"/>
      <c r="AS15" s="89"/>
      <c r="AT15" s="89"/>
      <c r="AU15" s="89"/>
      <c r="AV15" s="89"/>
      <c r="AW15" s="89"/>
      <c r="AX15" s="89"/>
      <c r="AY15" s="89"/>
      <c r="AZ15" s="89"/>
      <c r="BA15" s="89"/>
      <c r="BB15" s="89"/>
      <c r="BC15" s="11" t="s">
        <v>341</v>
      </c>
      <c r="BD15" s="89"/>
      <c r="BE15" s="89"/>
      <c r="BF15" s="89"/>
      <c r="BG15" s="89"/>
      <c r="BH15" s="89"/>
      <c r="BI15" s="89"/>
      <c r="BJ15" s="196"/>
    </row>
    <row r="16" spans="1:62" ht="18" customHeight="1">
      <c r="A16" s="195" t="s">
        <v>342</v>
      </c>
      <c r="B16" s="89"/>
      <c r="C16" s="89"/>
      <c r="D16" s="89"/>
      <c r="E16" s="89"/>
      <c r="F16" s="89"/>
      <c r="G16" s="89"/>
      <c r="H16" s="89"/>
      <c r="I16" s="89"/>
      <c r="J16" s="89"/>
      <c r="K16" s="89"/>
      <c r="L16" s="89"/>
      <c r="M16" s="89"/>
      <c r="N16" s="89"/>
      <c r="O16" s="89"/>
      <c r="P16" s="89"/>
      <c r="Q16" s="89"/>
      <c r="R16" s="89"/>
      <c r="S16" s="89"/>
      <c r="T16" s="196"/>
      <c r="V16" s="195" t="s">
        <v>342</v>
      </c>
      <c r="W16" s="89"/>
      <c r="X16" s="89"/>
      <c r="Y16" s="89"/>
      <c r="Z16" s="89"/>
      <c r="AA16" s="89"/>
      <c r="AB16" s="89"/>
      <c r="AC16" s="89"/>
      <c r="AD16" s="89"/>
      <c r="AE16" s="89"/>
      <c r="AF16" s="89"/>
      <c r="AG16" s="89"/>
      <c r="AH16" s="89"/>
      <c r="AI16" s="89"/>
      <c r="AJ16" s="89"/>
      <c r="AK16" s="89"/>
      <c r="AL16" s="89"/>
      <c r="AM16" s="89"/>
      <c r="AN16" s="89"/>
      <c r="AO16" s="196"/>
      <c r="AQ16" s="195" t="s">
        <v>342</v>
      </c>
      <c r="AR16" s="89"/>
      <c r="AS16" s="89"/>
      <c r="AT16" s="89"/>
      <c r="AU16" s="89"/>
      <c r="AV16" s="89"/>
      <c r="AW16" s="89"/>
      <c r="AX16" s="89"/>
      <c r="AY16" s="89"/>
      <c r="AZ16" s="89"/>
      <c r="BA16" s="89"/>
      <c r="BB16" s="89"/>
      <c r="BC16" s="89"/>
      <c r="BD16" s="89"/>
      <c r="BE16" s="89"/>
      <c r="BF16" s="89"/>
      <c r="BG16" s="89"/>
      <c r="BH16" s="89"/>
      <c r="BI16" s="89"/>
      <c r="BJ16" s="196"/>
    </row>
    <row r="17" spans="1:62" ht="18" customHeight="1">
      <c r="A17" s="827" t="s">
        <v>670</v>
      </c>
      <c r="B17" s="828"/>
      <c r="C17" s="828"/>
      <c r="D17" s="828"/>
      <c r="E17" s="828"/>
      <c r="F17" s="828"/>
      <c r="G17" s="828"/>
      <c r="H17" s="828"/>
      <c r="I17" s="828"/>
      <c r="J17" s="828"/>
      <c r="K17" s="828"/>
      <c r="L17" s="828"/>
      <c r="M17" s="828"/>
      <c r="N17" s="828"/>
      <c r="O17" s="828"/>
      <c r="P17" s="828"/>
      <c r="Q17" s="828"/>
      <c r="R17" s="828"/>
      <c r="S17" s="828"/>
      <c r="T17" s="829"/>
      <c r="V17" s="827" t="s">
        <v>649</v>
      </c>
      <c r="W17" s="828"/>
      <c r="X17" s="828"/>
      <c r="Y17" s="828"/>
      <c r="Z17" s="828"/>
      <c r="AA17" s="828"/>
      <c r="AB17" s="828"/>
      <c r="AC17" s="828"/>
      <c r="AD17" s="828"/>
      <c r="AE17" s="828"/>
      <c r="AF17" s="828"/>
      <c r="AG17" s="828"/>
      <c r="AH17" s="828"/>
      <c r="AI17" s="828"/>
      <c r="AJ17" s="828"/>
      <c r="AK17" s="828"/>
      <c r="AL17" s="828"/>
      <c r="AM17" s="828"/>
      <c r="AN17" s="828"/>
      <c r="AO17" s="829"/>
      <c r="AQ17" s="827" t="s">
        <v>649</v>
      </c>
      <c r="AR17" s="828"/>
      <c r="AS17" s="828"/>
      <c r="AT17" s="828"/>
      <c r="AU17" s="828"/>
      <c r="AV17" s="828"/>
      <c r="AW17" s="828"/>
      <c r="AX17" s="828"/>
      <c r="AY17" s="828"/>
      <c r="AZ17" s="828"/>
      <c r="BA17" s="828"/>
      <c r="BB17" s="828"/>
      <c r="BC17" s="828"/>
      <c r="BD17" s="828"/>
      <c r="BE17" s="828"/>
      <c r="BF17" s="828"/>
      <c r="BG17" s="828"/>
      <c r="BH17" s="828"/>
      <c r="BI17" s="828"/>
      <c r="BJ17" s="829"/>
    </row>
    <row r="18" spans="1:62" ht="18" customHeight="1">
      <c r="A18" s="827"/>
      <c r="B18" s="828"/>
      <c r="C18" s="828"/>
      <c r="D18" s="828"/>
      <c r="E18" s="828"/>
      <c r="F18" s="828"/>
      <c r="G18" s="828"/>
      <c r="H18" s="828"/>
      <c r="I18" s="828"/>
      <c r="J18" s="828"/>
      <c r="K18" s="828"/>
      <c r="L18" s="828"/>
      <c r="M18" s="828"/>
      <c r="N18" s="828"/>
      <c r="O18" s="828"/>
      <c r="P18" s="828"/>
      <c r="Q18" s="828"/>
      <c r="R18" s="828"/>
      <c r="S18" s="828"/>
      <c r="T18" s="829"/>
      <c r="V18" s="827"/>
      <c r="W18" s="828"/>
      <c r="X18" s="828"/>
      <c r="Y18" s="828"/>
      <c r="Z18" s="828"/>
      <c r="AA18" s="828"/>
      <c r="AB18" s="828"/>
      <c r="AC18" s="828"/>
      <c r="AD18" s="828"/>
      <c r="AE18" s="828"/>
      <c r="AF18" s="828"/>
      <c r="AG18" s="828"/>
      <c r="AH18" s="828"/>
      <c r="AI18" s="828"/>
      <c r="AJ18" s="828"/>
      <c r="AK18" s="828"/>
      <c r="AL18" s="828"/>
      <c r="AM18" s="828"/>
      <c r="AN18" s="828"/>
      <c r="AO18" s="829"/>
      <c r="AQ18" s="827"/>
      <c r="AR18" s="828"/>
      <c r="AS18" s="828"/>
      <c r="AT18" s="828"/>
      <c r="AU18" s="828"/>
      <c r="AV18" s="828"/>
      <c r="AW18" s="828"/>
      <c r="AX18" s="828"/>
      <c r="AY18" s="828"/>
      <c r="AZ18" s="828"/>
      <c r="BA18" s="828"/>
      <c r="BB18" s="828"/>
      <c r="BC18" s="828"/>
      <c r="BD18" s="828"/>
      <c r="BE18" s="828"/>
      <c r="BF18" s="828"/>
      <c r="BG18" s="828"/>
      <c r="BH18" s="828"/>
      <c r="BI18" s="828"/>
      <c r="BJ18" s="829"/>
    </row>
    <row r="19" spans="1:62" ht="18" customHeight="1">
      <c r="A19" s="827" t="s">
        <v>344</v>
      </c>
      <c r="B19" s="828"/>
      <c r="C19" s="828"/>
      <c r="D19" s="828">
        <v>2.5</v>
      </c>
      <c r="E19" s="828"/>
      <c r="F19" s="828"/>
      <c r="G19" s="828" t="s">
        <v>49</v>
      </c>
      <c r="H19" s="828"/>
      <c r="I19" s="828" t="s">
        <v>345</v>
      </c>
      <c r="J19" s="828"/>
      <c r="K19" s="828"/>
      <c r="L19" s="828"/>
      <c r="M19" s="828">
        <f>D11</f>
        <v>0</v>
      </c>
      <c r="N19" s="828"/>
      <c r="O19" s="828"/>
      <c r="P19" s="828"/>
      <c r="Q19" s="828"/>
      <c r="R19" s="828"/>
      <c r="S19" s="828"/>
      <c r="T19" s="829"/>
      <c r="V19" s="827" t="s">
        <v>344</v>
      </c>
      <c r="W19" s="828"/>
      <c r="X19" s="828"/>
      <c r="Y19" s="828">
        <v>14</v>
      </c>
      <c r="Z19" s="828"/>
      <c r="AA19" s="828"/>
      <c r="AB19" s="828" t="s">
        <v>49</v>
      </c>
      <c r="AC19" s="828"/>
      <c r="AD19" s="828" t="s">
        <v>345</v>
      </c>
      <c r="AE19" s="828"/>
      <c r="AF19" s="828"/>
      <c r="AG19" s="828"/>
      <c r="AH19" s="828"/>
      <c r="AI19" s="828"/>
      <c r="AJ19" s="828"/>
      <c r="AK19" s="828"/>
      <c r="AL19" s="828"/>
      <c r="AM19" s="828"/>
      <c r="AN19" s="828"/>
      <c r="AO19" s="829"/>
      <c r="AQ19" s="827" t="s">
        <v>344</v>
      </c>
      <c r="AR19" s="828"/>
      <c r="AS19" s="828"/>
      <c r="AT19" s="828">
        <v>14</v>
      </c>
      <c r="AU19" s="828"/>
      <c r="AV19" s="828"/>
      <c r="AW19" s="828" t="s">
        <v>49</v>
      </c>
      <c r="AX19" s="828"/>
      <c r="AY19" s="828" t="s">
        <v>345</v>
      </c>
      <c r="AZ19" s="828"/>
      <c r="BA19" s="828"/>
      <c r="BB19" s="828"/>
      <c r="BC19" s="828"/>
      <c r="BD19" s="828"/>
      <c r="BE19" s="828"/>
      <c r="BF19" s="828"/>
      <c r="BG19" s="828"/>
      <c r="BH19" s="828"/>
      <c r="BI19" s="828"/>
      <c r="BJ19" s="829"/>
    </row>
    <row r="20" spans="1:62" ht="18" customHeight="1">
      <c r="A20" s="827"/>
      <c r="B20" s="828"/>
      <c r="C20" s="828"/>
      <c r="D20" s="828"/>
      <c r="E20" s="828"/>
      <c r="F20" s="828"/>
      <c r="G20" s="828"/>
      <c r="H20" s="828"/>
      <c r="I20" s="828"/>
      <c r="J20" s="828"/>
      <c r="K20" s="828"/>
      <c r="L20" s="828"/>
      <c r="M20" s="828"/>
      <c r="N20" s="828"/>
      <c r="O20" s="828"/>
      <c r="P20" s="828"/>
      <c r="Q20" s="828"/>
      <c r="R20" s="828"/>
      <c r="S20" s="828"/>
      <c r="T20" s="829"/>
      <c r="V20" s="827"/>
      <c r="W20" s="828"/>
      <c r="X20" s="828"/>
      <c r="Y20" s="828"/>
      <c r="Z20" s="828"/>
      <c r="AA20" s="828"/>
      <c r="AB20" s="828"/>
      <c r="AC20" s="828"/>
      <c r="AD20" s="828"/>
      <c r="AE20" s="828"/>
      <c r="AF20" s="828"/>
      <c r="AG20" s="828"/>
      <c r="AH20" s="828"/>
      <c r="AI20" s="828"/>
      <c r="AJ20" s="828"/>
      <c r="AK20" s="828"/>
      <c r="AL20" s="828"/>
      <c r="AM20" s="828"/>
      <c r="AN20" s="828"/>
      <c r="AO20" s="829"/>
      <c r="AQ20" s="827"/>
      <c r="AR20" s="828"/>
      <c r="AS20" s="828"/>
      <c r="AT20" s="828"/>
      <c r="AU20" s="828"/>
      <c r="AV20" s="828"/>
      <c r="AW20" s="828"/>
      <c r="AX20" s="828"/>
      <c r="AY20" s="828"/>
      <c r="AZ20" s="828"/>
      <c r="BA20" s="828"/>
      <c r="BB20" s="828"/>
      <c r="BC20" s="828"/>
      <c r="BD20" s="828"/>
      <c r="BE20" s="828"/>
      <c r="BF20" s="828"/>
      <c r="BG20" s="828"/>
      <c r="BH20" s="828"/>
      <c r="BI20" s="828"/>
      <c r="BJ20" s="829"/>
    </row>
    <row r="21" spans="1:62" ht="18" customHeight="1">
      <c r="A21" s="912" t="s">
        <v>346</v>
      </c>
      <c r="B21" s="908"/>
      <c r="C21" s="908"/>
      <c r="D21" s="908"/>
      <c r="E21" s="908"/>
      <c r="F21" s="908"/>
      <c r="G21" s="1347" t="s">
        <v>672</v>
      </c>
      <c r="H21" s="1347"/>
      <c r="I21" s="1347"/>
      <c r="J21" s="1347"/>
      <c r="K21" s="1347"/>
      <c r="L21" s="89" t="s">
        <v>332</v>
      </c>
      <c r="M21" s="89"/>
      <c r="N21" s="908" t="s">
        <v>673</v>
      </c>
      <c r="O21" s="908"/>
      <c r="P21" s="908"/>
      <c r="Q21" s="908"/>
      <c r="R21" s="908"/>
      <c r="S21" s="89"/>
      <c r="T21" s="196"/>
      <c r="V21" s="912" t="s">
        <v>346</v>
      </c>
      <c r="W21" s="908"/>
      <c r="X21" s="908"/>
      <c r="Y21" s="908"/>
      <c r="Z21" s="908"/>
      <c r="AA21" s="908"/>
      <c r="AB21" s="908"/>
      <c r="AC21" s="908"/>
      <c r="AD21" s="908"/>
      <c r="AE21" s="908"/>
      <c r="AF21" s="908"/>
      <c r="AG21" s="89" t="s">
        <v>332</v>
      </c>
      <c r="AH21" s="89"/>
      <c r="AI21" s="908"/>
      <c r="AJ21" s="908"/>
      <c r="AK21" s="908"/>
      <c r="AL21" s="908"/>
      <c r="AM21" s="908"/>
      <c r="AN21" s="89"/>
      <c r="AO21" s="196"/>
      <c r="AQ21" s="912" t="s">
        <v>346</v>
      </c>
      <c r="AR21" s="908"/>
      <c r="AS21" s="908"/>
      <c r="AT21" s="908"/>
      <c r="AU21" s="908"/>
      <c r="AV21" s="908"/>
      <c r="AW21" s="908"/>
      <c r="AX21" s="908"/>
      <c r="AY21" s="908"/>
      <c r="AZ21" s="908"/>
      <c r="BA21" s="908"/>
      <c r="BB21" s="89" t="s">
        <v>332</v>
      </c>
      <c r="BC21" s="89"/>
      <c r="BD21" s="908"/>
      <c r="BE21" s="908"/>
      <c r="BF21" s="908"/>
      <c r="BG21" s="908"/>
      <c r="BH21" s="908"/>
      <c r="BI21" s="89"/>
      <c r="BJ21" s="196"/>
    </row>
    <row r="22" spans="1:62" ht="18" customHeight="1">
      <c r="A22" s="195"/>
      <c r="B22" s="89"/>
      <c r="C22" s="89"/>
      <c r="D22" s="89"/>
      <c r="E22" s="89"/>
      <c r="F22" s="89"/>
      <c r="G22" s="89"/>
      <c r="H22" s="89"/>
      <c r="I22" s="89"/>
      <c r="J22" s="89"/>
      <c r="K22" s="89"/>
      <c r="L22" s="89"/>
      <c r="M22" s="89"/>
      <c r="N22" s="89"/>
      <c r="O22" s="89"/>
      <c r="P22" s="89"/>
      <c r="Q22" s="89"/>
      <c r="R22" s="89"/>
      <c r="S22" s="89"/>
      <c r="T22" s="196"/>
      <c r="V22" s="195"/>
      <c r="W22" s="89"/>
      <c r="X22" s="89"/>
      <c r="Y22" s="89"/>
      <c r="Z22" s="89"/>
      <c r="AA22" s="89"/>
      <c r="AB22" s="89"/>
      <c r="AC22" s="89"/>
      <c r="AD22" s="89"/>
      <c r="AE22" s="89"/>
      <c r="AF22" s="89"/>
      <c r="AG22" s="89"/>
      <c r="AH22" s="89"/>
      <c r="AI22" s="89"/>
      <c r="AJ22" s="89"/>
      <c r="AK22" s="89"/>
      <c r="AL22" s="89"/>
      <c r="AM22" s="89"/>
      <c r="AN22" s="89"/>
      <c r="AO22" s="196"/>
      <c r="AQ22" s="195"/>
      <c r="AR22" s="89"/>
      <c r="AS22" s="89"/>
      <c r="AT22" s="89"/>
      <c r="AU22" s="89"/>
      <c r="AV22" s="89"/>
      <c r="AW22" s="89"/>
      <c r="AX22" s="89"/>
      <c r="AY22" s="89"/>
      <c r="AZ22" s="89"/>
      <c r="BA22" s="89"/>
      <c r="BB22" s="89"/>
      <c r="BC22" s="89"/>
      <c r="BD22" s="89"/>
      <c r="BE22" s="89"/>
      <c r="BF22" s="89"/>
      <c r="BG22" s="89"/>
      <c r="BH22" s="89"/>
      <c r="BI22" s="89"/>
      <c r="BJ22" s="196"/>
    </row>
    <row r="23" spans="1:62" ht="18" customHeight="1">
      <c r="A23" s="195" t="s">
        <v>347</v>
      </c>
      <c r="B23" s="89"/>
      <c r="C23" s="89"/>
      <c r="D23" s="89"/>
      <c r="E23" s="89"/>
      <c r="F23" s="89"/>
      <c r="G23" s="89"/>
      <c r="H23" s="89"/>
      <c r="I23" s="952">
        <v>10350</v>
      </c>
      <c r="J23" s="952"/>
      <c r="K23" s="952"/>
      <c r="L23" s="952"/>
      <c r="M23" s="952"/>
      <c r="N23" s="952"/>
      <c r="O23" s="952"/>
      <c r="P23" s="952"/>
      <c r="Q23" s="89" t="s">
        <v>2</v>
      </c>
      <c r="R23" s="89" t="s">
        <v>348</v>
      </c>
      <c r="S23" s="89"/>
      <c r="T23" s="196"/>
      <c r="V23" s="195" t="s">
        <v>347</v>
      </c>
      <c r="W23" s="89"/>
      <c r="X23" s="89"/>
      <c r="Y23" s="89"/>
      <c r="Z23" s="89"/>
      <c r="AA23" s="89"/>
      <c r="AB23" s="89"/>
      <c r="AC23" s="89"/>
      <c r="AD23" s="952"/>
      <c r="AE23" s="952"/>
      <c r="AF23" s="952"/>
      <c r="AG23" s="952"/>
      <c r="AH23" s="952"/>
      <c r="AI23" s="952"/>
      <c r="AJ23" s="952"/>
      <c r="AK23" s="952"/>
      <c r="AL23" s="89" t="s">
        <v>2</v>
      </c>
      <c r="AM23" s="89" t="s">
        <v>348</v>
      </c>
      <c r="AN23" s="89"/>
      <c r="AO23" s="196"/>
      <c r="AQ23" s="195" t="s">
        <v>347</v>
      </c>
      <c r="AR23" s="89"/>
      <c r="AS23" s="89"/>
      <c r="AT23" s="89"/>
      <c r="AU23" s="89"/>
      <c r="AV23" s="89"/>
      <c r="AW23" s="89"/>
      <c r="AX23" s="89"/>
      <c r="AY23" s="952"/>
      <c r="AZ23" s="952"/>
      <c r="BA23" s="952"/>
      <c r="BB23" s="952"/>
      <c r="BC23" s="952"/>
      <c r="BD23" s="952"/>
      <c r="BE23" s="952"/>
      <c r="BF23" s="952"/>
      <c r="BG23" s="89" t="s">
        <v>2</v>
      </c>
      <c r="BH23" s="89" t="s">
        <v>348</v>
      </c>
      <c r="BI23" s="89"/>
      <c r="BJ23" s="196"/>
    </row>
    <row r="24" spans="1:62" ht="18" customHeight="1">
      <c r="A24" s="195"/>
      <c r="B24" s="89"/>
      <c r="C24" s="89"/>
      <c r="D24" s="89"/>
      <c r="E24" s="89"/>
      <c r="F24" s="89"/>
      <c r="G24" s="89"/>
      <c r="H24" s="89"/>
      <c r="I24" s="89"/>
      <c r="J24" s="89"/>
      <c r="K24" s="89"/>
      <c r="L24" s="89"/>
      <c r="M24" s="89"/>
      <c r="N24" s="89"/>
      <c r="O24" s="89"/>
      <c r="P24" s="89"/>
      <c r="Q24" s="89"/>
      <c r="R24" s="89"/>
      <c r="S24" s="89"/>
      <c r="T24" s="196"/>
      <c r="V24" s="195"/>
      <c r="W24" s="89"/>
      <c r="X24" s="89"/>
      <c r="Y24" s="89"/>
      <c r="Z24" s="89"/>
      <c r="AA24" s="89"/>
      <c r="AB24" s="89"/>
      <c r="AC24" s="89"/>
      <c r="AD24" s="89"/>
      <c r="AE24" s="89"/>
      <c r="AF24" s="89"/>
      <c r="AG24" s="89"/>
      <c r="AH24" s="89"/>
      <c r="AI24" s="89"/>
      <c r="AJ24" s="89"/>
      <c r="AK24" s="89"/>
      <c r="AL24" s="89"/>
      <c r="AM24" s="89"/>
      <c r="AN24" s="89"/>
      <c r="AO24" s="196"/>
      <c r="AQ24" s="195"/>
      <c r="AR24" s="89"/>
      <c r="AS24" s="89"/>
      <c r="AT24" s="89"/>
      <c r="AU24" s="89"/>
      <c r="AV24" s="89"/>
      <c r="AW24" s="89"/>
      <c r="AX24" s="89"/>
      <c r="AY24" s="89"/>
      <c r="AZ24" s="89"/>
      <c r="BA24" s="89"/>
      <c r="BB24" s="89"/>
      <c r="BC24" s="89"/>
      <c r="BD24" s="89"/>
      <c r="BE24" s="89"/>
      <c r="BF24" s="89"/>
      <c r="BG24" s="89"/>
      <c r="BH24" s="89"/>
      <c r="BI24" s="89"/>
      <c r="BJ24" s="196"/>
    </row>
    <row r="25" spans="1:62" ht="18" customHeight="1">
      <c r="A25" s="924" t="s">
        <v>349</v>
      </c>
      <c r="B25" s="916"/>
      <c r="C25" s="916"/>
      <c r="D25" s="916"/>
      <c r="E25" s="916"/>
      <c r="F25" s="916"/>
      <c r="G25" s="916"/>
      <c r="H25" s="916"/>
      <c r="I25" s="89"/>
      <c r="J25" s="89"/>
      <c r="K25" s="89"/>
      <c r="L25" s="89"/>
      <c r="M25" s="89"/>
      <c r="N25" s="89"/>
      <c r="O25" s="908"/>
      <c r="P25" s="908"/>
      <c r="Q25" s="89"/>
      <c r="R25" s="89"/>
      <c r="S25" s="89"/>
      <c r="T25" s="196"/>
      <c r="V25" s="924" t="s">
        <v>349</v>
      </c>
      <c r="W25" s="916"/>
      <c r="X25" s="916"/>
      <c r="Y25" s="916"/>
      <c r="Z25" s="916"/>
      <c r="AA25" s="916"/>
      <c r="AB25" s="916"/>
      <c r="AC25" s="916"/>
      <c r="AD25" s="89"/>
      <c r="AE25" s="89"/>
      <c r="AF25" s="89"/>
      <c r="AG25" s="89"/>
      <c r="AH25" s="89"/>
      <c r="AI25" s="89"/>
      <c r="AJ25" s="908"/>
      <c r="AK25" s="908"/>
      <c r="AL25" s="89"/>
      <c r="AM25" s="89"/>
      <c r="AN25" s="89"/>
      <c r="AO25" s="196"/>
      <c r="AQ25" s="924" t="s">
        <v>349</v>
      </c>
      <c r="AR25" s="916"/>
      <c r="AS25" s="916"/>
      <c r="AT25" s="916"/>
      <c r="AU25" s="916"/>
      <c r="AV25" s="916"/>
      <c r="AW25" s="916"/>
      <c r="AX25" s="916"/>
      <c r="AY25" s="89"/>
      <c r="AZ25" s="89"/>
      <c r="BA25" s="89"/>
      <c r="BB25" s="89"/>
      <c r="BC25" s="89"/>
      <c r="BD25" s="89"/>
      <c r="BE25" s="908"/>
      <c r="BF25" s="908"/>
      <c r="BG25" s="89"/>
      <c r="BH25" s="89"/>
      <c r="BI25" s="89"/>
      <c r="BJ25" s="196"/>
    </row>
    <row r="26" spans="1:62" ht="18" customHeight="1">
      <c r="A26" s="195"/>
      <c r="B26" s="206" t="s">
        <v>370</v>
      </c>
      <c r="T26" s="163"/>
      <c r="V26" s="195"/>
      <c r="W26" s="91" t="s">
        <v>370</v>
      </c>
      <c r="X26" s="89"/>
      <c r="Y26" s="89"/>
      <c r="Z26" s="89"/>
      <c r="AA26" s="89"/>
      <c r="AB26" s="89"/>
      <c r="AC26" s="89"/>
      <c r="AD26" s="89"/>
      <c r="AE26" s="89"/>
      <c r="AF26" s="89"/>
      <c r="AG26" s="89"/>
      <c r="AH26" s="89"/>
      <c r="AI26" s="89"/>
      <c r="AJ26" s="89"/>
      <c r="AK26" s="89"/>
      <c r="AL26" s="89"/>
      <c r="AM26" s="89"/>
      <c r="AN26" s="89"/>
      <c r="AO26" s="196"/>
      <c r="AQ26" s="195"/>
      <c r="AR26" s="91" t="s">
        <v>370</v>
      </c>
      <c r="AS26" s="89"/>
      <c r="AT26" s="89"/>
      <c r="AU26" s="89"/>
      <c r="AV26" s="89"/>
      <c r="AW26" s="89"/>
      <c r="AX26" s="89"/>
      <c r="AY26" s="89"/>
      <c r="AZ26" s="89"/>
      <c r="BA26" s="89"/>
      <c r="BB26" s="89"/>
      <c r="BC26" s="89"/>
      <c r="BD26" s="89"/>
      <c r="BE26" s="89"/>
      <c r="BF26" s="89"/>
      <c r="BG26" s="89"/>
      <c r="BH26" s="89"/>
      <c r="BI26" s="89"/>
      <c r="BJ26" s="196"/>
    </row>
    <row r="27" spans="1:62" ht="18" customHeight="1">
      <c r="A27" s="195"/>
      <c r="B27" s="1346" t="s">
        <v>650</v>
      </c>
      <c r="C27" s="1346"/>
      <c r="D27" s="1346"/>
      <c r="E27" s="1346"/>
      <c r="F27" s="1346"/>
      <c r="G27" s="1346"/>
      <c r="H27" s="1346"/>
      <c r="I27" s="1348">
        <v>1</v>
      </c>
      <c r="J27" s="1348"/>
      <c r="K27" t="s">
        <v>60</v>
      </c>
      <c r="T27" s="163"/>
      <c r="V27" s="195"/>
      <c r="W27" s="906" t="s">
        <v>650</v>
      </c>
      <c r="X27" s="906"/>
      <c r="Y27" s="906"/>
      <c r="Z27" s="906"/>
      <c r="AA27" s="906"/>
      <c r="AB27" s="906"/>
      <c r="AC27" s="906"/>
      <c r="AD27" s="930">
        <v>1</v>
      </c>
      <c r="AE27" s="930"/>
      <c r="AF27" s="89" t="s">
        <v>60</v>
      </c>
      <c r="AG27" s="89"/>
      <c r="AH27" s="89"/>
      <c r="AI27" s="89"/>
      <c r="AJ27" s="89"/>
      <c r="AK27" s="89"/>
      <c r="AL27" s="89"/>
      <c r="AM27" s="89"/>
      <c r="AN27" s="89"/>
      <c r="AO27" s="196"/>
      <c r="AQ27" s="195"/>
      <c r="AR27" s="906" t="s">
        <v>650</v>
      </c>
      <c r="AS27" s="906"/>
      <c r="AT27" s="906"/>
      <c r="AU27" s="906"/>
      <c r="AV27" s="906"/>
      <c r="AW27" s="906"/>
      <c r="AX27" s="906"/>
      <c r="AY27" s="930">
        <v>1</v>
      </c>
      <c r="AZ27" s="930"/>
      <c r="BA27" s="89" t="s">
        <v>60</v>
      </c>
      <c r="BB27" s="89"/>
      <c r="BC27" s="89"/>
      <c r="BD27" s="89"/>
      <c r="BE27" s="89"/>
      <c r="BF27" s="89"/>
      <c r="BG27" s="89"/>
      <c r="BH27" s="89"/>
      <c r="BI27" s="89"/>
      <c r="BJ27" s="196"/>
    </row>
    <row r="28" spans="1:62" ht="18" customHeight="1">
      <c r="A28" s="195"/>
      <c r="B28" s="1349" t="s">
        <v>671</v>
      </c>
      <c r="C28" s="1349"/>
      <c r="D28" s="1349"/>
      <c r="E28" s="1349"/>
      <c r="F28" s="1349"/>
      <c r="G28" s="1349"/>
      <c r="H28" s="1349"/>
      <c r="I28" s="1349"/>
      <c r="J28" s="1349"/>
      <c r="K28" s="1349"/>
      <c r="L28" s="1349"/>
      <c r="M28" s="1349"/>
      <c r="N28" s="1349"/>
      <c r="O28" s="1349"/>
      <c r="P28" s="1349"/>
      <c r="Q28" s="1349"/>
      <c r="R28" s="1349"/>
      <c r="S28" s="1349"/>
      <c r="T28" s="163"/>
      <c r="V28" s="195"/>
      <c r="W28" s="1027" t="s">
        <v>651</v>
      </c>
      <c r="X28" s="1027"/>
      <c r="Y28" s="1027"/>
      <c r="Z28" s="1027"/>
      <c r="AA28" s="1027"/>
      <c r="AB28" s="1027"/>
      <c r="AC28" s="1027"/>
      <c r="AD28" s="953">
        <v>1</v>
      </c>
      <c r="AE28" s="953"/>
      <c r="AF28" s="91" t="s">
        <v>60</v>
      </c>
      <c r="AG28" s="91"/>
      <c r="AH28" s="91"/>
      <c r="AI28" s="89"/>
      <c r="AJ28" s="89"/>
      <c r="AK28" s="89"/>
      <c r="AL28" s="89"/>
      <c r="AM28" s="89"/>
      <c r="AN28" s="89"/>
      <c r="AO28" s="196"/>
      <c r="AQ28" s="195"/>
      <c r="AR28" s="1027" t="s">
        <v>651</v>
      </c>
      <c r="AS28" s="1027"/>
      <c r="AT28" s="1027"/>
      <c r="AU28" s="1027"/>
      <c r="AV28" s="1027"/>
      <c r="AW28" s="1027"/>
      <c r="AX28" s="1027"/>
      <c r="AY28" s="953">
        <v>1</v>
      </c>
      <c r="AZ28" s="953"/>
      <c r="BA28" s="91" t="s">
        <v>60</v>
      </c>
      <c r="BB28" s="91"/>
      <c r="BC28" s="91"/>
      <c r="BD28" s="89"/>
      <c r="BE28" s="89"/>
      <c r="BF28" s="89"/>
      <c r="BG28" s="89"/>
      <c r="BH28" s="89"/>
      <c r="BI28" s="89"/>
      <c r="BJ28" s="196"/>
    </row>
    <row r="29" spans="1:62" ht="18" customHeight="1">
      <c r="A29" s="195"/>
      <c r="B29" s="1349" t="s">
        <v>372</v>
      </c>
      <c r="C29" s="1349"/>
      <c r="D29" s="1349"/>
      <c r="E29" s="1349"/>
      <c r="F29" s="1349"/>
      <c r="G29" s="1349"/>
      <c r="H29" s="1349"/>
      <c r="I29" s="1349"/>
      <c r="J29" s="1349"/>
      <c r="K29" s="1349"/>
      <c r="L29" s="1349"/>
      <c r="M29" s="1349"/>
      <c r="N29" s="1349"/>
      <c r="O29" s="1349"/>
      <c r="P29" s="1349"/>
      <c r="Q29" s="1349"/>
      <c r="R29" s="1349"/>
      <c r="S29" s="1349"/>
      <c r="T29" s="1350"/>
      <c r="V29" s="195"/>
      <c r="W29" s="1351" t="s">
        <v>372</v>
      </c>
      <c r="X29" s="1351"/>
      <c r="Y29" s="1351"/>
      <c r="Z29" s="1351"/>
      <c r="AA29" s="1351"/>
      <c r="AB29" s="1351"/>
      <c r="AC29" s="1351"/>
      <c r="AD29" s="1351"/>
      <c r="AE29" s="1351"/>
      <c r="AF29" s="1351"/>
      <c r="AG29" s="1351"/>
      <c r="AH29" s="1351"/>
      <c r="AI29" s="1351"/>
      <c r="AJ29" s="1351"/>
      <c r="AK29" s="1351"/>
      <c r="AL29" s="1351"/>
      <c r="AM29" s="1351"/>
      <c r="AN29" s="1351"/>
      <c r="AO29" s="1352"/>
      <c r="AQ29" s="195"/>
      <c r="AR29" s="1351" t="s">
        <v>372</v>
      </c>
      <c r="AS29" s="1351"/>
      <c r="AT29" s="1351"/>
      <c r="AU29" s="1351"/>
      <c r="AV29" s="1351"/>
      <c r="AW29" s="1351"/>
      <c r="AX29" s="1351"/>
      <c r="AY29" s="1351"/>
      <c r="AZ29" s="1351"/>
      <c r="BA29" s="1351"/>
      <c r="BB29" s="1351"/>
      <c r="BC29" s="1351"/>
      <c r="BD29" s="1351"/>
      <c r="BE29" s="1351"/>
      <c r="BF29" s="1351"/>
      <c r="BG29" s="1351"/>
      <c r="BH29" s="1351"/>
      <c r="BI29" s="1351"/>
      <c r="BJ29" s="1352"/>
    </row>
    <row r="30" spans="1:62" ht="18" customHeight="1">
      <c r="A30" s="195"/>
      <c r="B30" s="1346" t="s">
        <v>371</v>
      </c>
      <c r="C30" s="915"/>
      <c r="D30" s="915"/>
      <c r="E30" s="915"/>
      <c r="F30" s="915"/>
      <c r="G30" s="915"/>
      <c r="H30" s="915"/>
      <c r="I30" s="915"/>
      <c r="J30" s="915"/>
      <c r="K30" s="915"/>
      <c r="L30" s="915"/>
      <c r="M30" s="915"/>
      <c r="N30" s="915"/>
      <c r="O30" s="915"/>
      <c r="P30" s="915"/>
      <c r="Q30" s="915"/>
      <c r="R30" s="915"/>
      <c r="T30" s="207"/>
      <c r="V30" s="195"/>
      <c r="W30" s="907" t="s">
        <v>664</v>
      </c>
      <c r="X30" s="907"/>
      <c r="Y30" s="907"/>
      <c r="Z30" s="907"/>
      <c r="AA30" s="907"/>
      <c r="AB30" s="907"/>
      <c r="AC30" s="907"/>
      <c r="AD30" s="907"/>
      <c r="AE30" s="907"/>
      <c r="AF30" s="907"/>
      <c r="AG30" s="907"/>
      <c r="AH30" s="907"/>
      <c r="AI30" s="907"/>
      <c r="AJ30" s="907"/>
      <c r="AK30" s="907"/>
      <c r="AL30" s="907"/>
      <c r="AM30" s="907"/>
      <c r="AN30" s="907"/>
      <c r="AO30" s="197"/>
      <c r="AQ30" s="195"/>
      <c r="AR30" s="907" t="s">
        <v>664</v>
      </c>
      <c r="AS30" s="907"/>
      <c r="AT30" s="907"/>
      <c r="AU30" s="907"/>
      <c r="AV30" s="907"/>
      <c r="AW30" s="907"/>
      <c r="AX30" s="907"/>
      <c r="AY30" s="907"/>
      <c r="AZ30" s="907"/>
      <c r="BA30" s="907"/>
      <c r="BB30" s="907"/>
      <c r="BC30" s="907"/>
      <c r="BD30" s="907"/>
      <c r="BE30" s="907"/>
      <c r="BF30" s="907"/>
      <c r="BG30" s="907"/>
      <c r="BH30" s="907"/>
      <c r="BI30" s="907"/>
      <c r="BJ30" s="197"/>
    </row>
    <row r="31" spans="1:62" ht="18" customHeight="1">
      <c r="A31" s="195"/>
      <c r="B31" s="208" t="s">
        <v>373</v>
      </c>
      <c r="C31" s="209"/>
      <c r="D31" s="209"/>
      <c r="E31" s="209"/>
      <c r="F31" s="209"/>
      <c r="G31" s="209"/>
      <c r="H31" s="209"/>
      <c r="I31" s="209"/>
      <c r="J31" s="209"/>
      <c r="K31" s="209"/>
      <c r="L31" s="209"/>
      <c r="M31" s="209"/>
      <c r="N31" s="209"/>
      <c r="O31" s="209"/>
      <c r="P31" s="209"/>
      <c r="Q31" s="209"/>
      <c r="R31" s="209"/>
      <c r="T31" s="163"/>
      <c r="V31" s="195"/>
      <c r="W31" s="91" t="s">
        <v>354</v>
      </c>
      <c r="X31" s="89"/>
      <c r="Y31" s="89"/>
      <c r="Z31" s="89"/>
      <c r="AA31" s="89"/>
      <c r="AB31" s="89"/>
      <c r="AC31" s="89"/>
      <c r="AD31" s="89"/>
      <c r="AE31" s="89"/>
      <c r="AF31" s="89"/>
      <c r="AG31" s="89"/>
      <c r="AH31" s="89"/>
      <c r="AI31" s="89"/>
      <c r="AJ31" s="89"/>
      <c r="AK31" s="89"/>
      <c r="AL31" s="89"/>
      <c r="AM31" s="89"/>
      <c r="AN31" s="89"/>
      <c r="AO31" s="196"/>
      <c r="AQ31" s="195"/>
      <c r="AR31" s="91" t="s">
        <v>354</v>
      </c>
      <c r="AS31" s="89"/>
      <c r="AT31" s="89"/>
      <c r="AU31" s="89"/>
      <c r="AV31" s="89"/>
      <c r="AW31" s="89"/>
      <c r="AX31" s="89"/>
      <c r="AY31" s="89"/>
      <c r="AZ31" s="89"/>
      <c r="BA31" s="89"/>
      <c r="BB31" s="89"/>
      <c r="BC31" s="89"/>
      <c r="BD31" s="89"/>
      <c r="BE31" s="89"/>
      <c r="BF31" s="89"/>
      <c r="BG31" s="89"/>
      <c r="BH31" s="89"/>
      <c r="BI31" s="89"/>
      <c r="BJ31" s="196"/>
    </row>
    <row r="32" spans="1:62" ht="18" customHeight="1">
      <c r="A32" s="198"/>
      <c r="B32" s="96"/>
      <c r="C32" s="111"/>
      <c r="D32" s="111"/>
      <c r="E32" s="111"/>
      <c r="F32" s="111"/>
      <c r="G32" s="111"/>
      <c r="H32" s="111"/>
      <c r="I32" s="111"/>
      <c r="J32" s="111"/>
      <c r="K32" s="111"/>
      <c r="L32" s="111"/>
      <c r="M32" s="111"/>
      <c r="N32" s="111"/>
      <c r="O32" s="111"/>
      <c r="P32" s="111"/>
      <c r="Q32" s="111"/>
      <c r="R32" s="111"/>
      <c r="S32" s="111"/>
      <c r="T32" s="199"/>
      <c r="V32" s="198"/>
      <c r="W32" s="96" t="s">
        <v>371</v>
      </c>
      <c r="X32" s="111"/>
      <c r="Y32" s="111"/>
      <c r="Z32" s="111"/>
      <c r="AA32" s="111"/>
      <c r="AB32" s="111"/>
      <c r="AC32" s="111"/>
      <c r="AD32" s="111"/>
      <c r="AE32" s="111"/>
      <c r="AF32" s="111"/>
      <c r="AG32" s="111"/>
      <c r="AH32" s="111"/>
      <c r="AI32" s="111"/>
      <c r="AJ32" s="111"/>
      <c r="AK32" s="111"/>
      <c r="AL32" s="111"/>
      <c r="AM32" s="111"/>
      <c r="AN32" s="111"/>
      <c r="AO32" s="199"/>
      <c r="AQ32" s="198"/>
      <c r="AR32" s="96" t="s">
        <v>371</v>
      </c>
      <c r="AS32" s="111"/>
      <c r="AT32" s="111"/>
      <c r="AU32" s="111"/>
      <c r="AV32" s="111"/>
      <c r="AW32" s="111"/>
      <c r="AX32" s="111"/>
      <c r="AY32" s="111"/>
      <c r="AZ32" s="111"/>
      <c r="BA32" s="111"/>
      <c r="BB32" s="111"/>
      <c r="BC32" s="111"/>
      <c r="BD32" s="111"/>
      <c r="BE32" s="111"/>
      <c r="BF32" s="111"/>
      <c r="BG32" s="111"/>
      <c r="BH32" s="111"/>
      <c r="BI32" s="111"/>
      <c r="BJ32" s="199"/>
    </row>
    <row r="33" spans="1:62" ht="18" customHeight="1">
      <c r="A33" s="195"/>
      <c r="C33" s="111"/>
      <c r="D33" s="111"/>
      <c r="E33" s="111"/>
      <c r="F33" s="111"/>
      <c r="G33" s="111"/>
      <c r="H33" s="111"/>
      <c r="I33" s="111"/>
      <c r="J33" s="111"/>
      <c r="K33" s="111"/>
      <c r="L33" s="111"/>
      <c r="M33" s="111"/>
      <c r="N33" s="111"/>
      <c r="O33" s="111"/>
      <c r="P33" s="111"/>
      <c r="Q33" s="111"/>
      <c r="R33" s="111"/>
      <c r="S33" s="111"/>
      <c r="T33" s="199"/>
      <c r="V33" s="195"/>
      <c r="W33" s="96" t="s">
        <v>373</v>
      </c>
      <c r="X33" s="111"/>
      <c r="Y33" s="111"/>
      <c r="Z33" s="111"/>
      <c r="AA33" s="111"/>
      <c r="AB33" s="111"/>
      <c r="AC33" s="111"/>
      <c r="AD33" s="111"/>
      <c r="AE33" s="111"/>
      <c r="AF33" s="111"/>
      <c r="AG33" s="111"/>
      <c r="AH33" s="111"/>
      <c r="AI33" s="111"/>
      <c r="AJ33" s="111"/>
      <c r="AK33" s="111"/>
      <c r="AL33" s="111"/>
      <c r="AM33" s="111"/>
      <c r="AN33" s="111"/>
      <c r="AO33" s="199"/>
      <c r="AQ33" s="195"/>
      <c r="AR33" s="96" t="s">
        <v>373</v>
      </c>
      <c r="AS33" s="111"/>
      <c r="AT33" s="111"/>
      <c r="AU33" s="111"/>
      <c r="AV33" s="111"/>
      <c r="AW33" s="111"/>
      <c r="AX33" s="111"/>
      <c r="AY33" s="111"/>
      <c r="AZ33" s="111"/>
      <c r="BA33" s="111"/>
      <c r="BB33" s="111"/>
      <c r="BC33" s="111"/>
      <c r="BD33" s="111"/>
      <c r="BE33" s="111"/>
      <c r="BF33" s="111"/>
      <c r="BG33" s="111"/>
      <c r="BH33" s="111"/>
      <c r="BI33" s="111"/>
      <c r="BJ33" s="199"/>
    </row>
    <row r="34" spans="1:62" ht="18" customHeight="1">
      <c r="A34" s="195" t="s">
        <v>357</v>
      </c>
      <c r="B34" s="89"/>
      <c r="C34" s="89"/>
      <c r="D34" s="89"/>
      <c r="E34" s="89"/>
      <c r="F34" s="89"/>
      <c r="G34" s="89"/>
      <c r="H34" s="89"/>
      <c r="I34" s="89"/>
      <c r="J34" s="89"/>
      <c r="K34" s="89"/>
      <c r="L34" s="89"/>
      <c r="M34" s="89"/>
      <c r="N34" s="89"/>
      <c r="O34" s="89"/>
      <c r="P34" s="89"/>
      <c r="Q34" s="89"/>
      <c r="R34" s="89"/>
      <c r="S34" s="89"/>
      <c r="T34" s="196"/>
      <c r="V34" s="195" t="s">
        <v>357</v>
      </c>
      <c r="W34" s="89"/>
      <c r="X34" s="89"/>
      <c r="Y34" s="89"/>
      <c r="Z34" s="89"/>
      <c r="AA34" s="89"/>
      <c r="AB34" s="89"/>
      <c r="AC34" s="89"/>
      <c r="AD34" s="89"/>
      <c r="AE34" s="89"/>
      <c r="AF34" s="89"/>
      <c r="AG34" s="89"/>
      <c r="AH34" s="89"/>
      <c r="AI34" s="89"/>
      <c r="AJ34" s="89"/>
      <c r="AK34" s="89"/>
      <c r="AL34" s="89"/>
      <c r="AM34" s="89"/>
      <c r="AN34" s="89"/>
      <c r="AO34" s="196"/>
      <c r="AQ34" s="195" t="s">
        <v>357</v>
      </c>
      <c r="AR34" s="89"/>
      <c r="AS34" s="89"/>
      <c r="AT34" s="89"/>
      <c r="AU34" s="89"/>
      <c r="AV34" s="89"/>
      <c r="AW34" s="89"/>
      <c r="AX34" s="89"/>
      <c r="AY34" s="89"/>
      <c r="AZ34" s="89"/>
      <c r="BA34" s="89"/>
      <c r="BB34" s="89"/>
      <c r="BC34" s="89"/>
      <c r="BD34" s="89"/>
      <c r="BE34" s="89"/>
      <c r="BF34" s="89"/>
      <c r="BG34" s="89"/>
      <c r="BH34" s="89"/>
      <c r="BI34" s="89"/>
      <c r="BJ34" s="196"/>
    </row>
    <row r="35" spans="1:62" ht="18" customHeight="1">
      <c r="A35" s="195" t="s">
        <v>358</v>
      </c>
      <c r="B35" s="89"/>
      <c r="C35" s="89"/>
      <c r="D35" s="89"/>
      <c r="E35" s="89"/>
      <c r="F35" s="89"/>
      <c r="G35" s="89"/>
      <c r="H35" s="89"/>
      <c r="I35" s="89"/>
      <c r="J35" s="89"/>
      <c r="K35" s="89"/>
      <c r="L35" s="89"/>
      <c r="M35" s="89"/>
      <c r="N35" s="89"/>
      <c r="O35" s="89"/>
      <c r="P35" s="89"/>
      <c r="Q35" s="89"/>
      <c r="R35" s="89"/>
      <c r="S35" s="89"/>
      <c r="T35" s="196"/>
      <c r="V35" s="195" t="s">
        <v>358</v>
      </c>
      <c r="W35" s="89"/>
      <c r="X35" s="89"/>
      <c r="Y35" s="89"/>
      <c r="Z35" s="89"/>
      <c r="AA35" s="89"/>
      <c r="AB35" s="89"/>
      <c r="AC35" s="89"/>
      <c r="AD35" s="89"/>
      <c r="AE35" s="89"/>
      <c r="AF35" s="89"/>
      <c r="AG35" s="89"/>
      <c r="AH35" s="89"/>
      <c r="AI35" s="89"/>
      <c r="AJ35" s="89"/>
      <c r="AK35" s="89"/>
      <c r="AL35" s="89"/>
      <c r="AM35" s="89"/>
      <c r="AN35" s="89"/>
      <c r="AO35" s="196"/>
      <c r="AQ35" s="195" t="s">
        <v>358</v>
      </c>
      <c r="AR35" s="89"/>
      <c r="AS35" s="89"/>
      <c r="AT35" s="89"/>
      <c r="AU35" s="89"/>
      <c r="AV35" s="89"/>
      <c r="AW35" s="89"/>
      <c r="AX35" s="89"/>
      <c r="AY35" s="89"/>
      <c r="AZ35" s="89"/>
      <c r="BA35" s="89"/>
      <c r="BB35" s="89"/>
      <c r="BC35" s="89"/>
      <c r="BD35" s="89"/>
      <c r="BE35" s="89"/>
      <c r="BF35" s="89"/>
      <c r="BG35" s="89"/>
      <c r="BH35" s="89"/>
      <c r="BI35" s="89"/>
      <c r="BJ35" s="196"/>
    </row>
    <row r="36" spans="1:62" ht="18" customHeight="1">
      <c r="A36" s="195"/>
      <c r="B36" s="89" t="s">
        <v>359</v>
      </c>
      <c r="C36" s="89"/>
      <c r="D36" s="89"/>
      <c r="E36" s="89"/>
      <c r="F36" s="89"/>
      <c r="G36" s="89"/>
      <c r="H36" s="89"/>
      <c r="I36" s="89"/>
      <c r="J36" s="89"/>
      <c r="K36" s="89"/>
      <c r="L36" s="89"/>
      <c r="M36" s="89"/>
      <c r="N36" s="89"/>
      <c r="O36" s="89"/>
      <c r="P36" s="89"/>
      <c r="Q36" s="89"/>
      <c r="R36" s="89"/>
      <c r="S36" s="89"/>
      <c r="T36" s="196"/>
      <c r="V36" s="195"/>
      <c r="W36" s="89" t="s">
        <v>359</v>
      </c>
      <c r="X36" s="89"/>
      <c r="Y36" s="89"/>
      <c r="Z36" s="89"/>
      <c r="AA36" s="89"/>
      <c r="AB36" s="89"/>
      <c r="AC36" s="89"/>
      <c r="AD36" s="89"/>
      <c r="AE36" s="89"/>
      <c r="AF36" s="89"/>
      <c r="AG36" s="89"/>
      <c r="AH36" s="89"/>
      <c r="AI36" s="89"/>
      <c r="AJ36" s="89"/>
      <c r="AK36" s="89"/>
      <c r="AL36" s="89"/>
      <c r="AM36" s="89"/>
      <c r="AN36" s="89"/>
      <c r="AO36" s="196"/>
      <c r="AQ36" s="195"/>
      <c r="AR36" s="89" t="s">
        <v>359</v>
      </c>
      <c r="AS36" s="89"/>
      <c r="AT36" s="89"/>
      <c r="AU36" s="89"/>
      <c r="AV36" s="89"/>
      <c r="AW36" s="89"/>
      <c r="AX36" s="89"/>
      <c r="AY36" s="89"/>
      <c r="AZ36" s="89"/>
      <c r="BA36" s="89"/>
      <c r="BB36" s="89"/>
      <c r="BC36" s="89"/>
      <c r="BD36" s="89"/>
      <c r="BE36" s="89"/>
      <c r="BF36" s="89"/>
      <c r="BG36" s="89"/>
      <c r="BH36" s="89"/>
      <c r="BI36" s="89"/>
      <c r="BJ36" s="196"/>
    </row>
    <row r="37" spans="1:62" ht="18" customHeight="1">
      <c r="A37" s="195"/>
      <c r="B37" s="89" t="s">
        <v>360</v>
      </c>
      <c r="C37" s="89"/>
      <c r="D37" s="89"/>
      <c r="E37" s="89"/>
      <c r="F37" s="89"/>
      <c r="G37" s="89"/>
      <c r="H37" s="89"/>
      <c r="I37" s="89"/>
      <c r="J37" s="89"/>
      <c r="K37" s="89"/>
      <c r="L37" s="89"/>
      <c r="M37" s="89"/>
      <c r="N37" s="89"/>
      <c r="O37" s="89"/>
      <c r="P37" s="89"/>
      <c r="Q37" s="89"/>
      <c r="R37" s="89"/>
      <c r="S37" s="89"/>
      <c r="T37" s="196"/>
      <c r="V37" s="195"/>
      <c r="W37" s="89" t="s">
        <v>360</v>
      </c>
      <c r="X37" s="89"/>
      <c r="Y37" s="89"/>
      <c r="Z37" s="89"/>
      <c r="AA37" s="89"/>
      <c r="AB37" s="89"/>
      <c r="AC37" s="89"/>
      <c r="AD37" s="89"/>
      <c r="AE37" s="89"/>
      <c r="AF37" s="89"/>
      <c r="AG37" s="89"/>
      <c r="AH37" s="89"/>
      <c r="AI37" s="89"/>
      <c r="AJ37" s="89"/>
      <c r="AK37" s="89"/>
      <c r="AL37" s="89"/>
      <c r="AM37" s="89"/>
      <c r="AN37" s="89"/>
      <c r="AO37" s="196"/>
      <c r="AQ37" s="195"/>
      <c r="AR37" s="89" t="s">
        <v>360</v>
      </c>
      <c r="AS37" s="89"/>
      <c r="AT37" s="89"/>
      <c r="AU37" s="89"/>
      <c r="AV37" s="89"/>
      <c r="AW37" s="89"/>
      <c r="AX37" s="89"/>
      <c r="AY37" s="89"/>
      <c r="AZ37" s="89"/>
      <c r="BA37" s="89"/>
      <c r="BB37" s="89"/>
      <c r="BC37" s="89"/>
      <c r="BD37" s="89"/>
      <c r="BE37" s="89"/>
      <c r="BF37" s="89"/>
      <c r="BG37" s="89"/>
      <c r="BH37" s="89"/>
      <c r="BI37" s="89"/>
      <c r="BJ37" s="196"/>
    </row>
    <row r="38" spans="1:62" ht="18" customHeight="1">
      <c r="A38" s="195" t="s">
        <v>361</v>
      </c>
      <c r="B38" s="89"/>
      <c r="C38" s="89"/>
      <c r="D38" s="89"/>
      <c r="E38" s="89"/>
      <c r="F38" s="89"/>
      <c r="G38" s="89"/>
      <c r="H38" s="89"/>
      <c r="I38" s="89"/>
      <c r="J38" s="89"/>
      <c r="K38" s="89"/>
      <c r="L38" s="89"/>
      <c r="M38" s="89"/>
      <c r="N38" s="89"/>
      <c r="O38" s="89"/>
      <c r="P38" s="89"/>
      <c r="Q38" s="89"/>
      <c r="R38" s="89"/>
      <c r="S38" s="89"/>
      <c r="T38" s="196"/>
      <c r="V38" s="195" t="s">
        <v>361</v>
      </c>
      <c r="W38" s="89"/>
      <c r="X38" s="89"/>
      <c r="Y38" s="89"/>
      <c r="Z38" s="89"/>
      <c r="AA38" s="89"/>
      <c r="AB38" s="89"/>
      <c r="AC38" s="89"/>
      <c r="AD38" s="89"/>
      <c r="AE38" s="89"/>
      <c r="AF38" s="89"/>
      <c r="AG38" s="89"/>
      <c r="AH38" s="89"/>
      <c r="AI38" s="89"/>
      <c r="AJ38" s="89"/>
      <c r="AK38" s="89"/>
      <c r="AL38" s="89"/>
      <c r="AM38" s="89"/>
      <c r="AN38" s="89"/>
      <c r="AO38" s="196"/>
      <c r="AQ38" s="195" t="s">
        <v>361</v>
      </c>
      <c r="AR38" s="89"/>
      <c r="AS38" s="89"/>
      <c r="AT38" s="89"/>
      <c r="AU38" s="89"/>
      <c r="AV38" s="89"/>
      <c r="AW38" s="89"/>
      <c r="AX38" s="89"/>
      <c r="AY38" s="89"/>
      <c r="AZ38" s="89"/>
      <c r="BA38" s="89"/>
      <c r="BB38" s="89"/>
      <c r="BC38" s="89"/>
      <c r="BD38" s="89"/>
      <c r="BE38" s="89"/>
      <c r="BF38" s="89"/>
      <c r="BG38" s="89"/>
      <c r="BH38" s="89"/>
      <c r="BI38" s="89"/>
      <c r="BJ38" s="196"/>
    </row>
    <row r="39" spans="1:62" ht="18" customHeight="1">
      <c r="A39" s="195"/>
      <c r="B39" s="89"/>
      <c r="C39" s="87"/>
      <c r="D39" s="87"/>
      <c r="E39" s="87"/>
      <c r="F39" s="87"/>
      <c r="G39" s="87"/>
      <c r="H39" s="87"/>
      <c r="I39" s="87"/>
      <c r="J39" s="87"/>
      <c r="K39" s="87"/>
      <c r="L39" s="87"/>
      <c r="M39" s="87"/>
      <c r="N39" s="87"/>
      <c r="O39" s="87"/>
      <c r="P39" s="87"/>
      <c r="Q39" s="87"/>
      <c r="R39" s="87"/>
      <c r="S39" s="87"/>
      <c r="T39" s="200"/>
      <c r="V39" s="195"/>
      <c r="W39" s="89"/>
      <c r="X39" s="87"/>
      <c r="Y39" s="87"/>
      <c r="Z39" s="87"/>
      <c r="AA39" s="87"/>
      <c r="AB39" s="87"/>
      <c r="AC39" s="87"/>
      <c r="AD39" s="87"/>
      <c r="AE39" s="87"/>
      <c r="AF39" s="87"/>
      <c r="AG39" s="87"/>
      <c r="AH39" s="87"/>
      <c r="AI39" s="87"/>
      <c r="AJ39" s="87"/>
      <c r="AK39" s="87"/>
      <c r="AL39" s="87"/>
      <c r="AM39" s="87"/>
      <c r="AN39" s="87"/>
      <c r="AO39" s="200"/>
      <c r="AQ39" s="195"/>
      <c r="AR39" s="89"/>
      <c r="AS39" s="87"/>
      <c r="AT39" s="87"/>
      <c r="AU39" s="87"/>
      <c r="AV39" s="87"/>
      <c r="AW39" s="87"/>
      <c r="AX39" s="87"/>
      <c r="AY39" s="87"/>
      <c r="AZ39" s="87"/>
      <c r="BA39" s="87"/>
      <c r="BB39" s="87"/>
      <c r="BC39" s="87"/>
      <c r="BD39" s="87"/>
      <c r="BE39" s="87"/>
      <c r="BF39" s="87"/>
      <c r="BG39" s="87"/>
      <c r="BH39" s="87"/>
      <c r="BI39" s="87"/>
      <c r="BJ39" s="200"/>
    </row>
    <row r="40" spans="1:62" ht="18" customHeight="1">
      <c r="A40" s="195"/>
      <c r="B40" s="89"/>
      <c r="C40" s="89"/>
      <c r="D40" s="89"/>
      <c r="E40" s="89"/>
      <c r="F40" s="89"/>
      <c r="G40" s="89"/>
      <c r="H40" s="89"/>
      <c r="I40" s="89"/>
      <c r="J40" s="89"/>
      <c r="K40" s="89"/>
      <c r="L40" s="89"/>
      <c r="M40" s="89"/>
      <c r="N40" s="89"/>
      <c r="O40" s="89"/>
      <c r="P40" s="89"/>
      <c r="Q40" s="89"/>
      <c r="R40" s="89"/>
      <c r="S40" s="89"/>
      <c r="T40" s="196"/>
      <c r="V40" s="195"/>
      <c r="W40" s="89"/>
      <c r="X40" s="89"/>
      <c r="Y40" s="89"/>
      <c r="Z40" s="89"/>
      <c r="AA40" s="89"/>
      <c r="AB40" s="89"/>
      <c r="AC40" s="89"/>
      <c r="AD40" s="89"/>
      <c r="AE40" s="89"/>
      <c r="AF40" s="89"/>
      <c r="AG40" s="89"/>
      <c r="AH40" s="89"/>
      <c r="AI40" s="89"/>
      <c r="AJ40" s="89"/>
      <c r="AK40" s="89"/>
      <c r="AL40" s="89"/>
      <c r="AM40" s="89"/>
      <c r="AN40" s="89"/>
      <c r="AO40" s="196"/>
      <c r="AQ40" s="195"/>
      <c r="AR40" s="89"/>
      <c r="AS40" s="89"/>
      <c r="AT40" s="89"/>
      <c r="AU40" s="89"/>
      <c r="AV40" s="89"/>
      <c r="AW40" s="89"/>
      <c r="AX40" s="89"/>
      <c r="AY40" s="89"/>
      <c r="AZ40" s="89"/>
      <c r="BA40" s="89"/>
      <c r="BB40" s="89"/>
      <c r="BC40" s="89"/>
      <c r="BD40" s="89"/>
      <c r="BE40" s="89"/>
      <c r="BF40" s="89"/>
      <c r="BG40" s="89"/>
      <c r="BH40" s="89"/>
      <c r="BI40" s="89"/>
      <c r="BJ40" s="196"/>
    </row>
    <row r="41" spans="1:62" ht="18" customHeight="1">
      <c r="A41" s="918" t="s">
        <v>665</v>
      </c>
      <c r="B41" s="919"/>
      <c r="C41" s="919"/>
      <c r="D41" s="919"/>
      <c r="E41" s="919"/>
      <c r="F41" s="919"/>
      <c r="G41" s="919"/>
      <c r="H41" s="919"/>
      <c r="I41" s="919"/>
      <c r="J41" s="919"/>
      <c r="K41" s="919"/>
      <c r="L41" s="919"/>
      <c r="M41" s="919"/>
      <c r="N41" s="919"/>
      <c r="O41" s="919"/>
      <c r="P41" s="919"/>
      <c r="Q41" s="919"/>
      <c r="R41" s="919"/>
      <c r="S41" s="919"/>
      <c r="T41" s="920"/>
      <c r="V41" s="918" t="s">
        <v>665</v>
      </c>
      <c r="W41" s="919"/>
      <c r="X41" s="919"/>
      <c r="Y41" s="919"/>
      <c r="Z41" s="919"/>
      <c r="AA41" s="919"/>
      <c r="AB41" s="919"/>
      <c r="AC41" s="919"/>
      <c r="AD41" s="919"/>
      <c r="AE41" s="919"/>
      <c r="AF41" s="919"/>
      <c r="AG41" s="919"/>
      <c r="AH41" s="919"/>
      <c r="AI41" s="919"/>
      <c r="AJ41" s="919"/>
      <c r="AK41" s="919"/>
      <c r="AL41" s="919"/>
      <c r="AM41" s="919"/>
      <c r="AN41" s="919"/>
      <c r="AO41" s="920"/>
      <c r="AQ41" s="918" t="s">
        <v>665</v>
      </c>
      <c r="AR41" s="919"/>
      <c r="AS41" s="919"/>
      <c r="AT41" s="919"/>
      <c r="AU41" s="919"/>
      <c r="AV41" s="919"/>
      <c r="AW41" s="919"/>
      <c r="AX41" s="919"/>
      <c r="AY41" s="919"/>
      <c r="AZ41" s="919"/>
      <c r="BA41" s="919"/>
      <c r="BB41" s="919"/>
      <c r="BC41" s="919"/>
      <c r="BD41" s="919"/>
      <c r="BE41" s="919"/>
      <c r="BF41" s="919"/>
      <c r="BG41" s="919"/>
      <c r="BH41" s="919"/>
      <c r="BI41" s="919"/>
      <c r="BJ41" s="920"/>
    </row>
    <row r="42" spans="1:62" ht="18" customHeight="1">
      <c r="A42" s="918"/>
      <c r="B42" s="919"/>
      <c r="C42" s="919"/>
      <c r="D42" s="919"/>
      <c r="E42" s="919"/>
      <c r="F42" s="919"/>
      <c r="G42" s="919"/>
      <c r="H42" s="919"/>
      <c r="I42" s="919"/>
      <c r="J42" s="919"/>
      <c r="K42" s="919"/>
      <c r="L42" s="919"/>
      <c r="M42" s="919"/>
      <c r="N42" s="919"/>
      <c r="O42" s="919"/>
      <c r="P42" s="919"/>
      <c r="Q42" s="919"/>
      <c r="R42" s="919"/>
      <c r="S42" s="919"/>
      <c r="T42" s="920"/>
      <c r="V42" s="918"/>
      <c r="W42" s="919"/>
      <c r="X42" s="919"/>
      <c r="Y42" s="919"/>
      <c r="Z42" s="919"/>
      <c r="AA42" s="919"/>
      <c r="AB42" s="919"/>
      <c r="AC42" s="919"/>
      <c r="AD42" s="919"/>
      <c r="AE42" s="919"/>
      <c r="AF42" s="919"/>
      <c r="AG42" s="919"/>
      <c r="AH42" s="919"/>
      <c r="AI42" s="919"/>
      <c r="AJ42" s="919"/>
      <c r="AK42" s="919"/>
      <c r="AL42" s="919"/>
      <c r="AM42" s="919"/>
      <c r="AN42" s="919"/>
      <c r="AO42" s="920"/>
      <c r="AQ42" s="918"/>
      <c r="AR42" s="919"/>
      <c r="AS42" s="919"/>
      <c r="AT42" s="919"/>
      <c r="AU42" s="919"/>
      <c r="AV42" s="919"/>
      <c r="AW42" s="919"/>
      <c r="AX42" s="919"/>
      <c r="AY42" s="919"/>
      <c r="AZ42" s="919"/>
      <c r="BA42" s="919"/>
      <c r="BB42" s="919"/>
      <c r="BC42" s="919"/>
      <c r="BD42" s="919"/>
      <c r="BE42" s="919"/>
      <c r="BF42" s="919"/>
      <c r="BG42" s="919"/>
      <c r="BH42" s="919"/>
      <c r="BI42" s="919"/>
      <c r="BJ42" s="920"/>
    </row>
    <row r="43" spans="1:62" ht="18" customHeight="1">
      <c r="A43" s="918"/>
      <c r="B43" s="919"/>
      <c r="C43" s="919"/>
      <c r="D43" s="919"/>
      <c r="E43" s="919"/>
      <c r="F43" s="919"/>
      <c r="G43" s="919"/>
      <c r="H43" s="919"/>
      <c r="I43" s="919"/>
      <c r="J43" s="919"/>
      <c r="K43" s="919"/>
      <c r="L43" s="919"/>
      <c r="M43" s="919"/>
      <c r="N43" s="919"/>
      <c r="O43" s="919"/>
      <c r="P43" s="919"/>
      <c r="Q43" s="919"/>
      <c r="R43" s="919"/>
      <c r="S43" s="919"/>
      <c r="T43" s="920"/>
      <c r="V43" s="918"/>
      <c r="W43" s="919"/>
      <c r="X43" s="919"/>
      <c r="Y43" s="919"/>
      <c r="Z43" s="919"/>
      <c r="AA43" s="919"/>
      <c r="AB43" s="919"/>
      <c r="AC43" s="919"/>
      <c r="AD43" s="919"/>
      <c r="AE43" s="919"/>
      <c r="AF43" s="919"/>
      <c r="AG43" s="919"/>
      <c r="AH43" s="919"/>
      <c r="AI43" s="919"/>
      <c r="AJ43" s="919"/>
      <c r="AK43" s="919"/>
      <c r="AL43" s="919"/>
      <c r="AM43" s="919"/>
      <c r="AN43" s="919"/>
      <c r="AO43" s="920"/>
      <c r="AQ43" s="918"/>
      <c r="AR43" s="919"/>
      <c r="AS43" s="919"/>
      <c r="AT43" s="919"/>
      <c r="AU43" s="919"/>
      <c r="AV43" s="919"/>
      <c r="AW43" s="919"/>
      <c r="AX43" s="919"/>
      <c r="AY43" s="919"/>
      <c r="AZ43" s="919"/>
      <c r="BA43" s="919"/>
      <c r="BB43" s="919"/>
      <c r="BC43" s="919"/>
      <c r="BD43" s="919"/>
      <c r="BE43" s="919"/>
      <c r="BF43" s="919"/>
      <c r="BG43" s="919"/>
      <c r="BH43" s="919"/>
      <c r="BI43" s="919"/>
      <c r="BJ43" s="920"/>
    </row>
    <row r="44" spans="1:62" ht="18" customHeight="1">
      <c r="A44" s="195"/>
      <c r="B44" s="89"/>
      <c r="C44" s="89"/>
      <c r="D44" s="89"/>
      <c r="E44" s="89"/>
      <c r="F44" s="89"/>
      <c r="G44" s="89"/>
      <c r="H44" s="89"/>
      <c r="I44" s="89"/>
      <c r="J44" s="89"/>
      <c r="K44" s="89"/>
      <c r="L44" s="89"/>
      <c r="M44" s="89"/>
      <c r="N44" s="89"/>
      <c r="O44" s="89"/>
      <c r="P44" s="89"/>
      <c r="Q44" s="89"/>
      <c r="R44" s="89"/>
      <c r="S44" s="89"/>
      <c r="T44" s="196"/>
      <c r="V44" s="195"/>
      <c r="W44" s="89"/>
      <c r="X44" s="89"/>
      <c r="Y44" s="89"/>
      <c r="Z44" s="89"/>
      <c r="AA44" s="89"/>
      <c r="AB44" s="89"/>
      <c r="AC44" s="89"/>
      <c r="AD44" s="89"/>
      <c r="AE44" s="89"/>
      <c r="AF44" s="89"/>
      <c r="AG44" s="89"/>
      <c r="AH44" s="89"/>
      <c r="AI44" s="89"/>
      <c r="AJ44" s="89"/>
      <c r="AK44" s="89"/>
      <c r="AL44" s="89"/>
      <c r="AM44" s="89"/>
      <c r="AN44" s="89"/>
      <c r="AO44" s="196"/>
      <c r="AQ44" s="195"/>
      <c r="AR44" s="89"/>
      <c r="AS44" s="89"/>
      <c r="AT44" s="89"/>
      <c r="AU44" s="89"/>
      <c r="AV44" s="89"/>
      <c r="AW44" s="89"/>
      <c r="AX44" s="89"/>
      <c r="AY44" s="89"/>
      <c r="AZ44" s="89"/>
      <c r="BA44" s="89"/>
      <c r="BB44" s="89"/>
      <c r="BC44" s="89"/>
      <c r="BD44" s="89"/>
      <c r="BE44" s="89"/>
      <c r="BF44" s="89"/>
      <c r="BG44" s="89"/>
      <c r="BH44" s="89"/>
      <c r="BI44" s="89"/>
      <c r="BJ44" s="196"/>
    </row>
    <row r="45" spans="1:62" ht="18" customHeight="1">
      <c r="A45" s="195" t="s">
        <v>362</v>
      </c>
      <c r="B45" s="89"/>
      <c r="C45" s="89"/>
      <c r="D45" s="89"/>
      <c r="E45" s="89"/>
      <c r="F45" s="89"/>
      <c r="G45" s="89"/>
      <c r="H45" s="89"/>
      <c r="I45" s="89"/>
      <c r="J45" s="89"/>
      <c r="K45" s="89"/>
      <c r="L45" s="89"/>
      <c r="M45" s="89"/>
      <c r="N45" s="89"/>
      <c r="O45" s="89"/>
      <c r="P45" s="89"/>
      <c r="Q45" s="89"/>
      <c r="R45" s="89"/>
      <c r="S45" s="89"/>
      <c r="T45" s="196"/>
      <c r="V45" s="195" t="s">
        <v>362</v>
      </c>
      <c r="W45" s="89"/>
      <c r="X45" s="89"/>
      <c r="Y45" s="89"/>
      <c r="Z45" s="89"/>
      <c r="AA45" s="89"/>
      <c r="AB45" s="89"/>
      <c r="AC45" s="89"/>
      <c r="AD45" s="89"/>
      <c r="AE45" s="89"/>
      <c r="AF45" s="89"/>
      <c r="AG45" s="89"/>
      <c r="AH45" s="89"/>
      <c r="AI45" s="89"/>
      <c r="AJ45" s="89"/>
      <c r="AK45" s="89"/>
      <c r="AL45" s="89"/>
      <c r="AM45" s="89"/>
      <c r="AN45" s="89"/>
      <c r="AO45" s="196"/>
      <c r="AQ45" s="195" t="s">
        <v>362</v>
      </c>
      <c r="AR45" s="89"/>
      <c r="AS45" s="89"/>
      <c r="AT45" s="89"/>
      <c r="AU45" s="89"/>
      <c r="AV45" s="89"/>
      <c r="AW45" s="89"/>
      <c r="AX45" s="89"/>
      <c r="AY45" s="89"/>
      <c r="AZ45" s="89"/>
      <c r="BA45" s="89"/>
      <c r="BB45" s="89"/>
      <c r="BC45" s="89"/>
      <c r="BD45" s="89"/>
      <c r="BE45" s="89"/>
      <c r="BF45" s="89"/>
      <c r="BG45" s="89"/>
      <c r="BH45" s="89"/>
      <c r="BI45" s="89"/>
      <c r="BJ45" s="196"/>
    </row>
    <row r="46" spans="1:62" ht="18" customHeight="1">
      <c r="A46" s="195"/>
      <c r="B46" s="89"/>
      <c r="C46" s="89"/>
      <c r="D46" s="89"/>
      <c r="E46" s="89"/>
      <c r="F46" s="89"/>
      <c r="G46" s="89"/>
      <c r="H46" s="89"/>
      <c r="I46" s="89"/>
      <c r="J46" s="89"/>
      <c r="K46" s="89"/>
      <c r="L46" s="89"/>
      <c r="M46" s="89"/>
      <c r="N46" s="89"/>
      <c r="O46" s="89"/>
      <c r="P46" s="89"/>
      <c r="Q46" s="89"/>
      <c r="R46" s="89"/>
      <c r="S46" s="89"/>
      <c r="T46" s="196"/>
      <c r="V46" s="195"/>
      <c r="W46" s="89"/>
      <c r="X46" s="89"/>
      <c r="Y46" s="89"/>
      <c r="Z46" s="89"/>
      <c r="AA46" s="89"/>
      <c r="AB46" s="89"/>
      <c r="AC46" s="89"/>
      <c r="AD46" s="89"/>
      <c r="AE46" s="89"/>
      <c r="AF46" s="89"/>
      <c r="AG46" s="89"/>
      <c r="AH46" s="89"/>
      <c r="AI46" s="89"/>
      <c r="AJ46" s="89"/>
      <c r="AK46" s="89"/>
      <c r="AL46" s="89"/>
      <c r="AM46" s="89"/>
      <c r="AN46" s="89"/>
      <c r="AO46" s="196"/>
      <c r="AQ46" s="195"/>
      <c r="AR46" s="89"/>
      <c r="AS46" s="89"/>
      <c r="AT46" s="89"/>
      <c r="AU46" s="89"/>
      <c r="AV46" s="89"/>
      <c r="AW46" s="89"/>
      <c r="AX46" s="89"/>
      <c r="AY46" s="89"/>
      <c r="AZ46" s="89"/>
      <c r="BA46" s="89"/>
      <c r="BB46" s="89"/>
      <c r="BC46" s="89"/>
      <c r="BD46" s="89"/>
      <c r="BE46" s="89"/>
      <c r="BF46" s="89"/>
      <c r="BG46" s="89"/>
      <c r="BH46" s="89"/>
      <c r="BI46" s="89"/>
      <c r="BJ46" s="196"/>
    </row>
    <row r="47" spans="1:62" ht="18" customHeight="1">
      <c r="A47" s="195"/>
      <c r="B47" s="89"/>
      <c r="C47" s="89"/>
      <c r="D47" s="89"/>
      <c r="E47" s="89"/>
      <c r="F47" s="89"/>
      <c r="G47" s="89"/>
      <c r="H47" s="89"/>
      <c r="I47" s="89"/>
      <c r="J47" s="89"/>
      <c r="K47" s="89"/>
      <c r="L47" s="89"/>
      <c r="M47" s="89"/>
      <c r="N47" s="89"/>
      <c r="O47" s="89"/>
      <c r="P47" s="89"/>
      <c r="Q47" s="89"/>
      <c r="R47" s="89"/>
      <c r="S47" s="89"/>
      <c r="T47" s="196"/>
      <c r="V47" s="195"/>
      <c r="W47" s="89"/>
      <c r="X47" s="89"/>
      <c r="Y47" s="89"/>
      <c r="Z47" s="89"/>
      <c r="AA47" s="89"/>
      <c r="AB47" s="89"/>
      <c r="AC47" s="89"/>
      <c r="AD47" s="89"/>
      <c r="AE47" s="89"/>
      <c r="AF47" s="89"/>
      <c r="AG47" s="89"/>
      <c r="AH47" s="89"/>
      <c r="AI47" s="89"/>
      <c r="AJ47" s="89"/>
      <c r="AK47" s="89"/>
      <c r="AL47" s="89"/>
      <c r="AM47" s="89"/>
      <c r="AN47" s="89"/>
      <c r="AO47" s="196"/>
      <c r="AQ47" s="195"/>
      <c r="AR47" s="89"/>
      <c r="AS47" s="89"/>
      <c r="AT47" s="89"/>
      <c r="AU47" s="89"/>
      <c r="AV47" s="89"/>
      <c r="AW47" s="89"/>
      <c r="AX47" s="89"/>
      <c r="AY47" s="89"/>
      <c r="AZ47" s="89"/>
      <c r="BA47" s="89"/>
      <c r="BB47" s="89"/>
      <c r="BC47" s="89"/>
      <c r="BD47" s="89"/>
      <c r="BE47" s="89"/>
      <c r="BF47" s="89"/>
      <c r="BG47" s="89"/>
      <c r="BH47" s="89"/>
      <c r="BI47" s="89"/>
      <c r="BJ47" s="196"/>
    </row>
    <row r="48" spans="1:62" ht="18" customHeight="1">
      <c r="A48" s="195"/>
      <c r="B48" s="89"/>
      <c r="C48" s="89"/>
      <c r="D48" s="89"/>
      <c r="E48" s="89"/>
      <c r="F48" s="89"/>
      <c r="G48" s="89"/>
      <c r="H48" s="89"/>
      <c r="I48" s="89"/>
      <c r="J48" s="89"/>
      <c r="K48" s="89"/>
      <c r="L48" s="89"/>
      <c r="M48" s="89"/>
      <c r="N48" s="89"/>
      <c r="O48" s="89"/>
      <c r="P48" s="89"/>
      <c r="Q48" s="89"/>
      <c r="R48" s="89"/>
      <c r="S48" s="89"/>
      <c r="T48" s="196"/>
      <c r="V48" s="195"/>
      <c r="W48" s="89"/>
      <c r="X48" s="89"/>
      <c r="Y48" s="89"/>
      <c r="Z48" s="89"/>
      <c r="AA48" s="89"/>
      <c r="AB48" s="89"/>
      <c r="AC48" s="89"/>
      <c r="AD48" s="89"/>
      <c r="AE48" s="89"/>
      <c r="AF48" s="89"/>
      <c r="AG48" s="89"/>
      <c r="AH48" s="89"/>
      <c r="AI48" s="89"/>
      <c r="AJ48" s="89"/>
      <c r="AK48" s="89"/>
      <c r="AL48" s="89"/>
      <c r="AM48" s="89"/>
      <c r="AN48" s="89"/>
      <c r="AO48" s="196"/>
      <c r="AQ48" s="195"/>
      <c r="AR48" s="89"/>
      <c r="AS48" s="89"/>
      <c r="AT48" s="89"/>
      <c r="AU48" s="89"/>
      <c r="AV48" s="89"/>
      <c r="AW48" s="89"/>
      <c r="AX48" s="89"/>
      <c r="AY48" s="89"/>
      <c r="AZ48" s="89"/>
      <c r="BA48" s="89"/>
      <c r="BB48" s="89"/>
      <c r="BC48" s="89"/>
      <c r="BD48" s="89"/>
      <c r="BE48" s="89"/>
      <c r="BF48" s="89"/>
      <c r="BG48" s="89"/>
      <c r="BH48" s="89"/>
      <c r="BI48" s="89"/>
      <c r="BJ48" s="196"/>
    </row>
    <row r="49" spans="1:62" ht="18" customHeight="1">
      <c r="A49" s="201"/>
      <c r="B49" s="87"/>
      <c r="C49" s="87"/>
      <c r="D49" s="87"/>
      <c r="E49" s="87"/>
      <c r="F49" s="87"/>
      <c r="G49" s="87"/>
      <c r="H49" s="89"/>
      <c r="I49" s="89"/>
      <c r="J49" s="89"/>
      <c r="K49" s="89"/>
      <c r="L49" s="89"/>
      <c r="M49" s="87"/>
      <c r="N49" s="87"/>
      <c r="O49" s="87"/>
      <c r="P49" s="87"/>
      <c r="Q49" s="87"/>
      <c r="R49" s="87"/>
      <c r="S49" s="89"/>
      <c r="T49" s="196"/>
      <c r="V49" s="201"/>
      <c r="W49" s="87"/>
      <c r="X49" s="87"/>
      <c r="Y49" s="87"/>
      <c r="Z49" s="87"/>
      <c r="AA49" s="87"/>
      <c r="AB49" s="87"/>
      <c r="AC49" s="89"/>
      <c r="AD49" s="89"/>
      <c r="AE49" s="89"/>
      <c r="AF49" s="89"/>
      <c r="AG49" s="89"/>
      <c r="AH49" s="87"/>
      <c r="AI49" s="87"/>
      <c r="AJ49" s="87"/>
      <c r="AK49" s="87"/>
      <c r="AL49" s="87"/>
      <c r="AM49" s="87"/>
      <c r="AN49" s="89"/>
      <c r="AO49" s="196"/>
      <c r="AQ49" s="201"/>
      <c r="AR49" s="87"/>
      <c r="AS49" s="87"/>
      <c r="AT49" s="87"/>
      <c r="AU49" s="87"/>
      <c r="AV49" s="87"/>
      <c r="AW49" s="87"/>
      <c r="AX49" s="89"/>
      <c r="AY49" s="89"/>
      <c r="AZ49" s="89"/>
      <c r="BA49" s="89"/>
      <c r="BB49" s="89"/>
      <c r="BC49" s="87"/>
      <c r="BD49" s="87"/>
      <c r="BE49" s="87"/>
      <c r="BF49" s="87"/>
      <c r="BG49" s="87"/>
      <c r="BH49" s="87"/>
      <c r="BI49" s="89"/>
      <c r="BJ49" s="196"/>
    </row>
    <row r="50" spans="1:62" ht="18" customHeight="1" thickBot="1">
      <c r="A50" s="202"/>
      <c r="B50" s="203"/>
      <c r="C50" s="204" t="s">
        <v>363</v>
      </c>
      <c r="D50" s="203"/>
      <c r="E50" s="203"/>
      <c r="F50" s="203"/>
      <c r="G50" s="203"/>
      <c r="H50" s="203"/>
      <c r="I50" s="203"/>
      <c r="J50" s="203"/>
      <c r="K50" s="203"/>
      <c r="L50" s="203"/>
      <c r="M50" s="203"/>
      <c r="N50" s="203"/>
      <c r="O50" s="204" t="s">
        <v>364</v>
      </c>
      <c r="P50" s="203"/>
      <c r="Q50" s="203"/>
      <c r="R50" s="203"/>
      <c r="S50" s="203"/>
      <c r="T50" s="205"/>
      <c r="V50" s="202"/>
      <c r="W50" s="203"/>
      <c r="X50" s="204" t="s">
        <v>363</v>
      </c>
      <c r="Y50" s="203"/>
      <c r="Z50" s="203"/>
      <c r="AA50" s="203"/>
      <c r="AB50" s="203"/>
      <c r="AC50" s="203"/>
      <c r="AD50" s="203"/>
      <c r="AE50" s="203"/>
      <c r="AF50" s="203"/>
      <c r="AG50" s="203"/>
      <c r="AH50" s="203"/>
      <c r="AI50" s="203"/>
      <c r="AJ50" s="204" t="s">
        <v>364</v>
      </c>
      <c r="AK50" s="203"/>
      <c r="AL50" s="203"/>
      <c r="AM50" s="203"/>
      <c r="AN50" s="203"/>
      <c r="AO50" s="205"/>
      <c r="AQ50" s="202"/>
      <c r="AR50" s="203"/>
      <c r="AS50" s="204" t="s">
        <v>363</v>
      </c>
      <c r="AT50" s="203"/>
      <c r="AU50" s="203"/>
      <c r="AV50" s="203"/>
      <c r="AW50" s="203"/>
      <c r="AX50" s="203"/>
      <c r="AY50" s="203"/>
      <c r="AZ50" s="203"/>
      <c r="BA50" s="203"/>
      <c r="BB50" s="203"/>
      <c r="BC50" s="203"/>
      <c r="BD50" s="203"/>
      <c r="BE50" s="204" t="s">
        <v>364</v>
      </c>
      <c r="BF50" s="203"/>
      <c r="BG50" s="203"/>
      <c r="BH50" s="203"/>
      <c r="BI50" s="203"/>
      <c r="BJ50" s="205"/>
    </row>
  </sheetData>
  <mergeCells count="98">
    <mergeCell ref="AQ41:BJ43"/>
    <mergeCell ref="AR27:AX27"/>
    <mergeCell ref="AY27:AZ27"/>
    <mergeCell ref="AR28:AX28"/>
    <mergeCell ref="AY28:AZ28"/>
    <mergeCell ref="AR29:BJ29"/>
    <mergeCell ref="AR30:BI30"/>
    <mergeCell ref="AQ21:AV21"/>
    <mergeCell ref="AW21:BA21"/>
    <mergeCell ref="BD21:BH21"/>
    <mergeCell ref="AY23:BF23"/>
    <mergeCell ref="AQ25:AX25"/>
    <mergeCell ref="BE25:BF25"/>
    <mergeCell ref="AQ17:BJ18"/>
    <mergeCell ref="AQ19:AS20"/>
    <mergeCell ref="AT19:AV20"/>
    <mergeCell ref="AW19:AX20"/>
    <mergeCell ref="AY19:BB20"/>
    <mergeCell ref="BC19:BJ20"/>
    <mergeCell ref="AQ11:AS11"/>
    <mergeCell ref="AT11:BJ11"/>
    <mergeCell ref="AQ12:AS12"/>
    <mergeCell ref="AT12:BJ12"/>
    <mergeCell ref="AQ14:AT14"/>
    <mergeCell ref="AU14:AY14"/>
    <mergeCell ref="BA14:BH14"/>
    <mergeCell ref="W29:AO29"/>
    <mergeCell ref="W30:AN30"/>
    <mergeCell ref="V41:AO43"/>
    <mergeCell ref="V1:AO1"/>
    <mergeCell ref="AQ2:BJ4"/>
    <mergeCell ref="AV5:BE5"/>
    <mergeCell ref="AV6:BE6"/>
    <mergeCell ref="AV7:BE7"/>
    <mergeCell ref="AQ10:AS10"/>
    <mergeCell ref="AT10:BJ10"/>
    <mergeCell ref="AD23:AK23"/>
    <mergeCell ref="V25:AC25"/>
    <mergeCell ref="AJ25:AK25"/>
    <mergeCell ref="W27:AC27"/>
    <mergeCell ref="AD27:AE27"/>
    <mergeCell ref="W28:AC28"/>
    <mergeCell ref="AD28:AE28"/>
    <mergeCell ref="V19:X20"/>
    <mergeCell ref="Y19:AA20"/>
    <mergeCell ref="AB19:AC20"/>
    <mergeCell ref="AD19:AG20"/>
    <mergeCell ref="AB21:AF21"/>
    <mergeCell ref="AI21:AM21"/>
    <mergeCell ref="V12:X12"/>
    <mergeCell ref="Y12:AO12"/>
    <mergeCell ref="V14:Y14"/>
    <mergeCell ref="Z14:AD14"/>
    <mergeCell ref="AF14:AM14"/>
    <mergeCell ref="V17:AO18"/>
    <mergeCell ref="A41:T43"/>
    <mergeCell ref="A1:T1"/>
    <mergeCell ref="V2:AO4"/>
    <mergeCell ref="AA5:AJ5"/>
    <mergeCell ref="AA6:AJ6"/>
    <mergeCell ref="AA7:AJ7"/>
    <mergeCell ref="V10:X10"/>
    <mergeCell ref="Y10:AO10"/>
    <mergeCell ref="V11:X11"/>
    <mergeCell ref="Y11:AO11"/>
    <mergeCell ref="B27:H27"/>
    <mergeCell ref="I27:J27"/>
    <mergeCell ref="B29:T29"/>
    <mergeCell ref="B28:S28"/>
    <mergeCell ref="AH19:AO20"/>
    <mergeCell ref="V21:AA21"/>
    <mergeCell ref="A21:F21"/>
    <mergeCell ref="G21:K21"/>
    <mergeCell ref="N21:R21"/>
    <mergeCell ref="I23:P23"/>
    <mergeCell ref="A25:H25"/>
    <mergeCell ref="O25:P25"/>
    <mergeCell ref="A19:C20"/>
    <mergeCell ref="D19:F20"/>
    <mergeCell ref="G19:H20"/>
    <mergeCell ref="I19:L20"/>
    <mergeCell ref="M19:T20"/>
    <mergeCell ref="B30:R30"/>
    <mergeCell ref="AQ1:BJ1"/>
    <mergeCell ref="A2:T4"/>
    <mergeCell ref="F5:O5"/>
    <mergeCell ref="F6:O6"/>
    <mergeCell ref="F7:O7"/>
    <mergeCell ref="A10:C10"/>
    <mergeCell ref="D10:T10"/>
    <mergeCell ref="A11:C11"/>
    <mergeCell ref="D11:T11"/>
    <mergeCell ref="A12:C12"/>
    <mergeCell ref="D12:T12"/>
    <mergeCell ref="A14:D14"/>
    <mergeCell ref="E14:I14"/>
    <mergeCell ref="K14:R14"/>
    <mergeCell ref="A17:T18"/>
  </mergeCells>
  <pageMargins left="0.7" right="0.7" top="0.75" bottom="0.75" header="0.3" footer="0.3"/>
  <pageSetup paperSize="9" scale="27"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Arkusz2"/>
  <dimension ref="B2:BX95"/>
  <sheetViews>
    <sheetView topLeftCell="J22" zoomScale="70" zoomScaleNormal="70" workbookViewId="0">
      <selection activeCell="AC51" sqref="AC51"/>
    </sheetView>
  </sheetViews>
  <sheetFormatPr defaultColWidth="9.140625" defaultRowHeight="21"/>
  <cols>
    <col min="1" max="1" width="15.42578125" style="31" customWidth="1"/>
    <col min="2" max="2" width="16.28515625" style="31" customWidth="1"/>
    <col min="3" max="5" width="9.140625" style="31"/>
    <col min="6" max="13" width="9.42578125" style="31" bestFit="1" customWidth="1"/>
    <col min="14" max="14" width="15.42578125" style="31" bestFit="1" customWidth="1"/>
    <col min="15" max="15" width="19.140625" style="31" customWidth="1"/>
    <col min="16" max="16" width="13" style="31" bestFit="1" customWidth="1"/>
    <col min="17" max="19" width="12.42578125" style="31" bestFit="1" customWidth="1"/>
    <col min="20" max="21" width="9.42578125" style="31" bestFit="1" customWidth="1"/>
    <col min="22" max="22" width="16.85546875" style="31" customWidth="1"/>
    <col min="23" max="23" width="11.42578125" style="31" customWidth="1"/>
    <col min="24" max="24" width="13.7109375" style="31" customWidth="1"/>
    <col min="25" max="25" width="11.42578125" style="31" bestFit="1" customWidth="1"/>
    <col min="26" max="26" width="11.5703125" style="31" bestFit="1" customWidth="1"/>
    <col min="27" max="34" width="11.42578125" style="31" bestFit="1" customWidth="1"/>
    <col min="35" max="35" width="13" style="31" bestFit="1" customWidth="1"/>
    <col min="36" max="37" width="9.140625" style="31"/>
    <col min="38" max="38" width="11.42578125" style="31" bestFit="1" customWidth="1"/>
    <col min="39" max="40" width="9.140625" style="31"/>
    <col min="41" max="41" width="9.140625" style="38"/>
    <col min="42" max="48" width="9.140625" style="31"/>
    <col min="49" max="49" width="9.140625" style="38"/>
    <col min="50" max="53" width="9.140625" style="31"/>
    <col min="54" max="54" width="9.140625" style="38"/>
    <col min="55" max="57" width="9.140625" style="31"/>
    <col min="58" max="58" width="9.140625" style="38"/>
    <col min="59" max="62" width="9.140625" style="31"/>
    <col min="63" max="63" width="9.140625" style="38"/>
    <col min="64" max="67" width="9.140625" style="31"/>
    <col min="68" max="68" width="9.140625" style="38"/>
    <col min="69" max="70" width="9.140625" style="31"/>
    <col min="71" max="71" width="9.140625" style="38"/>
    <col min="72" max="75" width="9.140625" style="31"/>
    <col min="76" max="76" width="9.140625" style="38"/>
    <col min="77" max="16384" width="9.140625" style="31"/>
  </cols>
  <sheetData>
    <row r="2" spans="6:23">
      <c r="M2" s="35" t="s">
        <v>135</v>
      </c>
      <c r="U2" s="36" t="s">
        <v>156</v>
      </c>
      <c r="V2" s="37">
        <v>0.1</v>
      </c>
    </row>
    <row r="3" spans="6:23">
      <c r="F3" s="210" t="s">
        <v>44</v>
      </c>
      <c r="G3" s="35" t="s">
        <v>44</v>
      </c>
      <c r="I3" s="35" t="s">
        <v>117</v>
      </c>
      <c r="J3" s="31">
        <v>0.5</v>
      </c>
      <c r="M3" s="39" t="s">
        <v>46</v>
      </c>
    </row>
    <row r="4" spans="6:23">
      <c r="F4" s="40" t="s">
        <v>45</v>
      </c>
      <c r="G4" s="39" t="s">
        <v>45</v>
      </c>
      <c r="I4" s="39" t="s">
        <v>115</v>
      </c>
      <c r="J4" s="31">
        <v>0.6462</v>
      </c>
    </row>
    <row r="5" spans="6:23">
      <c r="F5" s="32" t="s">
        <v>171</v>
      </c>
      <c r="G5" s="35" t="s">
        <v>299</v>
      </c>
      <c r="R5" s="34" t="s">
        <v>119</v>
      </c>
      <c r="S5" s="41" t="e">
        <f>#REF!</f>
        <v>#REF!</v>
      </c>
    </row>
    <row r="6" spans="6:23">
      <c r="F6" s="35">
        <v>1700</v>
      </c>
      <c r="I6" s="35" t="s">
        <v>121</v>
      </c>
      <c r="P6" s="35" t="s">
        <v>145</v>
      </c>
      <c r="R6" s="34" t="s">
        <v>120</v>
      </c>
      <c r="S6" s="41" t="e">
        <f>#REF!</f>
        <v>#REF!</v>
      </c>
    </row>
    <row r="7" spans="6:23">
      <c r="F7" s="42">
        <v>1950</v>
      </c>
      <c r="I7" s="42" t="s">
        <v>122</v>
      </c>
      <c r="P7" s="42" t="s">
        <v>146</v>
      </c>
      <c r="R7" s="43" t="s">
        <v>221</v>
      </c>
      <c r="S7" s="44" t="e">
        <f>#REF!</f>
        <v>#REF!</v>
      </c>
      <c r="T7" s="44"/>
      <c r="U7" s="44"/>
      <c r="V7" s="44"/>
      <c r="W7" s="44"/>
    </row>
    <row r="8" spans="6:23">
      <c r="F8" s="39">
        <v>2200</v>
      </c>
      <c r="I8" s="39" t="s">
        <v>129</v>
      </c>
      <c r="P8" s="39" t="s">
        <v>147</v>
      </c>
    </row>
    <row r="10" spans="6:23">
      <c r="F10" s="45" t="s">
        <v>172</v>
      </c>
      <c r="G10" s="46"/>
      <c r="H10" s="47"/>
      <c r="P10" s="41"/>
    </row>
    <row r="11" spans="6:23">
      <c r="F11" s="34" t="s">
        <v>54</v>
      </c>
      <c r="G11" s="31">
        <v>30</v>
      </c>
      <c r="H11" s="33">
        <f>1.04/4</f>
        <v>0.26</v>
      </c>
      <c r="P11" s="41"/>
    </row>
    <row r="12" spans="6:23">
      <c r="F12" s="34" t="s">
        <v>52</v>
      </c>
      <c r="G12" s="31">
        <v>40</v>
      </c>
      <c r="H12" s="33">
        <f>1.36/4</f>
        <v>0.34</v>
      </c>
      <c r="P12" s="41"/>
    </row>
    <row r="13" spans="6:23">
      <c r="F13" s="43" t="s">
        <v>53</v>
      </c>
      <c r="G13" s="44">
        <v>60</v>
      </c>
      <c r="H13" s="48">
        <f>2.04/4</f>
        <v>0.51</v>
      </c>
    </row>
    <row r="16" spans="6:23">
      <c r="F16" s="1353" t="s">
        <v>78</v>
      </c>
      <c r="G16" s="1353"/>
      <c r="H16" s="1353"/>
      <c r="I16" s="1353"/>
      <c r="J16" s="1353"/>
      <c r="U16" s="31" t="s">
        <v>189</v>
      </c>
    </row>
    <row r="17" spans="6:35">
      <c r="F17" s="32"/>
      <c r="G17" s="32"/>
      <c r="H17" s="32"/>
      <c r="I17" s="32" t="s">
        <v>49</v>
      </c>
      <c r="J17" s="32" t="s">
        <v>1</v>
      </c>
      <c r="L17" s="45" t="s">
        <v>173</v>
      </c>
      <c r="M17" s="46"/>
      <c r="N17" s="46"/>
      <c r="O17" s="46"/>
      <c r="P17" s="46"/>
      <c r="Q17" s="46"/>
      <c r="R17" s="46"/>
      <c r="S17" s="47"/>
      <c r="U17" s="31" t="str">
        <f>F18</f>
        <v>Pellet</v>
      </c>
      <c r="V17" s="49" t="e">
        <v>#REF!</v>
      </c>
    </row>
    <row r="18" spans="6:35">
      <c r="F18" s="32" t="s">
        <v>141</v>
      </c>
      <c r="G18" s="32">
        <v>1000</v>
      </c>
      <c r="H18" s="32" t="s">
        <v>50</v>
      </c>
      <c r="I18" s="32">
        <v>2.44</v>
      </c>
      <c r="J18" s="32">
        <v>4810</v>
      </c>
      <c r="L18" s="34" t="s">
        <v>138</v>
      </c>
      <c r="M18" s="31">
        <v>18</v>
      </c>
      <c r="N18" s="31" t="s">
        <v>137</v>
      </c>
      <c r="S18" s="33"/>
      <c r="U18" s="31" t="str">
        <f>F19</f>
        <v>Elektryczność</v>
      </c>
      <c r="V18" s="49" t="e">
        <v>#REF!</v>
      </c>
    </row>
    <row r="19" spans="6:35">
      <c r="F19" s="32" t="s">
        <v>48</v>
      </c>
      <c r="G19" s="32">
        <v>1000</v>
      </c>
      <c r="H19" s="32" t="s">
        <v>40</v>
      </c>
      <c r="I19" s="32">
        <v>0.56000000000000005</v>
      </c>
      <c r="J19" s="32">
        <v>1000</v>
      </c>
      <c r="L19" s="34" t="s">
        <v>139</v>
      </c>
      <c r="M19" s="31">
        <v>24</v>
      </c>
      <c r="N19" s="31" t="s">
        <v>137</v>
      </c>
      <c r="R19" s="31">
        <v>8.14</v>
      </c>
      <c r="S19" s="33" t="s">
        <v>142</v>
      </c>
      <c r="U19" s="31" t="str">
        <f>F20</f>
        <v>Gaz</v>
      </c>
      <c r="V19" s="49" t="e">
        <v>#REF!</v>
      </c>
    </row>
    <row r="20" spans="6:35">
      <c r="F20" s="32" t="s">
        <v>43</v>
      </c>
      <c r="G20" s="32">
        <v>1000</v>
      </c>
      <c r="H20" s="32" t="s">
        <v>51</v>
      </c>
      <c r="I20" s="32">
        <v>6.14</v>
      </c>
      <c r="J20" s="32">
        <v>11100</v>
      </c>
      <c r="L20" s="43" t="s">
        <v>140</v>
      </c>
      <c r="M20" s="44">
        <v>18</v>
      </c>
      <c r="N20" s="44" t="s">
        <v>137</v>
      </c>
      <c r="O20" s="44">
        <v>7.8</v>
      </c>
      <c r="P20" s="44" t="s">
        <v>136</v>
      </c>
      <c r="Q20" s="44"/>
      <c r="R20" s="44">
        <v>4.9000000000000004</v>
      </c>
      <c r="S20" s="48" t="s">
        <v>142</v>
      </c>
      <c r="U20" s="31" t="str">
        <f>F23</f>
        <v>Węgiel</v>
      </c>
      <c r="V20" s="49" t="e">
        <v>#REF!</v>
      </c>
    </row>
    <row r="21" spans="6:35">
      <c r="F21" s="32" t="s">
        <v>285</v>
      </c>
      <c r="G21" s="32">
        <v>1000</v>
      </c>
      <c r="H21" s="32" t="s">
        <v>51</v>
      </c>
      <c r="I21" s="32">
        <v>5</v>
      </c>
      <c r="J21" s="32"/>
      <c r="L21" s="32" t="s">
        <v>285</v>
      </c>
      <c r="M21" s="31">
        <v>38</v>
      </c>
      <c r="N21" s="31" t="s">
        <v>286</v>
      </c>
      <c r="U21" s="32" t="s">
        <v>285</v>
      </c>
      <c r="V21" s="49" t="e">
        <f>#REF!/I21*2*1000</f>
        <v>#REF!</v>
      </c>
    </row>
    <row r="22" spans="6:35">
      <c r="F22" s="32" t="s">
        <v>108</v>
      </c>
      <c r="G22" s="32">
        <v>1</v>
      </c>
      <c r="H22" s="32" t="s">
        <v>51</v>
      </c>
      <c r="I22" s="32">
        <v>244</v>
      </c>
      <c r="J22" s="32"/>
      <c r="U22" s="31" t="s">
        <v>42</v>
      </c>
      <c r="V22" s="49" t="e">
        <f>#REF!</f>
        <v>#REF!</v>
      </c>
    </row>
    <row r="23" spans="6:35">
      <c r="F23" s="32" t="s">
        <v>47</v>
      </c>
      <c r="G23" s="32">
        <v>1000</v>
      </c>
      <c r="H23" s="32" t="s">
        <v>50</v>
      </c>
      <c r="I23" s="50">
        <f>J23/F7</f>
        <v>3.4188034188034186</v>
      </c>
      <c r="J23" s="32">
        <f>M19/36*10000</f>
        <v>6666.6666666666661</v>
      </c>
    </row>
    <row r="26" spans="6:35">
      <c r="F26" s="31" t="s">
        <v>121</v>
      </c>
    </row>
    <row r="27" spans="6:35">
      <c r="F27" s="31" t="s">
        <v>122</v>
      </c>
    </row>
    <row r="28" spans="6:35">
      <c r="F28" s="36" t="s">
        <v>175</v>
      </c>
      <c r="G28" s="51"/>
      <c r="I28" s="31" t="s">
        <v>174</v>
      </c>
      <c r="W28" s="31" t="s">
        <v>157</v>
      </c>
      <c r="X28" s="31" t="s">
        <v>158</v>
      </c>
      <c r="Y28" s="31" t="s">
        <v>159</v>
      </c>
      <c r="Z28" s="31" t="s">
        <v>160</v>
      </c>
      <c r="AA28" s="31" t="s">
        <v>161</v>
      </c>
      <c r="AB28" s="31" t="s">
        <v>162</v>
      </c>
      <c r="AC28" s="31" t="s">
        <v>163</v>
      </c>
      <c r="AD28" s="31" t="s">
        <v>164</v>
      </c>
      <c r="AE28" s="31" t="s">
        <v>165</v>
      </c>
      <c r="AF28" s="31" t="s">
        <v>166</v>
      </c>
      <c r="AG28" s="31" t="s">
        <v>167</v>
      </c>
      <c r="AH28" s="31" t="s">
        <v>168</v>
      </c>
    </row>
    <row r="29" spans="6:35">
      <c r="F29" s="45" t="s">
        <v>123</v>
      </c>
      <c r="G29" s="47">
        <v>25</v>
      </c>
      <c r="I29" s="45" t="s">
        <v>126</v>
      </c>
      <c r="J29" s="47">
        <v>100</v>
      </c>
      <c r="U29" s="35">
        <v>2</v>
      </c>
      <c r="V29" s="69" t="s">
        <v>169</v>
      </c>
      <c r="W29" s="50">
        <f>0.108808979791034</f>
        <v>0.108808979791034</v>
      </c>
      <c r="X29" s="50">
        <f>0.0925930033940416</f>
        <v>9.2593003394041598E-2</v>
      </c>
      <c r="Y29" s="50">
        <f>0.0949666141662415</f>
        <v>9.4966614166241498E-2</v>
      </c>
      <c r="Z29" s="50">
        <f>0.0741586991725637</f>
        <v>7.4158699172563694E-2</v>
      </c>
      <c r="AA29" s="50">
        <f>0.0784622551520664</f>
        <v>7.8462255152066396E-2</v>
      </c>
      <c r="AB29" s="50">
        <f>0.0567004591938597</f>
        <v>5.6700459193859701E-2</v>
      </c>
      <c r="AC29" s="50">
        <f>0.050045475720402</f>
        <v>5.0045475720402001E-2</v>
      </c>
      <c r="AD29" s="50">
        <f>0.0541493821957009</f>
        <v>5.4149382195700903E-2</v>
      </c>
      <c r="AE29" s="50">
        <f>0.069234011402205</f>
        <v>6.9234011402205003E-2</v>
      </c>
      <c r="AF29" s="50">
        <f>0.0976286075556246</f>
        <v>9.7628607555624594E-2</v>
      </c>
      <c r="AG29" s="50">
        <f>0.103152243838594</f>
        <v>0.103152243838594</v>
      </c>
      <c r="AH29" s="50">
        <f>0.120100268417667</f>
        <v>0.12010026841766699</v>
      </c>
      <c r="AI29" s="41">
        <f>SUM(W29:AH29)</f>
        <v>1.0000000000000004</v>
      </c>
    </row>
    <row r="30" spans="6:35">
      <c r="F30" s="34" t="s">
        <v>124</v>
      </c>
      <c r="G30" s="33">
        <v>10</v>
      </c>
      <c r="I30" s="34" t="s">
        <v>127</v>
      </c>
      <c r="J30" s="33">
        <v>70</v>
      </c>
      <c r="U30" s="42">
        <v>3</v>
      </c>
      <c r="V30" s="41" t="s">
        <v>222</v>
      </c>
      <c r="W30" s="41">
        <f t="shared" ref="W30:AH30" si="0">1/12</f>
        <v>8.3333333333333329E-2</v>
      </c>
      <c r="X30" s="41">
        <f t="shared" si="0"/>
        <v>8.3333333333333329E-2</v>
      </c>
      <c r="Y30" s="41">
        <f t="shared" si="0"/>
        <v>8.3333333333333329E-2</v>
      </c>
      <c r="Z30" s="41">
        <f t="shared" si="0"/>
        <v>8.3333333333333329E-2</v>
      </c>
      <c r="AA30" s="41">
        <f t="shared" si="0"/>
        <v>8.3333333333333329E-2</v>
      </c>
      <c r="AB30" s="41">
        <f t="shared" si="0"/>
        <v>8.3333333333333329E-2</v>
      </c>
      <c r="AC30" s="41">
        <f t="shared" si="0"/>
        <v>8.3333333333333329E-2</v>
      </c>
      <c r="AD30" s="41">
        <f t="shared" si="0"/>
        <v>8.3333333333333329E-2</v>
      </c>
      <c r="AE30" s="41">
        <f t="shared" si="0"/>
        <v>8.3333333333333329E-2</v>
      </c>
      <c r="AF30" s="41">
        <f t="shared" si="0"/>
        <v>8.3333333333333329E-2</v>
      </c>
      <c r="AG30" s="41">
        <f t="shared" si="0"/>
        <v>8.3333333333333329E-2</v>
      </c>
      <c r="AH30" s="41">
        <f t="shared" si="0"/>
        <v>8.3333333333333329E-2</v>
      </c>
      <c r="AI30" s="41"/>
    </row>
    <row r="31" spans="6:35">
      <c r="F31" s="43" t="s">
        <v>125</v>
      </c>
      <c r="G31" s="48">
        <v>3</v>
      </c>
      <c r="I31" s="43" t="s">
        <v>128</v>
      </c>
      <c r="J31" s="48">
        <v>40</v>
      </c>
      <c r="U31" s="42">
        <v>4</v>
      </c>
      <c r="V31" s="41" t="s">
        <v>191</v>
      </c>
      <c r="W31" s="41">
        <f>W32/$AI$32</f>
        <v>0.21084337349397592</v>
      </c>
      <c r="X31" s="41">
        <f t="shared" ref="X31:AH31" si="1">X32/$AI$32</f>
        <v>0.13855421686746988</v>
      </c>
      <c r="Y31" s="41">
        <f t="shared" si="1"/>
        <v>7.2289156626506021E-2</v>
      </c>
      <c r="Z31" s="41">
        <f t="shared" si="1"/>
        <v>3.614457831325301E-2</v>
      </c>
      <c r="AA31" s="41">
        <f t="shared" si="1"/>
        <v>2.4096385542168676E-2</v>
      </c>
      <c r="AB31" s="41">
        <f t="shared" si="1"/>
        <v>1.8072289156626505E-2</v>
      </c>
      <c r="AC31" s="41">
        <f t="shared" si="1"/>
        <v>1.8072289156626505E-2</v>
      </c>
      <c r="AD31" s="41">
        <f t="shared" si="1"/>
        <v>2.4096385542168676E-2</v>
      </c>
      <c r="AE31" s="41">
        <f t="shared" si="1"/>
        <v>3.614457831325301E-2</v>
      </c>
      <c r="AF31" s="41">
        <f t="shared" si="1"/>
        <v>7.2289156626506021E-2</v>
      </c>
      <c r="AG31" s="41">
        <f t="shared" si="1"/>
        <v>0.13855421686746988</v>
      </c>
      <c r="AH31" s="41">
        <f t="shared" si="1"/>
        <v>0.21084337349397592</v>
      </c>
      <c r="AI31" s="41"/>
    </row>
    <row r="32" spans="6:35">
      <c r="U32" s="42">
        <v>5</v>
      </c>
      <c r="V32" s="41"/>
      <c r="W32" s="41">
        <v>3500</v>
      </c>
      <c r="X32" s="41">
        <v>2300</v>
      </c>
      <c r="Y32" s="41">
        <v>1200</v>
      </c>
      <c r="Z32" s="41">
        <v>600</v>
      </c>
      <c r="AA32" s="41">
        <v>400</v>
      </c>
      <c r="AB32" s="41">
        <v>300</v>
      </c>
      <c r="AC32" s="41">
        <v>300</v>
      </c>
      <c r="AD32" s="41">
        <v>400</v>
      </c>
      <c r="AE32" s="41">
        <v>600</v>
      </c>
      <c r="AF32" s="41">
        <v>1200</v>
      </c>
      <c r="AG32" s="41">
        <v>2300</v>
      </c>
      <c r="AH32" s="41">
        <v>3500</v>
      </c>
      <c r="AI32" s="41">
        <f>SUM(W32:AH32)</f>
        <v>16600</v>
      </c>
    </row>
    <row r="33" spans="2:38">
      <c r="F33" s="1357" t="s">
        <v>154</v>
      </c>
      <c r="G33" s="1357"/>
      <c r="H33" s="1357"/>
      <c r="J33" s="1357" t="s">
        <v>155</v>
      </c>
      <c r="K33" s="1357"/>
      <c r="L33" s="1357"/>
      <c r="U33" s="42">
        <v>6</v>
      </c>
      <c r="V33" s="41" t="s">
        <v>170</v>
      </c>
      <c r="W33" s="41"/>
      <c r="X33" s="41"/>
      <c r="Y33" s="41"/>
      <c r="Z33" s="41"/>
      <c r="AA33" s="41"/>
      <c r="AB33" s="41"/>
      <c r="AC33" s="41"/>
      <c r="AD33" s="41"/>
      <c r="AE33" s="41"/>
      <c r="AF33" s="41"/>
      <c r="AG33" s="41"/>
      <c r="AH33" s="41"/>
      <c r="AI33" s="41"/>
    </row>
    <row r="34" spans="2:38">
      <c r="F34" s="32"/>
      <c r="G34" s="32" t="s">
        <v>57</v>
      </c>
      <c r="H34" s="32"/>
      <c r="J34" s="32"/>
      <c r="K34" s="32" t="s">
        <v>57</v>
      </c>
      <c r="L34" s="32"/>
      <c r="N34" s="32"/>
      <c r="O34" s="32" t="s">
        <v>57</v>
      </c>
      <c r="P34" s="32"/>
      <c r="R34" s="32"/>
      <c r="S34" s="32" t="s">
        <v>57</v>
      </c>
      <c r="T34" s="36"/>
      <c r="U34" s="42">
        <v>7</v>
      </c>
      <c r="V34" s="41"/>
      <c r="W34" s="41" t="s">
        <v>157</v>
      </c>
      <c r="X34" s="41" t="s">
        <v>158</v>
      </c>
      <c r="Y34" s="41" t="s">
        <v>159</v>
      </c>
      <c r="Z34" s="41" t="s">
        <v>160</v>
      </c>
      <c r="AA34" s="41" t="s">
        <v>161</v>
      </c>
      <c r="AB34" s="41" t="s">
        <v>162</v>
      </c>
      <c r="AC34" s="41" t="s">
        <v>163</v>
      </c>
      <c r="AD34" s="41" t="s">
        <v>164</v>
      </c>
      <c r="AE34" s="41" t="s">
        <v>165</v>
      </c>
      <c r="AF34" s="41" t="s">
        <v>166</v>
      </c>
      <c r="AG34" s="41" t="s">
        <v>167</v>
      </c>
      <c r="AH34" s="41" t="s">
        <v>168</v>
      </c>
      <c r="AI34" s="41"/>
    </row>
    <row r="35" spans="2:38">
      <c r="F35" s="32" t="s">
        <v>149</v>
      </c>
      <c r="G35" s="32">
        <f t="shared" ref="G35:G40" si="2">H35/3</f>
        <v>66.666666666666671</v>
      </c>
      <c r="H35" s="32">
        <v>200</v>
      </c>
      <c r="J35" s="32" t="s">
        <v>149</v>
      </c>
      <c r="K35" s="32">
        <v>60</v>
      </c>
      <c r="L35" s="32">
        <v>200</v>
      </c>
      <c r="N35" s="32" t="s">
        <v>149</v>
      </c>
      <c r="O35" s="32">
        <v>60</v>
      </c>
      <c r="P35" s="32">
        <v>200</v>
      </c>
      <c r="R35" s="32" t="s">
        <v>130</v>
      </c>
      <c r="S35" s="32">
        <v>60</v>
      </c>
      <c r="T35" s="36">
        <v>200</v>
      </c>
      <c r="U35" s="42">
        <v>8</v>
      </c>
      <c r="V35" s="69" t="s">
        <v>169</v>
      </c>
      <c r="W35" s="41">
        <f>4*$AI$35/100</f>
        <v>240.50458799999987</v>
      </c>
      <c r="X35" s="41">
        <f>6*$AI$35/100</f>
        <v>360.75688199999973</v>
      </c>
      <c r="Y35" s="41">
        <f>9*$AI$35/100</f>
        <v>541.13532299999974</v>
      </c>
      <c r="Z35" s="41">
        <f>13*$AI$35/100</f>
        <v>781.63991099999953</v>
      </c>
      <c r="AA35" s="41">
        <f>14*$AI$35/100</f>
        <v>841.76605799999948</v>
      </c>
      <c r="AB35" s="41">
        <f>10*$AI$35/100</f>
        <v>601.26146999999969</v>
      </c>
      <c r="AC35" s="41">
        <f>9*$AI$35/100</f>
        <v>541.13532299999974</v>
      </c>
      <c r="AD35" s="41">
        <f>10*$AI$35/100</f>
        <v>601.26146999999969</v>
      </c>
      <c r="AE35" s="41">
        <f>11*$AI$35/100</f>
        <v>661.38761699999964</v>
      </c>
      <c r="AF35" s="41">
        <f>7*$AI$35/100</f>
        <v>420.88302899999974</v>
      </c>
      <c r="AG35" s="41">
        <f t="shared" ref="AG35" si="3">4*$AI$35/100</f>
        <v>240.50458799999987</v>
      </c>
      <c r="AH35" s="41">
        <f>3*$AI$35/100</f>
        <v>180.37844099999987</v>
      </c>
      <c r="AI35" s="1354">
        <f>PV!I126*PV!P67/100</f>
        <v>6012.6146999999964</v>
      </c>
      <c r="AJ35" s="1355"/>
      <c r="AK35" s="1356"/>
      <c r="AL35" s="41"/>
    </row>
    <row r="36" spans="2:38">
      <c r="F36" s="32" t="s">
        <v>150</v>
      </c>
      <c r="G36" s="32">
        <f t="shared" si="2"/>
        <v>43.333333333333336</v>
      </c>
      <c r="H36" s="32">
        <v>130</v>
      </c>
      <c r="J36" s="32" t="s">
        <v>151</v>
      </c>
      <c r="K36" s="32">
        <v>45</v>
      </c>
      <c r="L36" s="32">
        <v>130</v>
      </c>
      <c r="N36" s="32" t="s">
        <v>151</v>
      </c>
      <c r="O36" s="32">
        <v>50</v>
      </c>
      <c r="P36" s="32">
        <v>130</v>
      </c>
      <c r="R36" s="32" t="s">
        <v>131</v>
      </c>
      <c r="S36" s="32">
        <v>50</v>
      </c>
      <c r="T36" s="36">
        <v>130</v>
      </c>
      <c r="U36" s="42">
        <v>9</v>
      </c>
      <c r="V36" s="41" t="s">
        <v>222</v>
      </c>
      <c r="W36" s="41">
        <v>87.87849839572192</v>
      </c>
      <c r="X36" s="41">
        <v>115.3686953297682</v>
      </c>
      <c r="Y36" s="41">
        <v>186.12215301247778</v>
      </c>
      <c r="Z36" s="41">
        <v>154.76598088187208</v>
      </c>
      <c r="AA36" s="41">
        <v>163.74731509996468</v>
      </c>
      <c r="AB36" s="41">
        <v>118.33139310022896</v>
      </c>
      <c r="AC36" s="41">
        <v>104.44273193823028</v>
      </c>
      <c r="AD36" s="41">
        <v>113.00740632146278</v>
      </c>
      <c r="AE36" s="41">
        <v>144.48837162199305</v>
      </c>
      <c r="AF36" s="41">
        <v>142.40823329768264</v>
      </c>
      <c r="AG36" s="41">
        <v>76.612024242424297</v>
      </c>
      <c r="AH36" s="41">
        <v>63.092255258467105</v>
      </c>
      <c r="AI36" s="41">
        <f>SUM(W36:AH36)</f>
        <v>1470.2650585002939</v>
      </c>
    </row>
    <row r="37" spans="2:38">
      <c r="F37" s="32" t="s">
        <v>151</v>
      </c>
      <c r="G37" s="32">
        <f t="shared" si="2"/>
        <v>33.333333333333336</v>
      </c>
      <c r="H37" s="32">
        <v>100</v>
      </c>
      <c r="J37" s="32" t="s">
        <v>196</v>
      </c>
      <c r="K37" s="32">
        <v>35</v>
      </c>
      <c r="L37" s="32">
        <v>100</v>
      </c>
      <c r="N37" s="32" t="s">
        <v>196</v>
      </c>
      <c r="O37" s="32">
        <v>40</v>
      </c>
      <c r="P37" s="32">
        <v>100</v>
      </c>
      <c r="R37" s="32" t="s">
        <v>132</v>
      </c>
      <c r="S37" s="32">
        <v>40</v>
      </c>
      <c r="T37" s="36">
        <v>100</v>
      </c>
      <c r="U37" s="42">
        <v>10</v>
      </c>
      <c r="V37" s="41" t="s">
        <v>191</v>
      </c>
      <c r="W37" s="41">
        <v>87.87849839572192</v>
      </c>
      <c r="X37" s="41">
        <v>115.3686953297682</v>
      </c>
      <c r="Y37" s="41">
        <v>186.12215301247778</v>
      </c>
      <c r="Z37" s="41">
        <v>263.18483622103372</v>
      </c>
      <c r="AA37" s="41">
        <v>278.50724106951924</v>
      </c>
      <c r="AB37" s="41">
        <v>207.07993792540066</v>
      </c>
      <c r="AC37" s="41">
        <v>182.77478089190299</v>
      </c>
      <c r="AD37" s="41">
        <v>197.76296106255987</v>
      </c>
      <c r="AE37" s="41">
        <v>207.75378338680935</v>
      </c>
      <c r="AF37" s="41">
        <v>142.40823329768264</v>
      </c>
      <c r="AG37" s="41">
        <v>76.612024242424297</v>
      </c>
      <c r="AH37" s="41">
        <v>63.092255258467105</v>
      </c>
      <c r="AI37" s="41"/>
    </row>
    <row r="38" spans="2:38">
      <c r="F38" s="32" t="s">
        <v>152</v>
      </c>
      <c r="G38" s="32">
        <f t="shared" si="2"/>
        <v>20</v>
      </c>
      <c r="H38" s="32">
        <v>60</v>
      </c>
      <c r="J38" s="32" t="s">
        <v>153</v>
      </c>
      <c r="K38" s="32">
        <v>21</v>
      </c>
      <c r="L38" s="32">
        <v>60</v>
      </c>
      <c r="N38" s="32" t="s">
        <v>153</v>
      </c>
      <c r="O38" s="32">
        <v>30</v>
      </c>
      <c r="P38" s="32">
        <v>60</v>
      </c>
      <c r="R38" s="32" t="s">
        <v>133</v>
      </c>
      <c r="S38" s="32">
        <v>30</v>
      </c>
      <c r="T38" s="36">
        <v>60</v>
      </c>
      <c r="U38" s="42">
        <v>11</v>
      </c>
      <c r="V38" s="41"/>
    </row>
    <row r="39" spans="2:38">
      <c r="F39" s="32" t="s">
        <v>153</v>
      </c>
      <c r="G39" s="32">
        <f t="shared" si="2"/>
        <v>16.666666666666668</v>
      </c>
      <c r="H39" s="32">
        <v>50</v>
      </c>
      <c r="J39" s="32" t="s">
        <v>195</v>
      </c>
      <c r="K39" s="32">
        <v>15</v>
      </c>
      <c r="L39" s="32">
        <v>50</v>
      </c>
      <c r="N39" s="32" t="s">
        <v>195</v>
      </c>
      <c r="O39" s="32">
        <v>20</v>
      </c>
      <c r="P39" s="32">
        <v>50</v>
      </c>
      <c r="R39" s="32" t="s">
        <v>134</v>
      </c>
      <c r="S39" s="32">
        <v>20</v>
      </c>
      <c r="T39" s="36">
        <v>50</v>
      </c>
      <c r="U39" s="42">
        <v>12</v>
      </c>
      <c r="V39" s="41"/>
    </row>
    <row r="40" spans="2:38">
      <c r="F40" s="32" t="s">
        <v>59</v>
      </c>
      <c r="G40" s="32">
        <f t="shared" si="2"/>
        <v>13.333333333333334</v>
      </c>
      <c r="H40" s="32">
        <v>40</v>
      </c>
      <c r="J40" s="32" t="s">
        <v>59</v>
      </c>
      <c r="K40" s="32">
        <v>9</v>
      </c>
      <c r="L40" s="32">
        <v>40</v>
      </c>
      <c r="N40" s="32" t="s">
        <v>59</v>
      </c>
      <c r="O40" s="32">
        <v>25</v>
      </c>
      <c r="P40" s="32">
        <v>40</v>
      </c>
      <c r="R40" s="32" t="s">
        <v>59</v>
      </c>
      <c r="S40" s="32">
        <v>25</v>
      </c>
      <c r="T40" s="36">
        <v>40</v>
      </c>
      <c r="U40" s="39">
        <v>13</v>
      </c>
      <c r="V40" s="41"/>
    </row>
    <row r="41" spans="2:38">
      <c r="F41" s="32" t="s">
        <v>58</v>
      </c>
      <c r="G41" s="32">
        <v>2.5</v>
      </c>
      <c r="H41" s="32">
        <v>10</v>
      </c>
      <c r="J41" s="32" t="s">
        <v>58</v>
      </c>
      <c r="K41" s="32">
        <v>2.5</v>
      </c>
      <c r="L41" s="32">
        <v>10</v>
      </c>
      <c r="N41" s="32" t="s">
        <v>58</v>
      </c>
      <c r="O41" s="32">
        <v>10</v>
      </c>
      <c r="P41" s="32">
        <v>10</v>
      </c>
      <c r="R41" s="32" t="s">
        <v>58</v>
      </c>
      <c r="S41" s="32">
        <v>10</v>
      </c>
      <c r="T41" s="36">
        <v>10</v>
      </c>
      <c r="V41" s="41"/>
    </row>
    <row r="42" spans="2:38">
      <c r="V42" s="41"/>
    </row>
    <row r="43" spans="2:38">
      <c r="V43" s="41"/>
    </row>
    <row r="44" spans="2:38">
      <c r="V44" s="41"/>
    </row>
    <row r="45" spans="2:38">
      <c r="I45" s="35" t="s">
        <v>176</v>
      </c>
      <c r="V45" s="41"/>
    </row>
    <row r="46" spans="2:38">
      <c r="F46" s="1353" t="s">
        <v>76</v>
      </c>
      <c r="G46" s="1353"/>
      <c r="I46" s="42" t="s">
        <v>88</v>
      </c>
      <c r="N46" s="31" t="s">
        <v>117</v>
      </c>
      <c r="O46" s="52">
        <v>0.08</v>
      </c>
    </row>
    <row r="47" spans="2:38">
      <c r="B47" s="116">
        <v>0</v>
      </c>
      <c r="C47" s="114">
        <v>-90</v>
      </c>
      <c r="F47" s="32">
        <v>0</v>
      </c>
      <c r="G47" s="32">
        <v>894</v>
      </c>
      <c r="I47" s="42" t="s">
        <v>90</v>
      </c>
      <c r="N47" s="31" t="s">
        <v>115</v>
      </c>
      <c r="O47" s="52">
        <v>0.23</v>
      </c>
      <c r="T47" s="31" t="s">
        <v>34</v>
      </c>
      <c r="U47" s="31" t="e">
        <v>#N/A</v>
      </c>
      <c r="Z47" s="31" t="s">
        <v>27</v>
      </c>
      <c r="AA47" s="31" t="s">
        <v>1</v>
      </c>
      <c r="AB47" s="31">
        <v>6.8999999999999995</v>
      </c>
      <c r="AC47" s="31">
        <v>6</v>
      </c>
    </row>
    <row r="48" spans="2:38">
      <c r="B48" s="117">
        <v>5</v>
      </c>
      <c r="C48" s="114">
        <v>-85</v>
      </c>
      <c r="F48" s="32">
        <v>10</v>
      </c>
      <c r="G48" s="32">
        <v>961</v>
      </c>
      <c r="I48" s="42" t="s">
        <v>91</v>
      </c>
      <c r="T48" s="31" t="s">
        <v>35</v>
      </c>
      <c r="U48" s="31">
        <v>1.0309999999999999</v>
      </c>
      <c r="Z48" s="31" t="s">
        <v>28</v>
      </c>
      <c r="AA48" s="31" t="s">
        <v>29</v>
      </c>
      <c r="AB48" s="31">
        <v>82.8</v>
      </c>
      <c r="AC48" s="31">
        <v>72</v>
      </c>
      <c r="AI48" s="31">
        <f>AC51*W29</f>
        <v>232.75660024864669</v>
      </c>
    </row>
    <row r="49" spans="2:32">
      <c r="B49" s="116">
        <v>10</v>
      </c>
      <c r="C49" s="114">
        <v>-80</v>
      </c>
      <c r="F49" s="32">
        <v>15</v>
      </c>
      <c r="G49" s="32">
        <v>987</v>
      </c>
      <c r="I49" s="39" t="s">
        <v>89</v>
      </c>
      <c r="N49" s="35" t="s">
        <v>184</v>
      </c>
      <c r="T49" s="31" t="s">
        <v>20</v>
      </c>
      <c r="U49" s="31">
        <v>0.94</v>
      </c>
      <c r="Z49" s="31" t="s">
        <v>26</v>
      </c>
      <c r="AA49" s="31" t="s">
        <v>2</v>
      </c>
      <c r="AB49" s="31">
        <v>147.85714285714283</v>
      </c>
      <c r="AC49" s="31">
        <v>128.57142857142856</v>
      </c>
    </row>
    <row r="50" spans="2:32">
      <c r="B50" s="117">
        <v>15</v>
      </c>
      <c r="C50" s="114">
        <v>-75</v>
      </c>
      <c r="F50" s="32">
        <v>20</v>
      </c>
      <c r="G50" s="32">
        <v>1007</v>
      </c>
      <c r="I50" s="31" t="s">
        <v>217</v>
      </c>
      <c r="N50" s="42" t="s">
        <v>291</v>
      </c>
      <c r="V50" s="41"/>
      <c r="Z50" s="31" t="s">
        <v>30</v>
      </c>
      <c r="AA50" s="31" t="s">
        <v>2</v>
      </c>
      <c r="AB50" s="31">
        <v>12.321428571428569</v>
      </c>
      <c r="AC50" s="31">
        <v>10.714285714285714</v>
      </c>
    </row>
    <row r="51" spans="2:32">
      <c r="B51" s="116">
        <v>20</v>
      </c>
      <c r="C51" s="114">
        <v>-70</v>
      </c>
      <c r="F51" s="32">
        <v>25</v>
      </c>
      <c r="G51" s="32">
        <v>1021</v>
      </c>
      <c r="I51" s="35" t="s">
        <v>177</v>
      </c>
      <c r="N51" s="42" t="s">
        <v>292</v>
      </c>
      <c r="T51" s="32" t="s">
        <v>99</v>
      </c>
      <c r="V51" s="41"/>
      <c r="Z51" s="31" t="s">
        <v>106</v>
      </c>
      <c r="AA51" s="31" t="s">
        <v>4</v>
      </c>
      <c r="AB51" s="31">
        <f>PV!$P$64*1000</f>
        <v>13320</v>
      </c>
      <c r="AC51" s="31">
        <v>2139.130434782609</v>
      </c>
    </row>
    <row r="52" spans="2:32">
      <c r="B52" s="117">
        <v>25</v>
      </c>
      <c r="C52" s="114">
        <v>-65</v>
      </c>
      <c r="F52" s="32">
        <v>30</v>
      </c>
      <c r="G52" s="32">
        <v>1029</v>
      </c>
      <c r="I52" s="42" t="s">
        <v>101</v>
      </c>
      <c r="N52" s="42" t="s">
        <v>113</v>
      </c>
      <c r="P52" s="49"/>
      <c r="T52" s="31" t="s">
        <v>181</v>
      </c>
      <c r="V52" s="41"/>
      <c r="W52" s="41"/>
      <c r="AD52" s="31">
        <v>-50</v>
      </c>
      <c r="AE52" s="41" t="e">
        <v>#REF!</v>
      </c>
      <c r="AF52" s="31">
        <v>100</v>
      </c>
    </row>
    <row r="53" spans="2:32">
      <c r="B53" s="116">
        <v>30</v>
      </c>
      <c r="C53" s="114">
        <v>-60</v>
      </c>
      <c r="F53" s="32">
        <v>35</v>
      </c>
      <c r="G53" s="32">
        <v>1031</v>
      </c>
      <c r="I53" s="42" t="s">
        <v>202</v>
      </c>
      <c r="N53" s="39" t="s">
        <v>114</v>
      </c>
      <c r="T53" s="53">
        <v>0.35309230851258067</v>
      </c>
    </row>
    <row r="54" spans="2:32">
      <c r="B54" s="117">
        <v>35</v>
      </c>
      <c r="C54" s="114">
        <v>-55</v>
      </c>
      <c r="F54" s="32">
        <v>40</v>
      </c>
      <c r="G54" s="32">
        <v>1026</v>
      </c>
      <c r="I54" s="42" t="s">
        <v>102</v>
      </c>
      <c r="N54" s="42" t="s">
        <v>291</v>
      </c>
      <c r="O54" s="54"/>
      <c r="P54" s="54"/>
      <c r="Q54" s="55"/>
      <c r="R54" s="51"/>
    </row>
    <row r="55" spans="2:32">
      <c r="B55" s="116">
        <v>40</v>
      </c>
      <c r="C55" s="114">
        <v>-50</v>
      </c>
      <c r="F55" s="32">
        <v>45</v>
      </c>
      <c r="G55" s="32">
        <v>1016</v>
      </c>
      <c r="I55" s="42" t="s">
        <v>103</v>
      </c>
      <c r="N55" s="45" t="s">
        <v>182</v>
      </c>
      <c r="O55" s="56">
        <v>26294.189063999995</v>
      </c>
      <c r="P55" s="46"/>
      <c r="Q55" s="46" t="s">
        <v>185</v>
      </c>
      <c r="R55" s="57">
        <f>O55*0.18/12</f>
        <v>394.41283595999994</v>
      </c>
    </row>
    <row r="56" spans="2:32">
      <c r="B56" s="117">
        <v>45</v>
      </c>
      <c r="C56" s="114">
        <v>-45</v>
      </c>
      <c r="F56" s="32">
        <v>50</v>
      </c>
      <c r="G56" s="32">
        <v>999</v>
      </c>
      <c r="I56" s="42" t="s">
        <v>104</v>
      </c>
      <c r="N56" s="34" t="s">
        <v>183</v>
      </c>
      <c r="O56" s="49">
        <f>P58-O55</f>
        <v>2103.5351251200154</v>
      </c>
      <c r="R56" s="58">
        <f>INT(O55/R55/12)</f>
        <v>5</v>
      </c>
    </row>
    <row r="57" spans="2:32">
      <c r="B57" s="116">
        <v>50</v>
      </c>
      <c r="C57" s="114">
        <v>-40</v>
      </c>
      <c r="F57" s="32">
        <v>55</v>
      </c>
      <c r="G57" s="32">
        <v>977</v>
      </c>
      <c r="I57" s="39" t="s">
        <v>105</v>
      </c>
      <c r="N57" s="34" t="s">
        <v>21</v>
      </c>
      <c r="O57" s="49">
        <v>0</v>
      </c>
      <c r="Q57" s="31" t="s">
        <v>6</v>
      </c>
      <c r="R57" s="33" t="s">
        <v>7</v>
      </c>
      <c r="S57" s="31">
        <v>4</v>
      </c>
    </row>
    <row r="58" spans="2:32">
      <c r="B58" s="117">
        <v>55</v>
      </c>
      <c r="C58" s="114">
        <v>-35</v>
      </c>
      <c r="F58" s="32">
        <v>60</v>
      </c>
      <c r="G58" s="32">
        <v>948</v>
      </c>
      <c r="N58" s="34" t="s">
        <v>679</v>
      </c>
      <c r="O58" s="49">
        <v>28397.72418912001</v>
      </c>
      <c r="P58" s="41">
        <v>28397.72418912001</v>
      </c>
      <c r="Q58" s="59" t="s">
        <v>680</v>
      </c>
      <c r="R58" s="33">
        <v>0</v>
      </c>
      <c r="S58" s="31">
        <v>5</v>
      </c>
    </row>
    <row r="59" spans="2:32">
      <c r="B59" s="116">
        <v>60</v>
      </c>
      <c r="C59" s="114">
        <v>-30</v>
      </c>
      <c r="F59" s="32">
        <v>90</v>
      </c>
      <c r="G59" s="32">
        <v>670</v>
      </c>
      <c r="N59" s="34" t="s">
        <v>680</v>
      </c>
      <c r="O59" s="49">
        <v>0</v>
      </c>
      <c r="R59" s="33"/>
      <c r="S59" s="31">
        <v>6</v>
      </c>
    </row>
    <row r="60" spans="2:32">
      <c r="B60" s="117">
        <v>65</v>
      </c>
      <c r="C60" s="114">
        <v>-25</v>
      </c>
      <c r="F60" s="32" t="s">
        <v>100</v>
      </c>
      <c r="G60" s="32">
        <v>1029</v>
      </c>
      <c r="N60" s="34"/>
      <c r="O60" s="60" t="e">
        <f>PMT(Q58/12,R58*12,O58,0,0)</f>
        <v>#VALUE!</v>
      </c>
      <c r="P60" s="60" t="e">
        <f>PMT(Q58/12,R58*12,P58,0,0)</f>
        <v>#VALUE!</v>
      </c>
      <c r="Q60" s="31" t="s">
        <v>110</v>
      </c>
      <c r="R60" s="33"/>
      <c r="S60" s="31">
        <v>7</v>
      </c>
      <c r="V60" s="36" t="s">
        <v>180</v>
      </c>
      <c r="W60" s="54"/>
      <c r="X60" s="51"/>
      <c r="Y60" s="31" t="s">
        <v>189</v>
      </c>
    </row>
    <row r="61" spans="2:32">
      <c r="B61" s="116">
        <v>70</v>
      </c>
      <c r="C61" s="114">
        <v>-20</v>
      </c>
      <c r="N61" s="34"/>
      <c r="O61" s="60" t="e">
        <f>O60*12</f>
        <v>#VALUE!</v>
      </c>
      <c r="P61" s="60" t="e">
        <f>P60*12</f>
        <v>#VALUE!</v>
      </c>
      <c r="Q61" s="31" t="s">
        <v>111</v>
      </c>
      <c r="R61" s="33"/>
      <c r="S61" s="31">
        <v>8</v>
      </c>
      <c r="V61" s="45"/>
      <c r="W61" s="46"/>
      <c r="X61" s="47">
        <v>0.9</v>
      </c>
    </row>
    <row r="62" spans="2:32">
      <c r="B62" s="117">
        <v>75</v>
      </c>
      <c r="C62" s="114">
        <v>-15</v>
      </c>
      <c r="F62" s="1353" t="s">
        <v>77</v>
      </c>
      <c r="G62" s="1353"/>
      <c r="N62" s="34"/>
      <c r="O62" s="60" t="e">
        <f>O60*R58*12-O59</f>
        <v>#VALUE!</v>
      </c>
      <c r="P62" s="41" t="e">
        <f>P60*R58*12</f>
        <v>#VALUE!</v>
      </c>
      <c r="Q62" s="31" t="s">
        <v>112</v>
      </c>
      <c r="R62" s="33"/>
      <c r="S62" s="31">
        <v>9</v>
      </c>
      <c r="V62" s="34"/>
      <c r="W62" s="31">
        <v>1.2</v>
      </c>
      <c r="X62" s="33">
        <f>W62-X61</f>
        <v>0.29999999999999993</v>
      </c>
    </row>
    <row r="63" spans="2:32">
      <c r="B63" s="116">
        <v>80</v>
      </c>
      <c r="C63" s="114">
        <v>-10</v>
      </c>
      <c r="F63" s="32" t="s">
        <v>19</v>
      </c>
      <c r="G63" s="32">
        <v>582</v>
      </c>
      <c r="I63" s="45" t="s">
        <v>178</v>
      </c>
      <c r="J63" s="47"/>
      <c r="N63" s="34"/>
      <c r="O63" s="31" t="s">
        <v>186</v>
      </c>
      <c r="R63" s="33"/>
      <c r="S63" s="31">
        <v>10</v>
      </c>
      <c r="V63" s="34">
        <v>110</v>
      </c>
      <c r="W63" s="31">
        <v>1.5</v>
      </c>
      <c r="X63" s="33">
        <f>W63-W62</f>
        <v>0.30000000000000004</v>
      </c>
    </row>
    <row r="64" spans="2:32">
      <c r="B64" s="117">
        <v>85</v>
      </c>
      <c r="C64" s="114">
        <v>-5</v>
      </c>
      <c r="F64" s="32" t="s">
        <v>12</v>
      </c>
      <c r="G64" s="32">
        <v>652</v>
      </c>
      <c r="I64" s="34" t="s">
        <v>93</v>
      </c>
      <c r="J64" s="33"/>
      <c r="N64" s="34"/>
      <c r="O64" s="52">
        <v>0</v>
      </c>
      <c r="R64" s="33"/>
      <c r="S64" s="31">
        <v>11</v>
      </c>
      <c r="V64" s="34">
        <f>W64</f>
        <v>50</v>
      </c>
      <c r="W64" s="31">
        <v>50</v>
      </c>
      <c r="X64" s="33"/>
    </row>
    <row r="65" spans="2:24">
      <c r="B65" s="116">
        <v>90</v>
      </c>
      <c r="C65" s="115">
        <v>0</v>
      </c>
      <c r="F65" s="32" t="s">
        <v>9</v>
      </c>
      <c r="G65" s="32">
        <v>819</v>
      </c>
      <c r="I65" s="34">
        <v>6.1038729438072803</v>
      </c>
      <c r="J65" s="33" t="s">
        <v>86</v>
      </c>
      <c r="N65" s="43"/>
      <c r="O65" s="61" t="e">
        <f>O62*O64</f>
        <v>#VALUE!</v>
      </c>
      <c r="P65" s="61" t="e">
        <f>O62-O65-O61*R58/2</f>
        <v>#VALUE!</v>
      </c>
      <c r="Q65" s="61" t="e">
        <f>-PMT(Q58/12,R58*12,P65,0,0)</f>
        <v>#VALUE!</v>
      </c>
      <c r="R65" s="48"/>
      <c r="S65" s="31">
        <v>12</v>
      </c>
      <c r="V65" s="34"/>
      <c r="X65" s="33"/>
    </row>
    <row r="66" spans="2:24">
      <c r="F66" s="32" t="s">
        <v>11</v>
      </c>
      <c r="G66" s="32">
        <v>966</v>
      </c>
      <c r="I66" s="34" t="s">
        <v>94</v>
      </c>
      <c r="J66" s="33"/>
      <c r="O66" s="49">
        <f>SUM(O56:O59)</f>
        <v>30501.259314240026</v>
      </c>
      <c r="R66" s="62">
        <v>0.03</v>
      </c>
      <c r="V66" s="34"/>
      <c r="W66" s="31">
        <v>1</v>
      </c>
      <c r="X66" s="33">
        <v>1.6525787784799999</v>
      </c>
    </row>
    <row r="67" spans="2:24">
      <c r="F67" s="213" t="s">
        <v>10</v>
      </c>
      <c r="G67" s="32">
        <v>1031</v>
      </c>
      <c r="I67" s="43">
        <v>61.038729438072806</v>
      </c>
      <c r="J67" s="48" t="s">
        <v>56</v>
      </c>
      <c r="R67" s="62">
        <v>4.2000000000000003E-2</v>
      </c>
      <c r="V67" s="43"/>
      <c r="W67" s="44">
        <v>45</v>
      </c>
      <c r="X67" s="48">
        <f>X66</f>
        <v>1.6525787784799999</v>
      </c>
    </row>
    <row r="68" spans="2:24">
      <c r="F68" s="32" t="s">
        <v>301</v>
      </c>
      <c r="G68" s="32">
        <v>983</v>
      </c>
      <c r="N68" s="31" t="s">
        <v>293</v>
      </c>
      <c r="P68" s="60"/>
    </row>
    <row r="69" spans="2:24">
      <c r="F69" s="32" t="s">
        <v>13</v>
      </c>
      <c r="G69" s="32">
        <v>839</v>
      </c>
      <c r="K69" s="32" t="s">
        <v>118</v>
      </c>
      <c r="N69" s="31" t="s">
        <v>294</v>
      </c>
      <c r="O69" s="73">
        <v>28397.72418912001</v>
      </c>
      <c r="S69" s="31">
        <v>15</v>
      </c>
    </row>
    <row r="70" spans="2:24">
      <c r="F70" s="32" t="s">
        <v>14</v>
      </c>
      <c r="G70" s="32">
        <v>663</v>
      </c>
      <c r="I70" s="63">
        <v>1</v>
      </c>
      <c r="K70" s="32">
        <v>0.36696428571428563</v>
      </c>
      <c r="L70" s="31">
        <v>0.17</v>
      </c>
      <c r="N70" s="31" t="s">
        <v>6</v>
      </c>
      <c r="O70" s="74">
        <v>4.2000000000000003E-2</v>
      </c>
      <c r="R70" s="49"/>
      <c r="S70" s="31">
        <v>40</v>
      </c>
    </row>
    <row r="71" spans="2:24">
      <c r="F71" s="32" t="s">
        <v>15</v>
      </c>
      <c r="G71" s="32">
        <v>920</v>
      </c>
      <c r="I71" s="63">
        <v>3</v>
      </c>
      <c r="K71" s="32">
        <v>0.20549999999999999</v>
      </c>
      <c r="L71" s="31">
        <f>L70/1.18</f>
        <v>0.1440677966101695</v>
      </c>
      <c r="N71" s="31" t="s">
        <v>295</v>
      </c>
      <c r="O71" s="31">
        <f>R58</f>
        <v>0</v>
      </c>
      <c r="S71" s="31">
        <v>45</v>
      </c>
    </row>
    <row r="72" spans="2:24">
      <c r="N72" s="31" t="s">
        <v>296</v>
      </c>
      <c r="O72" s="31">
        <v>0</v>
      </c>
    </row>
    <row r="73" spans="2:24">
      <c r="F73" s="36" t="s">
        <v>179</v>
      </c>
      <c r="G73" s="54"/>
      <c r="H73" s="54"/>
      <c r="I73" s="51"/>
      <c r="N73" s="31" t="s">
        <v>288</v>
      </c>
      <c r="O73" s="60" t="e">
        <f>PMT(O70/12,O71*12,O69,0,0)</f>
        <v>#NUM!</v>
      </c>
      <c r="P73" s="31" t="s">
        <v>110</v>
      </c>
    </row>
    <row r="74" spans="2:24">
      <c r="F74" s="45"/>
      <c r="G74" s="46" t="s">
        <v>79</v>
      </c>
      <c r="H74" s="46" t="s">
        <v>210</v>
      </c>
      <c r="I74" s="47"/>
      <c r="O74" s="60" t="e">
        <f>O73*12</f>
        <v>#NUM!</v>
      </c>
      <c r="P74" s="31" t="s">
        <v>111</v>
      </c>
    </row>
    <row r="75" spans="2:24">
      <c r="F75" s="34" t="s">
        <v>81</v>
      </c>
      <c r="G75" s="31">
        <v>260</v>
      </c>
      <c r="H75" s="31">
        <v>12</v>
      </c>
      <c r="I75" s="33">
        <v>5000</v>
      </c>
      <c r="O75" s="60" t="e">
        <f>O74*O71</f>
        <v>#NUM!</v>
      </c>
      <c r="P75" s="31" t="s">
        <v>112</v>
      </c>
    </row>
    <row r="76" spans="2:24">
      <c r="F76" s="34" t="s">
        <v>82</v>
      </c>
      <c r="G76" s="31">
        <v>300</v>
      </c>
      <c r="H76" s="31">
        <v>25</v>
      </c>
      <c r="I76" s="33">
        <v>5500</v>
      </c>
    </row>
    <row r="77" spans="2:24">
      <c r="F77" s="43" t="s">
        <v>215</v>
      </c>
      <c r="G77" s="44">
        <v>265</v>
      </c>
      <c r="H77" s="44">
        <v>12</v>
      </c>
      <c r="I77" s="48">
        <v>4600</v>
      </c>
    </row>
    <row r="78" spans="2:24">
      <c r="P78" s="31" t="s">
        <v>192</v>
      </c>
    </row>
    <row r="79" spans="2:24">
      <c r="P79" s="31" t="s">
        <v>96</v>
      </c>
    </row>
    <row r="80" spans="2:24">
      <c r="P80" s="31" t="s">
        <v>193</v>
      </c>
      <c r="Q80" s="31" t="s">
        <v>194</v>
      </c>
      <c r="R80" s="31">
        <v>25000</v>
      </c>
    </row>
    <row r="81" spans="6:28">
      <c r="P81" s="31" t="s">
        <v>214</v>
      </c>
    </row>
    <row r="82" spans="6:28">
      <c r="P82" s="31" t="s">
        <v>254</v>
      </c>
    </row>
    <row r="83" spans="6:28">
      <c r="P83" s="67" t="s">
        <v>252</v>
      </c>
    </row>
    <row r="84" spans="6:28">
      <c r="P84" s="67" t="s">
        <v>253</v>
      </c>
    </row>
    <row r="85" spans="6:28">
      <c r="O85" s="31" t="s">
        <v>211</v>
      </c>
      <c r="P85" s="31" t="s">
        <v>218</v>
      </c>
    </row>
    <row r="86" spans="6:28">
      <c r="O86" s="31">
        <v>3</v>
      </c>
      <c r="P86" s="31" t="s">
        <v>430</v>
      </c>
      <c r="Q86" s="64">
        <v>16</v>
      </c>
    </row>
    <row r="88" spans="6:28">
      <c r="P88" s="31" t="s">
        <v>217</v>
      </c>
    </row>
    <row r="89" spans="6:28">
      <c r="P89" s="31" t="s">
        <v>268</v>
      </c>
      <c r="V89" s="31" t="s">
        <v>96</v>
      </c>
      <c r="W89" s="31" t="s">
        <v>212</v>
      </c>
      <c r="X89" s="34" t="s">
        <v>81</v>
      </c>
      <c r="Y89" s="64">
        <v>16</v>
      </c>
      <c r="Z89" s="31" t="e">
        <v>#REF!</v>
      </c>
      <c r="AB89" s="31" t="e">
        <v>#REF!</v>
      </c>
    </row>
    <row r="90" spans="6:28">
      <c r="F90" s="31" t="s">
        <v>283</v>
      </c>
      <c r="X90" s="34" t="s">
        <v>82</v>
      </c>
      <c r="Y90" s="64">
        <v>16</v>
      </c>
      <c r="Z90" s="31" t="e">
        <v>#REF!</v>
      </c>
    </row>
    <row r="91" spans="6:28">
      <c r="G91" s="31" t="s">
        <v>284</v>
      </c>
      <c r="X91" s="43" t="s">
        <v>148</v>
      </c>
      <c r="Y91" s="64">
        <v>16</v>
      </c>
      <c r="Z91" s="31" t="e">
        <v>#REF!</v>
      </c>
    </row>
    <row r="92" spans="6:28">
      <c r="F92" t="s">
        <v>282</v>
      </c>
      <c r="G92" s="31" t="e">
        <f>VLOOKUP(#REF!,#REF!,16,FALSE)</f>
        <v>#REF!</v>
      </c>
      <c r="W92" s="31" t="s">
        <v>97</v>
      </c>
      <c r="X92" s="34" t="s">
        <v>81</v>
      </c>
      <c r="Y92" s="64">
        <v>16</v>
      </c>
      <c r="Z92" s="31" t="e">
        <v>#REF!</v>
      </c>
    </row>
    <row r="93" spans="6:28">
      <c r="F93" t="s">
        <v>281</v>
      </c>
      <c r="G93" s="31">
        <v>1000</v>
      </c>
      <c r="X93" s="34" t="s">
        <v>82</v>
      </c>
      <c r="Y93" s="64">
        <v>16</v>
      </c>
      <c r="Z93" s="31" t="e">
        <v>#REF!</v>
      </c>
    </row>
    <row r="94" spans="6:28">
      <c r="X94" s="43" t="s">
        <v>148</v>
      </c>
      <c r="Y94" s="64">
        <v>16</v>
      </c>
      <c r="Z94" s="31" t="e">
        <v>#REF!</v>
      </c>
    </row>
    <row r="95" spans="6:28">
      <c r="V95" s="31" t="s">
        <v>193</v>
      </c>
      <c r="Y95" s="64">
        <v>16</v>
      </c>
      <c r="Z95" s="65" t="s">
        <v>216</v>
      </c>
    </row>
  </sheetData>
  <mergeCells count="6">
    <mergeCell ref="F62:G62"/>
    <mergeCell ref="AI35:AK35"/>
    <mergeCell ref="F16:J16"/>
    <mergeCell ref="F33:H33"/>
    <mergeCell ref="J33:L33"/>
    <mergeCell ref="F46:G4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955A2-06A7-4905-87C3-A56CDBBCDEEA}">
  <dimension ref="A1:Z1000"/>
  <sheetViews>
    <sheetView tabSelected="1" topLeftCell="A13" zoomScaleNormal="100" workbookViewId="0">
      <selection activeCell="D17" sqref="D17"/>
    </sheetView>
  </sheetViews>
  <sheetFormatPr defaultColWidth="14.42578125" defaultRowHeight="15"/>
  <cols>
    <col min="1" max="1" width="4.28515625" customWidth="1"/>
    <col min="2" max="2" width="9.140625" customWidth="1"/>
    <col min="4" max="4" width="22.42578125" customWidth="1"/>
    <col min="5" max="5" width="13.42578125" customWidth="1"/>
    <col min="6" max="6" width="14.7109375" customWidth="1"/>
    <col min="7" max="7" width="13" customWidth="1"/>
    <col min="8" max="8" width="27" customWidth="1"/>
    <col min="9" max="9" width="9.42578125" customWidth="1"/>
    <col min="10" max="13" width="27.140625" customWidth="1"/>
    <col min="14" max="14" width="37.7109375" customWidth="1"/>
    <col min="15" max="26" width="9.140625" customWidth="1"/>
  </cols>
  <sheetData>
    <row r="1" spans="1:26" ht="12.75" customHeight="1">
      <c r="A1" s="343"/>
      <c r="B1" s="343"/>
      <c r="C1" s="343"/>
      <c r="D1" s="343"/>
      <c r="E1" s="343"/>
      <c r="F1" s="343"/>
      <c r="G1" s="343"/>
      <c r="H1" s="343"/>
      <c r="I1" s="343"/>
      <c r="J1" s="343"/>
      <c r="K1" s="343"/>
      <c r="L1" s="343"/>
      <c r="M1" s="343"/>
      <c r="N1" s="343"/>
      <c r="O1" s="343"/>
      <c r="P1" s="343"/>
      <c r="Q1" s="343"/>
      <c r="R1" s="343"/>
      <c r="S1" s="343"/>
      <c r="T1" s="343"/>
      <c r="U1" s="343"/>
      <c r="V1" s="343"/>
      <c r="W1" s="343"/>
      <c r="X1" s="343"/>
      <c r="Y1" s="343"/>
      <c r="Z1" s="343"/>
    </row>
    <row r="2" spans="1:26" ht="18" customHeight="1">
      <c r="A2" s="343"/>
      <c r="B2" s="1380"/>
      <c r="C2" s="1380"/>
      <c r="D2" s="351"/>
      <c r="E2" s="351"/>
      <c r="F2" s="352" t="s">
        <v>1041</v>
      </c>
      <c r="G2" s="352" t="s">
        <v>1042</v>
      </c>
      <c r="H2" s="351"/>
      <c r="I2" s="351"/>
      <c r="J2" s="343"/>
      <c r="K2" s="343"/>
      <c r="L2" s="343"/>
      <c r="M2" s="343"/>
      <c r="N2" s="343"/>
      <c r="O2" s="343"/>
      <c r="P2" s="343"/>
      <c r="Q2" s="343"/>
      <c r="R2" s="343"/>
      <c r="S2" s="343"/>
      <c r="T2" s="343"/>
      <c r="U2" s="343"/>
      <c r="V2" s="343"/>
      <c r="W2" s="343"/>
      <c r="X2" s="343"/>
      <c r="Y2" s="343"/>
      <c r="Z2" s="343"/>
    </row>
    <row r="3" spans="1:26" ht="32.25" customHeight="1">
      <c r="A3" s="343"/>
      <c r="B3" s="1358" t="s">
        <v>1043</v>
      </c>
      <c r="C3" s="1359"/>
      <c r="D3" s="353">
        <f t="shared" ref="D3:D4" si="0">F3+G3</f>
        <v>0.77</v>
      </c>
      <c r="E3" s="352" t="s">
        <v>1044</v>
      </c>
      <c r="F3" s="353">
        <v>0.52</v>
      </c>
      <c r="G3" s="353">
        <v>0.25</v>
      </c>
      <c r="H3" s="343"/>
      <c r="I3" s="343"/>
      <c r="J3" s="343"/>
      <c r="K3" s="343"/>
      <c r="L3" s="343"/>
      <c r="M3" s="343"/>
      <c r="N3" s="343"/>
      <c r="O3" s="343"/>
      <c r="P3" s="343"/>
      <c r="Q3" s="343"/>
      <c r="R3" s="343"/>
      <c r="S3" s="343"/>
      <c r="T3" s="343"/>
      <c r="U3" s="343"/>
      <c r="V3" s="343"/>
      <c r="W3" s="343"/>
      <c r="X3" s="343"/>
      <c r="Y3" s="343"/>
      <c r="Z3" s="343"/>
    </row>
    <row r="4" spans="1:26" ht="32.25" customHeight="1">
      <c r="A4" s="343"/>
      <c r="B4" s="1358" t="s">
        <v>1045</v>
      </c>
      <c r="C4" s="1359"/>
      <c r="D4" s="353">
        <f t="shared" si="0"/>
        <v>1.1599999999999999</v>
      </c>
      <c r="E4" s="352" t="s">
        <v>1044</v>
      </c>
      <c r="F4" s="353">
        <v>0.85</v>
      </c>
      <c r="G4" s="353">
        <v>0.31</v>
      </c>
      <c r="H4" s="343"/>
      <c r="I4" s="343"/>
      <c r="J4" s="343"/>
      <c r="K4" s="343"/>
      <c r="L4" s="343"/>
      <c r="M4" s="343"/>
      <c r="N4" s="343"/>
      <c r="O4" s="343"/>
      <c r="P4" s="343"/>
      <c r="Q4" s="343"/>
      <c r="R4" s="343"/>
      <c r="S4" s="343"/>
      <c r="T4" s="343"/>
      <c r="U4" s="343"/>
      <c r="V4" s="343"/>
      <c r="W4" s="343"/>
      <c r="X4" s="343"/>
      <c r="Y4" s="343"/>
      <c r="Z4" s="343"/>
    </row>
    <row r="5" spans="1:26" ht="33" customHeight="1">
      <c r="A5" s="343"/>
      <c r="B5" s="1360" t="s">
        <v>1046</v>
      </c>
      <c r="C5" s="1359"/>
      <c r="D5" s="354">
        <f>PV!E182</f>
        <v>12025.2294</v>
      </c>
      <c r="E5" s="352" t="s">
        <v>40</v>
      </c>
      <c r="F5" s="355"/>
      <c r="G5" s="343"/>
      <c r="H5" s="1360" t="s">
        <v>1047</v>
      </c>
      <c r="I5" s="1359"/>
      <c r="J5" s="343"/>
      <c r="K5" s="343"/>
      <c r="L5" s="343"/>
      <c r="M5" s="343"/>
      <c r="N5" s="343"/>
      <c r="O5" s="343"/>
      <c r="P5" s="343"/>
      <c r="Q5" s="343"/>
      <c r="R5" s="343"/>
      <c r="S5" s="343"/>
      <c r="T5" s="343"/>
      <c r="U5" s="343"/>
      <c r="V5" s="343"/>
      <c r="W5" s="343"/>
      <c r="X5" s="343"/>
      <c r="Y5" s="343"/>
      <c r="Z5" s="343"/>
    </row>
    <row r="6" spans="1:26" ht="38.25" customHeight="1">
      <c r="A6" s="343"/>
      <c r="B6" s="1358" t="s">
        <v>1048</v>
      </c>
      <c r="C6" s="1359"/>
      <c r="D6" s="356">
        <f>IF(D5&gt;2000,(D3*2000)+(D4*(D5-2000)),D5*D3)</f>
        <v>13169.266104</v>
      </c>
      <c r="E6" s="352" t="s">
        <v>1049</v>
      </c>
      <c r="F6" s="355"/>
      <c r="G6" s="343"/>
      <c r="H6" s="343"/>
      <c r="I6" s="343"/>
      <c r="J6" s="357"/>
      <c r="K6" s="343"/>
      <c r="L6" s="357"/>
      <c r="M6" s="357"/>
      <c r="N6" s="358"/>
      <c r="O6" s="343"/>
      <c r="P6" s="343"/>
      <c r="Q6" s="343"/>
      <c r="R6" s="343"/>
      <c r="S6" s="343"/>
      <c r="T6" s="343"/>
      <c r="U6" s="343"/>
      <c r="V6" s="343"/>
      <c r="W6" s="343"/>
      <c r="X6" s="343"/>
      <c r="Y6" s="343"/>
      <c r="Z6" s="343"/>
    </row>
    <row r="7" spans="1:26" ht="38.25" customHeight="1">
      <c r="A7" s="343"/>
      <c r="B7" s="1358" t="s">
        <v>1050</v>
      </c>
      <c r="C7" s="1359"/>
      <c r="D7" s="359">
        <f>IF(D5&gt;2000,(F3*2000)+(F4*(D5-2000)),D5*F3)</f>
        <v>9561.44499</v>
      </c>
      <c r="E7" s="352" t="s">
        <v>1049</v>
      </c>
      <c r="F7" s="355"/>
      <c r="G7" s="343"/>
      <c r="H7" s="343"/>
      <c r="I7" s="343"/>
      <c r="J7" s="343"/>
      <c r="K7" s="357"/>
      <c r="L7" s="357"/>
      <c r="M7" s="357"/>
      <c r="N7" s="358"/>
      <c r="O7" s="343"/>
      <c r="P7" s="343"/>
      <c r="Q7" s="343"/>
      <c r="R7" s="343"/>
      <c r="S7" s="343"/>
      <c r="T7" s="343"/>
      <c r="U7" s="343"/>
      <c r="V7" s="343"/>
      <c r="W7" s="343"/>
      <c r="X7" s="343"/>
      <c r="Y7" s="343"/>
      <c r="Z7" s="343"/>
    </row>
    <row r="8" spans="1:26" ht="38.25" customHeight="1">
      <c r="A8" s="343"/>
      <c r="B8" s="1358" t="s">
        <v>1051</v>
      </c>
      <c r="C8" s="1359"/>
      <c r="D8" s="360">
        <f>IF(D5&gt;2000,(G3*2000)+(G4*(D5-2000)),D5*G3)</f>
        <v>3607.8211139999999</v>
      </c>
      <c r="E8" s="352" t="s">
        <v>1049</v>
      </c>
      <c r="F8" s="355"/>
      <c r="G8" s="343"/>
      <c r="H8" s="343"/>
      <c r="I8" s="343"/>
      <c r="J8" s="343"/>
      <c r="K8" s="357"/>
      <c r="L8" s="357"/>
      <c r="M8" s="357"/>
      <c r="N8" s="358"/>
      <c r="O8" s="343"/>
      <c r="P8" s="343"/>
      <c r="Q8" s="343"/>
      <c r="R8" s="343"/>
      <c r="S8" s="343"/>
      <c r="T8" s="343"/>
      <c r="U8" s="343"/>
      <c r="V8" s="343"/>
      <c r="W8" s="343"/>
      <c r="X8" s="343"/>
      <c r="Y8" s="343"/>
      <c r="Z8" s="343"/>
    </row>
    <row r="9" spans="1:26" ht="28.5" customHeight="1">
      <c r="A9" s="343"/>
      <c r="B9" s="1361"/>
      <c r="C9" s="1362"/>
      <c r="D9" s="362"/>
      <c r="E9" s="363"/>
      <c r="F9" s="355"/>
      <c r="G9" s="343"/>
      <c r="H9" s="343"/>
      <c r="I9" s="343"/>
      <c r="J9" s="343"/>
      <c r="K9" s="357"/>
      <c r="L9" s="357"/>
      <c r="M9" s="357"/>
      <c r="N9" s="358"/>
      <c r="O9" s="343"/>
      <c r="P9" s="343"/>
      <c r="Q9" s="343"/>
      <c r="R9" s="343"/>
      <c r="S9" s="343"/>
      <c r="T9" s="343"/>
      <c r="U9" s="343"/>
      <c r="V9" s="343"/>
      <c r="W9" s="343"/>
      <c r="X9" s="343"/>
      <c r="Y9" s="343"/>
      <c r="Z9" s="343"/>
    </row>
    <row r="10" spans="1:26" ht="28.5" customHeight="1">
      <c r="A10" s="343"/>
      <c r="B10" s="361"/>
      <c r="C10" s="361"/>
      <c r="D10" s="362"/>
      <c r="E10" s="363"/>
      <c r="F10" s="355"/>
      <c r="G10" s="343"/>
      <c r="H10" s="343"/>
      <c r="I10" s="343"/>
      <c r="J10" s="343"/>
      <c r="K10" s="357"/>
      <c r="L10" s="357"/>
      <c r="M10" s="357"/>
      <c r="N10" s="358"/>
      <c r="O10" s="343"/>
      <c r="P10" s="343"/>
      <c r="Q10" s="343"/>
      <c r="R10" s="343"/>
      <c r="S10" s="343"/>
      <c r="T10" s="343"/>
      <c r="U10" s="343"/>
      <c r="V10" s="343"/>
      <c r="W10" s="343"/>
      <c r="X10" s="343"/>
      <c r="Y10" s="343"/>
      <c r="Z10" s="343"/>
    </row>
    <row r="11" spans="1:26" ht="28.5" customHeight="1">
      <c r="A11" s="343"/>
      <c r="B11" s="1358" t="s">
        <v>1052</v>
      </c>
      <c r="C11" s="1359"/>
      <c r="D11" s="364">
        <f>D12+D13</f>
        <v>3144.1013040000007</v>
      </c>
      <c r="E11" s="352" t="s">
        <v>1049</v>
      </c>
      <c r="F11" s="355"/>
      <c r="G11" s="343"/>
      <c r="H11" s="343"/>
      <c r="I11" s="343"/>
      <c r="J11" s="343"/>
      <c r="K11" s="357"/>
      <c r="L11" s="357"/>
      <c r="M11" s="357"/>
      <c r="N11" s="358"/>
      <c r="O11" s="343"/>
      <c r="P11" s="343"/>
      <c r="Q11" s="343"/>
      <c r="R11" s="343"/>
      <c r="S11" s="343"/>
      <c r="T11" s="343"/>
      <c r="U11" s="343"/>
      <c r="V11" s="343"/>
      <c r="W11" s="343"/>
      <c r="X11" s="343"/>
      <c r="Y11" s="343"/>
      <c r="Z11" s="343"/>
    </row>
    <row r="12" spans="1:26" ht="28.5" customHeight="1">
      <c r="A12" s="343"/>
      <c r="B12" s="1358" t="s">
        <v>1053</v>
      </c>
      <c r="C12" s="1359"/>
      <c r="D12" s="359">
        <f>IF(((IF((D5-D20)&gt;2000,($F$3*2000)+($F$4*(D5-D20-2000)),(D5-D20)*$F$3))-D23)&lt;0,0,(IF((D5-D20)&gt;2000,($F$3*2000)+($F$4*(D5-D20-2000)),(D5-D20)*$F$3))-D23)</f>
        <v>750.26499000000058</v>
      </c>
      <c r="E12" s="352" t="s">
        <v>1049</v>
      </c>
      <c r="F12" s="355"/>
      <c r="G12" s="343"/>
      <c r="H12" s="343"/>
      <c r="I12" s="343"/>
      <c r="J12" s="343"/>
      <c r="K12" s="357"/>
      <c r="L12" s="357"/>
      <c r="M12" s="357"/>
      <c r="N12" s="358"/>
      <c r="O12" s="343"/>
      <c r="P12" s="343"/>
      <c r="Q12" s="343"/>
      <c r="R12" s="343"/>
      <c r="S12" s="343"/>
      <c r="T12" s="343"/>
      <c r="U12" s="343"/>
      <c r="V12" s="343"/>
      <c r="W12" s="343"/>
      <c r="X12" s="343"/>
      <c r="Y12" s="343"/>
      <c r="Z12" s="343"/>
    </row>
    <row r="13" spans="1:26" ht="28.5" customHeight="1">
      <c r="A13" s="343"/>
      <c r="B13" s="1358" t="s">
        <v>1054</v>
      </c>
      <c r="C13" s="1359"/>
      <c r="D13" s="360">
        <f>IF((D5-D20)&gt;2000,($G$3*2000)+($G$4*(D5-D20-2000)),(D5-D20)*$G$3)</f>
        <v>2393.8363140000001</v>
      </c>
      <c r="E13" s="352" t="s">
        <v>1049</v>
      </c>
      <c r="F13" s="355"/>
      <c r="G13" s="343"/>
      <c r="H13" s="343"/>
      <c r="I13" s="343"/>
      <c r="J13" s="343"/>
      <c r="K13" s="357"/>
      <c r="L13" s="357"/>
      <c r="M13" s="357"/>
      <c r="N13" s="358"/>
      <c r="O13" s="343"/>
      <c r="P13" s="343"/>
      <c r="Q13" s="343"/>
      <c r="R13" s="343"/>
      <c r="S13" s="343"/>
      <c r="T13" s="343"/>
      <c r="U13" s="343"/>
      <c r="V13" s="343"/>
      <c r="W13" s="343"/>
      <c r="X13" s="343"/>
      <c r="Y13" s="343"/>
      <c r="Z13" s="343"/>
    </row>
    <row r="14" spans="1:26" ht="28.5" customHeight="1" thickBot="1">
      <c r="A14" s="343"/>
      <c r="B14" s="361"/>
      <c r="C14" s="361"/>
      <c r="D14" s="362"/>
      <c r="E14" s="363"/>
      <c r="F14" s="355"/>
      <c r="G14" s="343"/>
      <c r="H14" s="343"/>
      <c r="I14" s="343"/>
      <c r="J14" s="343"/>
      <c r="K14" s="357"/>
      <c r="L14" s="357"/>
      <c r="M14" s="357"/>
      <c r="N14" s="358"/>
      <c r="O14" s="343"/>
      <c r="P14" s="343"/>
      <c r="Q14" s="343"/>
      <c r="R14" s="343"/>
      <c r="S14" s="343"/>
      <c r="T14" s="343"/>
      <c r="U14" s="343"/>
      <c r="V14" s="343"/>
      <c r="W14" s="343"/>
      <c r="X14" s="343"/>
      <c r="Y14" s="343"/>
      <c r="Z14" s="343"/>
    </row>
    <row r="15" spans="1:26" ht="48" customHeight="1" thickBot="1">
      <c r="A15" s="343"/>
      <c r="B15" s="1372" t="s">
        <v>1055</v>
      </c>
      <c r="C15" s="1373"/>
      <c r="D15" s="365">
        <f>D6-D11</f>
        <v>10025.164799999999</v>
      </c>
      <c r="E15" s="363"/>
      <c r="F15" s="355"/>
      <c r="G15" s="1366" t="str">
        <f>"Instalacja zwróci się w "&amp;ROUND(D37/D15,1)&amp;" lat(a)"</f>
        <v>Instalacja zwróci się w 6,9 lat(a)</v>
      </c>
      <c r="H15" s="1367"/>
      <c r="I15" s="1367"/>
      <c r="J15" s="1368"/>
      <c r="K15" s="357"/>
      <c r="L15" s="357"/>
      <c r="M15" s="357"/>
      <c r="N15" s="358"/>
      <c r="O15" s="343"/>
      <c r="P15" s="343"/>
      <c r="Q15" s="343"/>
      <c r="R15" s="343"/>
      <c r="S15" s="343"/>
      <c r="T15" s="343"/>
      <c r="U15" s="343"/>
      <c r="V15" s="343"/>
      <c r="W15" s="343"/>
      <c r="X15" s="343"/>
      <c r="Y15" s="343"/>
      <c r="Z15" s="343"/>
    </row>
    <row r="16" spans="1:26" ht="28.5" customHeight="1">
      <c r="A16" s="343"/>
      <c r="B16" s="355"/>
      <c r="C16" s="355"/>
      <c r="D16" s="355"/>
      <c r="E16" s="355"/>
      <c r="F16" s="355"/>
      <c r="G16" s="343"/>
      <c r="H16" s="343"/>
      <c r="I16" s="343"/>
      <c r="J16" s="343"/>
      <c r="K16" s="357"/>
      <c r="L16" s="357"/>
      <c r="M16" s="357"/>
      <c r="N16" s="358"/>
      <c r="O16" s="343"/>
      <c r="P16" s="343"/>
      <c r="Q16" s="343"/>
      <c r="R16" s="343"/>
      <c r="S16" s="343"/>
      <c r="T16" s="343"/>
      <c r="U16" s="343"/>
      <c r="V16" s="343"/>
      <c r="W16" s="343"/>
      <c r="X16" s="343"/>
      <c r="Y16" s="343"/>
      <c r="Z16" s="343"/>
    </row>
    <row r="17" spans="1:26" ht="12.75" customHeight="1">
      <c r="A17" s="343"/>
      <c r="B17" s="1369" t="s">
        <v>1056</v>
      </c>
      <c r="C17" s="1359"/>
      <c r="D17" s="366">
        <f>PV!K81</f>
        <v>13.32</v>
      </c>
      <c r="E17" s="352" t="s">
        <v>4</v>
      </c>
      <c r="F17" s="343"/>
      <c r="G17" s="343"/>
      <c r="H17" s="343"/>
      <c r="I17" s="343"/>
      <c r="J17" s="343"/>
      <c r="K17" s="343"/>
      <c r="L17" s="343"/>
      <c r="M17" s="343"/>
      <c r="N17" s="343"/>
      <c r="O17" s="343"/>
      <c r="P17" s="343"/>
      <c r="Q17" s="343"/>
      <c r="R17" s="343"/>
      <c r="S17" s="343"/>
      <c r="T17" s="343"/>
      <c r="U17" s="343"/>
      <c r="V17" s="343"/>
      <c r="W17" s="343"/>
      <c r="X17" s="343"/>
      <c r="Y17" s="343"/>
      <c r="Z17" s="343"/>
    </row>
    <row r="18" spans="1:26" ht="29.25" customHeight="1">
      <c r="A18" s="343"/>
      <c r="B18" s="1358" t="s">
        <v>1057</v>
      </c>
      <c r="C18" s="1359"/>
      <c r="D18" s="367">
        <f>D17*980</f>
        <v>13053.6</v>
      </c>
      <c r="E18" s="352" t="s">
        <v>40</v>
      </c>
      <c r="F18" s="343"/>
      <c r="G18" s="368" t="s">
        <v>1058</v>
      </c>
      <c r="H18" s="368"/>
      <c r="I18" s="368"/>
      <c r="J18" s="343"/>
      <c r="K18" s="343"/>
      <c r="L18" s="343"/>
      <c r="M18" s="343"/>
      <c r="N18" s="343"/>
      <c r="O18" s="343"/>
      <c r="P18" s="343"/>
      <c r="Q18" s="343"/>
      <c r="R18" s="343"/>
      <c r="S18" s="343"/>
      <c r="T18" s="343"/>
      <c r="U18" s="343"/>
      <c r="V18" s="343"/>
      <c r="W18" s="343"/>
      <c r="X18" s="343"/>
      <c r="Y18" s="343"/>
      <c r="Z18" s="343"/>
    </row>
    <row r="19" spans="1:26" ht="29.25" customHeight="1">
      <c r="A19" s="343"/>
      <c r="B19" s="1358" t="s">
        <v>1059</v>
      </c>
      <c r="C19" s="1359"/>
      <c r="D19" s="369">
        <v>0.3</v>
      </c>
      <c r="E19" s="352" t="s">
        <v>6</v>
      </c>
      <c r="F19" s="343"/>
      <c r="G19" s="368"/>
      <c r="H19" s="1360" t="s">
        <v>1060</v>
      </c>
      <c r="I19" s="1359"/>
      <c r="J19" s="370"/>
      <c r="K19" s="343"/>
      <c r="L19" s="343"/>
      <c r="M19" s="343"/>
      <c r="N19" s="343"/>
      <c r="O19" s="343"/>
      <c r="P19" s="343"/>
      <c r="Q19" s="343"/>
      <c r="R19" s="343"/>
      <c r="S19" s="343"/>
      <c r="T19" s="343"/>
      <c r="U19" s="343"/>
      <c r="V19" s="343"/>
      <c r="W19" s="343"/>
      <c r="X19" s="343"/>
      <c r="Y19" s="343"/>
      <c r="Z19" s="343"/>
    </row>
    <row r="20" spans="1:26" ht="29.25" customHeight="1">
      <c r="A20" s="343"/>
      <c r="B20" s="1358" t="s">
        <v>1061</v>
      </c>
      <c r="C20" s="1359"/>
      <c r="D20" s="371">
        <f>D18*D19</f>
        <v>3916.08</v>
      </c>
      <c r="E20" s="372" t="s">
        <v>40</v>
      </c>
      <c r="F20" s="1370">
        <f>D20*E28</f>
        <v>4288.6416457512505</v>
      </c>
      <c r="G20" s="1371"/>
      <c r="H20" s="1360" t="s">
        <v>1062</v>
      </c>
      <c r="I20" s="1359"/>
      <c r="J20" s="343"/>
      <c r="K20" s="343"/>
      <c r="L20" s="343"/>
      <c r="M20" s="343"/>
      <c r="N20" s="343"/>
      <c r="O20" s="343"/>
      <c r="P20" s="343"/>
      <c r="Q20" s="343"/>
      <c r="R20" s="343"/>
      <c r="S20" s="343"/>
      <c r="T20" s="343"/>
      <c r="U20" s="343"/>
      <c r="V20" s="343"/>
      <c r="W20" s="343"/>
      <c r="X20" s="343"/>
      <c r="Y20" s="343"/>
      <c r="Z20" s="343"/>
    </row>
    <row r="21" spans="1:26" ht="44.25" customHeight="1">
      <c r="A21" s="343"/>
      <c r="B21" s="1374" t="s">
        <v>1063</v>
      </c>
      <c r="C21" s="1359"/>
      <c r="D21" s="373">
        <f>D18-D20</f>
        <v>9137.52</v>
      </c>
      <c r="E21" s="374" t="s">
        <v>40</v>
      </c>
      <c r="F21" s="355"/>
      <c r="G21" s="343"/>
      <c r="H21" s="343"/>
      <c r="I21" s="343"/>
      <c r="J21" s="343"/>
      <c r="K21" s="343"/>
      <c r="L21" s="343"/>
      <c r="M21" s="343"/>
      <c r="N21" s="343"/>
      <c r="O21" s="343"/>
      <c r="P21" s="343"/>
      <c r="Q21" s="343"/>
      <c r="R21" s="343"/>
      <c r="S21" s="343"/>
      <c r="T21" s="343"/>
      <c r="U21" s="343"/>
      <c r="V21" s="343"/>
      <c r="W21" s="343"/>
      <c r="X21" s="343"/>
      <c r="Y21" s="343"/>
      <c r="Z21" s="343"/>
    </row>
    <row r="22" spans="1:26" ht="44.25" customHeight="1">
      <c r="A22" s="343"/>
      <c r="B22" s="1374" t="s">
        <v>1064</v>
      </c>
      <c r="C22" s="1359"/>
      <c r="D22" s="375">
        <v>0.6</v>
      </c>
      <c r="E22" s="374" t="s">
        <v>1065</v>
      </c>
      <c r="F22" s="355"/>
      <c r="G22" s="343"/>
      <c r="H22" s="1360" t="s">
        <v>1066</v>
      </c>
      <c r="I22" s="1359"/>
      <c r="J22" s="343"/>
      <c r="K22" s="343"/>
      <c r="L22" s="343"/>
      <c r="M22" s="343"/>
      <c r="N22" s="343"/>
      <c r="O22" s="343"/>
      <c r="P22" s="343"/>
      <c r="Q22" s="343"/>
      <c r="R22" s="343"/>
      <c r="S22" s="343"/>
      <c r="T22" s="343"/>
      <c r="U22" s="343"/>
      <c r="V22" s="343"/>
      <c r="W22" s="343"/>
      <c r="X22" s="343"/>
      <c r="Y22" s="343"/>
      <c r="Z22" s="343"/>
    </row>
    <row r="23" spans="1:26" ht="41.25" customHeight="1">
      <c r="A23" s="343"/>
      <c r="B23" s="1375" t="s">
        <v>1067</v>
      </c>
      <c r="C23" s="1359"/>
      <c r="D23" s="376">
        <f>D21*D22</f>
        <v>5482.5119999999997</v>
      </c>
      <c r="E23" s="377" t="s">
        <v>1068</v>
      </c>
      <c r="F23" s="355"/>
      <c r="G23" s="343"/>
      <c r="H23" s="1360" t="s">
        <v>1069</v>
      </c>
      <c r="I23" s="1359"/>
      <c r="J23" s="343"/>
      <c r="K23" s="343"/>
      <c r="L23" s="343"/>
      <c r="M23" s="343"/>
      <c r="N23" s="343"/>
      <c r="O23" s="343"/>
      <c r="P23" s="343"/>
      <c r="Q23" s="343"/>
      <c r="R23" s="343"/>
      <c r="S23" s="343"/>
      <c r="T23" s="343"/>
      <c r="U23" s="343"/>
      <c r="V23" s="343"/>
      <c r="W23" s="343"/>
      <c r="X23" s="343"/>
      <c r="Y23" s="343"/>
      <c r="Z23" s="343"/>
    </row>
    <row r="24" spans="1:26" ht="12.75" customHeight="1">
      <c r="A24" s="343"/>
      <c r="B24" s="355"/>
      <c r="C24" s="355"/>
      <c r="D24" s="355"/>
      <c r="E24" s="355"/>
      <c r="F24" s="355"/>
      <c r="G24" s="355"/>
      <c r="H24" s="355"/>
      <c r="I24" s="355"/>
      <c r="J24" s="355"/>
      <c r="K24" s="343"/>
      <c r="L24" s="343"/>
      <c r="M24" s="343"/>
      <c r="N24" s="343"/>
      <c r="O24" s="343"/>
      <c r="P24" s="343"/>
      <c r="Q24" s="343"/>
      <c r="R24" s="343"/>
      <c r="S24" s="343"/>
      <c r="T24" s="343"/>
      <c r="U24" s="343"/>
      <c r="V24" s="343"/>
      <c r="W24" s="343"/>
      <c r="X24" s="343"/>
      <c r="Y24" s="343"/>
      <c r="Z24" s="343"/>
    </row>
    <row r="25" spans="1:26" ht="12.75" customHeight="1">
      <c r="A25" s="343"/>
      <c r="B25" s="343"/>
      <c r="C25" s="343"/>
      <c r="D25" s="343"/>
      <c r="E25" s="343"/>
      <c r="F25" s="343"/>
      <c r="G25" s="343"/>
      <c r="H25" s="343"/>
      <c r="I25" s="343"/>
      <c r="J25" s="343"/>
      <c r="K25" s="343"/>
      <c r="L25" s="343"/>
      <c r="M25" s="343"/>
      <c r="N25" s="343"/>
      <c r="O25" s="343"/>
      <c r="P25" s="343"/>
      <c r="Q25" s="343"/>
      <c r="R25" s="343"/>
      <c r="S25" s="343"/>
      <c r="T25" s="343"/>
      <c r="U25" s="343"/>
      <c r="V25" s="343"/>
      <c r="W25" s="343"/>
      <c r="X25" s="343"/>
      <c r="Y25" s="343"/>
      <c r="Z25" s="343"/>
    </row>
    <row r="26" spans="1:26" ht="12.75" customHeight="1">
      <c r="A26" s="343"/>
      <c r="B26" s="355"/>
      <c r="C26" s="355"/>
      <c r="D26" s="355"/>
      <c r="E26" s="355"/>
      <c r="F26" s="355"/>
      <c r="G26" s="355"/>
      <c r="H26" s="355"/>
      <c r="I26" s="355"/>
      <c r="J26" s="355"/>
      <c r="K26" s="343"/>
      <c r="L26" s="343"/>
      <c r="M26" s="343"/>
      <c r="N26" s="343"/>
      <c r="O26" s="343"/>
      <c r="P26" s="343"/>
      <c r="Q26" s="343"/>
      <c r="R26" s="343"/>
      <c r="S26" s="343"/>
      <c r="T26" s="343"/>
      <c r="U26" s="343"/>
      <c r="V26" s="343"/>
      <c r="W26" s="343"/>
      <c r="X26" s="343"/>
      <c r="Y26" s="343"/>
      <c r="Z26" s="343"/>
    </row>
    <row r="27" spans="1:26" ht="30" customHeight="1">
      <c r="A27" s="343"/>
      <c r="B27" s="1363" t="s">
        <v>1070</v>
      </c>
      <c r="C27" s="1364"/>
      <c r="D27" s="1359"/>
      <c r="E27" s="378">
        <v>0.05</v>
      </c>
      <c r="F27" s="1365" t="s">
        <v>1071</v>
      </c>
      <c r="G27" s="1362"/>
      <c r="H27" s="1362"/>
      <c r="I27" s="355"/>
      <c r="J27" s="355"/>
      <c r="K27" s="343"/>
      <c r="L27" s="343"/>
      <c r="M27" s="343"/>
      <c r="N27" s="343"/>
      <c r="O27" s="343"/>
      <c r="P27" s="343"/>
      <c r="Q27" s="343"/>
      <c r="R27" s="343"/>
      <c r="S27" s="343"/>
      <c r="T27" s="343"/>
      <c r="U27" s="343"/>
      <c r="V27" s="343"/>
      <c r="W27" s="343"/>
      <c r="X27" s="343"/>
      <c r="Y27" s="343"/>
      <c r="Z27" s="343"/>
    </row>
    <row r="28" spans="1:26" ht="51" customHeight="1">
      <c r="A28" s="343"/>
      <c r="B28" s="1363" t="s">
        <v>1072</v>
      </c>
      <c r="C28" s="1364"/>
      <c r="D28" s="1359"/>
      <c r="E28" s="379">
        <f>D6/D5</f>
        <v>1.0951363725335668</v>
      </c>
      <c r="F28" s="1365" t="s">
        <v>1073</v>
      </c>
      <c r="G28" s="1362"/>
      <c r="H28" s="1362"/>
      <c r="I28" s="343"/>
      <c r="J28" s="343"/>
      <c r="K28" s="343"/>
      <c r="L28" s="343"/>
      <c r="M28" s="343"/>
      <c r="N28" s="343"/>
      <c r="O28" s="343"/>
      <c r="P28" s="343"/>
      <c r="Q28" s="343"/>
      <c r="R28" s="343"/>
      <c r="S28" s="343"/>
      <c r="T28" s="343"/>
      <c r="U28" s="343"/>
      <c r="V28" s="343"/>
      <c r="W28" s="343"/>
      <c r="X28" s="343"/>
      <c r="Y28" s="343"/>
      <c r="Z28" s="343"/>
    </row>
    <row r="29" spans="1:26" ht="29.25" customHeight="1">
      <c r="A29" s="343"/>
      <c r="B29" s="1381" t="s">
        <v>1074</v>
      </c>
      <c r="C29" s="1364"/>
      <c r="D29" s="1359"/>
      <c r="E29" s="380">
        <v>20</v>
      </c>
      <c r="F29" s="1382" t="s">
        <v>1075</v>
      </c>
      <c r="G29" s="1362"/>
      <c r="H29" s="1362"/>
      <c r="I29" s="343"/>
      <c r="J29" s="343"/>
      <c r="K29" s="343"/>
      <c r="L29" s="343"/>
      <c r="M29" s="343"/>
      <c r="N29" s="343"/>
      <c r="O29" s="343"/>
      <c r="P29" s="343"/>
      <c r="Q29" s="343"/>
      <c r="R29" s="343"/>
      <c r="S29" s="343"/>
      <c r="T29" s="343"/>
      <c r="U29" s="343"/>
      <c r="V29" s="343"/>
      <c r="W29" s="343"/>
      <c r="X29" s="343"/>
      <c r="Y29" s="343"/>
      <c r="Z29" s="343"/>
    </row>
    <row r="30" spans="1:26" ht="27.75" customHeight="1">
      <c r="A30" s="343"/>
      <c r="B30" s="1363" t="s">
        <v>1076</v>
      </c>
      <c r="C30" s="1364"/>
      <c r="D30" s="1359"/>
      <c r="E30" s="381">
        <f>E28*((1+E27)^E29)</f>
        <v>2.9057228240634982</v>
      </c>
      <c r="F30" s="382"/>
      <c r="G30" s="382"/>
      <c r="H30" s="382"/>
      <c r="I30" s="343"/>
      <c r="J30" s="343"/>
      <c r="K30" s="343"/>
      <c r="L30" s="343"/>
      <c r="M30" s="343"/>
      <c r="N30" s="343"/>
      <c r="O30" s="343"/>
      <c r="P30" s="343"/>
      <c r="Q30" s="343"/>
      <c r="R30" s="343"/>
      <c r="S30" s="343"/>
      <c r="T30" s="343"/>
      <c r="U30" s="343"/>
      <c r="V30" s="343"/>
      <c r="W30" s="343"/>
      <c r="X30" s="343"/>
      <c r="Y30" s="343"/>
      <c r="Z30" s="343"/>
    </row>
    <row r="31" spans="1:26" ht="12.75" hidden="1" customHeight="1">
      <c r="A31" s="343"/>
      <c r="B31" s="1381" t="s">
        <v>1077</v>
      </c>
      <c r="C31" s="1364"/>
      <c r="D31" s="1359"/>
      <c r="E31" s="383">
        <f>D19</f>
        <v>0.3</v>
      </c>
      <c r="F31" s="343"/>
      <c r="G31" s="343"/>
      <c r="H31" s="343"/>
      <c r="I31" s="343"/>
      <c r="J31" s="343"/>
      <c r="K31" s="343"/>
      <c r="L31" s="343"/>
      <c r="M31" s="343"/>
      <c r="N31" s="343"/>
      <c r="O31" s="343"/>
      <c r="P31" s="343"/>
      <c r="Q31" s="343"/>
      <c r="R31" s="343"/>
      <c r="S31" s="343"/>
      <c r="T31" s="343"/>
      <c r="U31" s="343"/>
      <c r="V31" s="343"/>
      <c r="W31" s="343"/>
      <c r="X31" s="343"/>
      <c r="Y31" s="343"/>
      <c r="Z31" s="343"/>
    </row>
    <row r="32" spans="1:26" ht="12.75" customHeight="1">
      <c r="A32" s="343"/>
      <c r="B32" s="1381" t="s">
        <v>1078</v>
      </c>
      <c r="C32" s="1364"/>
      <c r="D32" s="1359"/>
      <c r="E32" s="384" t="s">
        <v>44</v>
      </c>
      <c r="F32" s="343"/>
      <c r="G32" s="343"/>
      <c r="H32" s="343"/>
      <c r="I32" s="343"/>
      <c r="J32" s="343"/>
      <c r="K32" s="343"/>
      <c r="L32" s="343"/>
      <c r="M32" s="343"/>
      <c r="N32" s="343"/>
      <c r="O32" s="343"/>
      <c r="P32" s="343"/>
      <c r="Q32" s="343"/>
      <c r="R32" s="343"/>
      <c r="S32" s="343"/>
      <c r="T32" s="343"/>
      <c r="U32" s="343"/>
      <c r="V32" s="343"/>
      <c r="W32" s="343"/>
      <c r="X32" s="343"/>
      <c r="Y32" s="343"/>
      <c r="Z32" s="343"/>
    </row>
    <row r="33" spans="1:26" ht="12.75" customHeight="1">
      <c r="A33" s="343"/>
      <c r="B33" s="1381" t="s">
        <v>1079</v>
      </c>
      <c r="C33" s="1364"/>
      <c r="D33" s="1359"/>
      <c r="E33" s="383">
        <v>0.12</v>
      </c>
      <c r="F33" s="1382" t="s">
        <v>1080</v>
      </c>
      <c r="G33" s="1362"/>
      <c r="H33" s="1362"/>
      <c r="I33" s="343"/>
      <c r="J33" s="343"/>
      <c r="K33" s="343"/>
      <c r="L33" s="343"/>
      <c r="M33" s="343"/>
      <c r="N33" s="343"/>
      <c r="O33" s="343"/>
      <c r="P33" s="343"/>
      <c r="Q33" s="343"/>
      <c r="R33" s="343"/>
      <c r="S33" s="343"/>
      <c r="T33" s="343"/>
      <c r="U33" s="343"/>
      <c r="V33" s="343"/>
      <c r="W33" s="343"/>
      <c r="X33" s="343"/>
      <c r="Y33" s="343"/>
      <c r="Z33" s="343"/>
    </row>
    <row r="34" spans="1:26" ht="12.75" customHeight="1">
      <c r="A34" s="343"/>
      <c r="B34" s="343"/>
      <c r="C34" s="343"/>
      <c r="D34" s="343"/>
      <c r="E34" s="343"/>
      <c r="F34" s="343"/>
      <c r="G34" s="343"/>
      <c r="H34" s="343"/>
      <c r="I34" s="343"/>
      <c r="J34" s="343"/>
      <c r="K34" s="343"/>
      <c r="L34" s="343"/>
      <c r="M34" s="343"/>
      <c r="N34" s="343"/>
      <c r="O34" s="343"/>
      <c r="P34" s="343"/>
      <c r="Q34" s="343"/>
      <c r="R34" s="343"/>
      <c r="S34" s="343"/>
      <c r="T34" s="343"/>
      <c r="U34" s="343"/>
      <c r="V34" s="343"/>
      <c r="W34" s="343"/>
      <c r="X34" s="343"/>
      <c r="Y34" s="343"/>
      <c r="Z34" s="343"/>
    </row>
    <row r="35" spans="1:26" ht="12.75" customHeight="1">
      <c r="A35" s="343"/>
      <c r="B35" s="343"/>
      <c r="C35" s="343"/>
      <c r="D35" s="343"/>
      <c r="E35" s="343"/>
      <c r="F35" s="343"/>
      <c r="G35" s="343"/>
      <c r="H35" s="343"/>
      <c r="I35" s="343"/>
      <c r="J35" s="343"/>
      <c r="K35" s="343"/>
      <c r="L35" s="343"/>
      <c r="M35" s="343"/>
      <c r="N35" s="343"/>
      <c r="O35" s="343"/>
      <c r="P35" s="343"/>
      <c r="Q35" s="343"/>
      <c r="R35" s="343"/>
      <c r="S35" s="343"/>
      <c r="T35" s="343"/>
      <c r="U35" s="343"/>
      <c r="V35" s="343"/>
      <c r="W35" s="343"/>
      <c r="X35" s="343"/>
      <c r="Y35" s="343"/>
      <c r="Z35" s="343"/>
    </row>
    <row r="36" spans="1:26" ht="31.5" customHeight="1">
      <c r="A36" s="343"/>
      <c r="B36" s="1383" t="s">
        <v>1081</v>
      </c>
      <c r="C36" s="1362"/>
      <c r="D36" s="1384">
        <f>D17*5200</f>
        <v>69264</v>
      </c>
      <c r="E36" s="1378"/>
      <c r="F36" s="1385" t="s">
        <v>1082</v>
      </c>
      <c r="G36" s="1362"/>
      <c r="H36" s="1362"/>
      <c r="I36" s="355"/>
      <c r="J36" s="355"/>
      <c r="K36" s="343"/>
      <c r="L36" s="343"/>
      <c r="M36" s="343"/>
      <c r="N36" s="343"/>
      <c r="O36" s="343"/>
      <c r="P36" s="343"/>
      <c r="Q36" s="343"/>
      <c r="R36" s="343"/>
      <c r="S36" s="343"/>
      <c r="T36" s="343"/>
      <c r="U36" s="343"/>
      <c r="V36" s="343"/>
      <c r="W36" s="343"/>
      <c r="X36" s="343"/>
      <c r="Y36" s="343"/>
      <c r="Z36" s="343"/>
    </row>
    <row r="37" spans="1:26" ht="36.75" customHeight="1">
      <c r="A37" s="343"/>
      <c r="B37" s="1376" t="s">
        <v>1083</v>
      </c>
      <c r="C37" s="1362"/>
      <c r="D37" s="1377">
        <f>('Listy Rozwijane'!C37)*(-1)</f>
        <v>69300</v>
      </c>
      <c r="E37" s="1378"/>
      <c r="F37" s="1379" t="s">
        <v>1084</v>
      </c>
      <c r="G37" s="1362"/>
      <c r="H37" s="1362"/>
      <c r="I37" s="343"/>
      <c r="J37" s="343"/>
      <c r="K37" s="343"/>
      <c r="L37" s="343"/>
      <c r="M37" s="343"/>
      <c r="N37" s="343"/>
      <c r="O37" s="343"/>
      <c r="P37" s="343"/>
      <c r="Q37" s="343"/>
      <c r="R37" s="343"/>
      <c r="S37" s="343"/>
      <c r="T37" s="343"/>
      <c r="U37" s="343"/>
      <c r="V37" s="343"/>
      <c r="W37" s="343"/>
      <c r="X37" s="343"/>
      <c r="Y37" s="343"/>
      <c r="Z37" s="343"/>
    </row>
    <row r="38" spans="1:26" ht="12.75" customHeight="1">
      <c r="A38" s="343"/>
      <c r="B38" s="343"/>
      <c r="C38" s="343"/>
      <c r="D38" s="345"/>
      <c r="E38" s="343"/>
      <c r="F38" s="343"/>
      <c r="G38" s="343"/>
      <c r="H38" s="343"/>
      <c r="I38" s="343"/>
      <c r="J38" s="343"/>
      <c r="K38" s="343"/>
      <c r="L38" s="343"/>
      <c r="M38" s="343"/>
      <c r="N38" s="343"/>
      <c r="O38" s="343"/>
      <c r="P38" s="343"/>
      <c r="Q38" s="343"/>
      <c r="R38" s="343"/>
      <c r="S38" s="343"/>
      <c r="T38" s="343"/>
      <c r="U38" s="343"/>
      <c r="V38" s="343"/>
      <c r="W38" s="343"/>
      <c r="X38" s="343"/>
      <c r="Y38" s="343"/>
      <c r="Z38" s="343"/>
    </row>
    <row r="39" spans="1:26" ht="12.75" customHeight="1">
      <c r="A39" s="343"/>
      <c r="B39" s="343"/>
      <c r="C39" s="343"/>
      <c r="D39" s="343"/>
      <c r="E39" s="343"/>
      <c r="F39" s="343"/>
      <c r="G39" s="343"/>
      <c r="H39" s="343"/>
      <c r="I39" s="343"/>
      <c r="J39" s="343"/>
      <c r="K39" s="343"/>
      <c r="L39" s="343"/>
      <c r="M39" s="343"/>
      <c r="N39" s="343"/>
      <c r="O39" s="343"/>
      <c r="P39" s="343"/>
      <c r="Q39" s="343"/>
      <c r="R39" s="343"/>
      <c r="S39" s="343"/>
      <c r="T39" s="343"/>
      <c r="U39" s="343"/>
      <c r="V39" s="343"/>
      <c r="W39" s="343"/>
      <c r="X39" s="343"/>
      <c r="Y39" s="343"/>
      <c r="Z39" s="343"/>
    </row>
    <row r="40" spans="1:26" ht="12.75" customHeight="1">
      <c r="A40" s="343"/>
      <c r="B40" s="343"/>
      <c r="C40" s="343"/>
      <c r="D40" s="343"/>
      <c r="E40" s="343"/>
      <c r="F40" s="343"/>
      <c r="G40" s="343"/>
      <c r="H40" s="343"/>
      <c r="I40" s="343"/>
      <c r="J40" s="343"/>
      <c r="K40" s="343"/>
      <c r="L40" s="343"/>
      <c r="M40" s="343"/>
      <c r="N40" s="343"/>
      <c r="O40" s="343"/>
      <c r="P40" s="343"/>
      <c r="Q40" s="343"/>
      <c r="R40" s="343"/>
      <c r="S40" s="343"/>
      <c r="T40" s="343"/>
      <c r="U40" s="343"/>
      <c r="V40" s="343"/>
      <c r="W40" s="343"/>
      <c r="X40" s="343"/>
      <c r="Y40" s="343"/>
      <c r="Z40" s="343"/>
    </row>
    <row r="41" spans="1:26" ht="12.75" customHeight="1">
      <c r="A41" s="343"/>
      <c r="B41" s="343"/>
      <c r="C41" s="343"/>
      <c r="D41" s="343"/>
      <c r="E41" s="343"/>
      <c r="F41" s="343"/>
      <c r="G41" s="343"/>
      <c r="H41" s="343"/>
      <c r="I41" s="343"/>
      <c r="J41" s="343"/>
      <c r="K41" s="343"/>
      <c r="L41" s="343"/>
      <c r="M41" s="343"/>
      <c r="N41" s="343"/>
      <c r="O41" s="343"/>
      <c r="P41" s="343"/>
      <c r="Q41" s="343"/>
      <c r="R41" s="343"/>
      <c r="S41" s="343"/>
      <c r="T41" s="343"/>
      <c r="U41" s="343"/>
      <c r="V41" s="343"/>
      <c r="W41" s="343"/>
      <c r="X41" s="343"/>
      <c r="Y41" s="343"/>
      <c r="Z41" s="343"/>
    </row>
    <row r="42" spans="1:26" ht="12.75" customHeight="1">
      <c r="A42" s="343"/>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row>
    <row r="43" spans="1:26" ht="12.75" customHeight="1">
      <c r="A43" s="343"/>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row>
    <row r="44" spans="1:26" ht="12.75" customHeight="1">
      <c r="A44" s="343"/>
      <c r="B44" s="343"/>
      <c r="C44" s="343"/>
      <c r="D44" s="343"/>
      <c r="E44" s="343"/>
      <c r="F44" s="343"/>
      <c r="G44" s="343"/>
      <c r="H44" s="343"/>
      <c r="I44" s="343"/>
      <c r="J44" s="343"/>
      <c r="K44" s="343"/>
      <c r="L44" s="343"/>
      <c r="M44" s="343"/>
      <c r="N44" s="343"/>
      <c r="O44" s="343"/>
      <c r="P44" s="343"/>
      <c r="Q44" s="343"/>
      <c r="R44" s="343"/>
      <c r="S44" s="343"/>
      <c r="T44" s="343"/>
      <c r="U44" s="343"/>
      <c r="V44" s="343"/>
      <c r="W44" s="343"/>
      <c r="X44" s="343"/>
      <c r="Y44" s="343"/>
      <c r="Z44" s="343"/>
    </row>
    <row r="45" spans="1:26" ht="12.75" customHeight="1">
      <c r="A45" s="343"/>
      <c r="B45" s="343"/>
      <c r="C45" s="343"/>
      <c r="D45" s="343"/>
      <c r="E45" s="343"/>
      <c r="F45" s="343"/>
      <c r="G45" s="343"/>
      <c r="H45" s="343"/>
      <c r="I45" s="343"/>
      <c r="J45" s="343"/>
      <c r="K45" s="343"/>
      <c r="L45" s="343"/>
      <c r="M45" s="343"/>
      <c r="N45" s="343"/>
      <c r="O45" s="343"/>
      <c r="P45" s="343"/>
      <c r="Q45" s="343"/>
      <c r="R45" s="343"/>
      <c r="S45" s="343"/>
      <c r="T45" s="343"/>
      <c r="U45" s="343"/>
      <c r="V45" s="343"/>
      <c r="W45" s="343"/>
      <c r="X45" s="343"/>
      <c r="Y45" s="343"/>
      <c r="Z45" s="343"/>
    </row>
    <row r="46" spans="1:26" ht="12.75" customHeight="1">
      <c r="A46" s="343"/>
      <c r="B46" s="343"/>
      <c r="C46" s="343"/>
      <c r="D46" s="343"/>
      <c r="E46" s="343"/>
      <c r="F46" s="343"/>
      <c r="G46" s="343"/>
      <c r="H46" s="343"/>
      <c r="I46" s="343"/>
      <c r="J46" s="343"/>
      <c r="K46" s="343"/>
      <c r="L46" s="343"/>
      <c r="M46" s="343"/>
      <c r="N46" s="343"/>
      <c r="O46" s="343"/>
      <c r="P46" s="343"/>
      <c r="Q46" s="343"/>
      <c r="R46" s="343"/>
      <c r="S46" s="343"/>
      <c r="T46" s="343"/>
      <c r="U46" s="343"/>
      <c r="V46" s="343"/>
      <c r="W46" s="343"/>
      <c r="X46" s="343"/>
      <c r="Y46" s="343"/>
      <c r="Z46" s="343"/>
    </row>
    <row r="47" spans="1:26" ht="12.75" customHeight="1">
      <c r="A47" s="343"/>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row>
    <row r="48" spans="1:26" ht="12.75" customHeight="1">
      <c r="A48" s="343"/>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row>
    <row r="49" spans="1:26" ht="12.75" customHeight="1">
      <c r="A49" s="343"/>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row>
    <row r="50" spans="1:26" ht="12.75" customHeight="1">
      <c r="A50" s="343"/>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row>
    <row r="51" spans="1:26" ht="12.75" customHeight="1">
      <c r="A51" s="343"/>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row>
    <row r="52" spans="1:26" ht="12.75" customHeight="1">
      <c r="A52" s="343"/>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row>
    <row r="53" spans="1:26" ht="12.75" customHeight="1">
      <c r="A53" s="343"/>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row>
    <row r="54" spans="1:26" ht="12.75" customHeight="1">
      <c r="A54" s="343"/>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row>
    <row r="55" spans="1:26" ht="12.75" customHeight="1">
      <c r="A55" s="343"/>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row>
    <row r="56" spans="1:26" ht="12.75" customHeight="1">
      <c r="A56" s="343"/>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row>
    <row r="57" spans="1:26" ht="12.75" customHeight="1">
      <c r="A57" s="343"/>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row>
    <row r="58" spans="1:26" ht="12.75" customHeight="1">
      <c r="A58" s="343"/>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row>
    <row r="59" spans="1:26" ht="12.75" customHeight="1">
      <c r="A59" s="343"/>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row>
    <row r="60" spans="1:26" ht="12.75" customHeight="1">
      <c r="A60" s="343"/>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row>
    <row r="61" spans="1:26" ht="12.75" customHeight="1">
      <c r="A61" s="343"/>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row>
    <row r="62" spans="1:26" ht="12.75" customHeight="1">
      <c r="A62" s="343"/>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row>
    <row r="63" spans="1:26" ht="12.75" customHeight="1">
      <c r="A63" s="343"/>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row>
    <row r="64" spans="1:26" ht="12.75" customHeight="1">
      <c r="A64" s="343"/>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row>
    <row r="65" spans="1:26" ht="12.75" customHeight="1">
      <c r="A65" s="343"/>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row>
    <row r="66" spans="1:26" ht="12.75" customHeight="1">
      <c r="A66" s="343"/>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row>
    <row r="67" spans="1:26" ht="12.75" customHeight="1">
      <c r="A67" s="343"/>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row>
    <row r="68" spans="1:26" ht="12.75" customHeight="1">
      <c r="A68" s="343"/>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row>
    <row r="69" spans="1:26" ht="12.75" customHeight="1">
      <c r="A69" s="343"/>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row>
    <row r="70" spans="1:26" ht="12.75" customHeight="1">
      <c r="A70" s="343"/>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row>
    <row r="71" spans="1:26" ht="12.75" customHeight="1">
      <c r="A71" s="343"/>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row>
    <row r="72" spans="1:26" ht="12.75" customHeight="1">
      <c r="A72" s="343"/>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row>
    <row r="73" spans="1:26" ht="12.75" customHeight="1">
      <c r="A73" s="343"/>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row>
    <row r="74" spans="1:26" ht="12.75" customHeight="1">
      <c r="A74" s="343"/>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row>
    <row r="75" spans="1:26" ht="12.75" customHeight="1">
      <c r="A75" s="343"/>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row>
    <row r="76" spans="1:26" ht="12.75" customHeight="1">
      <c r="A76" s="343"/>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row>
    <row r="77" spans="1:26" ht="12.75" customHeight="1">
      <c r="A77" s="343"/>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row>
    <row r="78" spans="1:26" ht="12.75" customHeight="1">
      <c r="A78" s="343"/>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row>
    <row r="79" spans="1:26" ht="12.75" customHeight="1">
      <c r="A79" s="343"/>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row>
    <row r="80" spans="1:26" ht="12.75" customHeight="1">
      <c r="A80" s="343"/>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row>
    <row r="81" spans="1:26" ht="12.75" customHeight="1">
      <c r="A81" s="343"/>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row>
    <row r="82" spans="1:26" ht="12.75" customHeight="1">
      <c r="A82" s="343"/>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row>
    <row r="83" spans="1:26" ht="12.75" customHeight="1">
      <c r="A83" s="343"/>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row>
    <row r="84" spans="1:26" ht="12.75" customHeight="1">
      <c r="A84" s="343"/>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row>
    <row r="85" spans="1:26" ht="12.75" customHeight="1">
      <c r="A85" s="343"/>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row>
    <row r="86" spans="1:26" ht="12.75" customHeight="1">
      <c r="A86" s="343"/>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row>
    <row r="87" spans="1:26" ht="12.75" customHeight="1">
      <c r="A87" s="343"/>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row>
    <row r="88" spans="1:26" ht="12.75" customHeight="1">
      <c r="A88" s="343"/>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row>
    <row r="89" spans="1:26" ht="12.75" customHeight="1">
      <c r="A89" s="343"/>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row>
    <row r="90" spans="1:26" ht="12.75" customHeight="1">
      <c r="A90" s="343"/>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row>
    <row r="91" spans="1:26" ht="12.75" customHeight="1">
      <c r="A91" s="343"/>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row>
    <row r="92" spans="1:26" ht="12.75" customHeight="1">
      <c r="A92" s="343"/>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row>
    <row r="93" spans="1:26" ht="12.75" customHeight="1">
      <c r="A93" s="343"/>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row>
    <row r="94" spans="1:26" ht="12.75" customHeight="1">
      <c r="A94" s="343"/>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row>
    <row r="95" spans="1:26" ht="12.75" customHeight="1">
      <c r="A95" s="343"/>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row>
    <row r="96" spans="1:26" ht="12.75" customHeight="1">
      <c r="A96" s="343"/>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row>
    <row r="97" spans="1:26" ht="12.75" customHeight="1">
      <c r="A97" s="343"/>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row>
    <row r="98" spans="1:26" ht="12.75" customHeight="1">
      <c r="A98" s="343"/>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row>
    <row r="99" spans="1:26" ht="12.75" customHeight="1">
      <c r="A99" s="343"/>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row>
    <row r="100" spans="1:26" ht="12.75" customHeight="1">
      <c r="A100" s="343"/>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row>
    <row r="101" spans="1:26" ht="12.75" customHeight="1">
      <c r="A101" s="343"/>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row>
    <row r="102" spans="1:26" ht="12.75" customHeight="1">
      <c r="A102" s="343"/>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row>
    <row r="103" spans="1:26" ht="12.75" customHeight="1">
      <c r="A103" s="343"/>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row>
    <row r="104" spans="1:26" ht="12.75" customHeight="1">
      <c r="A104" s="343"/>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row>
    <row r="105" spans="1:26" ht="12.75" customHeight="1">
      <c r="A105" s="343"/>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row>
    <row r="106" spans="1:26" ht="12.75" customHeight="1">
      <c r="A106" s="343"/>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row>
    <row r="107" spans="1:26" ht="12.75" customHeight="1">
      <c r="A107" s="343"/>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row>
    <row r="108" spans="1:26" ht="12.75" customHeight="1">
      <c r="A108" s="343"/>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row>
    <row r="109" spans="1:26" ht="12.75" customHeight="1">
      <c r="A109" s="343"/>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row>
    <row r="110" spans="1:26" ht="12.75" customHeight="1">
      <c r="A110" s="343"/>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row>
    <row r="111" spans="1:26" ht="12.75" customHeight="1">
      <c r="A111" s="343"/>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row>
    <row r="112" spans="1:26" ht="12.75" customHeight="1">
      <c r="A112" s="343"/>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row>
    <row r="113" spans="1:26" ht="12.75" customHeight="1">
      <c r="A113" s="343"/>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row>
    <row r="114" spans="1:26" ht="12.75" customHeight="1">
      <c r="A114" s="343"/>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row>
    <row r="115" spans="1:26" ht="12.75" customHeight="1">
      <c r="A115" s="343"/>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row>
    <row r="116" spans="1:26" ht="12.75" customHeight="1">
      <c r="A116" s="343"/>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row>
    <row r="117" spans="1:26" ht="12.75" customHeight="1">
      <c r="A117" s="343"/>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row>
    <row r="118" spans="1:26" ht="12.75" customHeight="1">
      <c r="A118" s="343"/>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row>
    <row r="119" spans="1:26" ht="12.75" customHeight="1">
      <c r="A119" s="343"/>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row>
    <row r="120" spans="1:26" ht="12.75" customHeight="1">
      <c r="A120" s="343"/>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row>
    <row r="121" spans="1:26" ht="12.75" customHeight="1">
      <c r="A121" s="343"/>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row>
    <row r="122" spans="1:26" ht="12.75" customHeight="1">
      <c r="A122" s="343"/>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row>
    <row r="123" spans="1:26" ht="12.75" customHeight="1">
      <c r="A123" s="343"/>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row>
    <row r="124" spans="1:26" ht="12.75" customHeight="1">
      <c r="A124" s="343"/>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row>
    <row r="125" spans="1:26" ht="12.75" customHeight="1">
      <c r="A125" s="343"/>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row>
    <row r="126" spans="1:26" ht="12.75" customHeight="1">
      <c r="A126" s="343"/>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row>
    <row r="127" spans="1:26" ht="12.75" customHeight="1">
      <c r="A127" s="343"/>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row>
    <row r="128" spans="1:26" ht="12.75" customHeight="1">
      <c r="A128" s="343"/>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row>
    <row r="129" spans="1:26" ht="12.75" customHeight="1">
      <c r="A129" s="343"/>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row>
    <row r="130" spans="1:26" ht="12.75" customHeight="1">
      <c r="A130" s="343"/>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row>
    <row r="131" spans="1:26" ht="12.75" customHeight="1">
      <c r="A131" s="343"/>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row>
    <row r="132" spans="1:26" ht="12.75" customHeight="1">
      <c r="A132" s="343"/>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row>
    <row r="133" spans="1:26" ht="12.75" customHeight="1">
      <c r="A133" s="343"/>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row>
    <row r="134" spans="1:26" ht="12.75" customHeight="1">
      <c r="A134" s="343"/>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row>
    <row r="135" spans="1:26" ht="12.75" customHeight="1">
      <c r="A135" s="343"/>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row>
    <row r="136" spans="1:26" ht="12.75" customHeight="1">
      <c r="A136" s="343"/>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row>
    <row r="137" spans="1:26" ht="12.75" customHeight="1">
      <c r="A137" s="343"/>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row>
    <row r="138" spans="1:26" ht="12.75" customHeight="1">
      <c r="A138" s="343"/>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row>
    <row r="139" spans="1:26" ht="12.75" customHeight="1">
      <c r="A139" s="343"/>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row>
    <row r="140" spans="1:26" ht="12.75" customHeight="1">
      <c r="A140" s="343"/>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row>
    <row r="141" spans="1:26" ht="12.75" customHeight="1">
      <c r="A141" s="343"/>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row>
    <row r="142" spans="1:26" ht="12.75" customHeight="1">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row>
    <row r="143" spans="1:26" ht="12.75" customHeight="1">
      <c r="A143" s="343"/>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row>
    <row r="144" spans="1:26" ht="12.75" customHeight="1">
      <c r="A144" s="343"/>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row>
    <row r="145" spans="1:26" ht="12.75" customHeight="1">
      <c r="A145" s="343"/>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row>
    <row r="146" spans="1:26" ht="12.75" customHeight="1">
      <c r="A146" s="343"/>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row>
    <row r="147" spans="1:26" ht="12.75" customHeight="1">
      <c r="A147" s="343"/>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row>
    <row r="148" spans="1:26" ht="12.75" customHeight="1">
      <c r="A148" s="343"/>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row>
    <row r="149" spans="1:26" ht="12.75" customHeight="1">
      <c r="A149" s="343"/>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row>
    <row r="150" spans="1:26" ht="12.75" customHeight="1">
      <c r="A150" s="343"/>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row>
    <row r="151" spans="1:26" ht="12.75" customHeight="1">
      <c r="A151" s="343"/>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row>
    <row r="152" spans="1:26" ht="12.75" customHeight="1">
      <c r="A152" s="343"/>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row>
    <row r="153" spans="1:26" ht="12.75" customHeight="1">
      <c r="A153" s="343"/>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row>
    <row r="154" spans="1:26" ht="12.75" customHeight="1">
      <c r="A154" s="343"/>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row>
    <row r="155" spans="1:26" ht="12.75" customHeight="1">
      <c r="A155" s="343"/>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row>
    <row r="156" spans="1:26" ht="12.75" customHeight="1">
      <c r="A156" s="343"/>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row>
    <row r="157" spans="1:26" ht="12.75" customHeight="1">
      <c r="A157" s="343"/>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row>
    <row r="158" spans="1:26" ht="12.75" customHeight="1">
      <c r="A158" s="343"/>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row>
    <row r="159" spans="1:26" ht="12.75" customHeight="1">
      <c r="A159" s="343"/>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row>
    <row r="160" spans="1:26" ht="12.75" customHeight="1">
      <c r="A160" s="343"/>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row>
    <row r="161" spans="1:26" ht="12.75" customHeight="1">
      <c r="A161" s="343"/>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row>
    <row r="162" spans="1:26" ht="12.75" customHeight="1">
      <c r="A162" s="343"/>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row>
    <row r="163" spans="1:26" ht="12.75" customHeight="1">
      <c r="A163" s="343"/>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row>
    <row r="164" spans="1:26" ht="12.75" customHeight="1">
      <c r="A164" s="343"/>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row>
    <row r="165" spans="1:26" ht="12.75" customHeight="1">
      <c r="A165" s="343"/>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row>
    <row r="166" spans="1:26" ht="12.75" customHeight="1">
      <c r="A166" s="343"/>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row>
    <row r="167" spans="1:26" ht="12.75" customHeight="1">
      <c r="A167" s="343"/>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row>
    <row r="168" spans="1:26" ht="12.75" customHeight="1">
      <c r="A168" s="343"/>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row>
    <row r="169" spans="1:26" ht="12.75" customHeight="1">
      <c r="A169" s="343"/>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row>
    <row r="170" spans="1:26" ht="12.75" customHeight="1">
      <c r="A170" s="343"/>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row>
    <row r="171" spans="1:26" ht="12.75" customHeight="1">
      <c r="A171" s="343"/>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row>
    <row r="172" spans="1:26" ht="12.75" customHeight="1">
      <c r="A172" s="343"/>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row>
    <row r="173" spans="1:26" ht="12.75" customHeight="1">
      <c r="A173" s="343"/>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row>
    <row r="174" spans="1:26" ht="12.75" customHeight="1">
      <c r="A174" s="343"/>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row>
    <row r="175" spans="1:26" ht="12.75" customHeight="1">
      <c r="A175" s="343"/>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row>
    <row r="176" spans="1:26" ht="12.75" customHeight="1">
      <c r="A176" s="343"/>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row>
    <row r="177" spans="1:26" ht="12.75" customHeight="1">
      <c r="A177" s="343"/>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row>
    <row r="178" spans="1:26" ht="12.75" customHeight="1">
      <c r="A178" s="343"/>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row>
    <row r="179" spans="1:26" ht="12.75" customHeight="1">
      <c r="A179" s="343"/>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row>
    <row r="180" spans="1:26" ht="12.75" customHeight="1">
      <c r="A180" s="343"/>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row>
    <row r="181" spans="1:26" ht="12.75" customHeight="1">
      <c r="A181" s="343"/>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row>
    <row r="182" spans="1:26" ht="12.75" customHeight="1">
      <c r="A182" s="343"/>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row>
    <row r="183" spans="1:26" ht="12.75" customHeight="1">
      <c r="A183" s="343"/>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row>
    <row r="184" spans="1:26" ht="12.75" customHeight="1">
      <c r="A184" s="343"/>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row>
    <row r="185" spans="1:26" ht="12.75" customHeight="1">
      <c r="A185" s="343"/>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row>
    <row r="186" spans="1:26" ht="12.75" customHeight="1">
      <c r="A186" s="343"/>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row>
    <row r="187" spans="1:26" ht="12.75" customHeight="1">
      <c r="A187" s="343"/>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row>
    <row r="188" spans="1:26" ht="12.75" customHeight="1">
      <c r="A188" s="343"/>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row>
    <row r="189" spans="1:26" ht="12.75" customHeight="1">
      <c r="A189" s="343"/>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row>
    <row r="190" spans="1:26" ht="12.75" customHeight="1">
      <c r="A190" s="343"/>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row>
    <row r="191" spans="1:26" ht="12.75" customHeight="1">
      <c r="A191" s="343"/>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row>
    <row r="192" spans="1:26" ht="12.75" customHeight="1">
      <c r="A192" s="343"/>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row>
    <row r="193" spans="1:26" ht="12.75" customHeight="1">
      <c r="A193" s="343"/>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row>
    <row r="194" spans="1:26" ht="12.75" customHeight="1">
      <c r="A194" s="343"/>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row>
    <row r="195" spans="1:26" ht="12.75" customHeight="1">
      <c r="A195" s="343"/>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row>
    <row r="196" spans="1:26" ht="12.75" customHeight="1">
      <c r="A196" s="343"/>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row>
    <row r="197" spans="1:26" ht="12.75" customHeight="1">
      <c r="A197" s="343"/>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row>
    <row r="198" spans="1:26" ht="12.75" customHeight="1">
      <c r="A198" s="343"/>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row>
    <row r="199" spans="1:26" ht="12.75" customHeight="1">
      <c r="A199" s="343"/>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row>
    <row r="200" spans="1:26" ht="12.75" customHeight="1">
      <c r="A200" s="343"/>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row>
    <row r="201" spans="1:26" ht="12.75" customHeight="1">
      <c r="A201" s="343"/>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row>
    <row r="202" spans="1:26" ht="12.75" customHeight="1">
      <c r="A202" s="343"/>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row>
    <row r="203" spans="1:26" ht="12.75" customHeight="1">
      <c r="A203" s="343"/>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row>
    <row r="204" spans="1:26" ht="12.75" customHeight="1">
      <c r="A204" s="343"/>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row>
    <row r="205" spans="1:26" ht="12.75" customHeight="1">
      <c r="A205" s="343"/>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row>
    <row r="206" spans="1:26" ht="12.75" customHeight="1">
      <c r="A206" s="343"/>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row>
    <row r="207" spans="1:26" ht="12.75" customHeight="1">
      <c r="A207" s="343"/>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row>
    <row r="208" spans="1:26" ht="12.75" customHeight="1">
      <c r="A208" s="343"/>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row>
    <row r="209" spans="1:26" ht="12.75" customHeight="1">
      <c r="A209" s="343"/>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row>
    <row r="210" spans="1:26" ht="12.75" customHeight="1">
      <c r="A210" s="343"/>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row>
    <row r="211" spans="1:26" ht="12.75" customHeight="1">
      <c r="A211" s="343"/>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row>
    <row r="212" spans="1:26" ht="12.75" customHeight="1">
      <c r="A212" s="343"/>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row>
    <row r="213" spans="1:26" ht="12.75" customHeight="1">
      <c r="A213" s="343"/>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row>
    <row r="214" spans="1:26" ht="12.75" customHeight="1">
      <c r="A214" s="343"/>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row>
    <row r="215" spans="1:26" ht="12.75" customHeight="1">
      <c r="A215" s="343"/>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row>
    <row r="216" spans="1:26" ht="12.75" customHeight="1">
      <c r="A216" s="343"/>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row>
    <row r="217" spans="1:26" ht="12.75" customHeight="1">
      <c r="A217" s="343"/>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row>
    <row r="218" spans="1:26" ht="12.75" customHeight="1">
      <c r="A218" s="343"/>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row>
    <row r="219" spans="1:26" ht="12.75" customHeight="1">
      <c r="A219" s="343"/>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row>
    <row r="220" spans="1:26" ht="12.75" customHeight="1">
      <c r="A220" s="343"/>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row>
    <row r="221" spans="1:26" ht="12.75" customHeight="1">
      <c r="A221" s="343"/>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row>
    <row r="222" spans="1:26" ht="12.75" customHeight="1">
      <c r="A222" s="343"/>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row>
    <row r="223" spans="1:26" ht="12.75" customHeight="1">
      <c r="A223" s="343"/>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row>
    <row r="224" spans="1:26" ht="12.75" customHeight="1">
      <c r="A224" s="343"/>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row>
    <row r="225" spans="1:26" ht="12.75" customHeight="1">
      <c r="A225" s="343"/>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row>
    <row r="226" spans="1:26" ht="12.75" customHeight="1">
      <c r="A226" s="343"/>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row>
    <row r="227" spans="1:26" ht="12.75" customHeight="1">
      <c r="A227" s="343"/>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row>
    <row r="228" spans="1:26" ht="12.75" customHeight="1">
      <c r="A228" s="343"/>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row>
    <row r="229" spans="1:26" ht="12.75" customHeight="1">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row>
    <row r="230" spans="1:26" ht="12.75" customHeight="1">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row>
    <row r="231" spans="1:26" ht="12.75" customHeight="1">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row>
    <row r="232" spans="1:26" ht="12.75" customHeight="1">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row>
    <row r="233" spans="1:26" ht="12.75" customHeight="1">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row>
    <row r="234" spans="1:26" ht="12.75" customHeight="1">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row>
    <row r="235" spans="1:26" ht="12.75" customHeight="1">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row>
    <row r="236" spans="1:26" ht="12.75" customHeight="1">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row>
    <row r="237" spans="1:26" ht="12.75" customHeight="1">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row>
    <row r="238" spans="1:26" ht="12.75" customHeight="1">
      <c r="A238" s="343"/>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row>
    <row r="239" spans="1:26" ht="12.75" customHeight="1">
      <c r="A239" s="343"/>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row>
    <row r="240" spans="1:26" ht="12.75" customHeight="1">
      <c r="A240" s="343"/>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row>
    <row r="241" spans="1:26" ht="12.75" customHeight="1">
      <c r="A241" s="343"/>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row>
    <row r="242" spans="1:26" ht="12.75" customHeight="1">
      <c r="A242" s="343"/>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row>
    <row r="243" spans="1:26" ht="12.75" customHeight="1">
      <c r="A243" s="343"/>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row>
    <row r="244" spans="1:26" ht="12.75" customHeight="1">
      <c r="A244" s="343"/>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row>
    <row r="245" spans="1:26" ht="12.75" customHeight="1">
      <c r="A245" s="343"/>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row>
    <row r="246" spans="1:26" ht="12.75" customHeight="1">
      <c r="A246" s="343"/>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row>
    <row r="247" spans="1:26" ht="12.75" customHeight="1">
      <c r="A247" s="343"/>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row>
    <row r="248" spans="1:26" ht="12.75" customHeight="1">
      <c r="A248" s="343"/>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row>
    <row r="249" spans="1:26" ht="12.75" customHeight="1">
      <c r="A249" s="343"/>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row>
    <row r="250" spans="1:26" ht="12.75" customHeight="1">
      <c r="A250" s="343"/>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row>
    <row r="251" spans="1:26" ht="12.75" customHeight="1">
      <c r="A251" s="343"/>
      <c r="B251" s="343"/>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row>
    <row r="252" spans="1:26" ht="12.75" customHeight="1">
      <c r="A252" s="343"/>
      <c r="B252" s="343"/>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row>
    <row r="253" spans="1:26" ht="12.75" customHeight="1">
      <c r="A253" s="343"/>
      <c r="B253" s="343"/>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row>
    <row r="254" spans="1:26" ht="12.75" customHeight="1">
      <c r="A254" s="343"/>
      <c r="B254" s="343"/>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row>
    <row r="255" spans="1:26" ht="12.75" customHeight="1">
      <c r="A255" s="343"/>
      <c r="B255" s="343"/>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row>
    <row r="256" spans="1:26" ht="12.75" customHeight="1">
      <c r="A256" s="343"/>
      <c r="B256" s="343"/>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row>
    <row r="257" spans="1:26" ht="12.75" customHeight="1">
      <c r="A257" s="343"/>
      <c r="B257" s="343"/>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row>
    <row r="258" spans="1:26" ht="12.75" customHeight="1">
      <c r="A258" s="343"/>
      <c r="B258" s="343"/>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row>
    <row r="259" spans="1:26" ht="12.75" customHeight="1">
      <c r="A259" s="343"/>
      <c r="B259" s="343"/>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row>
    <row r="260" spans="1:26" ht="12.75" customHeight="1">
      <c r="A260" s="343"/>
      <c r="B260" s="343"/>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row>
    <row r="261" spans="1:26" ht="12.75" customHeight="1">
      <c r="A261" s="343"/>
      <c r="B261" s="343"/>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row>
    <row r="262" spans="1:26" ht="12.75" customHeight="1">
      <c r="A262" s="343"/>
      <c r="B262" s="343"/>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row>
    <row r="263" spans="1:26" ht="12.75" customHeight="1">
      <c r="A263" s="343"/>
      <c r="B263" s="343"/>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row>
    <row r="264" spans="1:26" ht="12.75" customHeight="1">
      <c r="A264" s="343"/>
      <c r="B264" s="343"/>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row>
    <row r="265" spans="1:26" ht="12.75" customHeight="1">
      <c r="A265" s="343"/>
      <c r="B265" s="343"/>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row>
    <row r="266" spans="1:26" ht="12.75" customHeight="1">
      <c r="A266" s="343"/>
      <c r="B266" s="343"/>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row>
    <row r="267" spans="1:26" ht="12.75" customHeight="1">
      <c r="A267" s="343"/>
      <c r="B267" s="343"/>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row>
    <row r="268" spans="1:26" ht="12.75" customHeight="1">
      <c r="A268" s="343"/>
      <c r="B268" s="343"/>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row>
    <row r="269" spans="1:26" ht="12.75" customHeight="1">
      <c r="A269" s="343"/>
      <c r="B269" s="343"/>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row>
    <row r="270" spans="1:26" ht="12.75" customHeight="1">
      <c r="A270" s="343"/>
      <c r="B270" s="343"/>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row>
    <row r="271" spans="1:26" ht="12.75" customHeight="1">
      <c r="A271" s="343"/>
      <c r="B271" s="343"/>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row>
    <row r="272" spans="1:26" ht="12.75" customHeight="1">
      <c r="A272" s="343"/>
      <c r="B272" s="343"/>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row>
    <row r="273" spans="1:26" ht="12.75" customHeight="1">
      <c r="A273" s="343"/>
      <c r="B273" s="343"/>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row>
    <row r="274" spans="1:26" ht="12.75" customHeight="1">
      <c r="A274" s="343"/>
      <c r="B274" s="343"/>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row>
    <row r="275" spans="1:26" ht="12.75" customHeight="1">
      <c r="A275" s="343"/>
      <c r="B275" s="343"/>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row>
    <row r="276" spans="1:26" ht="12.75" customHeight="1">
      <c r="A276" s="343"/>
      <c r="B276" s="343"/>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row>
    <row r="277" spans="1:26" ht="12.75" customHeight="1">
      <c r="A277" s="343"/>
      <c r="B277" s="343"/>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row>
    <row r="278" spans="1:26" ht="12.75" customHeight="1">
      <c r="A278" s="343"/>
      <c r="B278" s="343"/>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row>
    <row r="279" spans="1:26" ht="12.75" customHeight="1">
      <c r="A279" s="343"/>
      <c r="B279" s="343"/>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row>
    <row r="280" spans="1:26" ht="12.75" customHeight="1">
      <c r="A280" s="343"/>
      <c r="B280" s="343"/>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row>
    <row r="281" spans="1:26" ht="12.75" customHeight="1">
      <c r="A281" s="343"/>
      <c r="B281" s="343"/>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row>
    <row r="282" spans="1:26" ht="12.75" customHeight="1">
      <c r="A282" s="343"/>
      <c r="B282" s="343"/>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row>
    <row r="283" spans="1:26" ht="12.75" customHeight="1">
      <c r="A283" s="343"/>
      <c r="B283" s="343"/>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row>
    <row r="284" spans="1:26" ht="12.75" customHeight="1">
      <c r="A284" s="343"/>
      <c r="B284" s="343"/>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row>
    <row r="285" spans="1:26" ht="12.75" customHeight="1">
      <c r="A285" s="343"/>
      <c r="B285" s="343"/>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row>
    <row r="286" spans="1:26" ht="12.75" customHeight="1">
      <c r="A286" s="343"/>
      <c r="B286" s="343"/>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row>
    <row r="287" spans="1:26" ht="12.75" customHeight="1">
      <c r="A287" s="343"/>
      <c r="B287" s="343"/>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row>
    <row r="288" spans="1:26" ht="12.75" customHeight="1">
      <c r="A288" s="343"/>
      <c r="B288" s="343"/>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row>
    <row r="289" spans="1:26" ht="12.75" customHeight="1">
      <c r="A289" s="343"/>
      <c r="B289" s="343"/>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row>
    <row r="290" spans="1:26" ht="12.75" customHeight="1">
      <c r="A290" s="343"/>
      <c r="B290" s="343"/>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row>
    <row r="291" spans="1:26" ht="12.75" customHeight="1">
      <c r="A291" s="343"/>
      <c r="B291" s="343"/>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row>
    <row r="292" spans="1:26" ht="12.75" customHeight="1">
      <c r="A292" s="343"/>
      <c r="B292" s="343"/>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row>
    <row r="293" spans="1:26" ht="12.75" customHeight="1">
      <c r="A293" s="343"/>
      <c r="B293" s="343"/>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row>
    <row r="294" spans="1:26" ht="12.75" customHeight="1">
      <c r="A294" s="343"/>
      <c r="B294" s="343"/>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row>
    <row r="295" spans="1:26" ht="12.75" customHeight="1">
      <c r="A295" s="343"/>
      <c r="B295" s="343"/>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row>
    <row r="296" spans="1:26" ht="12.75" customHeight="1">
      <c r="A296" s="343"/>
      <c r="B296" s="343"/>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row>
    <row r="297" spans="1:26" ht="12.75" customHeight="1">
      <c r="A297" s="343"/>
      <c r="B297" s="343"/>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row>
    <row r="298" spans="1:26" ht="12.75" customHeight="1">
      <c r="A298" s="343"/>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row>
    <row r="299" spans="1:26" ht="12.75" customHeight="1">
      <c r="A299" s="343"/>
      <c r="B299" s="343"/>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row>
    <row r="300" spans="1:26" ht="12.75" customHeight="1">
      <c r="A300" s="343"/>
      <c r="B300" s="343"/>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row>
    <row r="301" spans="1:26" ht="12.75" customHeight="1">
      <c r="A301" s="343"/>
      <c r="B301" s="343"/>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row>
    <row r="302" spans="1:26" ht="12.75" customHeight="1">
      <c r="A302" s="343"/>
      <c r="B302" s="343"/>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row>
    <row r="303" spans="1:26" ht="12.75" customHeight="1">
      <c r="A303" s="343"/>
      <c r="B303" s="343"/>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row>
    <row r="304" spans="1:26" ht="12.75" customHeight="1">
      <c r="A304" s="343"/>
      <c r="B304" s="343"/>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row>
    <row r="305" spans="1:26" ht="12.75" customHeight="1">
      <c r="A305" s="343"/>
      <c r="B305" s="343"/>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row>
    <row r="306" spans="1:26" ht="12.75" customHeight="1">
      <c r="A306" s="343"/>
      <c r="B306" s="343"/>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row>
    <row r="307" spans="1:26" ht="12.75" customHeight="1">
      <c r="A307" s="343"/>
      <c r="B307" s="343"/>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row>
    <row r="308" spans="1:26" ht="12.75" customHeight="1">
      <c r="A308" s="343"/>
      <c r="B308" s="343"/>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row>
    <row r="309" spans="1:26" ht="12.75" customHeight="1">
      <c r="A309" s="343"/>
      <c r="B309" s="343"/>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row>
    <row r="310" spans="1:26" ht="12.75" customHeight="1">
      <c r="A310" s="343"/>
      <c r="B310" s="343"/>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row>
    <row r="311" spans="1:26" ht="12.75" customHeight="1">
      <c r="A311" s="343"/>
      <c r="B311" s="343"/>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row>
    <row r="312" spans="1:26" ht="12.75" customHeight="1">
      <c r="A312" s="343"/>
      <c r="B312" s="343"/>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row>
    <row r="313" spans="1:26" ht="12.75" customHeight="1">
      <c r="A313" s="343"/>
      <c r="B313" s="343"/>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row>
    <row r="314" spans="1:26" ht="12.75" customHeight="1">
      <c r="A314" s="343"/>
      <c r="B314" s="343"/>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row>
    <row r="315" spans="1:26" ht="12.75" customHeight="1">
      <c r="A315" s="343"/>
      <c r="B315" s="343"/>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row>
    <row r="316" spans="1:26" ht="12.75" customHeight="1">
      <c r="A316" s="343"/>
      <c r="B316" s="343"/>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row>
    <row r="317" spans="1:26" ht="12.75" customHeight="1">
      <c r="A317" s="343"/>
      <c r="B317" s="343"/>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row>
    <row r="318" spans="1:26" ht="12.75" customHeight="1">
      <c r="A318" s="343"/>
      <c r="B318" s="343"/>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row>
    <row r="319" spans="1:26" ht="12.75" customHeight="1">
      <c r="A319" s="343"/>
      <c r="B319" s="343"/>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row>
    <row r="320" spans="1:26" ht="12.75" customHeight="1">
      <c r="A320" s="343"/>
      <c r="B320" s="343"/>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row>
    <row r="321" spans="1:26" ht="12.75" customHeight="1">
      <c r="A321" s="343"/>
      <c r="B321" s="343"/>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row>
    <row r="322" spans="1:26" ht="12.75" customHeight="1">
      <c r="A322" s="343"/>
      <c r="B322" s="343"/>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row>
    <row r="323" spans="1:26" ht="12.75" customHeight="1">
      <c r="A323" s="343"/>
      <c r="B323" s="343"/>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row>
    <row r="324" spans="1:26" ht="12.75" customHeight="1">
      <c r="A324" s="343"/>
      <c r="B324" s="343"/>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row>
    <row r="325" spans="1:26" ht="12.75" customHeight="1">
      <c r="A325" s="343"/>
      <c r="B325" s="343"/>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row>
    <row r="326" spans="1:26" ht="12.75" customHeight="1">
      <c r="A326" s="343"/>
      <c r="B326" s="343"/>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row>
    <row r="327" spans="1:26" ht="12.75" customHeight="1">
      <c r="A327" s="343"/>
      <c r="B327" s="343"/>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row>
    <row r="328" spans="1:26" ht="12.75" customHeight="1">
      <c r="A328" s="343"/>
      <c r="B328" s="343"/>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row>
    <row r="329" spans="1:26" ht="12.75" customHeight="1">
      <c r="A329" s="343"/>
      <c r="B329" s="343"/>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row>
    <row r="330" spans="1:26" ht="12.75" customHeight="1">
      <c r="A330" s="343"/>
      <c r="B330" s="343"/>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row>
    <row r="331" spans="1:26" ht="12.75" customHeight="1">
      <c r="A331" s="343"/>
      <c r="B331" s="343"/>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row>
    <row r="332" spans="1:26" ht="12.75" customHeight="1">
      <c r="A332" s="343"/>
      <c r="B332" s="343"/>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row>
    <row r="333" spans="1:26" ht="12.75" customHeight="1">
      <c r="A333" s="343"/>
      <c r="B333" s="343"/>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row>
    <row r="334" spans="1:26" ht="12.75" customHeight="1">
      <c r="A334" s="343"/>
      <c r="B334" s="343"/>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row>
    <row r="335" spans="1:26" ht="12.75" customHeight="1">
      <c r="A335" s="343"/>
      <c r="B335" s="343"/>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row>
    <row r="336" spans="1:26" ht="12.75" customHeight="1">
      <c r="A336" s="343"/>
      <c r="B336" s="343"/>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row>
    <row r="337" spans="1:26" ht="12.75" customHeight="1">
      <c r="A337" s="343"/>
      <c r="B337" s="343"/>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row>
    <row r="338" spans="1:26" ht="12.75" customHeight="1">
      <c r="A338" s="343"/>
      <c r="B338" s="343"/>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row>
    <row r="339" spans="1:26" ht="12.75" customHeight="1">
      <c r="A339" s="343"/>
      <c r="B339" s="343"/>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row>
    <row r="340" spans="1:26" ht="12.75" customHeight="1">
      <c r="A340" s="343"/>
      <c r="B340" s="343"/>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row>
    <row r="341" spans="1:26" ht="12.75" customHeight="1">
      <c r="A341" s="343"/>
      <c r="B341" s="343"/>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row>
    <row r="342" spans="1:26" ht="12.75" customHeight="1">
      <c r="A342" s="343"/>
      <c r="B342" s="343"/>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row>
    <row r="343" spans="1:26" ht="12.75" customHeight="1">
      <c r="A343" s="343"/>
      <c r="B343" s="343"/>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row>
    <row r="344" spans="1:26" ht="12.75" customHeight="1">
      <c r="A344" s="343"/>
      <c r="B344" s="343"/>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row>
    <row r="345" spans="1:26" ht="12.75" customHeight="1">
      <c r="A345" s="343"/>
      <c r="B345" s="343"/>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row>
    <row r="346" spans="1:26" ht="12.75" customHeight="1">
      <c r="A346" s="343"/>
      <c r="B346" s="343"/>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row>
    <row r="347" spans="1:26" ht="12.75" customHeight="1">
      <c r="A347" s="343"/>
      <c r="B347" s="343"/>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row>
    <row r="348" spans="1:26" ht="12.75" customHeight="1">
      <c r="A348" s="343"/>
      <c r="B348" s="343"/>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row>
    <row r="349" spans="1:26" ht="12.75" customHeight="1">
      <c r="A349" s="343"/>
      <c r="B349" s="343"/>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row>
    <row r="350" spans="1:26" ht="12.75" customHeight="1">
      <c r="A350" s="343"/>
      <c r="B350" s="343"/>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row>
    <row r="351" spans="1:26" ht="12.75" customHeight="1">
      <c r="A351" s="343"/>
      <c r="B351" s="343"/>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row>
    <row r="352" spans="1:26" ht="12.75" customHeight="1">
      <c r="A352" s="343"/>
      <c r="B352" s="343"/>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row>
    <row r="353" spans="1:26" ht="12.75" customHeight="1">
      <c r="A353" s="343"/>
      <c r="B353" s="343"/>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row>
    <row r="354" spans="1:26" ht="12.75" customHeight="1">
      <c r="A354" s="343"/>
      <c r="B354" s="343"/>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row>
    <row r="355" spans="1:26" ht="12.75" customHeight="1">
      <c r="A355" s="343"/>
      <c r="B355" s="343"/>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row>
    <row r="356" spans="1:26" ht="12.75" customHeight="1">
      <c r="A356" s="343"/>
      <c r="B356" s="343"/>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row>
    <row r="357" spans="1:26" ht="12.75" customHeight="1">
      <c r="A357" s="343"/>
      <c r="B357" s="343"/>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row>
    <row r="358" spans="1:26" ht="12.75" customHeight="1">
      <c r="A358" s="343"/>
      <c r="B358" s="343"/>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row>
    <row r="359" spans="1:26" ht="12.75" customHeight="1">
      <c r="A359" s="343"/>
      <c r="B359" s="343"/>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row>
    <row r="360" spans="1:26" ht="12.75" customHeight="1">
      <c r="A360" s="343"/>
      <c r="B360" s="343"/>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row>
    <row r="361" spans="1:26" ht="12.75" customHeight="1">
      <c r="A361" s="343"/>
      <c r="B361" s="343"/>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row>
    <row r="362" spans="1:26" ht="12.75" customHeight="1">
      <c r="A362" s="343"/>
      <c r="B362" s="343"/>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row>
    <row r="363" spans="1:26" ht="12.75" customHeight="1">
      <c r="A363" s="343"/>
      <c r="B363" s="343"/>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row>
    <row r="364" spans="1:26" ht="12.75" customHeight="1">
      <c r="A364" s="343"/>
      <c r="B364" s="343"/>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row>
    <row r="365" spans="1:26" ht="12.75" customHeight="1">
      <c r="A365" s="343"/>
      <c r="B365" s="343"/>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row>
    <row r="366" spans="1:26" ht="12.75" customHeight="1">
      <c r="A366" s="343"/>
      <c r="B366" s="343"/>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row>
    <row r="367" spans="1:26" ht="12.75" customHeight="1">
      <c r="A367" s="343"/>
      <c r="B367" s="343"/>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row>
    <row r="368" spans="1:26" ht="12.75" customHeight="1">
      <c r="A368" s="343"/>
      <c r="B368" s="343"/>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row>
    <row r="369" spans="1:26" ht="12.75" customHeight="1">
      <c r="A369" s="343"/>
      <c r="B369" s="343"/>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row>
    <row r="370" spans="1:26" ht="12.75" customHeight="1">
      <c r="A370" s="343"/>
      <c r="B370" s="343"/>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row>
    <row r="371" spans="1:26" ht="12.75" customHeight="1">
      <c r="A371" s="343"/>
      <c r="B371" s="343"/>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row>
    <row r="372" spans="1:26" ht="12.75" customHeight="1">
      <c r="A372" s="343"/>
      <c r="B372" s="343"/>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row>
    <row r="373" spans="1:26" ht="12.75" customHeight="1">
      <c r="A373" s="343"/>
      <c r="B373" s="343"/>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row>
    <row r="374" spans="1:26" ht="12.75" customHeight="1">
      <c r="A374" s="343"/>
      <c r="B374" s="343"/>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row>
    <row r="375" spans="1:26" ht="12.75" customHeight="1">
      <c r="A375" s="343"/>
      <c r="B375" s="343"/>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row>
    <row r="376" spans="1:26" ht="12.75" customHeight="1">
      <c r="A376" s="343"/>
      <c r="B376" s="343"/>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row>
    <row r="377" spans="1:26" ht="12.75" customHeight="1">
      <c r="A377" s="343"/>
      <c r="B377" s="343"/>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row>
    <row r="378" spans="1:26" ht="12.75" customHeight="1">
      <c r="A378" s="343"/>
      <c r="B378" s="343"/>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row>
    <row r="379" spans="1:26" ht="12.75" customHeight="1">
      <c r="A379" s="343"/>
      <c r="B379" s="343"/>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row>
    <row r="380" spans="1:26" ht="12.75" customHeight="1">
      <c r="A380" s="343"/>
      <c r="B380" s="343"/>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row>
    <row r="381" spans="1:26" ht="12.75" customHeight="1">
      <c r="A381" s="343"/>
      <c r="B381" s="343"/>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row>
    <row r="382" spans="1:26" ht="12.75" customHeight="1">
      <c r="A382" s="343"/>
      <c r="B382" s="343"/>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row>
    <row r="383" spans="1:26" ht="12.75" customHeight="1">
      <c r="A383" s="343"/>
      <c r="B383" s="343"/>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row>
    <row r="384" spans="1:26" ht="12.75" customHeight="1">
      <c r="A384" s="343"/>
      <c r="B384" s="343"/>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row>
    <row r="385" spans="1:26" ht="12.75" customHeight="1">
      <c r="A385" s="343"/>
      <c r="B385" s="343"/>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row>
    <row r="386" spans="1:26" ht="12.75" customHeight="1">
      <c r="A386" s="343"/>
      <c r="B386" s="343"/>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row>
    <row r="387" spans="1:26" ht="12.75" customHeight="1">
      <c r="A387" s="343"/>
      <c r="B387" s="343"/>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row>
    <row r="388" spans="1:26" ht="12.75" customHeight="1">
      <c r="A388" s="343"/>
      <c r="B388" s="343"/>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row>
    <row r="389" spans="1:26" ht="12.75" customHeight="1">
      <c r="A389" s="343"/>
      <c r="B389" s="343"/>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row>
    <row r="390" spans="1:26" ht="12.75" customHeight="1">
      <c r="A390" s="343"/>
      <c r="B390" s="343"/>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row>
    <row r="391" spans="1:26" ht="12.75" customHeight="1">
      <c r="A391" s="343"/>
      <c r="B391" s="343"/>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row>
    <row r="392" spans="1:26" ht="12.75" customHeight="1">
      <c r="A392" s="343"/>
      <c r="B392" s="343"/>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row>
    <row r="393" spans="1:26" ht="12.75" customHeight="1">
      <c r="A393" s="343"/>
      <c r="B393" s="343"/>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row>
    <row r="394" spans="1:26" ht="12.75" customHeight="1">
      <c r="A394" s="343"/>
      <c r="B394" s="343"/>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row>
    <row r="395" spans="1:26" ht="12.75" customHeight="1">
      <c r="A395" s="343"/>
      <c r="B395" s="343"/>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row>
    <row r="396" spans="1:26" ht="12.75" customHeight="1">
      <c r="A396" s="343"/>
      <c r="B396" s="343"/>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row>
    <row r="397" spans="1:26" ht="12.75" customHeight="1">
      <c r="A397" s="343"/>
      <c r="B397" s="343"/>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row>
    <row r="398" spans="1:26" ht="12.75" customHeight="1">
      <c r="A398" s="343"/>
      <c r="B398" s="343"/>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row>
    <row r="399" spans="1:26" ht="12.75" customHeight="1">
      <c r="A399" s="343"/>
      <c r="B399" s="343"/>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row>
    <row r="400" spans="1:26" ht="12.75" customHeight="1">
      <c r="A400" s="343"/>
      <c r="B400" s="343"/>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row>
    <row r="401" spans="1:26" ht="12.75" customHeight="1">
      <c r="A401" s="343"/>
      <c r="B401" s="343"/>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row>
    <row r="402" spans="1:26" ht="12.75" customHeight="1">
      <c r="A402" s="343"/>
      <c r="B402" s="343"/>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row>
    <row r="403" spans="1:26" ht="12.75" customHeight="1">
      <c r="A403" s="343"/>
      <c r="B403" s="343"/>
      <c r="C403" s="343"/>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row>
    <row r="404" spans="1:26" ht="12.75" customHeight="1">
      <c r="A404" s="343"/>
      <c r="B404" s="343"/>
      <c r="C404" s="343"/>
      <c r="D404" s="343"/>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row>
    <row r="405" spans="1:26" ht="12.75" customHeight="1">
      <c r="A405" s="343"/>
      <c r="B405" s="343"/>
      <c r="C405" s="343"/>
      <c r="D405" s="343"/>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row>
    <row r="406" spans="1:26" ht="12.75" customHeight="1">
      <c r="A406" s="343"/>
      <c r="B406" s="343"/>
      <c r="C406" s="343"/>
      <c r="D406" s="343"/>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row>
    <row r="407" spans="1:26" ht="12.75" customHeight="1">
      <c r="A407" s="343"/>
      <c r="B407" s="343"/>
      <c r="C407" s="343"/>
      <c r="D407" s="343"/>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row>
    <row r="408" spans="1:26" ht="12.75" customHeight="1">
      <c r="A408" s="343"/>
      <c r="B408" s="343"/>
      <c r="C408" s="343"/>
      <c r="D408" s="343"/>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row>
    <row r="409" spans="1:26" ht="12.75" customHeight="1">
      <c r="A409" s="343"/>
      <c r="B409" s="343"/>
      <c r="C409" s="343"/>
      <c r="D409" s="343"/>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row>
    <row r="410" spans="1:26" ht="12.75" customHeight="1">
      <c r="A410" s="343"/>
      <c r="B410" s="343"/>
      <c r="C410" s="343"/>
      <c r="D410" s="343"/>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row>
    <row r="411" spans="1:26" ht="12.75" customHeight="1">
      <c r="A411" s="343"/>
      <c r="B411" s="343"/>
      <c r="C411" s="343"/>
      <c r="D411" s="343"/>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row>
    <row r="412" spans="1:26" ht="12.75" customHeight="1">
      <c r="A412" s="343"/>
      <c r="B412" s="343"/>
      <c r="C412" s="343"/>
      <c r="D412" s="343"/>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row>
    <row r="413" spans="1:26" ht="12.75" customHeight="1">
      <c r="A413" s="343"/>
      <c r="B413" s="343"/>
      <c r="C413" s="343"/>
      <c r="D413" s="343"/>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row>
    <row r="414" spans="1:26" ht="12.75" customHeight="1">
      <c r="A414" s="343"/>
      <c r="B414" s="343"/>
      <c r="C414" s="343"/>
      <c r="D414" s="343"/>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row>
    <row r="415" spans="1:26" ht="12.75" customHeight="1">
      <c r="A415" s="343"/>
      <c r="B415" s="343"/>
      <c r="C415" s="343"/>
      <c r="D415" s="343"/>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row>
    <row r="416" spans="1:26" ht="12.75" customHeight="1">
      <c r="A416" s="343"/>
      <c r="B416" s="343"/>
      <c r="C416" s="343"/>
      <c r="D416" s="343"/>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row>
    <row r="417" spans="1:26" ht="12.75" customHeight="1">
      <c r="A417" s="343"/>
      <c r="B417" s="343"/>
      <c r="C417" s="343"/>
      <c r="D417" s="343"/>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row>
    <row r="418" spans="1:26" ht="12.75" customHeight="1">
      <c r="A418" s="343"/>
      <c r="B418" s="343"/>
      <c r="C418" s="343"/>
      <c r="D418" s="343"/>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row>
    <row r="419" spans="1:26" ht="12.75" customHeight="1">
      <c r="A419" s="343"/>
      <c r="B419" s="343"/>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row>
    <row r="420" spans="1:26" ht="12.75" customHeight="1">
      <c r="A420" s="343"/>
      <c r="B420" s="343"/>
      <c r="C420" s="343"/>
      <c r="D420" s="343"/>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row>
    <row r="421" spans="1:26" ht="12.75" customHeight="1">
      <c r="A421" s="343"/>
      <c r="B421" s="343"/>
      <c r="C421" s="343"/>
      <c r="D421" s="343"/>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row>
    <row r="422" spans="1:26" ht="12.75" customHeight="1">
      <c r="A422" s="343"/>
      <c r="B422" s="343"/>
      <c r="C422" s="343"/>
      <c r="D422" s="343"/>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row>
    <row r="423" spans="1:26" ht="12.75" customHeight="1">
      <c r="A423" s="343"/>
      <c r="B423" s="343"/>
      <c r="C423" s="343"/>
      <c r="D423" s="343"/>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row>
    <row r="424" spans="1:26" ht="12.75" customHeight="1">
      <c r="A424" s="343"/>
      <c r="B424" s="343"/>
      <c r="C424" s="343"/>
      <c r="D424" s="343"/>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row>
    <row r="425" spans="1:26" ht="12.75" customHeight="1">
      <c r="A425" s="343"/>
      <c r="B425" s="343"/>
      <c r="C425" s="343"/>
      <c r="D425" s="343"/>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row>
    <row r="426" spans="1:26" ht="12.75" customHeight="1">
      <c r="A426" s="343"/>
      <c r="B426" s="343"/>
      <c r="C426" s="343"/>
      <c r="D426" s="343"/>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row>
    <row r="427" spans="1:26" ht="12.75" customHeight="1">
      <c r="A427" s="343"/>
      <c r="B427" s="343"/>
      <c r="C427" s="343"/>
      <c r="D427" s="343"/>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row>
    <row r="428" spans="1:26" ht="12.75" customHeight="1">
      <c r="A428" s="343"/>
      <c r="B428" s="343"/>
      <c r="C428" s="343"/>
      <c r="D428" s="343"/>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row>
    <row r="429" spans="1:26" ht="12.75" customHeight="1">
      <c r="A429" s="343"/>
      <c r="B429" s="343"/>
      <c r="C429" s="343"/>
      <c r="D429" s="343"/>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row>
    <row r="430" spans="1:26" ht="12.75" customHeight="1">
      <c r="A430" s="343"/>
      <c r="B430" s="343"/>
      <c r="C430" s="343"/>
      <c r="D430" s="343"/>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row>
    <row r="431" spans="1:26" ht="12.75" customHeight="1">
      <c r="A431" s="343"/>
      <c r="B431" s="343"/>
      <c r="C431" s="343"/>
      <c r="D431" s="343"/>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row>
    <row r="432" spans="1:26" ht="12.75" customHeight="1">
      <c r="A432" s="343"/>
      <c r="B432" s="343"/>
      <c r="C432" s="343"/>
      <c r="D432" s="343"/>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row>
    <row r="433" spans="1:26" ht="12.75" customHeight="1">
      <c r="A433" s="343"/>
      <c r="B433" s="343"/>
      <c r="C433" s="343"/>
      <c r="D433" s="343"/>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row>
    <row r="434" spans="1:26" ht="12.75" customHeight="1">
      <c r="A434" s="343"/>
      <c r="B434" s="343"/>
      <c r="C434" s="343"/>
      <c r="D434" s="343"/>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row>
    <row r="435" spans="1:26" ht="12.75" customHeight="1">
      <c r="A435" s="343"/>
      <c r="B435" s="343"/>
      <c r="C435" s="343"/>
      <c r="D435" s="343"/>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row>
    <row r="436" spans="1:26" ht="12.75" customHeight="1">
      <c r="A436" s="343"/>
      <c r="B436" s="343"/>
      <c r="C436" s="343"/>
      <c r="D436" s="343"/>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row>
    <row r="437" spans="1:26" ht="12.75" customHeight="1">
      <c r="A437" s="343"/>
      <c r="B437" s="343"/>
      <c r="C437" s="343"/>
      <c r="D437" s="343"/>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row>
    <row r="438" spans="1:26" ht="12.75" customHeight="1">
      <c r="A438" s="343"/>
      <c r="B438" s="343"/>
      <c r="C438" s="343"/>
      <c r="D438" s="343"/>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row>
    <row r="439" spans="1:26" ht="12.75" customHeight="1">
      <c r="A439" s="343"/>
      <c r="B439" s="343"/>
      <c r="C439" s="343"/>
      <c r="D439" s="343"/>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row>
    <row r="440" spans="1:26" ht="12.75" customHeight="1">
      <c r="A440" s="343"/>
      <c r="B440" s="343"/>
      <c r="C440" s="343"/>
      <c r="D440" s="343"/>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row>
    <row r="441" spans="1:26" ht="12.75" customHeight="1">
      <c r="A441" s="343"/>
      <c r="B441" s="343"/>
      <c r="C441" s="343"/>
      <c r="D441" s="343"/>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row>
    <row r="442" spans="1:26" ht="12.75" customHeight="1">
      <c r="A442" s="343"/>
      <c r="B442" s="343"/>
      <c r="C442" s="343"/>
      <c r="D442" s="343"/>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row>
    <row r="443" spans="1:26" ht="12.75" customHeight="1">
      <c r="A443" s="343"/>
      <c r="B443" s="343"/>
      <c r="C443" s="343"/>
      <c r="D443" s="343"/>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row>
    <row r="444" spans="1:26" ht="12.75" customHeight="1">
      <c r="A444" s="343"/>
      <c r="B444" s="343"/>
      <c r="C444" s="343"/>
      <c r="D444" s="343"/>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row>
    <row r="445" spans="1:26" ht="12.75" customHeight="1">
      <c r="A445" s="343"/>
      <c r="B445" s="343"/>
      <c r="C445" s="343"/>
      <c r="D445" s="343"/>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row>
    <row r="446" spans="1:26" ht="12.75" customHeight="1">
      <c r="A446" s="343"/>
      <c r="B446" s="343"/>
      <c r="C446" s="343"/>
      <c r="D446" s="343"/>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row>
    <row r="447" spans="1:26" ht="12.75" customHeight="1">
      <c r="A447" s="343"/>
      <c r="B447" s="343"/>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row>
    <row r="448" spans="1:26" ht="12.75" customHeight="1">
      <c r="A448" s="343"/>
      <c r="B448" s="343"/>
      <c r="C448" s="343"/>
      <c r="D448" s="343"/>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row>
    <row r="449" spans="1:26" ht="12.75" customHeight="1">
      <c r="A449" s="343"/>
      <c r="B449" s="343"/>
      <c r="C449" s="343"/>
      <c r="D449" s="343"/>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row>
    <row r="450" spans="1:26" ht="12.75" customHeight="1">
      <c r="A450" s="343"/>
      <c r="B450" s="343"/>
      <c r="C450" s="343"/>
      <c r="D450" s="343"/>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row>
    <row r="451" spans="1:26" ht="12.75" customHeight="1">
      <c r="A451" s="343"/>
      <c r="B451" s="343"/>
      <c r="C451" s="343"/>
      <c r="D451" s="343"/>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row>
    <row r="452" spans="1:26" ht="12.75" customHeight="1">
      <c r="A452" s="343"/>
      <c r="B452" s="343"/>
      <c r="C452" s="343"/>
      <c r="D452" s="343"/>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row>
    <row r="453" spans="1:26" ht="12.75" customHeight="1">
      <c r="A453" s="343"/>
      <c r="B453" s="343"/>
      <c r="C453" s="343"/>
      <c r="D453" s="343"/>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row>
    <row r="454" spans="1:26" ht="12.75" customHeight="1">
      <c r="A454" s="343"/>
      <c r="B454" s="343"/>
      <c r="C454" s="343"/>
      <c r="D454" s="343"/>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row>
    <row r="455" spans="1:26" ht="12.75" customHeight="1">
      <c r="A455" s="343"/>
      <c r="B455" s="343"/>
      <c r="C455" s="343"/>
      <c r="D455" s="343"/>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row>
    <row r="456" spans="1:26" ht="12.75" customHeight="1">
      <c r="A456" s="343"/>
      <c r="B456" s="343"/>
      <c r="C456" s="343"/>
      <c r="D456" s="343"/>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row>
    <row r="457" spans="1:26" ht="12.75" customHeight="1">
      <c r="A457" s="343"/>
      <c r="B457" s="343"/>
      <c r="C457" s="343"/>
      <c r="D457" s="343"/>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row>
    <row r="458" spans="1:26" ht="12.75" customHeight="1">
      <c r="A458" s="343"/>
      <c r="B458" s="343"/>
      <c r="C458" s="343"/>
      <c r="D458" s="343"/>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row>
    <row r="459" spans="1:26" ht="12.75" customHeight="1">
      <c r="A459" s="343"/>
      <c r="B459" s="343"/>
      <c r="C459" s="343"/>
      <c r="D459" s="343"/>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row>
    <row r="460" spans="1:26" ht="12.75" customHeight="1">
      <c r="A460" s="343"/>
      <c r="B460" s="343"/>
      <c r="C460" s="343"/>
      <c r="D460" s="343"/>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row>
    <row r="461" spans="1:26" ht="12.75" customHeight="1">
      <c r="A461" s="343"/>
      <c r="B461" s="343"/>
      <c r="C461" s="343"/>
      <c r="D461" s="343"/>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row>
    <row r="462" spans="1:26" ht="12.75" customHeight="1">
      <c r="A462" s="343"/>
      <c r="B462" s="343"/>
      <c r="C462" s="343"/>
      <c r="D462" s="343"/>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row>
    <row r="463" spans="1:26" ht="12.75" customHeight="1">
      <c r="A463" s="343"/>
      <c r="B463" s="343"/>
      <c r="C463" s="343"/>
      <c r="D463" s="343"/>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row>
    <row r="464" spans="1:26" ht="12.75" customHeight="1">
      <c r="A464" s="343"/>
      <c r="B464" s="343"/>
      <c r="C464" s="343"/>
      <c r="D464" s="343"/>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row>
    <row r="465" spans="1:26" ht="12.75" customHeight="1">
      <c r="A465" s="343"/>
      <c r="B465" s="343"/>
      <c r="C465" s="343"/>
      <c r="D465" s="343"/>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row>
    <row r="466" spans="1:26" ht="12.75" customHeight="1">
      <c r="A466" s="343"/>
      <c r="B466" s="343"/>
      <c r="C466" s="343"/>
      <c r="D466" s="343"/>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row>
    <row r="467" spans="1:26" ht="12.75" customHeight="1">
      <c r="A467" s="343"/>
      <c r="B467" s="343"/>
      <c r="C467" s="343"/>
      <c r="D467" s="343"/>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row>
    <row r="468" spans="1:26" ht="12.75" customHeight="1">
      <c r="A468" s="343"/>
      <c r="B468" s="343"/>
      <c r="C468" s="343"/>
      <c r="D468" s="343"/>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row>
    <row r="469" spans="1:26" ht="12.75" customHeight="1">
      <c r="A469" s="343"/>
      <c r="B469" s="343"/>
      <c r="C469" s="343"/>
      <c r="D469" s="343"/>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row>
    <row r="470" spans="1:26" ht="12.75" customHeight="1">
      <c r="A470" s="343"/>
      <c r="B470" s="343"/>
      <c r="C470" s="343"/>
      <c r="D470" s="343"/>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row>
    <row r="471" spans="1:26" ht="12.75" customHeight="1">
      <c r="A471" s="343"/>
      <c r="B471" s="343"/>
      <c r="C471" s="343"/>
      <c r="D471" s="343"/>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row>
    <row r="472" spans="1:26" ht="12.75" customHeight="1">
      <c r="A472" s="343"/>
      <c r="B472" s="343"/>
      <c r="C472" s="343"/>
      <c r="D472" s="343"/>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row>
    <row r="473" spans="1:26" ht="12.75" customHeight="1">
      <c r="A473" s="343"/>
      <c r="B473" s="343"/>
      <c r="C473" s="343"/>
      <c r="D473" s="343"/>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row>
    <row r="474" spans="1:26" ht="12.75" customHeight="1">
      <c r="A474" s="343"/>
      <c r="B474" s="343"/>
      <c r="C474" s="343"/>
      <c r="D474" s="343"/>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row>
    <row r="475" spans="1:26" ht="12.75" customHeight="1">
      <c r="A475" s="343"/>
      <c r="B475" s="343"/>
      <c r="C475" s="343"/>
      <c r="D475" s="343"/>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row>
    <row r="476" spans="1:26" ht="12.75" customHeight="1">
      <c r="A476" s="343"/>
      <c r="B476" s="343"/>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row>
    <row r="477" spans="1:26" ht="12.75" customHeight="1">
      <c r="A477" s="343"/>
      <c r="B477" s="343"/>
      <c r="C477" s="343"/>
      <c r="D477" s="343"/>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row>
    <row r="478" spans="1:26" ht="12.75" customHeight="1">
      <c r="A478" s="343"/>
      <c r="B478" s="343"/>
      <c r="C478" s="343"/>
      <c r="D478" s="343"/>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row>
    <row r="479" spans="1:26" ht="12.75" customHeight="1">
      <c r="A479" s="343"/>
      <c r="B479" s="343"/>
      <c r="C479" s="343"/>
      <c r="D479" s="343"/>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row>
    <row r="480" spans="1:26" ht="12.75" customHeight="1">
      <c r="A480" s="343"/>
      <c r="B480" s="343"/>
      <c r="C480" s="343"/>
      <c r="D480" s="343"/>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row>
    <row r="481" spans="1:26" ht="12.75" customHeight="1">
      <c r="A481" s="343"/>
      <c r="B481" s="343"/>
      <c r="C481" s="343"/>
      <c r="D481" s="343"/>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row>
    <row r="482" spans="1:26" ht="12.75" customHeight="1">
      <c r="A482" s="343"/>
      <c r="B482" s="343"/>
      <c r="C482" s="343"/>
      <c r="D482" s="343"/>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row>
    <row r="483" spans="1:26" ht="12.75" customHeight="1">
      <c r="A483" s="343"/>
      <c r="B483" s="343"/>
      <c r="C483" s="343"/>
      <c r="D483" s="343"/>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row>
    <row r="484" spans="1:26" ht="12.75" customHeight="1">
      <c r="A484" s="343"/>
      <c r="B484" s="343"/>
      <c r="C484" s="343"/>
      <c r="D484" s="343"/>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row>
    <row r="485" spans="1:26" ht="12.75" customHeight="1">
      <c r="A485" s="343"/>
      <c r="B485" s="343"/>
      <c r="C485" s="343"/>
      <c r="D485" s="343"/>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row>
    <row r="486" spans="1:26" ht="12.75" customHeight="1">
      <c r="A486" s="343"/>
      <c r="B486" s="343"/>
      <c r="C486" s="343"/>
      <c r="D486" s="343"/>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row>
    <row r="487" spans="1:26" ht="12.75" customHeight="1">
      <c r="A487" s="343"/>
      <c r="B487" s="343"/>
      <c r="C487" s="343"/>
      <c r="D487" s="343"/>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row>
    <row r="488" spans="1:26" ht="12.75" customHeight="1">
      <c r="A488" s="343"/>
      <c r="B488" s="343"/>
      <c r="C488" s="343"/>
      <c r="D488" s="343"/>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row>
    <row r="489" spans="1:26" ht="12.75" customHeight="1">
      <c r="A489" s="343"/>
      <c r="B489" s="343"/>
      <c r="C489" s="343"/>
      <c r="D489" s="343"/>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row>
    <row r="490" spans="1:26" ht="12.75" customHeight="1">
      <c r="A490" s="343"/>
      <c r="B490" s="343"/>
      <c r="C490" s="343"/>
      <c r="D490" s="343"/>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row>
    <row r="491" spans="1:26" ht="12.75" customHeight="1">
      <c r="A491" s="343"/>
      <c r="B491" s="343"/>
      <c r="C491" s="343"/>
      <c r="D491" s="343"/>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row>
    <row r="492" spans="1:26" ht="12.75" customHeight="1">
      <c r="A492" s="343"/>
      <c r="B492" s="343"/>
      <c r="C492" s="343"/>
      <c r="D492" s="343"/>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row>
    <row r="493" spans="1:26" ht="12.75" customHeight="1">
      <c r="A493" s="343"/>
      <c r="B493" s="343"/>
      <c r="C493" s="343"/>
      <c r="D493" s="343"/>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row>
    <row r="494" spans="1:26" ht="12.75" customHeight="1">
      <c r="A494" s="343"/>
      <c r="B494" s="343"/>
      <c r="C494" s="343"/>
      <c r="D494" s="343"/>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row>
    <row r="495" spans="1:26" ht="12.75" customHeight="1">
      <c r="A495" s="343"/>
      <c r="B495" s="343"/>
      <c r="C495" s="343"/>
      <c r="D495" s="343"/>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row>
    <row r="496" spans="1:26" ht="12.75" customHeight="1">
      <c r="A496" s="343"/>
      <c r="B496" s="343"/>
      <c r="C496" s="343"/>
      <c r="D496" s="343"/>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row>
    <row r="497" spans="1:26" ht="12.75" customHeight="1">
      <c r="A497" s="343"/>
      <c r="B497" s="343"/>
      <c r="C497" s="343"/>
      <c r="D497" s="343"/>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row>
    <row r="498" spans="1:26" ht="12.75" customHeight="1">
      <c r="A498" s="343"/>
      <c r="B498" s="343"/>
      <c r="C498" s="343"/>
      <c r="D498" s="343"/>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row>
    <row r="499" spans="1:26" ht="12.75" customHeight="1">
      <c r="A499" s="343"/>
      <c r="B499" s="343"/>
      <c r="C499" s="343"/>
      <c r="D499" s="343"/>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row>
    <row r="500" spans="1:26" ht="12.75" customHeight="1">
      <c r="A500" s="343"/>
      <c r="B500" s="343"/>
      <c r="C500" s="343"/>
      <c r="D500" s="343"/>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row>
    <row r="501" spans="1:26" ht="12.75" customHeight="1">
      <c r="A501" s="343"/>
      <c r="B501" s="343"/>
      <c r="C501" s="343"/>
      <c r="D501" s="343"/>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row>
    <row r="502" spans="1:26" ht="12.75" customHeight="1">
      <c r="A502" s="343"/>
      <c r="B502" s="343"/>
      <c r="C502" s="343"/>
      <c r="D502" s="343"/>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row>
    <row r="503" spans="1:26" ht="12.75" customHeight="1">
      <c r="A503" s="343"/>
      <c r="B503" s="343"/>
      <c r="C503" s="343"/>
      <c r="D503" s="343"/>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row>
    <row r="504" spans="1:26" ht="12.75" customHeight="1">
      <c r="A504" s="343"/>
      <c r="B504" s="343"/>
      <c r="C504" s="343"/>
      <c r="D504" s="343"/>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row>
    <row r="505" spans="1:26" ht="12.75" customHeight="1">
      <c r="A505" s="343"/>
      <c r="B505" s="343"/>
      <c r="C505" s="343"/>
      <c r="D505" s="343"/>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row>
    <row r="506" spans="1:26" ht="12.75" customHeight="1">
      <c r="A506" s="343"/>
      <c r="B506" s="343"/>
      <c r="C506" s="343"/>
      <c r="D506" s="343"/>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row>
    <row r="507" spans="1:26" ht="12.75" customHeight="1">
      <c r="A507" s="343"/>
      <c r="B507" s="343"/>
      <c r="C507" s="343"/>
      <c r="D507" s="343"/>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row>
    <row r="508" spans="1:26" ht="12.75" customHeight="1">
      <c r="A508" s="343"/>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row>
    <row r="509" spans="1:26" ht="12.75" customHeight="1">
      <c r="A509" s="343"/>
      <c r="B509" s="343"/>
      <c r="C509" s="343"/>
      <c r="D509" s="343"/>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row>
    <row r="510" spans="1:26" ht="12.75" customHeight="1">
      <c r="A510" s="343"/>
      <c r="B510" s="343"/>
      <c r="C510" s="343"/>
      <c r="D510" s="343"/>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row>
    <row r="511" spans="1:26" ht="12.75" customHeight="1">
      <c r="A511" s="343"/>
      <c r="B511" s="343"/>
      <c r="C511" s="343"/>
      <c r="D511" s="343"/>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row>
    <row r="512" spans="1:26" ht="12.75" customHeight="1">
      <c r="A512" s="343"/>
      <c r="B512" s="343"/>
      <c r="C512" s="343"/>
      <c r="D512" s="343"/>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row>
    <row r="513" spans="1:26" ht="12.75" customHeight="1">
      <c r="A513" s="343"/>
      <c r="B513" s="343"/>
      <c r="C513" s="343"/>
      <c r="D513" s="343"/>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row>
    <row r="514" spans="1:26" ht="12.75" customHeight="1">
      <c r="A514" s="343"/>
      <c r="B514" s="343"/>
      <c r="C514" s="343"/>
      <c r="D514" s="343"/>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row>
    <row r="515" spans="1:26" ht="12.75" customHeight="1">
      <c r="A515" s="343"/>
      <c r="B515" s="343"/>
      <c r="C515" s="343"/>
      <c r="D515" s="343"/>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row>
    <row r="516" spans="1:26" ht="12.75" customHeight="1">
      <c r="A516" s="343"/>
      <c r="B516" s="343"/>
      <c r="C516" s="343"/>
      <c r="D516" s="343"/>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row>
    <row r="517" spans="1:26" ht="12.75" customHeight="1">
      <c r="A517" s="343"/>
      <c r="B517" s="343"/>
      <c r="C517" s="343"/>
      <c r="D517" s="343"/>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row>
    <row r="518" spans="1:26" ht="12.75" customHeight="1">
      <c r="A518" s="343"/>
      <c r="B518" s="343"/>
      <c r="C518" s="343"/>
      <c r="D518" s="343"/>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row>
    <row r="519" spans="1:26" ht="12.75" customHeight="1">
      <c r="A519" s="343"/>
      <c r="B519" s="343"/>
      <c r="C519" s="343"/>
      <c r="D519" s="343"/>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row>
    <row r="520" spans="1:26" ht="12.75" customHeight="1">
      <c r="A520" s="343"/>
      <c r="B520" s="343"/>
      <c r="C520" s="343"/>
      <c r="D520" s="343"/>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row>
    <row r="521" spans="1:26" ht="12.75" customHeight="1">
      <c r="A521" s="343"/>
      <c r="B521" s="343"/>
      <c r="C521" s="343"/>
      <c r="D521" s="343"/>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row>
    <row r="522" spans="1:26" ht="12.75" customHeight="1">
      <c r="A522" s="343"/>
      <c r="B522" s="343"/>
      <c r="C522" s="343"/>
      <c r="D522" s="343"/>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row>
    <row r="523" spans="1:26" ht="12.75" customHeight="1">
      <c r="A523" s="343"/>
      <c r="B523" s="343"/>
      <c r="C523" s="343"/>
      <c r="D523" s="343"/>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row>
    <row r="524" spans="1:26" ht="12.75" customHeight="1">
      <c r="A524" s="343"/>
      <c r="B524" s="343"/>
      <c r="C524" s="343"/>
      <c r="D524" s="343"/>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row>
    <row r="525" spans="1:26" ht="12.75" customHeight="1">
      <c r="A525" s="343"/>
      <c r="B525" s="343"/>
      <c r="C525" s="343"/>
      <c r="D525" s="343"/>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row>
    <row r="526" spans="1:26" ht="12.75" customHeight="1">
      <c r="A526" s="343"/>
      <c r="B526" s="343"/>
      <c r="C526" s="343"/>
      <c r="D526" s="343"/>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row>
    <row r="527" spans="1:26" ht="12.75" customHeight="1">
      <c r="A527" s="343"/>
      <c r="B527" s="343"/>
      <c r="C527" s="343"/>
      <c r="D527" s="343"/>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row>
    <row r="528" spans="1:26" ht="12.75" customHeight="1">
      <c r="A528" s="343"/>
      <c r="B528" s="343"/>
      <c r="C528" s="343"/>
      <c r="D528" s="343"/>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row>
    <row r="529" spans="1:26" ht="12.75" customHeight="1">
      <c r="A529" s="343"/>
      <c r="B529" s="343"/>
      <c r="C529" s="343"/>
      <c r="D529" s="343"/>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row>
    <row r="530" spans="1:26" ht="12.75" customHeight="1">
      <c r="A530" s="343"/>
      <c r="B530" s="343"/>
      <c r="C530" s="343"/>
      <c r="D530" s="343"/>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row>
    <row r="531" spans="1:26" ht="12.75" customHeight="1">
      <c r="A531" s="343"/>
      <c r="B531" s="343"/>
      <c r="C531" s="343"/>
      <c r="D531" s="343"/>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row>
    <row r="532" spans="1:26" ht="12.75" customHeight="1">
      <c r="A532" s="343"/>
      <c r="B532" s="343"/>
      <c r="C532" s="343"/>
      <c r="D532" s="343"/>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row>
    <row r="533" spans="1:26" ht="12.75" customHeight="1">
      <c r="A533" s="343"/>
      <c r="B533" s="343"/>
      <c r="C533" s="343"/>
      <c r="D533" s="343"/>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row>
    <row r="534" spans="1:26" ht="12.75" customHeight="1">
      <c r="A534" s="343"/>
      <c r="B534" s="343"/>
      <c r="C534" s="343"/>
      <c r="D534" s="343"/>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row>
    <row r="535" spans="1:26" ht="12.75" customHeight="1">
      <c r="A535" s="343"/>
      <c r="B535" s="343"/>
      <c r="C535" s="343"/>
      <c r="D535" s="343"/>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row>
    <row r="536" spans="1:26" ht="12.75" customHeight="1">
      <c r="A536" s="343"/>
      <c r="B536" s="343"/>
      <c r="C536" s="343"/>
      <c r="D536" s="343"/>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row>
    <row r="537" spans="1:26" ht="12.75" customHeight="1">
      <c r="A537" s="343"/>
      <c r="B537" s="343"/>
      <c r="C537" s="343"/>
      <c r="D537" s="343"/>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row>
    <row r="538" spans="1:26" ht="12.75" customHeight="1">
      <c r="A538" s="343"/>
      <c r="B538" s="343"/>
      <c r="C538" s="343"/>
      <c r="D538" s="343"/>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row>
    <row r="539" spans="1:26" ht="12.75" customHeight="1">
      <c r="A539" s="343"/>
      <c r="B539" s="343"/>
      <c r="C539" s="343"/>
      <c r="D539" s="343"/>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row>
    <row r="540" spans="1:26" ht="12.75" customHeight="1">
      <c r="A540" s="343"/>
      <c r="B540" s="343"/>
      <c r="C540" s="343"/>
      <c r="D540" s="343"/>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row>
    <row r="541" spans="1:26" ht="12.75" customHeight="1">
      <c r="A541" s="343"/>
      <c r="B541" s="343"/>
      <c r="C541" s="343"/>
      <c r="D541" s="343"/>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row>
    <row r="542" spans="1:26" ht="12.75" customHeight="1">
      <c r="A542" s="343"/>
      <c r="B542" s="343"/>
      <c r="C542" s="343"/>
      <c r="D542" s="343"/>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row>
    <row r="543" spans="1:26" ht="12.75" customHeight="1">
      <c r="A543" s="343"/>
      <c r="B543" s="343"/>
      <c r="C543" s="343"/>
      <c r="D543" s="343"/>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row>
    <row r="544" spans="1:26" ht="12.75" customHeight="1">
      <c r="A544" s="343"/>
      <c r="B544" s="343"/>
      <c r="C544" s="343"/>
      <c r="D544" s="343"/>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row>
    <row r="545" spans="1:26" ht="12.75" customHeight="1">
      <c r="A545" s="343"/>
      <c r="B545" s="343"/>
      <c r="C545" s="343"/>
      <c r="D545" s="343"/>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row>
    <row r="546" spans="1:26" ht="12.75" customHeight="1">
      <c r="A546" s="343"/>
      <c r="B546" s="343"/>
      <c r="C546" s="343"/>
      <c r="D546" s="343"/>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row>
    <row r="547" spans="1:26" ht="12.75" customHeight="1">
      <c r="A547" s="343"/>
      <c r="B547" s="343"/>
      <c r="C547" s="343"/>
      <c r="D547" s="343"/>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row>
    <row r="548" spans="1:26" ht="12.75" customHeight="1">
      <c r="A548" s="343"/>
      <c r="B548" s="343"/>
      <c r="C548" s="343"/>
      <c r="D548" s="343"/>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row>
    <row r="549" spans="1:26" ht="12.75" customHeight="1">
      <c r="A549" s="343"/>
      <c r="B549" s="343"/>
      <c r="C549" s="343"/>
      <c r="D549" s="343"/>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row>
    <row r="550" spans="1:26" ht="12.75" customHeight="1">
      <c r="A550" s="343"/>
      <c r="B550" s="343"/>
      <c r="C550" s="343"/>
      <c r="D550" s="343"/>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row>
    <row r="551" spans="1:26" ht="12.75" customHeight="1">
      <c r="A551" s="343"/>
      <c r="B551" s="343"/>
      <c r="C551" s="343"/>
      <c r="D551" s="343"/>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row>
    <row r="552" spans="1:26" ht="12.75" customHeight="1">
      <c r="A552" s="343"/>
      <c r="B552" s="343"/>
      <c r="C552" s="343"/>
      <c r="D552" s="343"/>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row>
    <row r="553" spans="1:26" ht="12.75" customHeight="1">
      <c r="A553" s="343"/>
      <c r="B553" s="343"/>
      <c r="C553" s="343"/>
      <c r="D553" s="343"/>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row>
    <row r="554" spans="1:26" ht="12.75" customHeight="1">
      <c r="A554" s="343"/>
      <c r="B554" s="343"/>
      <c r="C554" s="343"/>
      <c r="D554" s="343"/>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row>
    <row r="555" spans="1:26" ht="12.75" customHeight="1">
      <c r="A555" s="343"/>
      <c r="B555" s="343"/>
      <c r="C555" s="343"/>
      <c r="D555" s="343"/>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row>
    <row r="556" spans="1:26" ht="12.75" customHeight="1">
      <c r="A556" s="343"/>
      <c r="B556" s="343"/>
      <c r="C556" s="343"/>
      <c r="D556" s="343"/>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row>
    <row r="557" spans="1:26" ht="12.75" customHeight="1">
      <c r="A557" s="343"/>
      <c r="B557" s="343"/>
      <c r="C557" s="343"/>
      <c r="D557" s="343"/>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row>
    <row r="558" spans="1:26" ht="12.75" customHeight="1">
      <c r="A558" s="343"/>
      <c r="B558" s="343"/>
      <c r="C558" s="343"/>
      <c r="D558" s="343"/>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row>
    <row r="559" spans="1:26" ht="12.75" customHeight="1">
      <c r="A559" s="343"/>
      <c r="B559" s="343"/>
      <c r="C559" s="343"/>
      <c r="D559" s="343"/>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row>
    <row r="560" spans="1:26" ht="12.75" customHeight="1">
      <c r="A560" s="343"/>
      <c r="B560" s="343"/>
      <c r="C560" s="343"/>
      <c r="D560" s="343"/>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row>
    <row r="561" spans="1:26" ht="12.75" customHeight="1">
      <c r="A561" s="343"/>
      <c r="B561" s="343"/>
      <c r="C561" s="343"/>
      <c r="D561" s="343"/>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row>
    <row r="562" spans="1:26" ht="12.75" customHeight="1">
      <c r="A562" s="343"/>
      <c r="B562" s="343"/>
      <c r="C562" s="343"/>
      <c r="D562" s="343"/>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row>
    <row r="563" spans="1:26" ht="12.75" customHeight="1">
      <c r="A563" s="343"/>
      <c r="B563" s="343"/>
      <c r="C563" s="343"/>
      <c r="D563" s="343"/>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row>
    <row r="564" spans="1:26" ht="12.75" customHeight="1">
      <c r="A564" s="343"/>
      <c r="B564" s="343"/>
      <c r="C564" s="343"/>
      <c r="D564" s="343"/>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row>
    <row r="565" spans="1:26" ht="12.75" customHeight="1">
      <c r="A565" s="343"/>
      <c r="B565" s="343"/>
      <c r="C565" s="343"/>
      <c r="D565" s="343"/>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row>
    <row r="566" spans="1:26" ht="12.75" customHeight="1">
      <c r="A566" s="343"/>
      <c r="B566" s="343"/>
      <c r="C566" s="343"/>
      <c r="D566" s="343"/>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row>
    <row r="567" spans="1:26" ht="12.75" customHeight="1">
      <c r="A567" s="343"/>
      <c r="B567" s="343"/>
      <c r="C567" s="343"/>
      <c r="D567" s="343"/>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row>
    <row r="568" spans="1:26" ht="12.75" customHeight="1">
      <c r="A568" s="343"/>
      <c r="B568" s="343"/>
      <c r="C568" s="343"/>
      <c r="D568" s="343"/>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row>
    <row r="569" spans="1:26" ht="12.75" customHeight="1">
      <c r="A569" s="343"/>
      <c r="B569" s="343"/>
      <c r="C569" s="343"/>
      <c r="D569" s="343"/>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row>
    <row r="570" spans="1:26" ht="12.75" customHeight="1">
      <c r="A570" s="343"/>
      <c r="B570" s="343"/>
      <c r="C570" s="343"/>
      <c r="D570" s="343"/>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row>
    <row r="571" spans="1:26" ht="12.75" customHeight="1">
      <c r="A571" s="343"/>
      <c r="B571" s="343"/>
      <c r="C571" s="343"/>
      <c r="D571" s="343"/>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row>
    <row r="572" spans="1:26" ht="12.75" customHeight="1">
      <c r="A572" s="343"/>
      <c r="B572" s="343"/>
      <c r="C572" s="343"/>
      <c r="D572" s="343"/>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row>
    <row r="573" spans="1:26" ht="12.75" customHeight="1">
      <c r="A573" s="343"/>
      <c r="B573" s="343"/>
      <c r="C573" s="343"/>
      <c r="D573" s="343"/>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row>
    <row r="574" spans="1:26" ht="12.75" customHeight="1">
      <c r="A574" s="343"/>
      <c r="B574" s="343"/>
      <c r="C574" s="343"/>
      <c r="D574" s="343"/>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row>
    <row r="575" spans="1:26" ht="12.75" customHeight="1">
      <c r="A575" s="343"/>
      <c r="B575" s="343"/>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row>
    <row r="576" spans="1:26" ht="12.75" customHeight="1">
      <c r="A576" s="343"/>
      <c r="B576" s="343"/>
      <c r="C576" s="343"/>
      <c r="D576" s="343"/>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row>
    <row r="577" spans="1:26" ht="12.75" customHeight="1">
      <c r="A577" s="343"/>
      <c r="B577" s="343"/>
      <c r="C577" s="343"/>
      <c r="D577" s="343"/>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row>
    <row r="578" spans="1:26" ht="12.75" customHeight="1">
      <c r="A578" s="343"/>
      <c r="B578" s="343"/>
      <c r="C578" s="343"/>
      <c r="D578" s="343"/>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row>
    <row r="579" spans="1:26" ht="12.75" customHeight="1">
      <c r="A579" s="343"/>
      <c r="B579" s="343"/>
      <c r="C579" s="343"/>
      <c r="D579" s="343"/>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row>
    <row r="580" spans="1:26" ht="12.75" customHeight="1">
      <c r="A580" s="343"/>
      <c r="B580" s="343"/>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row>
    <row r="581" spans="1:26" ht="12.75" customHeight="1">
      <c r="A581" s="343"/>
      <c r="B581" s="343"/>
      <c r="C581" s="343"/>
      <c r="D581" s="343"/>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row>
    <row r="582" spans="1:26" ht="12.75" customHeight="1">
      <c r="A582" s="343"/>
      <c r="B582" s="343"/>
      <c r="C582" s="343"/>
      <c r="D582" s="343"/>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row>
    <row r="583" spans="1:26" ht="12.75" customHeight="1">
      <c r="A583" s="343"/>
      <c r="B583" s="343"/>
      <c r="C583" s="343"/>
      <c r="D583" s="343"/>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row>
    <row r="584" spans="1:26" ht="12.75" customHeight="1">
      <c r="A584" s="343"/>
      <c r="B584" s="343"/>
      <c r="C584" s="343"/>
      <c r="D584" s="343"/>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row>
    <row r="585" spans="1:26" ht="12.75" customHeight="1">
      <c r="A585" s="343"/>
      <c r="B585" s="343"/>
      <c r="C585" s="343"/>
      <c r="D585" s="343"/>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row>
    <row r="586" spans="1:26" ht="12.75" customHeight="1">
      <c r="A586" s="343"/>
      <c r="B586" s="343"/>
      <c r="C586" s="343"/>
      <c r="D586" s="343"/>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row>
    <row r="587" spans="1:26" ht="12.75" customHeight="1">
      <c r="A587" s="343"/>
      <c r="B587" s="343"/>
      <c r="C587" s="343"/>
      <c r="D587" s="343"/>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row>
    <row r="588" spans="1:26" ht="12.75" customHeight="1">
      <c r="A588" s="343"/>
      <c r="B588" s="343"/>
      <c r="C588" s="343"/>
      <c r="D588" s="343"/>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row>
    <row r="589" spans="1:26" ht="12.75" customHeight="1">
      <c r="A589" s="343"/>
      <c r="B589" s="343"/>
      <c r="C589" s="343"/>
      <c r="D589" s="343"/>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row>
    <row r="590" spans="1:26" ht="12.75" customHeight="1">
      <c r="A590" s="343"/>
      <c r="B590" s="343"/>
      <c r="C590" s="343"/>
      <c r="D590" s="343"/>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row>
    <row r="591" spans="1:26" ht="12.75" customHeight="1">
      <c r="A591" s="343"/>
      <c r="B591" s="343"/>
      <c r="C591" s="343"/>
      <c r="D591" s="343"/>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row>
    <row r="592" spans="1:26" ht="12.75" customHeight="1">
      <c r="A592" s="343"/>
      <c r="B592" s="343"/>
      <c r="C592" s="343"/>
      <c r="D592" s="343"/>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row>
    <row r="593" spans="1:26" ht="12.75" customHeight="1">
      <c r="A593" s="343"/>
      <c r="B593" s="343"/>
      <c r="C593" s="343"/>
      <c r="D593" s="343"/>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row>
    <row r="594" spans="1:26" ht="12.75" customHeight="1">
      <c r="A594" s="343"/>
      <c r="B594" s="343"/>
      <c r="C594" s="343"/>
      <c r="D594" s="343"/>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row>
    <row r="595" spans="1:26" ht="12.75" customHeight="1">
      <c r="A595" s="343"/>
      <c r="B595" s="343"/>
      <c r="C595" s="343"/>
      <c r="D595" s="343"/>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row>
    <row r="596" spans="1:26" ht="12.75" customHeight="1">
      <c r="A596" s="343"/>
      <c r="B596" s="343"/>
      <c r="C596" s="343"/>
      <c r="D596" s="343"/>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row>
    <row r="597" spans="1:26" ht="12.75" customHeight="1">
      <c r="A597" s="343"/>
      <c r="B597" s="343"/>
      <c r="C597" s="343"/>
      <c r="D597" s="343"/>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row>
    <row r="598" spans="1:26" ht="12.75" customHeight="1">
      <c r="A598" s="343"/>
      <c r="B598" s="343"/>
      <c r="C598" s="343"/>
      <c r="D598" s="343"/>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row>
    <row r="599" spans="1:26" ht="12.75" customHeight="1">
      <c r="A599" s="343"/>
      <c r="B599" s="343"/>
      <c r="C599" s="343"/>
      <c r="D599" s="343"/>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row>
    <row r="600" spans="1:26" ht="12.75" customHeight="1">
      <c r="A600" s="343"/>
      <c r="B600" s="343"/>
      <c r="C600" s="343"/>
      <c r="D600" s="343"/>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row>
    <row r="601" spans="1:26" ht="12.75" customHeight="1">
      <c r="A601" s="343"/>
      <c r="B601" s="343"/>
      <c r="C601" s="343"/>
      <c r="D601" s="343"/>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row>
    <row r="602" spans="1:26" ht="12.75" customHeight="1">
      <c r="A602" s="343"/>
      <c r="B602" s="343"/>
      <c r="C602" s="343"/>
      <c r="D602" s="343"/>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row>
    <row r="603" spans="1:26" ht="12.75" customHeight="1">
      <c r="A603" s="343"/>
      <c r="B603" s="343"/>
      <c r="C603" s="343"/>
      <c r="D603" s="343"/>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row>
    <row r="604" spans="1:26" ht="12.75" customHeight="1">
      <c r="A604" s="343"/>
      <c r="B604" s="343"/>
      <c r="C604" s="343"/>
      <c r="D604" s="343"/>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row>
    <row r="605" spans="1:26" ht="12.75" customHeight="1">
      <c r="A605" s="343"/>
      <c r="B605" s="343"/>
      <c r="C605" s="343"/>
      <c r="D605" s="343"/>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row>
    <row r="606" spans="1:26" ht="12.75" customHeight="1">
      <c r="A606" s="343"/>
      <c r="B606" s="343"/>
      <c r="C606" s="343"/>
      <c r="D606" s="343"/>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row>
    <row r="607" spans="1:26" ht="12.75" customHeight="1">
      <c r="A607" s="343"/>
      <c r="B607" s="343"/>
      <c r="C607" s="343"/>
      <c r="D607" s="343"/>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row>
    <row r="608" spans="1:26" ht="12.75" customHeight="1">
      <c r="A608" s="343"/>
      <c r="B608" s="343"/>
      <c r="C608" s="343"/>
      <c r="D608" s="343"/>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row>
    <row r="609" spans="1:26" ht="12.75" customHeight="1">
      <c r="A609" s="343"/>
      <c r="B609" s="343"/>
      <c r="C609" s="343"/>
      <c r="D609" s="343"/>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row>
    <row r="610" spans="1:26" ht="12.75" customHeight="1">
      <c r="A610" s="343"/>
      <c r="B610" s="343"/>
      <c r="C610" s="343"/>
      <c r="D610" s="343"/>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row>
    <row r="611" spans="1:26" ht="12.75" customHeight="1">
      <c r="A611" s="343"/>
      <c r="B611" s="343"/>
      <c r="C611" s="343"/>
      <c r="D611" s="343"/>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row>
    <row r="612" spans="1:26" ht="12.75" customHeight="1">
      <c r="A612" s="343"/>
      <c r="B612" s="343"/>
      <c r="C612" s="343"/>
      <c r="D612" s="343"/>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row>
    <row r="613" spans="1:26" ht="12.75" customHeight="1">
      <c r="A613" s="343"/>
      <c r="B613" s="343"/>
      <c r="C613" s="343"/>
      <c r="D613" s="343"/>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row>
    <row r="614" spans="1:26" ht="12.75" customHeight="1">
      <c r="A614" s="343"/>
      <c r="B614" s="343"/>
      <c r="C614" s="343"/>
      <c r="D614" s="343"/>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row>
    <row r="615" spans="1:26" ht="12.75" customHeight="1">
      <c r="A615" s="343"/>
      <c r="B615" s="343"/>
      <c r="C615" s="343"/>
      <c r="D615" s="343"/>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row>
    <row r="616" spans="1:26" ht="12.75" customHeight="1">
      <c r="A616" s="343"/>
      <c r="B616" s="343"/>
      <c r="C616" s="343"/>
      <c r="D616" s="343"/>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row>
    <row r="617" spans="1:26" ht="12.75" customHeight="1">
      <c r="A617" s="343"/>
      <c r="B617" s="343"/>
      <c r="C617" s="343"/>
      <c r="D617" s="343"/>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row>
    <row r="618" spans="1:26" ht="12.75" customHeight="1">
      <c r="A618" s="343"/>
      <c r="B618" s="343"/>
      <c r="C618" s="343"/>
      <c r="D618" s="343"/>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row>
    <row r="619" spans="1:26" ht="12.75" customHeight="1">
      <c r="A619" s="343"/>
      <c r="B619" s="343"/>
      <c r="C619" s="343"/>
      <c r="D619" s="343"/>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row>
    <row r="620" spans="1:26" ht="12.75" customHeight="1">
      <c r="A620" s="343"/>
      <c r="B620" s="343"/>
      <c r="C620" s="343"/>
      <c r="D620" s="343"/>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row>
    <row r="621" spans="1:26" ht="12.75" customHeight="1">
      <c r="A621" s="343"/>
      <c r="B621" s="343"/>
      <c r="C621" s="343"/>
      <c r="D621" s="343"/>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row>
    <row r="622" spans="1:26" ht="12.75" customHeight="1">
      <c r="A622" s="343"/>
      <c r="B622" s="343"/>
      <c r="C622" s="343"/>
      <c r="D622" s="343"/>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row>
    <row r="623" spans="1:26" ht="12.75" customHeight="1">
      <c r="A623" s="343"/>
      <c r="B623" s="343"/>
      <c r="C623" s="343"/>
      <c r="D623" s="343"/>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row>
    <row r="624" spans="1:26" ht="12.75" customHeight="1">
      <c r="A624" s="343"/>
      <c r="B624" s="343"/>
      <c r="C624" s="343"/>
      <c r="D624" s="343"/>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row>
    <row r="625" spans="1:26" ht="12.75" customHeight="1">
      <c r="A625" s="343"/>
      <c r="B625" s="343"/>
      <c r="C625" s="343"/>
      <c r="D625" s="343"/>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row>
    <row r="626" spans="1:26" ht="12.75" customHeight="1">
      <c r="A626" s="343"/>
      <c r="B626" s="343"/>
      <c r="C626" s="343"/>
      <c r="D626" s="343"/>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row>
    <row r="627" spans="1:26" ht="12.75" customHeight="1">
      <c r="A627" s="343"/>
      <c r="B627" s="343"/>
      <c r="C627" s="343"/>
      <c r="D627" s="343"/>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row>
    <row r="628" spans="1:26" ht="12.75" customHeight="1">
      <c r="A628" s="343"/>
      <c r="B628" s="343"/>
      <c r="C628" s="343"/>
      <c r="D628" s="343"/>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row>
    <row r="629" spans="1:26" ht="12.75" customHeight="1">
      <c r="A629" s="343"/>
      <c r="B629" s="343"/>
      <c r="C629" s="343"/>
      <c r="D629" s="343"/>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row>
    <row r="630" spans="1:26" ht="12.75" customHeight="1">
      <c r="A630" s="343"/>
      <c r="B630" s="343"/>
      <c r="C630" s="343"/>
      <c r="D630" s="343"/>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row>
    <row r="631" spans="1:26" ht="12.75" customHeight="1">
      <c r="A631" s="343"/>
      <c r="B631" s="343"/>
      <c r="C631" s="343"/>
      <c r="D631" s="343"/>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row>
    <row r="632" spans="1:26" ht="12.75" customHeight="1">
      <c r="A632" s="343"/>
      <c r="B632" s="343"/>
      <c r="C632" s="343"/>
      <c r="D632" s="343"/>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row>
    <row r="633" spans="1:26" ht="12.75" customHeight="1">
      <c r="A633" s="343"/>
      <c r="B633" s="343"/>
      <c r="C633" s="343"/>
      <c r="D633" s="343"/>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row>
    <row r="634" spans="1:26" ht="12.75" customHeight="1">
      <c r="A634" s="343"/>
      <c r="B634" s="343"/>
      <c r="C634" s="343"/>
      <c r="D634" s="343"/>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row>
    <row r="635" spans="1:26" ht="12.75" customHeight="1">
      <c r="A635" s="343"/>
      <c r="B635" s="343"/>
      <c r="C635" s="343"/>
      <c r="D635" s="343"/>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row>
    <row r="636" spans="1:26" ht="12.75" customHeight="1">
      <c r="A636" s="343"/>
      <c r="B636" s="343"/>
      <c r="C636" s="343"/>
      <c r="D636" s="343"/>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row>
    <row r="637" spans="1:26" ht="12.75" customHeight="1">
      <c r="A637" s="343"/>
      <c r="B637" s="343"/>
      <c r="C637" s="343"/>
      <c r="D637" s="343"/>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row>
    <row r="638" spans="1:26" ht="12.75" customHeight="1">
      <c r="A638" s="343"/>
      <c r="B638" s="343"/>
      <c r="C638" s="343"/>
      <c r="D638" s="343"/>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row>
    <row r="639" spans="1:26" ht="12.75" customHeight="1">
      <c r="A639" s="343"/>
      <c r="B639" s="343"/>
      <c r="C639" s="343"/>
      <c r="D639" s="343"/>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row>
    <row r="640" spans="1:26" ht="12.75" customHeight="1">
      <c r="A640" s="343"/>
      <c r="B640" s="343"/>
      <c r="C640" s="343"/>
      <c r="D640" s="343"/>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row>
    <row r="641" spans="1:26" ht="12.75" customHeight="1">
      <c r="A641" s="343"/>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row>
    <row r="642" spans="1:26" ht="12.75" customHeight="1">
      <c r="A642" s="343"/>
      <c r="B642" s="343"/>
      <c r="C642" s="343"/>
      <c r="D642" s="343"/>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row>
    <row r="643" spans="1:26" ht="12.75" customHeight="1">
      <c r="A643" s="343"/>
      <c r="B643" s="343"/>
      <c r="C643" s="343"/>
      <c r="D643" s="343"/>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row>
    <row r="644" spans="1:26" ht="12.75" customHeight="1">
      <c r="A644" s="343"/>
      <c r="B644" s="343"/>
      <c r="C644" s="343"/>
      <c r="D644" s="343"/>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row>
    <row r="645" spans="1:26" ht="12.75" customHeight="1">
      <c r="A645" s="343"/>
      <c r="B645" s="343"/>
      <c r="C645" s="343"/>
      <c r="D645" s="343"/>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row>
    <row r="646" spans="1:26" ht="12.75" customHeight="1">
      <c r="A646" s="343"/>
      <c r="B646" s="343"/>
      <c r="C646" s="343"/>
      <c r="D646" s="343"/>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row>
    <row r="647" spans="1:26" ht="12.75" customHeight="1">
      <c r="A647" s="343"/>
      <c r="B647" s="343"/>
      <c r="C647" s="343"/>
      <c r="D647" s="343"/>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row>
    <row r="648" spans="1:26" ht="12.75" customHeight="1">
      <c r="A648" s="343"/>
      <c r="B648" s="343"/>
      <c r="C648" s="343"/>
      <c r="D648" s="343"/>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row>
    <row r="649" spans="1:26" ht="12.75" customHeight="1">
      <c r="A649" s="343"/>
      <c r="B649" s="343"/>
      <c r="C649" s="343"/>
      <c r="D649" s="343"/>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row>
    <row r="650" spans="1:26" ht="12.75" customHeight="1">
      <c r="A650" s="343"/>
      <c r="B650" s="343"/>
      <c r="C650" s="343"/>
      <c r="D650" s="343"/>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row>
    <row r="651" spans="1:26" ht="12.75" customHeight="1">
      <c r="A651" s="343"/>
      <c r="B651" s="343"/>
      <c r="C651" s="343"/>
      <c r="D651" s="343"/>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row>
    <row r="652" spans="1:26" ht="12.75" customHeight="1">
      <c r="A652" s="343"/>
      <c r="B652" s="343"/>
      <c r="C652" s="343"/>
      <c r="D652" s="343"/>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row>
    <row r="653" spans="1:26" ht="12.75" customHeight="1">
      <c r="A653" s="343"/>
      <c r="B653" s="343"/>
      <c r="C653" s="343"/>
      <c r="D653" s="343"/>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row>
    <row r="654" spans="1:26" ht="12.75" customHeight="1">
      <c r="A654" s="343"/>
      <c r="B654" s="343"/>
      <c r="C654" s="343"/>
      <c r="D654" s="343"/>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row>
    <row r="655" spans="1:26" ht="12.75" customHeight="1">
      <c r="A655" s="343"/>
      <c r="B655" s="343"/>
      <c r="C655" s="343"/>
      <c r="D655" s="343"/>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row>
    <row r="656" spans="1:26" ht="12.75" customHeight="1">
      <c r="A656" s="343"/>
      <c r="B656" s="343"/>
      <c r="C656" s="343"/>
      <c r="D656" s="343"/>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row>
    <row r="657" spans="1:26" ht="12.75" customHeight="1">
      <c r="A657" s="343"/>
      <c r="B657" s="343"/>
      <c r="C657" s="343"/>
      <c r="D657" s="343"/>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row>
    <row r="658" spans="1:26" ht="12.75" customHeight="1">
      <c r="A658" s="343"/>
      <c r="B658" s="343"/>
      <c r="C658" s="343"/>
      <c r="D658" s="343"/>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row>
    <row r="659" spans="1:26" ht="12.75" customHeight="1">
      <c r="A659" s="343"/>
      <c r="B659" s="343"/>
      <c r="C659" s="343"/>
      <c r="D659" s="343"/>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row>
    <row r="660" spans="1:26" ht="12.75" customHeight="1">
      <c r="A660" s="343"/>
      <c r="B660" s="343"/>
      <c r="C660" s="343"/>
      <c r="D660" s="343"/>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row>
    <row r="661" spans="1:26" ht="12.75" customHeight="1">
      <c r="A661" s="343"/>
      <c r="B661" s="343"/>
      <c r="C661" s="343"/>
      <c r="D661" s="343"/>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row>
    <row r="662" spans="1:26" ht="12.75" customHeight="1">
      <c r="A662" s="343"/>
      <c r="B662" s="343"/>
      <c r="C662" s="343"/>
      <c r="D662" s="343"/>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row>
    <row r="663" spans="1:26" ht="12.75" customHeight="1">
      <c r="A663" s="343"/>
      <c r="B663" s="343"/>
      <c r="C663" s="343"/>
      <c r="D663" s="343"/>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row>
    <row r="664" spans="1:26" ht="12.75" customHeight="1">
      <c r="A664" s="343"/>
      <c r="B664" s="343"/>
      <c r="C664" s="343"/>
      <c r="D664" s="343"/>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row>
    <row r="665" spans="1:26" ht="12.75" customHeight="1">
      <c r="A665" s="343"/>
      <c r="B665" s="343"/>
      <c r="C665" s="343"/>
      <c r="D665" s="343"/>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row>
    <row r="666" spans="1:26" ht="12.75" customHeight="1">
      <c r="A666" s="343"/>
      <c r="B666" s="343"/>
      <c r="C666" s="343"/>
      <c r="D666" s="343"/>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row>
    <row r="667" spans="1:26" ht="12.75" customHeight="1">
      <c r="A667" s="343"/>
      <c r="B667" s="343"/>
      <c r="C667" s="343"/>
      <c r="D667" s="343"/>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row>
    <row r="668" spans="1:26" ht="12.75" customHeight="1">
      <c r="A668" s="343"/>
      <c r="B668" s="343"/>
      <c r="C668" s="343"/>
      <c r="D668" s="343"/>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row>
    <row r="669" spans="1:26" ht="12.75" customHeight="1">
      <c r="A669" s="343"/>
      <c r="B669" s="343"/>
      <c r="C669" s="343"/>
      <c r="D669" s="343"/>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row>
    <row r="670" spans="1:26" ht="12.75" customHeight="1">
      <c r="A670" s="343"/>
      <c r="B670" s="343"/>
      <c r="C670" s="343"/>
      <c r="D670" s="343"/>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row>
    <row r="671" spans="1:26" ht="12.75" customHeight="1">
      <c r="A671" s="343"/>
      <c r="B671" s="343"/>
      <c r="C671" s="343"/>
      <c r="D671" s="343"/>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row>
    <row r="672" spans="1:26" ht="12.75" customHeight="1">
      <c r="A672" s="343"/>
      <c r="B672" s="343"/>
      <c r="C672" s="343"/>
      <c r="D672" s="343"/>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row>
    <row r="673" spans="1:26" ht="12.75" customHeight="1">
      <c r="A673" s="343"/>
      <c r="B673" s="343"/>
      <c r="C673" s="343"/>
      <c r="D673" s="343"/>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row>
    <row r="674" spans="1:26" ht="12.75" customHeight="1">
      <c r="A674" s="343"/>
      <c r="B674" s="343"/>
      <c r="C674" s="343"/>
      <c r="D674" s="343"/>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row>
    <row r="675" spans="1:26" ht="12.75" customHeight="1">
      <c r="A675" s="343"/>
      <c r="B675" s="343"/>
      <c r="C675" s="343"/>
      <c r="D675" s="343"/>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row>
    <row r="676" spans="1:26" ht="12.75" customHeight="1">
      <c r="A676" s="343"/>
      <c r="B676" s="343"/>
      <c r="C676" s="343"/>
      <c r="D676" s="343"/>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row>
    <row r="677" spans="1:26" ht="12.75" customHeight="1">
      <c r="A677" s="343"/>
      <c r="B677" s="343"/>
      <c r="C677" s="343"/>
      <c r="D677" s="343"/>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row>
    <row r="678" spans="1:26" ht="12.75" customHeight="1">
      <c r="A678" s="343"/>
      <c r="B678" s="343"/>
      <c r="C678" s="343"/>
      <c r="D678" s="343"/>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row>
    <row r="679" spans="1:26" ht="12.75" customHeight="1">
      <c r="A679" s="343"/>
      <c r="B679" s="343"/>
      <c r="C679" s="343"/>
      <c r="D679" s="343"/>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row>
    <row r="680" spans="1:26" ht="12.75" customHeight="1">
      <c r="A680" s="343"/>
      <c r="B680" s="343"/>
      <c r="C680" s="343"/>
      <c r="D680" s="343"/>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row>
    <row r="681" spans="1:26" ht="12.75" customHeight="1">
      <c r="A681" s="343"/>
      <c r="B681" s="343"/>
      <c r="C681" s="343"/>
      <c r="D681" s="343"/>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row>
    <row r="682" spans="1:26" ht="12.75" customHeight="1">
      <c r="A682" s="343"/>
      <c r="B682" s="343"/>
      <c r="C682" s="343"/>
      <c r="D682" s="343"/>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row>
    <row r="683" spans="1:26" ht="12.75" customHeight="1">
      <c r="A683" s="343"/>
      <c r="B683" s="343"/>
      <c r="C683" s="343"/>
      <c r="D683" s="343"/>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row>
    <row r="684" spans="1:26" ht="12.75" customHeight="1">
      <c r="A684" s="343"/>
      <c r="B684" s="343"/>
      <c r="C684" s="343"/>
      <c r="D684" s="343"/>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row>
    <row r="685" spans="1:26" ht="12.75" customHeight="1">
      <c r="A685" s="343"/>
      <c r="B685" s="343"/>
      <c r="C685" s="343"/>
      <c r="D685" s="343"/>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row>
    <row r="686" spans="1:26" ht="12.75" customHeight="1">
      <c r="A686" s="343"/>
      <c r="B686" s="343"/>
      <c r="C686" s="343"/>
      <c r="D686" s="343"/>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row>
    <row r="687" spans="1:26" ht="12.75" customHeight="1">
      <c r="A687" s="343"/>
      <c r="B687" s="343"/>
      <c r="C687" s="343"/>
      <c r="D687" s="343"/>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row>
    <row r="688" spans="1:26" ht="12.75" customHeight="1">
      <c r="A688" s="343"/>
      <c r="B688" s="343"/>
      <c r="C688" s="343"/>
      <c r="D688" s="343"/>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row>
    <row r="689" spans="1:26" ht="12.75" customHeight="1">
      <c r="A689" s="343"/>
      <c r="B689" s="343"/>
      <c r="C689" s="343"/>
      <c r="D689" s="343"/>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row>
    <row r="690" spans="1:26" ht="12.75" customHeight="1">
      <c r="A690" s="343"/>
      <c r="B690" s="343"/>
      <c r="C690" s="343"/>
      <c r="D690" s="343"/>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row>
    <row r="691" spans="1:26" ht="12.75" customHeight="1">
      <c r="A691" s="343"/>
      <c r="B691" s="343"/>
      <c r="C691" s="343"/>
      <c r="D691" s="343"/>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row>
    <row r="692" spans="1:26" ht="12.75" customHeight="1">
      <c r="A692" s="343"/>
      <c r="B692" s="343"/>
      <c r="C692" s="343"/>
      <c r="D692" s="343"/>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row>
    <row r="693" spans="1:26" ht="12.75" customHeight="1">
      <c r="A693" s="343"/>
      <c r="B693" s="343"/>
      <c r="C693" s="343"/>
      <c r="D693" s="343"/>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row>
    <row r="694" spans="1:26" ht="12.75" customHeight="1">
      <c r="A694" s="343"/>
      <c r="B694" s="343"/>
      <c r="C694" s="343"/>
      <c r="D694" s="343"/>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row>
    <row r="695" spans="1:26" ht="12.75" customHeight="1">
      <c r="A695" s="343"/>
      <c r="B695" s="343"/>
      <c r="C695" s="343"/>
      <c r="D695" s="343"/>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row>
    <row r="696" spans="1:26" ht="12.75" customHeight="1">
      <c r="A696" s="343"/>
      <c r="B696" s="343"/>
      <c r="C696" s="343"/>
      <c r="D696" s="343"/>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row>
    <row r="697" spans="1:26" ht="12.75" customHeight="1">
      <c r="A697" s="343"/>
      <c r="B697" s="343"/>
      <c r="C697" s="343"/>
      <c r="D697" s="343"/>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row>
    <row r="698" spans="1:26" ht="12.75" customHeight="1">
      <c r="A698" s="343"/>
      <c r="B698" s="343"/>
      <c r="C698" s="343"/>
      <c r="D698" s="343"/>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row>
    <row r="699" spans="1:26" ht="12.75" customHeight="1">
      <c r="A699" s="343"/>
      <c r="B699" s="343"/>
      <c r="C699" s="343"/>
      <c r="D699" s="343"/>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row>
    <row r="700" spans="1:26" ht="12.75" customHeight="1">
      <c r="A700" s="343"/>
      <c r="B700" s="343"/>
      <c r="C700" s="343"/>
      <c r="D700" s="343"/>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row>
    <row r="701" spans="1:26" ht="12.75" customHeight="1">
      <c r="A701" s="343"/>
      <c r="B701" s="343"/>
      <c r="C701" s="343"/>
      <c r="D701" s="343"/>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row>
    <row r="702" spans="1:26" ht="12.75" customHeight="1">
      <c r="A702" s="343"/>
      <c r="B702" s="343"/>
      <c r="C702" s="343"/>
      <c r="D702" s="343"/>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row>
    <row r="703" spans="1:26" ht="12.75" customHeight="1">
      <c r="A703" s="343"/>
      <c r="B703" s="343"/>
      <c r="C703" s="343"/>
      <c r="D703" s="343"/>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row>
    <row r="704" spans="1:26" ht="12.75" customHeight="1">
      <c r="A704" s="343"/>
      <c r="B704" s="343"/>
      <c r="C704" s="343"/>
      <c r="D704" s="343"/>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row>
    <row r="705" spans="1:26" ht="12.75" customHeight="1">
      <c r="A705" s="343"/>
      <c r="B705" s="343"/>
      <c r="C705" s="343"/>
      <c r="D705" s="343"/>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row>
    <row r="706" spans="1:26" ht="12.75" customHeight="1">
      <c r="A706" s="343"/>
      <c r="B706" s="343"/>
      <c r="C706" s="343"/>
      <c r="D706" s="343"/>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row>
    <row r="707" spans="1:26" ht="12.75" customHeight="1">
      <c r="A707" s="343"/>
      <c r="B707" s="343"/>
      <c r="C707" s="343"/>
      <c r="D707" s="343"/>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row>
    <row r="708" spans="1:26" ht="12.75" customHeight="1">
      <c r="A708" s="343"/>
      <c r="B708" s="343"/>
      <c r="C708" s="343"/>
      <c r="D708" s="343"/>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row>
    <row r="709" spans="1:26" ht="12.75" customHeight="1">
      <c r="A709" s="343"/>
      <c r="B709" s="343"/>
      <c r="C709" s="343"/>
      <c r="D709" s="343"/>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row>
    <row r="710" spans="1:26" ht="12.75" customHeight="1">
      <c r="A710" s="343"/>
      <c r="B710" s="343"/>
      <c r="C710" s="343"/>
      <c r="D710" s="343"/>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row>
    <row r="711" spans="1:26" ht="12.75" customHeight="1">
      <c r="A711" s="343"/>
      <c r="B711" s="343"/>
      <c r="C711" s="343"/>
      <c r="D711" s="343"/>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row>
    <row r="712" spans="1:26" ht="12.75" customHeight="1">
      <c r="A712" s="343"/>
      <c r="B712" s="343"/>
      <c r="C712" s="343"/>
      <c r="D712" s="343"/>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row>
    <row r="713" spans="1:26" ht="12.75" customHeight="1">
      <c r="A713" s="343"/>
      <c r="B713" s="343"/>
      <c r="C713" s="343"/>
      <c r="D713" s="343"/>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row>
    <row r="714" spans="1:26" ht="12.75" customHeight="1">
      <c r="A714" s="343"/>
      <c r="B714" s="343"/>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row>
    <row r="715" spans="1:26" ht="12.75" customHeight="1">
      <c r="A715" s="343"/>
      <c r="B715" s="343"/>
      <c r="C715" s="343"/>
      <c r="D715" s="343"/>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row>
    <row r="716" spans="1:26" ht="12.75" customHeight="1">
      <c r="A716" s="343"/>
      <c r="B716" s="343"/>
      <c r="C716" s="343"/>
      <c r="D716" s="343"/>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row>
    <row r="717" spans="1:26" ht="12.75" customHeight="1">
      <c r="A717" s="343"/>
      <c r="B717" s="343"/>
      <c r="C717" s="343"/>
      <c r="D717" s="343"/>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row>
    <row r="718" spans="1:26" ht="12.75" customHeight="1">
      <c r="A718" s="343"/>
      <c r="B718" s="343"/>
      <c r="C718" s="343"/>
      <c r="D718" s="343"/>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row>
    <row r="719" spans="1:26" ht="12.75" customHeight="1">
      <c r="A719" s="343"/>
      <c r="B719" s="343"/>
      <c r="C719" s="343"/>
      <c r="D719" s="343"/>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row>
    <row r="720" spans="1:26" ht="12.75" customHeight="1">
      <c r="A720" s="343"/>
      <c r="B720" s="343"/>
      <c r="C720" s="343"/>
      <c r="D720" s="343"/>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row>
    <row r="721" spans="1:26" ht="12.75" customHeight="1">
      <c r="A721" s="343"/>
      <c r="B721" s="343"/>
      <c r="C721" s="343"/>
      <c r="D721" s="343"/>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row>
    <row r="722" spans="1:26" ht="12.75" customHeight="1">
      <c r="A722" s="343"/>
      <c r="B722" s="343"/>
      <c r="C722" s="343"/>
      <c r="D722" s="343"/>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row>
    <row r="723" spans="1:26" ht="12.75" customHeight="1">
      <c r="A723" s="343"/>
      <c r="B723" s="343"/>
      <c r="C723" s="343"/>
      <c r="D723" s="343"/>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row>
    <row r="724" spans="1:26" ht="12.75" customHeight="1">
      <c r="A724" s="343"/>
      <c r="B724" s="343"/>
      <c r="C724" s="343"/>
      <c r="D724" s="343"/>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row>
    <row r="725" spans="1:26" ht="12.75" customHeight="1">
      <c r="A725" s="343"/>
      <c r="B725" s="343"/>
      <c r="C725" s="343"/>
      <c r="D725" s="343"/>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row>
    <row r="726" spans="1:26" ht="12.75" customHeight="1">
      <c r="A726" s="343"/>
      <c r="B726" s="343"/>
      <c r="C726" s="343"/>
      <c r="D726" s="343"/>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row>
    <row r="727" spans="1:26" ht="12.75" customHeight="1">
      <c r="A727" s="343"/>
      <c r="B727" s="343"/>
      <c r="C727" s="343"/>
      <c r="D727" s="343"/>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row>
    <row r="728" spans="1:26" ht="12.75" customHeight="1">
      <c r="A728" s="343"/>
      <c r="B728" s="343"/>
      <c r="C728" s="343"/>
      <c r="D728" s="343"/>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row>
    <row r="729" spans="1:26" ht="12.75" customHeight="1">
      <c r="A729" s="343"/>
      <c r="B729" s="343"/>
      <c r="C729" s="343"/>
      <c r="D729" s="343"/>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row>
    <row r="730" spans="1:26" ht="12.75" customHeight="1">
      <c r="A730" s="343"/>
      <c r="B730" s="343"/>
      <c r="C730" s="343"/>
      <c r="D730" s="343"/>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row>
    <row r="731" spans="1:26" ht="12.75" customHeight="1">
      <c r="A731" s="343"/>
      <c r="B731" s="343"/>
      <c r="C731" s="343"/>
      <c r="D731" s="343"/>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row>
    <row r="732" spans="1:26" ht="12.75" customHeight="1">
      <c r="A732" s="343"/>
      <c r="B732" s="343"/>
      <c r="C732" s="343"/>
      <c r="D732" s="343"/>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row>
    <row r="733" spans="1:26" ht="12.75" customHeight="1">
      <c r="A733" s="343"/>
      <c r="B733" s="343"/>
      <c r="C733" s="343"/>
      <c r="D733" s="343"/>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row>
    <row r="734" spans="1:26" ht="12.75" customHeight="1">
      <c r="A734" s="343"/>
      <c r="B734" s="343"/>
      <c r="C734" s="343"/>
      <c r="D734" s="343"/>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row>
    <row r="735" spans="1:26" ht="12.75" customHeight="1">
      <c r="A735" s="343"/>
      <c r="B735" s="343"/>
      <c r="C735" s="343"/>
      <c r="D735" s="343"/>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row>
    <row r="736" spans="1:26" ht="12.75" customHeight="1">
      <c r="A736" s="343"/>
      <c r="B736" s="343"/>
      <c r="C736" s="343"/>
      <c r="D736" s="343"/>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row>
    <row r="737" spans="1:26" ht="12.75" customHeight="1">
      <c r="A737" s="343"/>
      <c r="B737" s="343"/>
      <c r="C737" s="343"/>
      <c r="D737" s="343"/>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row>
    <row r="738" spans="1:26" ht="12.75" customHeight="1">
      <c r="A738" s="343"/>
      <c r="B738" s="343"/>
      <c r="C738" s="343"/>
      <c r="D738" s="343"/>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row>
    <row r="739" spans="1:26" ht="12.75" customHeight="1">
      <c r="A739" s="343"/>
      <c r="B739" s="343"/>
      <c r="C739" s="343"/>
      <c r="D739" s="343"/>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row>
    <row r="740" spans="1:26" ht="12.75" customHeight="1">
      <c r="A740" s="343"/>
      <c r="B740" s="343"/>
      <c r="C740" s="343"/>
      <c r="D740" s="343"/>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row>
    <row r="741" spans="1:26" ht="12.75" customHeight="1">
      <c r="A741" s="343"/>
      <c r="B741" s="343"/>
      <c r="C741" s="343"/>
      <c r="D741" s="343"/>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row>
    <row r="742" spans="1:26" ht="12.75" customHeight="1">
      <c r="A742" s="343"/>
      <c r="B742" s="343"/>
      <c r="C742" s="343"/>
      <c r="D742" s="343"/>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row>
    <row r="743" spans="1:26" ht="12.75" customHeight="1">
      <c r="A743" s="343"/>
      <c r="B743" s="343"/>
      <c r="C743" s="343"/>
      <c r="D743" s="343"/>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row>
    <row r="744" spans="1:26" ht="12.75" customHeight="1">
      <c r="A744" s="343"/>
      <c r="B744" s="343"/>
      <c r="C744" s="343"/>
      <c r="D744" s="343"/>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row>
    <row r="745" spans="1:26" ht="12.75" customHeight="1">
      <c r="A745" s="343"/>
      <c r="B745" s="343"/>
      <c r="C745" s="343"/>
      <c r="D745" s="343"/>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row>
    <row r="746" spans="1:26" ht="12.75" customHeight="1">
      <c r="A746" s="343"/>
      <c r="B746" s="343"/>
      <c r="C746" s="343"/>
      <c r="D746" s="343"/>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row>
    <row r="747" spans="1:26" ht="12.75" customHeight="1">
      <c r="A747" s="343"/>
      <c r="B747" s="343"/>
      <c r="C747" s="343"/>
      <c r="D747" s="343"/>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row>
    <row r="748" spans="1:26" ht="12.75" customHeight="1">
      <c r="A748" s="343"/>
      <c r="B748" s="343"/>
      <c r="C748" s="343"/>
      <c r="D748" s="343"/>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row>
    <row r="749" spans="1:26" ht="12.75" customHeight="1">
      <c r="A749" s="343"/>
      <c r="B749" s="343"/>
      <c r="C749" s="343"/>
      <c r="D749" s="343"/>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row>
    <row r="750" spans="1:26" ht="12.75" customHeight="1">
      <c r="A750" s="343"/>
      <c r="B750" s="343"/>
      <c r="C750" s="343"/>
      <c r="D750" s="343"/>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row>
    <row r="751" spans="1:26" ht="12.75" customHeight="1">
      <c r="A751" s="343"/>
      <c r="B751" s="343"/>
      <c r="C751" s="343"/>
      <c r="D751" s="343"/>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row>
    <row r="752" spans="1:26" ht="12.75" customHeight="1">
      <c r="A752" s="343"/>
      <c r="B752" s="343"/>
      <c r="C752" s="343"/>
      <c r="D752" s="343"/>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row>
    <row r="753" spans="1:26" ht="12.75" customHeight="1">
      <c r="A753" s="343"/>
      <c r="B753" s="343"/>
      <c r="C753" s="343"/>
      <c r="D753" s="343"/>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row>
    <row r="754" spans="1:26" ht="12.75" customHeight="1">
      <c r="A754" s="343"/>
      <c r="B754" s="343"/>
      <c r="C754" s="343"/>
      <c r="D754" s="343"/>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row>
    <row r="755" spans="1:26" ht="12.75" customHeight="1">
      <c r="A755" s="343"/>
      <c r="B755" s="343"/>
      <c r="C755" s="343"/>
      <c r="D755" s="343"/>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row>
    <row r="756" spans="1:26" ht="12.75" customHeight="1">
      <c r="A756" s="343"/>
      <c r="B756" s="343"/>
      <c r="C756" s="343"/>
      <c r="D756" s="343"/>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row>
    <row r="757" spans="1:26" ht="12.75" customHeight="1">
      <c r="A757" s="343"/>
      <c r="B757" s="343"/>
      <c r="C757" s="343"/>
      <c r="D757" s="343"/>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row>
    <row r="758" spans="1:26" ht="12.75" customHeight="1">
      <c r="A758" s="343"/>
      <c r="B758" s="343"/>
      <c r="C758" s="343"/>
      <c r="D758" s="343"/>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row>
    <row r="759" spans="1:26" ht="12.75" customHeight="1">
      <c r="A759" s="343"/>
      <c r="B759" s="343"/>
      <c r="C759" s="343"/>
      <c r="D759" s="343"/>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row>
    <row r="760" spans="1:26" ht="12.75" customHeight="1">
      <c r="A760" s="343"/>
      <c r="B760" s="343"/>
      <c r="C760" s="343"/>
      <c r="D760" s="343"/>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row>
    <row r="761" spans="1:26" ht="12.75" customHeight="1">
      <c r="A761" s="343"/>
      <c r="B761" s="343"/>
      <c r="C761" s="343"/>
      <c r="D761" s="343"/>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row>
    <row r="762" spans="1:26" ht="12.75" customHeight="1">
      <c r="A762" s="343"/>
      <c r="B762" s="343"/>
      <c r="C762" s="343"/>
      <c r="D762" s="343"/>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row>
    <row r="763" spans="1:26" ht="12.75" customHeight="1">
      <c r="A763" s="343"/>
      <c r="B763" s="343"/>
      <c r="C763" s="343"/>
      <c r="D763" s="343"/>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row>
    <row r="764" spans="1:26" ht="12.75" customHeight="1">
      <c r="A764" s="343"/>
      <c r="B764" s="343"/>
      <c r="C764" s="343"/>
      <c r="D764" s="343"/>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row>
    <row r="765" spans="1:26" ht="12.75" customHeight="1">
      <c r="A765" s="343"/>
      <c r="B765" s="343"/>
      <c r="C765" s="343"/>
      <c r="D765" s="343"/>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row>
    <row r="766" spans="1:26" ht="12.75" customHeight="1">
      <c r="A766" s="343"/>
      <c r="B766" s="343"/>
      <c r="C766" s="343"/>
      <c r="D766" s="343"/>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row>
    <row r="767" spans="1:26" ht="12.75" customHeight="1">
      <c r="A767" s="343"/>
      <c r="B767" s="343"/>
      <c r="C767" s="343"/>
      <c r="D767" s="343"/>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row>
    <row r="768" spans="1:26" ht="12.75" customHeight="1">
      <c r="A768" s="343"/>
      <c r="B768" s="343"/>
      <c r="C768" s="343"/>
      <c r="D768" s="343"/>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row>
    <row r="769" spans="1:26" ht="12.75" customHeight="1">
      <c r="A769" s="343"/>
      <c r="B769" s="343"/>
      <c r="C769" s="343"/>
      <c r="D769" s="343"/>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row>
    <row r="770" spans="1:26" ht="12.75" customHeight="1">
      <c r="A770" s="343"/>
      <c r="B770" s="343"/>
      <c r="C770" s="343"/>
      <c r="D770" s="343"/>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row>
    <row r="771" spans="1:26" ht="12.75" customHeight="1">
      <c r="A771" s="343"/>
      <c r="B771" s="343"/>
      <c r="C771" s="343"/>
      <c r="D771" s="343"/>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row>
    <row r="772" spans="1:26" ht="12.75" customHeight="1">
      <c r="A772" s="343"/>
      <c r="B772" s="343"/>
      <c r="C772" s="343"/>
      <c r="D772" s="343"/>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row>
    <row r="773" spans="1:26" ht="12.75" customHeight="1">
      <c r="A773" s="343"/>
      <c r="B773" s="343"/>
      <c r="C773" s="343"/>
      <c r="D773" s="343"/>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row>
    <row r="774" spans="1:26" ht="12.75" customHeight="1">
      <c r="A774" s="343"/>
      <c r="B774" s="343"/>
      <c r="C774" s="343"/>
      <c r="D774" s="343"/>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row>
    <row r="775" spans="1:26" ht="12.75" customHeight="1">
      <c r="A775" s="343"/>
      <c r="B775" s="343"/>
      <c r="C775" s="343"/>
      <c r="D775" s="343"/>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row>
    <row r="776" spans="1:26" ht="12.75" customHeight="1">
      <c r="A776" s="343"/>
      <c r="B776" s="343"/>
      <c r="C776" s="343"/>
      <c r="D776" s="343"/>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row>
    <row r="777" spans="1:26" ht="12.75" customHeight="1">
      <c r="A777" s="343"/>
      <c r="B777" s="343"/>
      <c r="C777" s="343"/>
      <c r="D777" s="343"/>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row>
    <row r="778" spans="1:26" ht="12.75" customHeight="1">
      <c r="A778" s="343"/>
      <c r="B778" s="343"/>
      <c r="C778" s="343"/>
      <c r="D778" s="343"/>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row>
    <row r="779" spans="1:26" ht="12.75" customHeight="1">
      <c r="A779" s="343"/>
      <c r="B779" s="343"/>
      <c r="C779" s="343"/>
      <c r="D779" s="343"/>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row>
    <row r="780" spans="1:26" ht="12.75" customHeight="1">
      <c r="A780" s="343"/>
      <c r="B780" s="343"/>
      <c r="C780" s="343"/>
      <c r="D780" s="343"/>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row>
    <row r="781" spans="1:26" ht="12.75" customHeight="1">
      <c r="A781" s="343"/>
      <c r="B781" s="343"/>
      <c r="C781" s="343"/>
      <c r="D781" s="343"/>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row>
    <row r="782" spans="1:26" ht="12.75" customHeight="1">
      <c r="A782" s="343"/>
      <c r="B782" s="343"/>
      <c r="C782" s="343"/>
      <c r="D782" s="343"/>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row>
    <row r="783" spans="1:26" ht="12.75" customHeight="1">
      <c r="A783" s="343"/>
      <c r="B783" s="343"/>
      <c r="C783" s="343"/>
      <c r="D783" s="343"/>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row>
    <row r="784" spans="1:26" ht="12.75" customHeight="1">
      <c r="A784" s="343"/>
      <c r="B784" s="343"/>
      <c r="C784" s="343"/>
      <c r="D784" s="343"/>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row>
    <row r="785" spans="1:26" ht="12.75" customHeight="1">
      <c r="A785" s="343"/>
      <c r="B785" s="343"/>
      <c r="C785" s="343"/>
      <c r="D785" s="343"/>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row>
    <row r="786" spans="1:26" ht="12.75" customHeight="1">
      <c r="A786" s="343"/>
      <c r="B786" s="343"/>
      <c r="C786" s="343"/>
      <c r="D786" s="343"/>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row>
    <row r="787" spans="1:26" ht="12.75" customHeight="1">
      <c r="A787" s="343"/>
      <c r="B787" s="343"/>
      <c r="C787" s="343"/>
      <c r="D787" s="343"/>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row>
    <row r="788" spans="1:26" ht="12.75" customHeight="1">
      <c r="A788" s="343"/>
      <c r="B788" s="343"/>
      <c r="C788" s="343"/>
      <c r="D788" s="343"/>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row>
    <row r="789" spans="1:26" ht="12.75" customHeight="1">
      <c r="A789" s="343"/>
      <c r="B789" s="343"/>
      <c r="C789" s="343"/>
      <c r="D789" s="343"/>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row>
    <row r="790" spans="1:26" ht="12.75" customHeight="1">
      <c r="A790" s="343"/>
      <c r="B790" s="343"/>
      <c r="C790" s="343"/>
      <c r="D790" s="343"/>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row>
    <row r="791" spans="1:26" ht="12.75" customHeight="1">
      <c r="A791" s="343"/>
      <c r="B791" s="343"/>
      <c r="C791" s="343"/>
      <c r="D791" s="343"/>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row>
    <row r="792" spans="1:26" ht="12.75" customHeight="1">
      <c r="A792" s="343"/>
      <c r="B792" s="343"/>
      <c r="C792" s="343"/>
      <c r="D792" s="343"/>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row>
    <row r="793" spans="1:26" ht="12.75" customHeight="1">
      <c r="A793" s="343"/>
      <c r="B793" s="343"/>
      <c r="C793" s="343"/>
      <c r="D793" s="343"/>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row>
    <row r="794" spans="1:26" ht="12.75" customHeight="1">
      <c r="A794" s="343"/>
      <c r="B794" s="343"/>
      <c r="C794" s="343"/>
      <c r="D794" s="343"/>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row>
    <row r="795" spans="1:26" ht="12.75" customHeight="1">
      <c r="A795" s="343"/>
      <c r="B795" s="343"/>
      <c r="C795" s="343"/>
      <c r="D795" s="343"/>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row>
    <row r="796" spans="1:26" ht="12.75" customHeight="1">
      <c r="A796" s="343"/>
      <c r="B796" s="343"/>
      <c r="C796" s="343"/>
      <c r="D796" s="343"/>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row>
    <row r="797" spans="1:26" ht="12.75" customHeight="1">
      <c r="A797" s="343"/>
      <c r="B797" s="343"/>
      <c r="C797" s="343"/>
      <c r="D797" s="343"/>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row>
    <row r="798" spans="1:26" ht="12.75" customHeight="1">
      <c r="A798" s="343"/>
      <c r="B798" s="343"/>
      <c r="C798" s="343"/>
      <c r="D798" s="343"/>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row>
    <row r="799" spans="1:26" ht="12.75" customHeight="1">
      <c r="A799" s="343"/>
      <c r="B799" s="343"/>
      <c r="C799" s="343"/>
      <c r="D799" s="343"/>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row>
    <row r="800" spans="1:26" ht="12.75" customHeight="1">
      <c r="A800" s="343"/>
      <c r="B800" s="343"/>
      <c r="C800" s="343"/>
      <c r="D800" s="343"/>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row>
    <row r="801" spans="1:26" ht="12.75" customHeight="1">
      <c r="A801" s="343"/>
      <c r="B801" s="343"/>
      <c r="C801" s="343"/>
      <c r="D801" s="343"/>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row>
    <row r="802" spans="1:26" ht="12.75" customHeight="1">
      <c r="A802" s="343"/>
      <c r="B802" s="343"/>
      <c r="C802" s="343"/>
      <c r="D802" s="343"/>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row>
    <row r="803" spans="1:26" ht="12.75" customHeight="1">
      <c r="A803" s="343"/>
      <c r="B803" s="343"/>
      <c r="C803" s="343"/>
      <c r="D803" s="343"/>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row>
    <row r="804" spans="1:26" ht="12.75" customHeight="1">
      <c r="A804" s="343"/>
      <c r="B804" s="343"/>
      <c r="C804" s="343"/>
      <c r="D804" s="343"/>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row>
    <row r="805" spans="1:26" ht="12.75" customHeight="1">
      <c r="A805" s="343"/>
      <c r="B805" s="343"/>
      <c r="C805" s="343"/>
      <c r="D805" s="343"/>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row>
    <row r="806" spans="1:26" ht="12.75" customHeight="1">
      <c r="A806" s="343"/>
      <c r="B806" s="343"/>
      <c r="C806" s="343"/>
      <c r="D806" s="343"/>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row>
    <row r="807" spans="1:26" ht="12.75" customHeight="1">
      <c r="A807" s="343"/>
      <c r="B807" s="343"/>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row>
    <row r="808" spans="1:26" ht="12.75" customHeight="1">
      <c r="A808" s="343"/>
      <c r="B808" s="343"/>
      <c r="C808" s="343"/>
      <c r="D808" s="343"/>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row>
    <row r="809" spans="1:26" ht="12.75" customHeight="1">
      <c r="A809" s="343"/>
      <c r="B809" s="343"/>
      <c r="C809" s="343"/>
      <c r="D809" s="343"/>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row>
    <row r="810" spans="1:26" ht="12.75" customHeight="1">
      <c r="A810" s="343"/>
      <c r="B810" s="343"/>
      <c r="C810" s="343"/>
      <c r="D810" s="343"/>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row>
    <row r="811" spans="1:26" ht="12.75" customHeight="1">
      <c r="A811" s="343"/>
      <c r="B811" s="343"/>
      <c r="C811" s="343"/>
      <c r="D811" s="343"/>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row>
    <row r="812" spans="1:26" ht="12.75" customHeight="1">
      <c r="A812" s="343"/>
      <c r="B812" s="343"/>
      <c r="C812" s="343"/>
      <c r="D812" s="343"/>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row>
    <row r="813" spans="1:26" ht="12.75" customHeight="1">
      <c r="A813" s="343"/>
      <c r="B813" s="343"/>
      <c r="C813" s="343"/>
      <c r="D813" s="343"/>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row>
    <row r="814" spans="1:26" ht="12.75" customHeight="1">
      <c r="A814" s="343"/>
      <c r="B814" s="343"/>
      <c r="C814" s="343"/>
      <c r="D814" s="343"/>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row>
    <row r="815" spans="1:26" ht="12.75" customHeight="1">
      <c r="A815" s="343"/>
      <c r="B815" s="343"/>
      <c r="C815" s="343"/>
      <c r="D815" s="343"/>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row>
    <row r="816" spans="1:26" ht="12.75" customHeight="1">
      <c r="A816" s="343"/>
      <c r="B816" s="343"/>
      <c r="C816" s="343"/>
      <c r="D816" s="343"/>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row>
    <row r="817" spans="1:26" ht="12.75" customHeight="1">
      <c r="A817" s="343"/>
      <c r="B817" s="343"/>
      <c r="C817" s="343"/>
      <c r="D817" s="343"/>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row>
    <row r="818" spans="1:26" ht="12.75" customHeight="1">
      <c r="A818" s="343"/>
      <c r="B818" s="343"/>
      <c r="C818" s="343"/>
      <c r="D818" s="343"/>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row>
    <row r="819" spans="1:26" ht="12.75" customHeight="1">
      <c r="A819" s="343"/>
      <c r="B819" s="343"/>
      <c r="C819" s="343"/>
      <c r="D819" s="343"/>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row>
    <row r="820" spans="1:26" ht="12.75" customHeight="1">
      <c r="A820" s="343"/>
      <c r="B820" s="343"/>
      <c r="C820" s="343"/>
      <c r="D820" s="343"/>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row>
    <row r="821" spans="1:26" ht="12.75" customHeight="1">
      <c r="A821" s="343"/>
      <c r="B821" s="343"/>
      <c r="C821" s="343"/>
      <c r="D821" s="343"/>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row>
    <row r="822" spans="1:26" ht="12.75" customHeight="1">
      <c r="A822" s="343"/>
      <c r="B822" s="343"/>
      <c r="C822" s="343"/>
      <c r="D822" s="343"/>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row>
    <row r="823" spans="1:26" ht="12.75" customHeight="1">
      <c r="A823" s="343"/>
      <c r="B823" s="343"/>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row>
    <row r="824" spans="1:26" ht="12.75" customHeight="1">
      <c r="A824" s="343"/>
      <c r="B824" s="343"/>
      <c r="C824" s="343"/>
      <c r="D824" s="343"/>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row>
    <row r="825" spans="1:26" ht="12.75" customHeight="1">
      <c r="A825" s="343"/>
      <c r="B825" s="343"/>
      <c r="C825" s="343"/>
      <c r="D825" s="343"/>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row>
    <row r="826" spans="1:26" ht="12.75" customHeight="1">
      <c r="A826" s="343"/>
      <c r="B826" s="343"/>
      <c r="C826" s="343"/>
      <c r="D826" s="343"/>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row>
    <row r="827" spans="1:26" ht="12.75" customHeight="1">
      <c r="A827" s="343"/>
      <c r="B827" s="343"/>
      <c r="C827" s="343"/>
      <c r="D827" s="343"/>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row>
    <row r="828" spans="1:26" ht="12.75" customHeight="1">
      <c r="A828" s="343"/>
      <c r="B828" s="343"/>
      <c r="C828" s="343"/>
      <c r="D828" s="343"/>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row>
    <row r="829" spans="1:26" ht="12.75" customHeight="1">
      <c r="A829" s="343"/>
      <c r="B829" s="343"/>
      <c r="C829" s="343"/>
      <c r="D829" s="343"/>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row>
    <row r="830" spans="1:26" ht="12.75" customHeight="1">
      <c r="A830" s="343"/>
      <c r="B830" s="343"/>
      <c r="C830" s="343"/>
      <c r="D830" s="343"/>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row>
    <row r="831" spans="1:26" ht="12.75" customHeight="1">
      <c r="A831" s="343"/>
      <c r="B831" s="343"/>
      <c r="C831" s="343"/>
      <c r="D831" s="343"/>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row>
    <row r="832" spans="1:26" ht="12.75" customHeight="1">
      <c r="A832" s="343"/>
      <c r="B832" s="343"/>
      <c r="C832" s="343"/>
      <c r="D832" s="343"/>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row>
    <row r="833" spans="1:26" ht="12.75" customHeight="1">
      <c r="A833" s="343"/>
      <c r="B833" s="343"/>
      <c r="C833" s="343"/>
      <c r="D833" s="343"/>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row>
    <row r="834" spans="1:26" ht="12.75" customHeight="1">
      <c r="A834" s="343"/>
      <c r="B834" s="343"/>
      <c r="C834" s="343"/>
      <c r="D834" s="343"/>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row>
    <row r="835" spans="1:26" ht="12.75" customHeight="1">
      <c r="A835" s="343"/>
      <c r="B835" s="343"/>
      <c r="C835" s="343"/>
      <c r="D835" s="343"/>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row>
    <row r="836" spans="1:26" ht="12.75" customHeight="1">
      <c r="A836" s="343"/>
      <c r="B836" s="343"/>
      <c r="C836" s="343"/>
      <c r="D836" s="343"/>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row>
    <row r="837" spans="1:26" ht="12.75" customHeight="1">
      <c r="A837" s="343"/>
      <c r="B837" s="343"/>
      <c r="C837" s="343"/>
      <c r="D837" s="343"/>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row>
    <row r="838" spans="1:26" ht="12.75" customHeight="1">
      <c r="A838" s="343"/>
      <c r="B838" s="343"/>
      <c r="C838" s="343"/>
      <c r="D838" s="343"/>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row>
    <row r="839" spans="1:26" ht="12.75" customHeight="1">
      <c r="A839" s="343"/>
      <c r="B839" s="343"/>
      <c r="C839" s="343"/>
      <c r="D839" s="343"/>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row>
    <row r="840" spans="1:26" ht="12.75" customHeight="1">
      <c r="A840" s="343"/>
      <c r="B840" s="343"/>
      <c r="C840" s="343"/>
      <c r="D840" s="343"/>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row>
    <row r="841" spans="1:26" ht="12.75" customHeight="1">
      <c r="A841" s="343"/>
      <c r="B841" s="343"/>
      <c r="C841" s="343"/>
      <c r="D841" s="343"/>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row>
    <row r="842" spans="1:26" ht="12.75" customHeight="1">
      <c r="A842" s="343"/>
      <c r="B842" s="343"/>
      <c r="C842" s="343"/>
      <c r="D842" s="343"/>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row>
    <row r="843" spans="1:26" ht="12.75" customHeight="1">
      <c r="A843" s="343"/>
      <c r="B843" s="343"/>
      <c r="C843" s="343"/>
      <c r="D843" s="343"/>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row>
    <row r="844" spans="1:26" ht="12.75" customHeight="1">
      <c r="A844" s="343"/>
      <c r="B844" s="343"/>
      <c r="C844" s="343"/>
      <c r="D844" s="343"/>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row>
    <row r="845" spans="1:26" ht="12.75" customHeight="1">
      <c r="A845" s="343"/>
      <c r="B845" s="343"/>
      <c r="C845" s="343"/>
      <c r="D845" s="343"/>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row>
    <row r="846" spans="1:26" ht="12.75" customHeight="1">
      <c r="A846" s="343"/>
      <c r="B846" s="343"/>
      <c r="C846" s="343"/>
      <c r="D846" s="343"/>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row>
    <row r="847" spans="1:26" ht="12.75" customHeight="1">
      <c r="A847" s="343"/>
      <c r="B847" s="343"/>
      <c r="C847" s="343"/>
      <c r="D847" s="343"/>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row>
    <row r="848" spans="1:26" ht="12.75" customHeight="1">
      <c r="A848" s="343"/>
      <c r="B848" s="343"/>
      <c r="C848" s="343"/>
      <c r="D848" s="343"/>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row>
    <row r="849" spans="1:26" ht="12.75" customHeight="1">
      <c r="A849" s="343"/>
      <c r="B849" s="343"/>
      <c r="C849" s="343"/>
      <c r="D849" s="343"/>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row>
    <row r="850" spans="1:26" ht="12.75" customHeight="1">
      <c r="A850" s="343"/>
      <c r="B850" s="343"/>
      <c r="C850" s="343"/>
      <c r="D850" s="343"/>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row>
    <row r="851" spans="1:26" ht="12.75" customHeight="1">
      <c r="A851" s="343"/>
      <c r="B851" s="343"/>
      <c r="C851" s="343"/>
      <c r="D851" s="343"/>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row>
    <row r="852" spans="1:26" ht="12.75" customHeight="1">
      <c r="A852" s="343"/>
      <c r="B852" s="343"/>
      <c r="C852" s="343"/>
      <c r="D852" s="343"/>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row>
    <row r="853" spans="1:26" ht="12.75" customHeight="1">
      <c r="A853" s="343"/>
      <c r="B853" s="343"/>
      <c r="C853" s="343"/>
      <c r="D853" s="343"/>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row>
    <row r="854" spans="1:26" ht="12.75" customHeight="1">
      <c r="A854" s="343"/>
      <c r="B854" s="343"/>
      <c r="C854" s="343"/>
      <c r="D854" s="343"/>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row>
    <row r="855" spans="1:26" ht="12.75" customHeight="1">
      <c r="A855" s="343"/>
      <c r="B855" s="343"/>
      <c r="C855" s="343"/>
      <c r="D855" s="343"/>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row>
    <row r="856" spans="1:26" ht="12.75" customHeight="1">
      <c r="A856" s="343"/>
      <c r="B856" s="343"/>
      <c r="C856" s="343"/>
      <c r="D856" s="343"/>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row>
    <row r="857" spans="1:26" ht="12.75" customHeight="1">
      <c r="A857" s="343"/>
      <c r="B857" s="343"/>
      <c r="C857" s="343"/>
      <c r="D857" s="343"/>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row>
    <row r="858" spans="1:26" ht="12.75" customHeight="1">
      <c r="A858" s="343"/>
      <c r="B858" s="343"/>
      <c r="C858" s="343"/>
      <c r="D858" s="343"/>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row>
    <row r="859" spans="1:26" ht="12.75" customHeight="1">
      <c r="A859" s="343"/>
      <c r="B859" s="343"/>
      <c r="C859" s="343"/>
      <c r="D859" s="343"/>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row>
    <row r="860" spans="1:26" ht="12.75" customHeight="1">
      <c r="A860" s="343"/>
      <c r="B860" s="343"/>
      <c r="C860" s="343"/>
      <c r="D860" s="343"/>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row>
    <row r="861" spans="1:26" ht="12.75" customHeight="1">
      <c r="A861" s="343"/>
      <c r="B861" s="343"/>
      <c r="C861" s="343"/>
      <c r="D861" s="343"/>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row>
    <row r="862" spans="1:26" ht="12.75" customHeight="1">
      <c r="A862" s="343"/>
      <c r="B862" s="343"/>
      <c r="C862" s="343"/>
      <c r="D862" s="343"/>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row>
    <row r="863" spans="1:26" ht="12.75" customHeight="1">
      <c r="A863" s="343"/>
      <c r="B863" s="343"/>
      <c r="C863" s="343"/>
      <c r="D863" s="343"/>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row>
    <row r="864" spans="1:26" ht="12.75" customHeight="1">
      <c r="A864" s="343"/>
      <c r="B864" s="343"/>
      <c r="C864" s="343"/>
      <c r="D864" s="343"/>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row>
    <row r="865" spans="1:26" ht="12.75" customHeight="1">
      <c r="A865" s="343"/>
      <c r="B865" s="343"/>
      <c r="C865" s="343"/>
      <c r="D865" s="343"/>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row>
    <row r="866" spans="1:26" ht="12.75" customHeight="1">
      <c r="A866" s="343"/>
      <c r="B866" s="343"/>
      <c r="C866" s="343"/>
      <c r="D866" s="343"/>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row>
    <row r="867" spans="1:26" ht="12.75" customHeight="1">
      <c r="A867" s="343"/>
      <c r="B867" s="343"/>
      <c r="C867" s="343"/>
      <c r="D867" s="343"/>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row>
    <row r="868" spans="1:26" ht="12.75" customHeight="1">
      <c r="A868" s="343"/>
      <c r="B868" s="343"/>
      <c r="C868" s="343"/>
      <c r="D868" s="343"/>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row>
    <row r="869" spans="1:26" ht="12.75" customHeight="1">
      <c r="A869" s="343"/>
      <c r="B869" s="343"/>
      <c r="C869" s="343"/>
      <c r="D869" s="343"/>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row>
    <row r="870" spans="1:26" ht="12.75" customHeight="1">
      <c r="A870" s="343"/>
      <c r="B870" s="343"/>
      <c r="C870" s="343"/>
      <c r="D870" s="343"/>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row>
    <row r="871" spans="1:26" ht="12.75" customHeight="1">
      <c r="A871" s="343"/>
      <c r="B871" s="343"/>
      <c r="C871" s="343"/>
      <c r="D871" s="343"/>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row>
    <row r="872" spans="1:26" ht="12.75" customHeight="1">
      <c r="A872" s="343"/>
      <c r="B872" s="343"/>
      <c r="C872" s="343"/>
      <c r="D872" s="343"/>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row>
    <row r="873" spans="1:26" ht="12.75" customHeight="1">
      <c r="A873" s="343"/>
      <c r="B873" s="343"/>
      <c r="C873" s="343"/>
      <c r="D873" s="343"/>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row>
    <row r="874" spans="1:26" ht="12.75" customHeight="1">
      <c r="A874" s="343"/>
      <c r="B874" s="343"/>
      <c r="C874" s="343"/>
      <c r="D874" s="343"/>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row>
    <row r="875" spans="1:26" ht="12.75" customHeight="1">
      <c r="A875" s="343"/>
      <c r="B875" s="343"/>
      <c r="C875" s="343"/>
      <c r="D875" s="343"/>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row>
    <row r="876" spans="1:26" ht="12.75" customHeight="1">
      <c r="A876" s="343"/>
      <c r="B876" s="343"/>
      <c r="C876" s="343"/>
      <c r="D876" s="343"/>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row>
    <row r="877" spans="1:26" ht="12.75" customHeight="1">
      <c r="A877" s="343"/>
      <c r="B877" s="343"/>
      <c r="C877" s="343"/>
      <c r="D877" s="343"/>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row>
    <row r="878" spans="1:26" ht="12.75" customHeight="1">
      <c r="A878" s="343"/>
      <c r="B878" s="343"/>
      <c r="C878" s="343"/>
      <c r="D878" s="343"/>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row>
    <row r="879" spans="1:26" ht="12.75" customHeight="1">
      <c r="A879" s="343"/>
      <c r="B879" s="343"/>
      <c r="C879" s="343"/>
      <c r="D879" s="343"/>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row>
    <row r="880" spans="1:26" ht="12.75" customHeight="1">
      <c r="A880" s="343"/>
      <c r="B880" s="343"/>
      <c r="C880" s="343"/>
      <c r="D880" s="343"/>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row>
    <row r="881" spans="1:26" ht="12.75" customHeight="1">
      <c r="A881" s="343"/>
      <c r="B881" s="343"/>
      <c r="C881" s="343"/>
      <c r="D881" s="343"/>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row>
    <row r="882" spans="1:26" ht="12.75" customHeight="1">
      <c r="A882" s="343"/>
      <c r="B882" s="343"/>
      <c r="C882" s="343"/>
      <c r="D882" s="343"/>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row>
    <row r="883" spans="1:26" ht="12.75" customHeight="1">
      <c r="A883" s="343"/>
      <c r="B883" s="343"/>
      <c r="C883" s="343"/>
      <c r="D883" s="343"/>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row>
    <row r="884" spans="1:26" ht="12.75" customHeight="1">
      <c r="A884" s="343"/>
      <c r="B884" s="343"/>
      <c r="C884" s="343"/>
      <c r="D884" s="343"/>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row>
    <row r="885" spans="1:26" ht="12.75" customHeight="1">
      <c r="A885" s="343"/>
      <c r="B885" s="343"/>
      <c r="C885" s="343"/>
      <c r="D885" s="343"/>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row>
    <row r="886" spans="1:26" ht="12.75" customHeight="1">
      <c r="A886" s="343"/>
      <c r="B886" s="343"/>
      <c r="C886" s="343"/>
      <c r="D886" s="343"/>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row>
    <row r="887" spans="1:26" ht="12.75" customHeight="1">
      <c r="A887" s="343"/>
      <c r="B887" s="343"/>
      <c r="C887" s="343"/>
      <c r="D887" s="343"/>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row>
    <row r="888" spans="1:26" ht="12.75" customHeight="1">
      <c r="A888" s="343"/>
      <c r="B888" s="343"/>
      <c r="C888" s="343"/>
      <c r="D888" s="343"/>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row>
    <row r="889" spans="1:26" ht="12.75" customHeight="1">
      <c r="A889" s="343"/>
      <c r="B889" s="343"/>
      <c r="C889" s="343"/>
      <c r="D889" s="343"/>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row>
    <row r="890" spans="1:26" ht="12.75" customHeight="1">
      <c r="A890" s="343"/>
      <c r="B890" s="343"/>
      <c r="C890" s="343"/>
      <c r="D890" s="343"/>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row>
    <row r="891" spans="1:26" ht="12.75" customHeight="1">
      <c r="A891" s="343"/>
      <c r="B891" s="343"/>
      <c r="C891" s="343"/>
      <c r="D891" s="343"/>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row>
    <row r="892" spans="1:26" ht="12.75" customHeight="1">
      <c r="A892" s="343"/>
      <c r="B892" s="343"/>
      <c r="C892" s="343"/>
      <c r="D892" s="343"/>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row>
    <row r="893" spans="1:26" ht="12.75" customHeight="1">
      <c r="A893" s="343"/>
      <c r="B893" s="343"/>
      <c r="C893" s="343"/>
      <c r="D893" s="343"/>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row>
    <row r="894" spans="1:26" ht="12.75" customHeight="1">
      <c r="A894" s="343"/>
      <c r="B894" s="343"/>
      <c r="C894" s="343"/>
      <c r="D894" s="343"/>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row>
    <row r="895" spans="1:26" ht="12.75" customHeight="1">
      <c r="A895" s="343"/>
      <c r="B895" s="343"/>
      <c r="C895" s="343"/>
      <c r="D895" s="343"/>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row>
    <row r="896" spans="1:26" ht="12.75" customHeight="1">
      <c r="A896" s="343"/>
      <c r="B896" s="343"/>
      <c r="C896" s="343"/>
      <c r="D896" s="343"/>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row>
    <row r="897" spans="1:26" ht="12.75" customHeight="1">
      <c r="A897" s="343"/>
      <c r="B897" s="343"/>
      <c r="C897" s="343"/>
      <c r="D897" s="343"/>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row>
    <row r="898" spans="1:26" ht="12.75" customHeight="1">
      <c r="A898" s="343"/>
      <c r="B898" s="343"/>
      <c r="C898" s="343"/>
      <c r="D898" s="343"/>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row>
    <row r="899" spans="1:26" ht="12.75" customHeight="1">
      <c r="A899" s="343"/>
      <c r="B899" s="343"/>
      <c r="C899" s="343"/>
      <c r="D899" s="343"/>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row>
    <row r="900" spans="1:26" ht="12.75" customHeight="1">
      <c r="A900" s="343"/>
      <c r="B900" s="343"/>
      <c r="C900" s="343"/>
      <c r="D900" s="343"/>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row>
    <row r="901" spans="1:26" ht="12.75" customHeight="1">
      <c r="A901" s="343"/>
      <c r="B901" s="343"/>
      <c r="C901" s="343"/>
      <c r="D901" s="343"/>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row>
    <row r="902" spans="1:26" ht="12.75" customHeight="1">
      <c r="A902" s="343"/>
      <c r="B902" s="343"/>
      <c r="C902" s="343"/>
      <c r="D902" s="343"/>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row>
    <row r="903" spans="1:26" ht="12.75" customHeight="1">
      <c r="A903" s="343"/>
      <c r="B903" s="343"/>
      <c r="C903" s="343"/>
      <c r="D903" s="343"/>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row>
    <row r="904" spans="1:26" ht="12.75" customHeight="1">
      <c r="A904" s="343"/>
      <c r="B904" s="343"/>
      <c r="C904" s="343"/>
      <c r="D904" s="343"/>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row>
    <row r="905" spans="1:26" ht="12.75" customHeight="1">
      <c r="A905" s="343"/>
      <c r="B905" s="343"/>
      <c r="C905" s="343"/>
      <c r="D905" s="343"/>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row>
    <row r="906" spans="1:26" ht="12.75" customHeight="1">
      <c r="A906" s="343"/>
      <c r="B906" s="343"/>
      <c r="C906" s="343"/>
      <c r="D906" s="343"/>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row>
    <row r="907" spans="1:26" ht="12.75" customHeight="1">
      <c r="A907" s="343"/>
      <c r="B907" s="343"/>
      <c r="C907" s="343"/>
      <c r="D907" s="343"/>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row>
    <row r="908" spans="1:26" ht="12.75" customHeight="1">
      <c r="A908" s="343"/>
      <c r="B908" s="343"/>
      <c r="C908" s="343"/>
      <c r="D908" s="343"/>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row>
    <row r="909" spans="1:26" ht="12.75" customHeight="1">
      <c r="A909" s="343"/>
      <c r="B909" s="343"/>
      <c r="C909" s="343"/>
      <c r="D909" s="343"/>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row>
    <row r="910" spans="1:26" ht="12.75" customHeight="1">
      <c r="A910" s="343"/>
      <c r="B910" s="343"/>
      <c r="C910" s="343"/>
      <c r="D910" s="343"/>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row>
    <row r="911" spans="1:26" ht="12.75" customHeight="1">
      <c r="A911" s="343"/>
      <c r="B911" s="343"/>
      <c r="C911" s="343"/>
      <c r="D911" s="343"/>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row>
    <row r="912" spans="1:26" ht="12.75" customHeight="1">
      <c r="A912" s="343"/>
      <c r="B912" s="343"/>
      <c r="C912" s="343"/>
      <c r="D912" s="343"/>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row>
    <row r="913" spans="1:26" ht="12.75" customHeight="1">
      <c r="A913" s="343"/>
      <c r="B913" s="343"/>
      <c r="C913" s="343"/>
      <c r="D913" s="343"/>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row>
    <row r="914" spans="1:26" ht="12.75" customHeight="1">
      <c r="A914" s="343"/>
      <c r="B914" s="343"/>
      <c r="C914" s="343"/>
      <c r="D914" s="343"/>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row>
    <row r="915" spans="1:26" ht="12.75" customHeight="1">
      <c r="A915" s="343"/>
      <c r="B915" s="343"/>
      <c r="C915" s="343"/>
      <c r="D915" s="343"/>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row>
    <row r="916" spans="1:26" ht="12.75" customHeight="1">
      <c r="A916" s="343"/>
      <c r="B916" s="343"/>
      <c r="C916" s="343"/>
      <c r="D916" s="343"/>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row>
    <row r="917" spans="1:26" ht="12.75" customHeight="1">
      <c r="A917" s="343"/>
      <c r="B917" s="343"/>
      <c r="C917" s="343"/>
      <c r="D917" s="343"/>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row>
    <row r="918" spans="1:26" ht="12.75" customHeight="1">
      <c r="A918" s="343"/>
      <c r="B918" s="343"/>
      <c r="C918" s="343"/>
      <c r="D918" s="343"/>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row>
    <row r="919" spans="1:26" ht="12.75" customHeight="1">
      <c r="A919" s="343"/>
      <c r="B919" s="343"/>
      <c r="C919" s="343"/>
      <c r="D919" s="343"/>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row>
    <row r="920" spans="1:26" ht="12.75" customHeight="1">
      <c r="A920" s="343"/>
      <c r="B920" s="343"/>
      <c r="C920" s="343"/>
      <c r="D920" s="343"/>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row>
    <row r="921" spans="1:26" ht="12.75" customHeight="1">
      <c r="A921" s="343"/>
      <c r="B921" s="343"/>
      <c r="C921" s="343"/>
      <c r="D921" s="343"/>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row>
    <row r="922" spans="1:26" ht="12.75" customHeight="1">
      <c r="A922" s="343"/>
      <c r="B922" s="343"/>
      <c r="C922" s="343"/>
      <c r="D922" s="343"/>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row>
    <row r="923" spans="1:26" ht="12.75" customHeight="1">
      <c r="A923" s="343"/>
      <c r="B923" s="343"/>
      <c r="C923" s="343"/>
      <c r="D923" s="343"/>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row>
    <row r="924" spans="1:26" ht="12.75" customHeight="1">
      <c r="A924" s="343"/>
      <c r="B924" s="343"/>
      <c r="C924" s="343"/>
      <c r="D924" s="343"/>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row>
    <row r="925" spans="1:26" ht="12.75" customHeight="1">
      <c r="A925" s="343"/>
      <c r="B925" s="343"/>
      <c r="C925" s="343"/>
      <c r="D925" s="343"/>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row>
    <row r="926" spans="1:26" ht="12.75" customHeight="1">
      <c r="A926" s="343"/>
      <c r="B926" s="343"/>
      <c r="C926" s="343"/>
      <c r="D926" s="343"/>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row>
    <row r="927" spans="1:26" ht="12.75" customHeight="1">
      <c r="A927" s="343"/>
      <c r="B927" s="343"/>
      <c r="C927" s="343"/>
      <c r="D927" s="343"/>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row>
    <row r="928" spans="1:26" ht="12.75" customHeight="1">
      <c r="A928" s="343"/>
      <c r="B928" s="343"/>
      <c r="C928" s="343"/>
      <c r="D928" s="343"/>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row>
    <row r="929" spans="1:26" ht="12.75" customHeight="1">
      <c r="A929" s="343"/>
      <c r="B929" s="343"/>
      <c r="C929" s="343"/>
      <c r="D929" s="343"/>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row>
    <row r="930" spans="1:26" ht="12.75" customHeight="1">
      <c r="A930" s="343"/>
      <c r="B930" s="343"/>
      <c r="C930" s="343"/>
      <c r="D930" s="343"/>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row>
    <row r="931" spans="1:26" ht="12.75" customHeight="1">
      <c r="A931" s="343"/>
      <c r="B931" s="343"/>
      <c r="C931" s="343"/>
      <c r="D931" s="343"/>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row>
    <row r="932" spans="1:26" ht="12.75" customHeight="1">
      <c r="A932" s="343"/>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row>
    <row r="933" spans="1:26" ht="12.75" customHeight="1">
      <c r="A933" s="343"/>
      <c r="B933" s="343"/>
      <c r="C933" s="343"/>
      <c r="D933" s="343"/>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row>
    <row r="934" spans="1:26" ht="12.75" customHeight="1">
      <c r="A934" s="343"/>
      <c r="B934" s="343"/>
      <c r="C934" s="343"/>
      <c r="D934" s="343"/>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row>
    <row r="935" spans="1:26" ht="12.75" customHeight="1">
      <c r="A935" s="343"/>
      <c r="B935" s="343"/>
      <c r="C935" s="343"/>
      <c r="D935" s="343"/>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row>
    <row r="936" spans="1:26" ht="12.75" customHeight="1">
      <c r="A936" s="343"/>
      <c r="B936" s="343"/>
      <c r="C936" s="343"/>
      <c r="D936" s="343"/>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row>
    <row r="937" spans="1:26" ht="12.75" customHeight="1">
      <c r="A937" s="343"/>
      <c r="B937" s="343"/>
      <c r="C937" s="343"/>
      <c r="D937" s="343"/>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row>
    <row r="938" spans="1:26" ht="12.75" customHeight="1">
      <c r="A938" s="343"/>
      <c r="B938" s="343"/>
      <c r="C938" s="343"/>
      <c r="D938" s="343"/>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row>
    <row r="939" spans="1:26" ht="12.75" customHeight="1">
      <c r="A939" s="343"/>
      <c r="B939" s="343"/>
      <c r="C939" s="343"/>
      <c r="D939" s="343"/>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row>
    <row r="940" spans="1:26" ht="12.75" customHeight="1">
      <c r="A940" s="343"/>
      <c r="B940" s="343"/>
      <c r="C940" s="343"/>
      <c r="D940" s="343"/>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row>
    <row r="941" spans="1:26" ht="12.75" customHeight="1">
      <c r="A941" s="343"/>
      <c r="B941" s="343"/>
      <c r="C941" s="343"/>
      <c r="D941" s="343"/>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row>
    <row r="942" spans="1:26" ht="12.75" customHeight="1">
      <c r="A942" s="343"/>
      <c r="B942" s="343"/>
      <c r="C942" s="343"/>
      <c r="D942" s="343"/>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row>
    <row r="943" spans="1:26" ht="12.75" customHeight="1">
      <c r="A943" s="343"/>
      <c r="B943" s="343"/>
      <c r="C943" s="343"/>
      <c r="D943" s="343"/>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row>
    <row r="944" spans="1:26" ht="12.75" customHeight="1">
      <c r="A944" s="343"/>
      <c r="B944" s="343"/>
      <c r="C944" s="343"/>
      <c r="D944" s="343"/>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row>
    <row r="945" spans="1:26" ht="12.75" customHeight="1">
      <c r="A945" s="343"/>
      <c r="B945" s="343"/>
      <c r="C945" s="343"/>
      <c r="D945" s="343"/>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row>
    <row r="946" spans="1:26" ht="12.75" customHeight="1">
      <c r="A946" s="343"/>
      <c r="B946" s="343"/>
      <c r="C946" s="343"/>
      <c r="D946" s="343"/>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row>
    <row r="947" spans="1:26" ht="12.75" customHeight="1">
      <c r="A947" s="343"/>
      <c r="B947" s="343"/>
      <c r="C947" s="343"/>
      <c r="D947" s="343"/>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row>
    <row r="948" spans="1:26" ht="12.75" customHeight="1">
      <c r="A948" s="343"/>
      <c r="B948" s="343"/>
      <c r="C948" s="343"/>
      <c r="D948" s="343"/>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row>
    <row r="949" spans="1:26" ht="12.75" customHeight="1">
      <c r="A949" s="343"/>
      <c r="B949" s="343"/>
      <c r="C949" s="343"/>
      <c r="D949" s="343"/>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row>
    <row r="950" spans="1:26" ht="12.75" customHeight="1">
      <c r="A950" s="343"/>
      <c r="B950" s="343"/>
      <c r="C950" s="343"/>
      <c r="D950" s="343"/>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row>
    <row r="951" spans="1:26" ht="12.75" customHeight="1">
      <c r="A951" s="343"/>
      <c r="B951" s="343"/>
      <c r="C951" s="343"/>
      <c r="D951" s="343"/>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row>
    <row r="952" spans="1:26" ht="12.75" customHeight="1">
      <c r="A952" s="343"/>
      <c r="B952" s="343"/>
      <c r="C952" s="343"/>
      <c r="D952" s="343"/>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row>
    <row r="953" spans="1:26" ht="12.75" customHeight="1">
      <c r="A953" s="343"/>
      <c r="B953" s="343"/>
      <c r="C953" s="343"/>
      <c r="D953" s="343"/>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row>
    <row r="954" spans="1:26" ht="12.75" customHeight="1">
      <c r="A954" s="343"/>
      <c r="B954" s="343"/>
      <c r="C954" s="343"/>
      <c r="D954" s="343"/>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row>
    <row r="955" spans="1:26" ht="12.75" customHeight="1">
      <c r="A955" s="343"/>
      <c r="B955" s="343"/>
      <c r="C955" s="343"/>
      <c r="D955" s="343"/>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row>
    <row r="956" spans="1:26" ht="12.75" customHeight="1">
      <c r="A956" s="343"/>
      <c r="B956" s="343"/>
      <c r="C956" s="343"/>
      <c r="D956" s="343"/>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row>
    <row r="957" spans="1:26" ht="12.75" customHeight="1">
      <c r="A957" s="343"/>
      <c r="B957" s="343"/>
      <c r="C957" s="343"/>
      <c r="D957" s="343"/>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row>
    <row r="958" spans="1:26" ht="12.75" customHeight="1">
      <c r="A958" s="343"/>
      <c r="B958" s="343"/>
      <c r="C958" s="343"/>
      <c r="D958" s="343"/>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row>
    <row r="959" spans="1:26" ht="12.75" customHeight="1">
      <c r="A959" s="343"/>
      <c r="B959" s="343"/>
      <c r="C959" s="343"/>
      <c r="D959" s="343"/>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row>
    <row r="960" spans="1:26" ht="12.75" customHeight="1">
      <c r="A960" s="343"/>
      <c r="B960" s="343"/>
      <c r="C960" s="343"/>
      <c r="D960" s="343"/>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row>
    <row r="961" spans="1:26" ht="12.75" customHeight="1">
      <c r="A961" s="343"/>
      <c r="B961" s="343"/>
      <c r="C961" s="343"/>
      <c r="D961" s="343"/>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row>
    <row r="962" spans="1:26" ht="12.75" customHeight="1">
      <c r="A962" s="343"/>
      <c r="B962" s="343"/>
      <c r="C962" s="343"/>
      <c r="D962" s="343"/>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row>
    <row r="963" spans="1:26" ht="12.75" customHeight="1">
      <c r="A963" s="343"/>
      <c r="B963" s="343"/>
      <c r="C963" s="343"/>
      <c r="D963" s="343"/>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row>
    <row r="964" spans="1:26" ht="12.75" customHeight="1">
      <c r="A964" s="343"/>
      <c r="B964" s="343"/>
      <c r="C964" s="343"/>
      <c r="D964" s="343"/>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row>
    <row r="965" spans="1:26" ht="12.75" customHeight="1">
      <c r="A965" s="343"/>
      <c r="B965" s="343"/>
      <c r="C965" s="343"/>
      <c r="D965" s="343"/>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row>
    <row r="966" spans="1:26" ht="12.75" customHeight="1">
      <c r="A966" s="343"/>
      <c r="B966" s="343"/>
      <c r="C966" s="343"/>
      <c r="D966" s="343"/>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row>
    <row r="967" spans="1:26" ht="12.75" customHeight="1">
      <c r="A967" s="343"/>
      <c r="B967" s="343"/>
      <c r="C967" s="343"/>
      <c r="D967" s="343"/>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row>
    <row r="968" spans="1:26" ht="12.75" customHeight="1">
      <c r="A968" s="343"/>
      <c r="B968" s="343"/>
      <c r="C968" s="343"/>
      <c r="D968" s="343"/>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row>
    <row r="969" spans="1:26" ht="12.75" customHeight="1">
      <c r="A969" s="343"/>
      <c r="B969" s="343"/>
      <c r="C969" s="343"/>
      <c r="D969" s="343"/>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row>
    <row r="970" spans="1:26" ht="12.75" customHeight="1">
      <c r="A970" s="343"/>
      <c r="B970" s="343"/>
      <c r="C970" s="343"/>
      <c r="D970" s="343"/>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row>
    <row r="971" spans="1:26" ht="12.75" customHeight="1">
      <c r="A971" s="343"/>
      <c r="B971" s="343"/>
      <c r="C971" s="343"/>
      <c r="D971" s="343"/>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row>
    <row r="972" spans="1:26" ht="12.75" customHeight="1">
      <c r="A972" s="343"/>
      <c r="B972" s="343"/>
      <c r="C972" s="343"/>
      <c r="D972" s="343"/>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row>
    <row r="973" spans="1:26" ht="12.75" customHeight="1">
      <c r="A973" s="343"/>
      <c r="B973" s="343"/>
      <c r="C973" s="343"/>
      <c r="D973" s="343"/>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row>
    <row r="974" spans="1:26" ht="12.75" customHeight="1">
      <c r="A974" s="343"/>
      <c r="B974" s="343"/>
      <c r="C974" s="343"/>
      <c r="D974" s="343"/>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row>
    <row r="975" spans="1:26" ht="12.75" customHeight="1">
      <c r="A975" s="343"/>
      <c r="B975" s="343"/>
      <c r="C975" s="343"/>
      <c r="D975" s="343"/>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row>
    <row r="976" spans="1:26" ht="12.75" customHeight="1">
      <c r="A976" s="343"/>
      <c r="B976" s="343"/>
      <c r="C976" s="343"/>
      <c r="D976" s="343"/>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row>
    <row r="977" spans="1:26" ht="12.75" customHeight="1">
      <c r="A977" s="343"/>
      <c r="B977" s="343"/>
      <c r="C977" s="343"/>
      <c r="D977" s="343"/>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row>
    <row r="978" spans="1:26" ht="12.75" customHeight="1">
      <c r="A978" s="343"/>
      <c r="B978" s="343"/>
      <c r="C978" s="343"/>
      <c r="D978" s="343"/>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row>
    <row r="979" spans="1:26" ht="12.75" customHeight="1">
      <c r="A979" s="343"/>
      <c r="B979" s="343"/>
      <c r="C979" s="343"/>
      <c r="D979" s="343"/>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row>
    <row r="980" spans="1:26" ht="12.75" customHeight="1">
      <c r="A980" s="343"/>
      <c r="B980" s="343"/>
      <c r="C980" s="343"/>
      <c r="D980" s="343"/>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row>
    <row r="981" spans="1:26" ht="12.75" customHeight="1">
      <c r="A981" s="343"/>
      <c r="B981" s="343"/>
      <c r="C981" s="343"/>
      <c r="D981" s="343"/>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row>
    <row r="982" spans="1:26" ht="12.75" customHeight="1">
      <c r="A982" s="343"/>
      <c r="B982" s="343"/>
      <c r="C982" s="343"/>
      <c r="D982" s="343"/>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row>
    <row r="983" spans="1:26" ht="12.75" customHeight="1">
      <c r="A983" s="343"/>
      <c r="B983" s="343"/>
      <c r="C983" s="343"/>
      <c r="D983" s="343"/>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row>
    <row r="984" spans="1:26" ht="12.75" customHeight="1">
      <c r="A984" s="343"/>
      <c r="B984" s="343"/>
      <c r="C984" s="343"/>
      <c r="D984" s="343"/>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row>
    <row r="985" spans="1:26" ht="12.75" customHeight="1">
      <c r="A985" s="343"/>
      <c r="B985" s="343"/>
      <c r="C985" s="343"/>
      <c r="D985" s="343"/>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row>
    <row r="986" spans="1:26" ht="12.75" customHeight="1">
      <c r="A986" s="343"/>
      <c r="B986" s="343"/>
      <c r="C986" s="343"/>
      <c r="D986" s="343"/>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row>
    <row r="987" spans="1:26" ht="12.75" customHeight="1">
      <c r="A987" s="343"/>
      <c r="B987" s="343"/>
      <c r="C987" s="343"/>
      <c r="D987" s="343"/>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row>
    <row r="988" spans="1:26" ht="12.75" customHeight="1">
      <c r="A988" s="343"/>
      <c r="B988" s="343"/>
      <c r="C988" s="343"/>
      <c r="D988" s="343"/>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row>
    <row r="989" spans="1:26" ht="12.75" customHeight="1">
      <c r="A989" s="343"/>
      <c r="B989" s="343"/>
      <c r="C989" s="343"/>
      <c r="D989" s="343"/>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row>
    <row r="990" spans="1:26" ht="12.75" customHeight="1">
      <c r="A990" s="343"/>
      <c r="B990" s="343"/>
      <c r="C990" s="343"/>
      <c r="D990" s="343"/>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row>
    <row r="991" spans="1:26" ht="12.75" customHeight="1">
      <c r="A991" s="343"/>
      <c r="B991" s="343"/>
      <c r="C991" s="343"/>
      <c r="D991" s="343"/>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row>
    <row r="992" spans="1:26" ht="12.75" customHeight="1">
      <c r="A992" s="343"/>
      <c r="B992" s="343"/>
      <c r="C992" s="343"/>
      <c r="D992" s="343"/>
      <c r="E992" s="343"/>
      <c r="F992" s="343"/>
      <c r="G992" s="343"/>
      <c r="H992" s="343"/>
      <c r="I992" s="343"/>
      <c r="J992" s="343"/>
      <c r="K992" s="343"/>
      <c r="L992" s="343"/>
      <c r="M992" s="343"/>
      <c r="N992" s="343"/>
      <c r="O992" s="343"/>
      <c r="P992" s="343"/>
      <c r="Q992" s="343"/>
      <c r="R992" s="343"/>
      <c r="S992" s="343"/>
      <c r="T992" s="343"/>
      <c r="U992" s="343"/>
      <c r="V992" s="343"/>
      <c r="W992" s="343"/>
      <c r="X992" s="343"/>
      <c r="Y992" s="343"/>
      <c r="Z992" s="343"/>
    </row>
    <row r="993" spans="1:26" ht="12.75" customHeight="1">
      <c r="A993" s="343"/>
      <c r="B993" s="343"/>
      <c r="C993" s="343"/>
      <c r="D993" s="343"/>
      <c r="E993" s="343"/>
      <c r="F993" s="343"/>
      <c r="G993" s="343"/>
      <c r="H993" s="343"/>
      <c r="I993" s="343"/>
      <c r="J993" s="343"/>
      <c r="K993" s="343"/>
      <c r="L993" s="343"/>
      <c r="M993" s="343"/>
      <c r="N993" s="343"/>
      <c r="O993" s="343"/>
      <c r="P993" s="343"/>
      <c r="Q993" s="343"/>
      <c r="R993" s="343"/>
      <c r="S993" s="343"/>
      <c r="T993" s="343"/>
      <c r="U993" s="343"/>
      <c r="V993" s="343"/>
      <c r="W993" s="343"/>
      <c r="X993" s="343"/>
      <c r="Y993" s="343"/>
      <c r="Z993" s="343"/>
    </row>
    <row r="994" spans="1:26" ht="12.75" customHeight="1">
      <c r="A994" s="343"/>
      <c r="B994" s="343"/>
      <c r="C994" s="343"/>
      <c r="D994" s="343"/>
      <c r="E994" s="343"/>
      <c r="F994" s="343"/>
      <c r="G994" s="343"/>
      <c r="H994" s="343"/>
      <c r="I994" s="343"/>
      <c r="J994" s="343"/>
      <c r="K994" s="343"/>
      <c r="L994" s="343"/>
      <c r="M994" s="343"/>
      <c r="N994" s="343"/>
      <c r="O994" s="343"/>
      <c r="P994" s="343"/>
      <c r="Q994" s="343"/>
      <c r="R994" s="343"/>
      <c r="S994" s="343"/>
      <c r="T994" s="343"/>
      <c r="U994" s="343"/>
      <c r="V994" s="343"/>
      <c r="W994" s="343"/>
      <c r="X994" s="343"/>
      <c r="Y994" s="343"/>
      <c r="Z994" s="343"/>
    </row>
    <row r="995" spans="1:26" ht="12.75" customHeight="1">
      <c r="A995" s="343"/>
      <c r="B995" s="343"/>
      <c r="C995" s="343"/>
      <c r="D995" s="343"/>
      <c r="E995" s="343"/>
      <c r="F995" s="343"/>
      <c r="G995" s="343"/>
      <c r="H995" s="343"/>
      <c r="I995" s="343"/>
      <c r="J995" s="343"/>
      <c r="K995" s="343"/>
      <c r="L995" s="343"/>
      <c r="M995" s="343"/>
      <c r="N995" s="343"/>
      <c r="O995" s="343"/>
      <c r="P995" s="343"/>
      <c r="Q995" s="343"/>
      <c r="R995" s="343"/>
      <c r="S995" s="343"/>
      <c r="T995" s="343"/>
      <c r="U995" s="343"/>
      <c r="V995" s="343"/>
      <c r="W995" s="343"/>
      <c r="X995" s="343"/>
      <c r="Y995" s="343"/>
      <c r="Z995" s="343"/>
    </row>
    <row r="996" spans="1:26" ht="12.75" customHeight="1">
      <c r="A996" s="343"/>
      <c r="B996" s="343"/>
      <c r="C996" s="343"/>
      <c r="D996" s="343"/>
      <c r="E996" s="343"/>
      <c r="F996" s="343"/>
      <c r="G996" s="343"/>
      <c r="H996" s="343"/>
      <c r="I996" s="343"/>
      <c r="J996" s="343"/>
      <c r="K996" s="343"/>
      <c r="L996" s="343"/>
      <c r="M996" s="343"/>
      <c r="N996" s="343"/>
      <c r="O996" s="343"/>
      <c r="P996" s="343"/>
      <c r="Q996" s="343"/>
      <c r="R996" s="343"/>
      <c r="S996" s="343"/>
      <c r="T996" s="343"/>
      <c r="U996" s="343"/>
      <c r="V996" s="343"/>
      <c r="W996" s="343"/>
      <c r="X996" s="343"/>
      <c r="Y996" s="343"/>
      <c r="Z996" s="343"/>
    </row>
    <row r="997" spans="1:26" ht="12.75" customHeight="1">
      <c r="A997" s="343"/>
      <c r="B997" s="343"/>
      <c r="C997" s="343"/>
      <c r="D997" s="343"/>
      <c r="E997" s="343"/>
      <c r="F997" s="343"/>
      <c r="G997" s="343"/>
      <c r="H997" s="343"/>
      <c r="I997" s="343"/>
      <c r="J997" s="343"/>
      <c r="K997" s="343"/>
      <c r="L997" s="343"/>
      <c r="M997" s="343"/>
      <c r="N997" s="343"/>
      <c r="O997" s="343"/>
      <c r="P997" s="343"/>
      <c r="Q997" s="343"/>
      <c r="R997" s="343"/>
      <c r="S997" s="343"/>
      <c r="T997" s="343"/>
      <c r="U997" s="343"/>
      <c r="V997" s="343"/>
      <c r="W997" s="343"/>
      <c r="X997" s="343"/>
      <c r="Y997" s="343"/>
      <c r="Z997" s="343"/>
    </row>
    <row r="998" spans="1:26" ht="12.75" customHeight="1">
      <c r="A998" s="343"/>
      <c r="B998" s="343"/>
      <c r="C998" s="343"/>
      <c r="D998" s="343"/>
      <c r="E998" s="343"/>
      <c r="F998" s="343"/>
      <c r="G998" s="343"/>
      <c r="H998" s="343"/>
      <c r="I998" s="343"/>
      <c r="J998" s="343"/>
      <c r="K998" s="343"/>
      <c r="L998" s="343"/>
      <c r="M998" s="343"/>
      <c r="N998" s="343"/>
      <c r="O998" s="343"/>
      <c r="P998" s="343"/>
      <c r="Q998" s="343"/>
      <c r="R998" s="343"/>
      <c r="S998" s="343"/>
      <c r="T998" s="343"/>
      <c r="U998" s="343"/>
      <c r="V998" s="343"/>
      <c r="W998" s="343"/>
      <c r="X998" s="343"/>
      <c r="Y998" s="343"/>
      <c r="Z998" s="343"/>
    </row>
    <row r="999" spans="1:26" ht="12.75" customHeight="1">
      <c r="A999" s="343"/>
      <c r="B999" s="343"/>
      <c r="C999" s="343"/>
      <c r="D999" s="343"/>
      <c r="E999" s="343"/>
      <c r="F999" s="343"/>
      <c r="G999" s="343"/>
      <c r="H999" s="343"/>
      <c r="I999" s="343"/>
      <c r="J999" s="343"/>
      <c r="K999" s="343"/>
      <c r="L999" s="343"/>
      <c r="M999" s="343"/>
      <c r="N999" s="343"/>
      <c r="O999" s="343"/>
      <c r="P999" s="343"/>
      <c r="Q999" s="343"/>
      <c r="R999" s="343"/>
      <c r="S999" s="343"/>
      <c r="T999" s="343"/>
      <c r="U999" s="343"/>
      <c r="V999" s="343"/>
      <c r="W999" s="343"/>
      <c r="X999" s="343"/>
      <c r="Y999" s="343"/>
      <c r="Z999" s="343"/>
    </row>
    <row r="1000" spans="1:26" ht="12.75" customHeight="1">
      <c r="A1000" s="343"/>
      <c r="B1000" s="343"/>
      <c r="C1000" s="343"/>
      <c r="D1000" s="343"/>
      <c r="E1000" s="343"/>
      <c r="F1000" s="343"/>
      <c r="G1000" s="343"/>
      <c r="H1000" s="343"/>
      <c r="I1000" s="343"/>
      <c r="J1000" s="343"/>
      <c r="K1000" s="343"/>
      <c r="L1000" s="343"/>
      <c r="M1000" s="343"/>
      <c r="N1000" s="343"/>
      <c r="O1000" s="343"/>
      <c r="P1000" s="343"/>
      <c r="Q1000" s="343"/>
      <c r="R1000" s="343"/>
      <c r="S1000" s="343"/>
      <c r="T1000" s="343"/>
      <c r="U1000" s="343"/>
      <c r="V1000" s="343"/>
      <c r="W1000" s="343"/>
      <c r="X1000" s="343"/>
      <c r="Y1000" s="343"/>
      <c r="Z1000" s="343"/>
    </row>
  </sheetData>
  <mergeCells count="43">
    <mergeCell ref="B37:C37"/>
    <mergeCell ref="D37:E37"/>
    <mergeCell ref="F37:H37"/>
    <mergeCell ref="B2:C2"/>
    <mergeCell ref="B32:D32"/>
    <mergeCell ref="B33:D33"/>
    <mergeCell ref="F33:H33"/>
    <mergeCell ref="B36:C36"/>
    <mergeCell ref="D36:E36"/>
    <mergeCell ref="F36:H36"/>
    <mergeCell ref="B28:D28"/>
    <mergeCell ref="F28:H28"/>
    <mergeCell ref="B29:D29"/>
    <mergeCell ref="F29:H29"/>
    <mergeCell ref="B30:D30"/>
    <mergeCell ref="B31:D31"/>
    <mergeCell ref="B27:D27"/>
    <mergeCell ref="F27:H27"/>
    <mergeCell ref="G15:J15"/>
    <mergeCell ref="B17:C17"/>
    <mergeCell ref="B18:C18"/>
    <mergeCell ref="B19:C19"/>
    <mergeCell ref="H19:I19"/>
    <mergeCell ref="B20:C20"/>
    <mergeCell ref="F20:G20"/>
    <mergeCell ref="H20:I20"/>
    <mergeCell ref="B15:C15"/>
    <mergeCell ref="B21:C21"/>
    <mergeCell ref="B22:C22"/>
    <mergeCell ref="H22:I22"/>
    <mergeCell ref="B23:C23"/>
    <mergeCell ref="H23:I23"/>
    <mergeCell ref="B8:C8"/>
    <mergeCell ref="B9:C9"/>
    <mergeCell ref="B11:C11"/>
    <mergeCell ref="B12:C12"/>
    <mergeCell ref="B13:C13"/>
    <mergeCell ref="B7:C7"/>
    <mergeCell ref="B3:C3"/>
    <mergeCell ref="B4:C4"/>
    <mergeCell ref="B5:C5"/>
    <mergeCell ref="H5:I5"/>
    <mergeCell ref="B6:C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9C54F-697A-4C7C-B850-388B315E9204}">
  <dimension ref="A1:AC1000"/>
  <sheetViews>
    <sheetView topLeftCell="A19" workbookViewId="0">
      <selection activeCell="P51" sqref="P51"/>
    </sheetView>
  </sheetViews>
  <sheetFormatPr defaultColWidth="14.42578125" defaultRowHeight="15"/>
  <cols>
    <col min="1" max="1" width="9" customWidth="1"/>
    <col min="2" max="2" width="22.5703125" customWidth="1"/>
    <col min="3" max="7" width="12.28515625" bestFit="1" customWidth="1"/>
    <col min="8" max="8" width="11.28515625" bestFit="1" customWidth="1"/>
    <col min="9" max="13" width="12.28515625" bestFit="1" customWidth="1"/>
    <col min="14" max="28" width="13.42578125" bestFit="1" customWidth="1"/>
    <col min="29" max="29" width="9" customWidth="1"/>
  </cols>
  <sheetData>
    <row r="1" spans="1:29">
      <c r="A1" s="340"/>
      <c r="B1" s="340"/>
      <c r="C1" s="340"/>
      <c r="D1" s="340"/>
      <c r="E1" s="340"/>
      <c r="F1" s="340"/>
      <c r="G1" s="340"/>
      <c r="H1" s="340"/>
      <c r="I1" s="340"/>
      <c r="J1" s="340"/>
      <c r="K1" s="340"/>
      <c r="L1" s="340"/>
      <c r="M1" s="340"/>
      <c r="N1" s="340"/>
      <c r="O1" s="340"/>
      <c r="P1" s="340"/>
      <c r="Q1" s="340"/>
      <c r="R1" s="340"/>
      <c r="S1" s="340"/>
      <c r="T1" s="340"/>
      <c r="U1" s="340"/>
      <c r="V1" s="340"/>
      <c r="W1" s="340"/>
      <c r="X1" s="340"/>
      <c r="Y1" s="340"/>
      <c r="Z1" s="340"/>
      <c r="AA1" s="340"/>
      <c r="AB1" s="340"/>
      <c r="AC1" s="340"/>
    </row>
    <row r="2" spans="1:29">
      <c r="A2" s="340"/>
      <c r="B2" s="340"/>
      <c r="C2" s="340" t="s">
        <v>1085</v>
      </c>
      <c r="D2" s="340"/>
      <c r="E2" s="340"/>
      <c r="F2" s="340"/>
      <c r="G2" s="340"/>
      <c r="H2" s="340"/>
      <c r="I2" s="340"/>
      <c r="J2" s="340"/>
      <c r="K2" s="340"/>
      <c r="L2" s="340"/>
      <c r="M2" s="340"/>
      <c r="N2" s="340"/>
      <c r="O2" s="340"/>
      <c r="P2" s="340"/>
      <c r="Q2" s="340"/>
      <c r="R2" s="340"/>
      <c r="S2" s="340"/>
      <c r="T2" s="340"/>
      <c r="U2" s="340"/>
      <c r="V2" s="340"/>
      <c r="W2" s="340"/>
      <c r="X2" s="340"/>
      <c r="Y2" s="340"/>
      <c r="Z2" s="340"/>
      <c r="AA2" s="340"/>
      <c r="AB2" s="340"/>
      <c r="AC2" s="340"/>
    </row>
    <row r="3" spans="1:29">
      <c r="A3" s="340"/>
      <c r="B3" s="340" t="s">
        <v>44</v>
      </c>
      <c r="C3" s="341">
        <v>0</v>
      </c>
      <c r="D3" s="340"/>
      <c r="E3" s="340"/>
      <c r="F3" s="340"/>
      <c r="G3" s="340"/>
      <c r="H3" s="340"/>
      <c r="I3" s="340"/>
      <c r="J3" s="340"/>
      <c r="K3" s="340"/>
      <c r="L3" s="340"/>
      <c r="M3" s="340"/>
      <c r="N3" s="340"/>
      <c r="O3" s="340"/>
      <c r="P3" s="340"/>
      <c r="Q3" s="340"/>
      <c r="R3" s="340"/>
      <c r="S3" s="340"/>
      <c r="T3" s="340"/>
      <c r="U3" s="340"/>
      <c r="V3" s="340"/>
      <c r="W3" s="340"/>
      <c r="X3" s="340"/>
      <c r="Y3" s="340"/>
      <c r="Z3" s="340"/>
      <c r="AA3" s="340"/>
      <c r="AB3" s="340"/>
      <c r="AC3" s="340"/>
    </row>
    <row r="4" spans="1:29">
      <c r="A4" s="340"/>
      <c r="B4" s="340" t="s">
        <v>45</v>
      </c>
      <c r="C4" s="341">
        <v>0.12</v>
      </c>
      <c r="D4" s="340"/>
      <c r="E4" s="340"/>
      <c r="F4" s="340"/>
      <c r="G4" s="340"/>
      <c r="H4" s="340"/>
      <c r="I4" s="340"/>
      <c r="J4" s="340"/>
      <c r="K4" s="340"/>
      <c r="L4" s="340"/>
      <c r="M4" s="340"/>
      <c r="N4" s="340"/>
      <c r="O4" s="340"/>
      <c r="P4" s="340"/>
      <c r="Q4" s="340"/>
      <c r="R4" s="340"/>
      <c r="S4" s="340"/>
      <c r="T4" s="340"/>
      <c r="U4" s="340"/>
      <c r="V4" s="340"/>
      <c r="W4" s="340"/>
      <c r="X4" s="340"/>
      <c r="Y4" s="340"/>
      <c r="Z4" s="340"/>
      <c r="AA4" s="340"/>
      <c r="AB4" s="340"/>
      <c r="AC4" s="340"/>
    </row>
    <row r="5" spans="1:29">
      <c r="A5" s="340"/>
      <c r="B5" s="340"/>
      <c r="C5" s="341">
        <v>0.32</v>
      </c>
      <c r="D5" s="340"/>
      <c r="E5" s="340"/>
      <c r="F5" s="340"/>
      <c r="G5" s="340"/>
      <c r="H5" s="340"/>
      <c r="I5" s="340"/>
      <c r="J5" s="340"/>
      <c r="K5" s="340"/>
      <c r="L5" s="340"/>
      <c r="M5" s="340"/>
      <c r="N5" s="340"/>
      <c r="O5" s="340"/>
      <c r="P5" s="340"/>
      <c r="Q5" s="340"/>
      <c r="R5" s="340"/>
      <c r="S5" s="340"/>
      <c r="T5" s="340"/>
      <c r="U5" s="340"/>
      <c r="V5" s="340"/>
      <c r="W5" s="340"/>
      <c r="X5" s="340"/>
      <c r="Y5" s="340"/>
      <c r="Z5" s="340"/>
      <c r="AA5" s="340"/>
      <c r="AB5" s="340"/>
      <c r="AC5" s="340"/>
    </row>
    <row r="6" spans="1:29">
      <c r="A6" s="340"/>
      <c r="B6" s="340"/>
      <c r="C6" s="340"/>
      <c r="D6" s="340"/>
      <c r="E6" s="340"/>
      <c r="F6" s="340"/>
      <c r="G6" s="340"/>
      <c r="H6" s="340"/>
      <c r="I6" s="340"/>
      <c r="J6" s="340"/>
      <c r="K6" s="340"/>
      <c r="L6" s="340"/>
      <c r="M6" s="340"/>
      <c r="N6" s="340"/>
      <c r="O6" s="340"/>
      <c r="P6" s="340"/>
      <c r="Q6" s="340"/>
      <c r="R6" s="340"/>
      <c r="S6" s="340"/>
      <c r="T6" s="340"/>
      <c r="U6" s="340"/>
      <c r="V6" s="340"/>
      <c r="W6" s="340"/>
      <c r="X6" s="340"/>
      <c r="Y6" s="340"/>
      <c r="Z6" s="340"/>
      <c r="AA6" s="340"/>
      <c r="AB6" s="340"/>
      <c r="AC6" s="340"/>
    </row>
    <row r="7" spans="1:29">
      <c r="A7" s="340"/>
      <c r="B7" s="340"/>
      <c r="C7" s="340"/>
      <c r="D7" s="340"/>
      <c r="E7" s="340"/>
      <c r="F7" s="340"/>
      <c r="G7" s="340"/>
      <c r="H7" s="340"/>
      <c r="I7" s="340"/>
      <c r="J7" s="340"/>
      <c r="K7" s="340"/>
      <c r="L7" s="340"/>
      <c r="M7" s="340"/>
      <c r="N7" s="340"/>
      <c r="O7" s="340"/>
      <c r="P7" s="340"/>
      <c r="Q7" s="340"/>
      <c r="R7" s="340"/>
      <c r="S7" s="340"/>
      <c r="T7" s="340"/>
      <c r="U7" s="340"/>
      <c r="V7" s="340"/>
      <c r="W7" s="340"/>
      <c r="X7" s="340"/>
      <c r="Y7" s="340"/>
      <c r="Z7" s="340"/>
      <c r="AA7" s="340"/>
      <c r="AB7" s="340"/>
      <c r="AC7" s="340"/>
    </row>
    <row r="8" spans="1:29">
      <c r="A8" s="340"/>
      <c r="B8" s="340"/>
      <c r="C8" s="340"/>
      <c r="D8" s="340"/>
      <c r="E8" s="340"/>
      <c r="F8" s="340"/>
      <c r="G8" s="340"/>
      <c r="H8" s="340"/>
      <c r="I8" s="340"/>
      <c r="J8" s="340"/>
      <c r="K8" s="340"/>
      <c r="L8" s="340"/>
      <c r="M8" s="340"/>
      <c r="N8" s="340"/>
      <c r="O8" s="340"/>
      <c r="P8" s="340"/>
      <c r="Q8" s="340"/>
      <c r="R8" s="340"/>
      <c r="S8" s="340"/>
      <c r="T8" s="340"/>
      <c r="U8" s="340"/>
      <c r="V8" s="340"/>
      <c r="W8" s="340"/>
      <c r="X8" s="340"/>
      <c r="Y8" s="340"/>
      <c r="Z8" s="340"/>
      <c r="AA8" s="340"/>
      <c r="AB8" s="340"/>
      <c r="AC8" s="340"/>
    </row>
    <row r="9" spans="1:29">
      <c r="A9" s="340"/>
      <c r="B9" s="342">
        <v>0</v>
      </c>
      <c r="C9" s="343"/>
      <c r="D9" s="343"/>
      <c r="E9" s="343"/>
      <c r="F9" s="343"/>
      <c r="G9" s="343"/>
      <c r="H9" s="343"/>
      <c r="I9" s="343"/>
      <c r="J9" s="343"/>
      <c r="K9" s="343"/>
      <c r="L9" s="343"/>
      <c r="M9" s="343"/>
      <c r="N9" s="343"/>
      <c r="O9" s="343"/>
      <c r="P9" s="343"/>
      <c r="Q9" s="343"/>
      <c r="R9" s="343"/>
      <c r="S9" s="343"/>
      <c r="T9" s="343"/>
      <c r="U9" s="343"/>
      <c r="V9" s="343"/>
      <c r="W9" s="343"/>
      <c r="X9" s="343"/>
      <c r="Y9" s="343"/>
      <c r="Z9" s="343"/>
      <c r="AA9" s="343"/>
      <c r="AB9" s="343"/>
      <c r="AC9" s="343"/>
    </row>
    <row r="10" spans="1:29">
      <c r="A10" s="340"/>
      <c r="B10" s="344">
        <v>0</v>
      </c>
      <c r="C10" s="343"/>
      <c r="D10" s="343"/>
      <c r="E10" s="343"/>
      <c r="F10" s="343"/>
      <c r="G10" s="343"/>
      <c r="H10" s="343"/>
      <c r="I10" s="343"/>
      <c r="J10" s="343"/>
      <c r="K10" s="343"/>
      <c r="L10" s="343"/>
      <c r="M10" s="343"/>
      <c r="N10" s="343"/>
      <c r="O10" s="343"/>
      <c r="P10" s="343"/>
      <c r="Q10" s="343"/>
      <c r="R10" s="343"/>
      <c r="S10" s="343"/>
      <c r="T10" s="343"/>
      <c r="U10" s="343"/>
      <c r="V10" s="343"/>
      <c r="W10" s="343"/>
      <c r="X10" s="343"/>
      <c r="Y10" s="343"/>
      <c r="Z10" s="343"/>
      <c r="AA10" s="343"/>
      <c r="AB10" s="343"/>
      <c r="AC10" s="343"/>
    </row>
    <row r="11" spans="1:29">
      <c r="A11" s="340"/>
      <c r="B11" s="343"/>
      <c r="C11" s="343"/>
      <c r="D11" s="343"/>
      <c r="E11" s="343"/>
      <c r="F11" s="343"/>
      <c r="G11" s="343"/>
      <c r="H11" s="343"/>
      <c r="I11" s="343"/>
      <c r="J11" s="343"/>
      <c r="K11" s="343"/>
      <c r="L11" s="343"/>
      <c r="M11" s="343"/>
      <c r="N11" s="343"/>
      <c r="O11" s="343"/>
      <c r="P11" s="343"/>
      <c r="Q11" s="343"/>
      <c r="R11" s="343"/>
      <c r="S11" s="343"/>
      <c r="T11" s="343"/>
      <c r="U11" s="343"/>
      <c r="V11" s="343"/>
      <c r="W11" s="343"/>
      <c r="X11" s="343"/>
      <c r="Y11" s="343"/>
      <c r="Z11" s="343"/>
      <c r="AA11" s="343"/>
      <c r="AB11" s="343"/>
      <c r="AC11" s="343"/>
    </row>
    <row r="12" spans="1:29">
      <c r="A12" s="340"/>
      <c r="B12" s="343"/>
      <c r="C12" s="343"/>
      <c r="D12" s="343"/>
      <c r="E12" s="343"/>
      <c r="F12" s="343"/>
      <c r="G12" s="343"/>
      <c r="H12" s="343"/>
      <c r="I12" s="343"/>
      <c r="J12" s="343"/>
      <c r="K12" s="343"/>
      <c r="L12" s="343"/>
      <c r="M12" s="343"/>
      <c r="N12" s="343"/>
      <c r="O12" s="343"/>
      <c r="P12" s="343"/>
      <c r="Q12" s="343"/>
      <c r="R12" s="343"/>
      <c r="S12" s="343"/>
      <c r="T12" s="343"/>
      <c r="U12" s="343"/>
      <c r="V12" s="343"/>
      <c r="W12" s="343"/>
      <c r="X12" s="343"/>
      <c r="Y12" s="343"/>
      <c r="Z12" s="343"/>
      <c r="AA12" s="343"/>
      <c r="AB12" s="343"/>
      <c r="AC12" s="343"/>
    </row>
    <row r="13" spans="1:29">
      <c r="A13" s="340"/>
      <c r="B13" s="343"/>
      <c r="C13" s="343"/>
      <c r="D13" s="343"/>
      <c r="E13" s="343"/>
      <c r="F13" s="343"/>
      <c r="G13" s="343"/>
      <c r="H13" s="343"/>
      <c r="I13" s="343"/>
      <c r="J13" s="343"/>
      <c r="K13" s="343"/>
      <c r="L13" s="343"/>
      <c r="M13" s="343"/>
      <c r="N13" s="343"/>
      <c r="O13" s="343"/>
      <c r="P13" s="343"/>
      <c r="Q13" s="343"/>
      <c r="R13" s="343"/>
      <c r="S13" s="343"/>
      <c r="T13" s="343"/>
      <c r="U13" s="343"/>
      <c r="V13" s="343"/>
      <c r="W13" s="343"/>
      <c r="X13" s="343"/>
      <c r="Y13" s="343"/>
      <c r="Z13" s="343"/>
      <c r="AA13" s="343"/>
      <c r="AB13" s="343"/>
      <c r="AC13" s="343"/>
    </row>
    <row r="14" spans="1:29">
      <c r="A14" s="340"/>
      <c r="B14" s="343"/>
      <c r="C14" s="343"/>
      <c r="D14" s="343"/>
      <c r="E14" s="343"/>
      <c r="F14" s="343"/>
      <c r="G14" s="343"/>
      <c r="H14" s="343"/>
      <c r="I14" s="343"/>
      <c r="J14" s="343"/>
      <c r="K14" s="343"/>
      <c r="L14" s="343"/>
      <c r="M14" s="343"/>
      <c r="N14" s="343"/>
      <c r="O14" s="343"/>
      <c r="P14" s="343"/>
      <c r="Q14" s="343"/>
      <c r="R14" s="343"/>
      <c r="S14" s="343"/>
      <c r="T14" s="343"/>
      <c r="U14" s="343"/>
      <c r="V14" s="343"/>
      <c r="W14" s="343"/>
      <c r="X14" s="343"/>
      <c r="Y14" s="343"/>
      <c r="Z14" s="343"/>
      <c r="AA14" s="343"/>
      <c r="AB14" s="343"/>
      <c r="AC14" s="343"/>
    </row>
    <row r="15" spans="1:29">
      <c r="A15" s="340"/>
      <c r="B15" s="343"/>
      <c r="C15" s="343"/>
      <c r="D15" s="343"/>
      <c r="E15" s="343"/>
      <c r="F15" s="343"/>
      <c r="G15" s="343"/>
      <c r="H15" s="343"/>
      <c r="I15" s="343"/>
      <c r="J15" s="343"/>
      <c r="K15" s="343"/>
      <c r="L15" s="343"/>
      <c r="M15" s="343"/>
      <c r="N15" s="343"/>
      <c r="O15" s="343"/>
      <c r="P15" s="343"/>
      <c r="Q15" s="343"/>
      <c r="R15" s="343"/>
      <c r="S15" s="343"/>
      <c r="T15" s="343"/>
      <c r="U15" s="343"/>
      <c r="V15" s="343"/>
      <c r="W15" s="343"/>
      <c r="X15" s="343"/>
      <c r="Y15" s="343"/>
      <c r="Z15" s="343"/>
      <c r="AA15" s="343"/>
      <c r="AB15" s="343"/>
      <c r="AC15" s="343"/>
    </row>
    <row r="16" spans="1:29">
      <c r="A16" s="340"/>
      <c r="B16" s="343"/>
      <c r="C16" s="343"/>
      <c r="D16" s="343"/>
      <c r="E16" s="343"/>
      <c r="F16" s="343"/>
      <c r="G16" s="343"/>
      <c r="H16" s="343"/>
      <c r="I16" s="343"/>
      <c r="J16" s="343"/>
      <c r="K16" s="343"/>
      <c r="L16" s="343"/>
      <c r="M16" s="343"/>
      <c r="N16" s="343"/>
      <c r="O16" s="343"/>
      <c r="P16" s="343"/>
      <c r="Q16" s="343"/>
      <c r="R16" s="343"/>
      <c r="S16" s="343"/>
      <c r="T16" s="343"/>
      <c r="U16" s="343"/>
      <c r="V16" s="343"/>
      <c r="W16" s="343"/>
      <c r="X16" s="343"/>
      <c r="Y16" s="343"/>
      <c r="Z16" s="343"/>
      <c r="AA16" s="343"/>
      <c r="AB16" s="343"/>
      <c r="AC16" s="343"/>
    </row>
    <row r="17" spans="1:29">
      <c r="A17" s="340"/>
      <c r="B17" s="343"/>
      <c r="C17" s="343"/>
      <c r="D17" s="343"/>
      <c r="E17" s="343"/>
      <c r="F17" s="343"/>
      <c r="G17" s="343"/>
      <c r="H17" s="343"/>
      <c r="I17" s="343"/>
      <c r="J17" s="343"/>
      <c r="K17" s="343"/>
      <c r="L17" s="343"/>
      <c r="M17" s="343"/>
      <c r="N17" s="343"/>
      <c r="O17" s="343"/>
      <c r="P17" s="343"/>
      <c r="Q17" s="343"/>
      <c r="R17" s="343"/>
      <c r="S17" s="343"/>
      <c r="T17" s="343"/>
      <c r="U17" s="343"/>
      <c r="V17" s="343"/>
      <c r="W17" s="343"/>
      <c r="X17" s="343"/>
      <c r="Y17" s="343"/>
      <c r="Z17" s="343"/>
      <c r="AA17" s="343"/>
      <c r="AB17" s="343"/>
      <c r="AC17" s="343"/>
    </row>
    <row r="18" spans="1:29">
      <c r="A18" s="340"/>
      <c r="B18" s="345"/>
      <c r="C18" s="343"/>
      <c r="D18" s="343"/>
      <c r="E18" s="343"/>
      <c r="F18" s="343"/>
      <c r="G18" s="343"/>
      <c r="H18" s="343"/>
      <c r="I18" s="343"/>
      <c r="J18" s="343"/>
      <c r="K18" s="343"/>
      <c r="L18" s="343"/>
      <c r="M18" s="343"/>
      <c r="N18" s="343"/>
      <c r="O18" s="343"/>
      <c r="P18" s="343"/>
      <c r="Q18" s="343"/>
      <c r="R18" s="343"/>
      <c r="S18" s="343"/>
      <c r="T18" s="343"/>
      <c r="U18" s="343"/>
      <c r="V18" s="343"/>
      <c r="W18" s="343"/>
      <c r="X18" s="343"/>
      <c r="Y18" s="343"/>
      <c r="Z18" s="343"/>
      <c r="AA18" s="343"/>
      <c r="AB18" s="343"/>
      <c r="AC18" s="343"/>
    </row>
    <row r="19" spans="1:29">
      <c r="A19" s="340"/>
      <c r="B19" s="343"/>
      <c r="C19" s="343"/>
      <c r="D19" s="343"/>
      <c r="E19" s="343"/>
      <c r="F19" s="343"/>
      <c r="G19" s="343"/>
      <c r="H19" s="343"/>
      <c r="I19" s="343"/>
      <c r="J19" s="343"/>
      <c r="K19" s="343"/>
      <c r="L19" s="343"/>
      <c r="M19" s="343"/>
      <c r="N19" s="343"/>
      <c r="O19" s="343"/>
      <c r="P19" s="343"/>
      <c r="Q19" s="343"/>
      <c r="R19" s="343"/>
      <c r="S19" s="343"/>
      <c r="T19" s="343"/>
      <c r="U19" s="343"/>
      <c r="V19" s="343"/>
      <c r="W19" s="343"/>
      <c r="X19" s="343"/>
      <c r="Y19" s="343"/>
      <c r="Z19" s="343"/>
      <c r="AA19" s="343"/>
      <c r="AB19" s="343"/>
      <c r="AC19" s="343"/>
    </row>
    <row r="20" spans="1:29">
      <c r="A20" s="340"/>
      <c r="B20" s="343"/>
      <c r="C20" s="343"/>
      <c r="D20" s="343"/>
      <c r="E20" s="343"/>
      <c r="F20" s="343"/>
      <c r="G20" s="343"/>
      <c r="H20" s="343"/>
      <c r="I20" s="343"/>
      <c r="J20" s="343"/>
      <c r="K20" s="343"/>
      <c r="L20" s="343"/>
      <c r="M20" s="343"/>
      <c r="N20" s="343"/>
      <c r="O20" s="343"/>
      <c r="P20" s="343"/>
      <c r="Q20" s="343"/>
      <c r="R20" s="343"/>
      <c r="S20" s="343"/>
      <c r="T20" s="343"/>
      <c r="U20" s="343"/>
      <c r="V20" s="343"/>
      <c r="W20" s="343"/>
      <c r="X20" s="343"/>
      <c r="Y20" s="343"/>
      <c r="Z20" s="343"/>
      <c r="AA20" s="343"/>
      <c r="AB20" s="343"/>
      <c r="AC20" s="343"/>
    </row>
    <row r="21" spans="1:29">
      <c r="A21" s="340"/>
      <c r="B21" s="343"/>
      <c r="C21" s="343"/>
      <c r="D21" s="343"/>
      <c r="E21" s="343"/>
      <c r="F21" s="343"/>
      <c r="G21" s="343"/>
      <c r="H21" s="343"/>
      <c r="I21" s="343"/>
      <c r="J21" s="343"/>
      <c r="K21" s="343"/>
      <c r="L21" s="343"/>
      <c r="M21" s="343"/>
      <c r="N21" s="343"/>
      <c r="O21" s="343"/>
      <c r="P21" s="343"/>
      <c r="Q21" s="343"/>
      <c r="R21" s="343"/>
      <c r="S21" s="343"/>
      <c r="T21" s="343"/>
      <c r="U21" s="343"/>
      <c r="V21" s="343"/>
      <c r="W21" s="343"/>
      <c r="X21" s="343"/>
      <c r="Y21" s="343"/>
      <c r="Z21" s="343"/>
      <c r="AA21" s="343"/>
      <c r="AB21" s="343"/>
      <c r="AC21" s="343"/>
    </row>
    <row r="22" spans="1:29">
      <c r="A22" s="340"/>
      <c r="B22" s="343"/>
      <c r="C22" s="343"/>
      <c r="D22" s="343"/>
      <c r="E22" s="343"/>
      <c r="F22" s="343"/>
      <c r="G22" s="343"/>
      <c r="H22" s="343"/>
      <c r="I22" s="343"/>
      <c r="J22" s="343"/>
      <c r="K22" s="343"/>
      <c r="L22" s="343"/>
      <c r="M22" s="343"/>
      <c r="N22" s="343"/>
      <c r="O22" s="343"/>
      <c r="P22" s="343"/>
      <c r="Q22" s="343"/>
      <c r="R22" s="343"/>
      <c r="S22" s="343"/>
      <c r="T22" s="343"/>
      <c r="U22" s="343"/>
      <c r="V22" s="343"/>
      <c r="W22" s="343"/>
      <c r="X22" s="343"/>
      <c r="Y22" s="343"/>
      <c r="Z22" s="343"/>
      <c r="AA22" s="343"/>
      <c r="AB22" s="343"/>
      <c r="AC22" s="343"/>
    </row>
    <row r="23" spans="1:29">
      <c r="A23" s="340"/>
      <c r="B23" s="343"/>
      <c r="C23" s="343"/>
      <c r="D23" s="343"/>
      <c r="E23" s="343"/>
      <c r="F23" s="343"/>
      <c r="G23" s="343"/>
      <c r="H23" s="343"/>
      <c r="I23" s="343"/>
      <c r="J23" s="343"/>
      <c r="K23" s="343"/>
      <c r="L23" s="343"/>
      <c r="M23" s="343"/>
      <c r="N23" s="343"/>
      <c r="O23" s="343"/>
      <c r="P23" s="343"/>
      <c r="Q23" s="343"/>
      <c r="R23" s="343"/>
      <c r="S23" s="343"/>
      <c r="T23" s="343"/>
      <c r="U23" s="343"/>
      <c r="V23" s="343"/>
      <c r="W23" s="343"/>
      <c r="X23" s="343"/>
      <c r="Y23" s="343"/>
      <c r="Z23" s="343"/>
      <c r="AA23" s="343"/>
      <c r="AB23" s="343"/>
      <c r="AC23" s="343"/>
    </row>
    <row r="24" spans="1:29">
      <c r="A24" s="340"/>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3"/>
      <c r="Z24" s="343"/>
      <c r="AA24" s="343"/>
      <c r="AB24" s="343"/>
      <c r="AC24" s="343"/>
    </row>
    <row r="25" spans="1:29">
      <c r="A25" s="340"/>
      <c r="B25" s="343"/>
      <c r="C25" s="343"/>
      <c r="D25" s="343"/>
      <c r="E25" s="343"/>
      <c r="F25" s="343"/>
      <c r="G25" s="343"/>
      <c r="H25" s="343"/>
      <c r="I25" s="343"/>
      <c r="J25" s="343"/>
      <c r="K25" s="343"/>
      <c r="L25" s="343"/>
      <c r="M25" s="343"/>
      <c r="N25" s="343"/>
      <c r="O25" s="343"/>
      <c r="P25" s="343"/>
      <c r="Q25" s="343"/>
      <c r="R25" s="343"/>
      <c r="S25" s="343"/>
      <c r="T25" s="343"/>
      <c r="U25" s="343"/>
      <c r="V25" s="343"/>
      <c r="W25" s="343"/>
      <c r="X25" s="343"/>
      <c r="Y25" s="343"/>
      <c r="Z25" s="343"/>
      <c r="AA25" s="343"/>
      <c r="AB25" s="343"/>
      <c r="AC25" s="343"/>
    </row>
    <row r="26" spans="1:29">
      <c r="A26" s="340"/>
      <c r="B26" s="343" t="s">
        <v>1086</v>
      </c>
      <c r="C26" s="343"/>
      <c r="D26" s="343"/>
      <c r="E26" s="343"/>
      <c r="F26" s="343"/>
      <c r="G26" s="343"/>
      <c r="H26" s="343"/>
      <c r="I26" s="343"/>
      <c r="J26" s="343"/>
      <c r="K26" s="343"/>
      <c r="L26" s="343"/>
      <c r="M26" s="343"/>
      <c r="N26" s="343"/>
      <c r="O26" s="343"/>
      <c r="P26" s="343"/>
      <c r="Q26" s="343"/>
      <c r="R26" s="343"/>
      <c r="S26" s="343"/>
      <c r="T26" s="343"/>
      <c r="U26" s="343"/>
      <c r="V26" s="343"/>
      <c r="W26" s="343"/>
      <c r="X26" s="343"/>
      <c r="Y26" s="343"/>
      <c r="Z26" s="343"/>
      <c r="AA26" s="343"/>
      <c r="AB26" s="343"/>
      <c r="AC26" s="343"/>
    </row>
    <row r="27" spans="1:29">
      <c r="A27" s="340"/>
      <c r="B27" s="343"/>
      <c r="C27" s="343"/>
      <c r="D27" s="343"/>
      <c r="E27" s="343"/>
      <c r="F27" s="343"/>
      <c r="G27" s="343"/>
      <c r="H27" s="343"/>
      <c r="I27" s="343"/>
      <c r="J27" s="343"/>
      <c r="K27" s="343"/>
      <c r="L27" s="343"/>
      <c r="M27" s="343"/>
      <c r="N27" s="343"/>
      <c r="O27" s="343"/>
      <c r="P27" s="343"/>
      <c r="Q27" s="343"/>
      <c r="R27" s="343"/>
      <c r="S27" s="343"/>
      <c r="T27" s="343"/>
      <c r="U27" s="343"/>
      <c r="V27" s="343"/>
      <c r="W27" s="343"/>
      <c r="X27" s="343"/>
      <c r="Y27" s="343"/>
      <c r="Z27" s="343"/>
      <c r="AA27" s="343"/>
      <c r="AB27" s="343"/>
      <c r="AC27" s="343"/>
    </row>
    <row r="28" spans="1:29">
      <c r="A28" s="340"/>
      <c r="B28" s="343"/>
      <c r="C28" s="343"/>
      <c r="D28" s="343"/>
      <c r="E28" s="343"/>
      <c r="F28" s="343"/>
      <c r="G28" s="343"/>
      <c r="H28" s="343"/>
      <c r="I28" s="343"/>
      <c r="J28" s="343"/>
      <c r="K28" s="343"/>
      <c r="L28" s="343"/>
      <c r="M28" s="343"/>
      <c r="N28" s="343"/>
      <c r="O28" s="343"/>
      <c r="P28" s="343"/>
      <c r="Q28" s="343"/>
      <c r="R28" s="343"/>
      <c r="S28" s="343"/>
      <c r="T28" s="343"/>
      <c r="U28" s="343"/>
      <c r="V28" s="343"/>
      <c r="W28" s="343"/>
      <c r="X28" s="343"/>
      <c r="Y28" s="343"/>
      <c r="Z28" s="343"/>
      <c r="AA28" s="343"/>
      <c r="AB28" s="343"/>
      <c r="AC28" s="343"/>
    </row>
    <row r="29" spans="1:29">
      <c r="A29" s="340"/>
      <c r="B29" s="343" t="s">
        <v>1087</v>
      </c>
      <c r="C29" s="343">
        <v>1</v>
      </c>
      <c r="D29" s="346">
        <v>2</v>
      </c>
      <c r="E29" s="343">
        <v>3</v>
      </c>
      <c r="F29" s="346">
        <v>4</v>
      </c>
      <c r="G29" s="343">
        <v>5</v>
      </c>
      <c r="H29" s="346">
        <v>6</v>
      </c>
      <c r="I29" s="343">
        <v>7</v>
      </c>
      <c r="J29" s="346">
        <v>8</v>
      </c>
      <c r="K29" s="343">
        <v>9</v>
      </c>
      <c r="L29" s="346">
        <v>10</v>
      </c>
      <c r="M29" s="343">
        <v>11</v>
      </c>
      <c r="N29" s="346">
        <v>12</v>
      </c>
      <c r="O29" s="343">
        <v>13</v>
      </c>
      <c r="P29" s="346">
        <v>14</v>
      </c>
      <c r="Q29" s="343">
        <v>15</v>
      </c>
      <c r="R29" s="346">
        <v>16</v>
      </c>
      <c r="S29" s="343">
        <v>17</v>
      </c>
      <c r="T29" s="346">
        <v>18</v>
      </c>
      <c r="U29" s="343">
        <v>19</v>
      </c>
      <c r="V29" s="346">
        <v>20</v>
      </c>
      <c r="W29" s="343">
        <v>21</v>
      </c>
      <c r="X29" s="346">
        <v>22</v>
      </c>
      <c r="Y29" s="343">
        <v>23</v>
      </c>
      <c r="Z29" s="346">
        <v>24</v>
      </c>
      <c r="AA29" s="343">
        <v>25</v>
      </c>
      <c r="AB29" s="346">
        <v>26</v>
      </c>
      <c r="AC29" s="343"/>
    </row>
    <row r="30" spans="1:29">
      <c r="A30" s="340"/>
      <c r="B30" s="343" t="s">
        <v>1088</v>
      </c>
      <c r="C30" s="347">
        <f>-Opłacalność!D36</f>
        <v>-69264</v>
      </c>
      <c r="D30" s="347">
        <f t="shared" ref="D30:AB30" si="0">C30+D31</f>
        <v>-59238.835200000001</v>
      </c>
      <c r="E30" s="347">
        <f t="shared" si="0"/>
        <v>-43993.763526356997</v>
      </c>
      <c r="F30" s="347">
        <f t="shared" si="0"/>
        <v>-27986.438269031845</v>
      </c>
      <c r="G30" s="347">
        <f t="shared" si="0"/>
        <v>-11178.746748840436</v>
      </c>
      <c r="H30" s="347">
        <f t="shared" si="0"/>
        <v>6469.3293473605409</v>
      </c>
      <c r="I30" s="347">
        <f t="shared" si="0"/>
        <v>24999.80924837157</v>
      </c>
      <c r="J30" s="347">
        <f t="shared" si="0"/>
        <v>44456.813144433152</v>
      </c>
      <c r="K30" s="347">
        <f t="shared" si="0"/>
        <v>64886.667235297806</v>
      </c>
      <c r="L30" s="347">
        <f t="shared" si="0"/>
        <v>86338.014030705701</v>
      </c>
      <c r="M30" s="347">
        <f t="shared" si="0"/>
        <v>108861.92816588399</v>
      </c>
      <c r="N30" s="347">
        <f t="shared" si="0"/>
        <v>132512.03800782119</v>
      </c>
      <c r="O30" s="347">
        <f t="shared" si="0"/>
        <v>157344.65334185524</v>
      </c>
      <c r="P30" s="347">
        <f t="shared" si="0"/>
        <v>183418.89944259101</v>
      </c>
      <c r="Q30" s="347">
        <f t="shared" si="0"/>
        <v>210796.85784836358</v>
      </c>
      <c r="R30" s="347">
        <f t="shared" si="0"/>
        <v>239543.71417442476</v>
      </c>
      <c r="S30" s="347">
        <f t="shared" si="0"/>
        <v>269727.91331678902</v>
      </c>
      <c r="T30" s="347">
        <f t="shared" si="0"/>
        <v>301421.32241627149</v>
      </c>
      <c r="U30" s="347">
        <f t="shared" si="0"/>
        <v>334699.40197072807</v>
      </c>
      <c r="V30" s="347">
        <f t="shared" si="0"/>
        <v>369641.38550290745</v>
      </c>
      <c r="W30" s="347">
        <f t="shared" si="0"/>
        <v>406330.46821169584</v>
      </c>
      <c r="X30" s="347">
        <f t="shared" si="0"/>
        <v>444854.00505592366</v>
      </c>
      <c r="Y30" s="347">
        <f t="shared" si="0"/>
        <v>485303.71874236286</v>
      </c>
      <c r="Z30" s="347">
        <f t="shared" si="0"/>
        <v>527775.91811312397</v>
      </c>
      <c r="AA30" s="347">
        <f t="shared" si="0"/>
        <v>572371.72745242319</v>
      </c>
      <c r="AB30" s="347">
        <f t="shared" si="0"/>
        <v>619197.32725868735</v>
      </c>
      <c r="AC30" s="343"/>
    </row>
    <row r="31" spans="1:29">
      <c r="A31" s="340"/>
      <c r="B31" s="343" t="s">
        <v>1089</v>
      </c>
      <c r="C31" s="347"/>
      <c r="D31" s="345">
        <f>Opłacalność!D15</f>
        <v>10025.164799999999</v>
      </c>
      <c r="E31" s="345">
        <f>(Opłacalność!$E$28*((1+Opłacalność!$E$27)^E$29))*Opłacalność!$D$5</f>
        <v>15245.071673643002</v>
      </c>
      <c r="F31" s="345">
        <f>(Opłacalność!$E$28*((1+Opłacalność!$E$27)^F$29))*Opłacalność!$D$5</f>
        <v>16007.32525732515</v>
      </c>
      <c r="G31" s="345">
        <f>(Opłacalność!$E$28*((1+Opłacalność!$E$27)^G$29))*Opłacalność!$D$5</f>
        <v>16807.691520191409</v>
      </c>
      <c r="H31" s="345">
        <f>(Opłacalność!$E$28*((1+Opłacalność!$E$27)^H$29))*Opłacalność!$D$5</f>
        <v>17648.076096200977</v>
      </c>
      <c r="I31" s="345">
        <f>(Opłacalność!$E$28*((1+Opłacalność!$E$27)^I$29))*Opłacalność!$D$5</f>
        <v>18530.479901011029</v>
      </c>
      <c r="J31" s="345">
        <f>(Opłacalność!$E$28*((1+Opłacalność!$E$27)^J$29))*Opłacalność!$D$5</f>
        <v>19457.003896061578</v>
      </c>
      <c r="K31" s="345">
        <f>(Opłacalność!$E$28*((1+Opłacalność!$E$27)^K$29))*Opłacalność!$D$5</f>
        <v>20429.854090864657</v>
      </c>
      <c r="L31" s="345">
        <f>(Opłacalność!$E$28*((1+Opłacalność!$E$27)^L$29))*Opłacalność!$D$5</f>
        <v>21451.346795407891</v>
      </c>
      <c r="M31" s="345">
        <f>(Opłacalność!$E$28*((1+Opłacalność!$E$27)^M$29))*Opłacalność!$D$5</f>
        <v>22523.914135178289</v>
      </c>
      <c r="N31" s="345">
        <f>(Opłacalność!$E$28*((1+Opłacalność!$E$27)^N$29))*Opłacalność!$D$5</f>
        <v>23650.109841937199</v>
      </c>
      <c r="O31" s="345">
        <f>(Opłacalność!$E$28*((1+Opłacalność!$E$27)^O$29))*Opłacalność!$D$5</f>
        <v>24832.615334034064</v>
      </c>
      <c r="P31" s="345">
        <f>(Opłacalność!$E$28*((1+Opłacalność!$E$27)^P$29))*Opłacalność!$D$5</f>
        <v>26074.24610073576</v>
      </c>
      <c r="Q31" s="345">
        <f>(Opłacalność!$E$28*((1+Opłacalność!$E$27)^Q$29))*Opłacalność!$D$5</f>
        <v>27377.958405772559</v>
      </c>
      <c r="R31" s="345">
        <f>(Opłacalność!$E$28*((1+Opłacalność!$E$27)^R$29))*Opłacalność!$D$5</f>
        <v>28746.856326061181</v>
      </c>
      <c r="S31" s="345">
        <f>(Opłacalność!$E$28*((1+Opłacalność!$E$27)^S$29))*Opłacalność!$D$5</f>
        <v>30184.199142364243</v>
      </c>
      <c r="T31" s="345">
        <f>(Opłacalność!$E$28*((1+Opłacalność!$E$27)^T$29))*Opłacalność!$D$5</f>
        <v>31693.409099482458</v>
      </c>
      <c r="U31" s="345">
        <f>(Opłacalność!$E$28*((1+Opłacalność!$E$27)^U$29))*Opłacalność!$D$5</f>
        <v>33278.079554456577</v>
      </c>
      <c r="V31" s="345">
        <f>(Opłacalność!$E$28*((1+Opłacalność!$E$27)^V$29))*Opłacalność!$D$5</f>
        <v>34941.983532179409</v>
      </c>
      <c r="W31" s="345">
        <f>(Opłacalność!$E$28*((1+Opłacalność!$E$27)^W$29))*Opłacalność!$D$5</f>
        <v>36689.082708788381</v>
      </c>
      <c r="X31" s="345">
        <f>(Opłacalność!$E$28*((1+Opłacalność!$E$27)^X$29))*Opłacalność!$D$5</f>
        <v>38523.53684422779</v>
      </c>
      <c r="Y31" s="345">
        <f>(Opłacalność!$E$28*((1+Opłacalność!$E$27)^Y$29))*Opłacalność!$D$5</f>
        <v>40449.713686439187</v>
      </c>
      <c r="Z31" s="345">
        <f>(Opłacalność!$E$28*((1+Opłacalność!$E$27)^Z$29))*Opłacalność!$D$5</f>
        <v>42472.199370761147</v>
      </c>
      <c r="AA31" s="345">
        <f>(Opłacalność!$E$28*((1+Opłacalność!$E$27)^AA$29))*Opłacalność!$D$5</f>
        <v>44595.809339299201</v>
      </c>
      <c r="AB31" s="345">
        <f>(Opłacalność!$E$28*((1+Opłacalność!$E$27)^AB$29))*Opłacalność!$D$5</f>
        <v>46825.599806264167</v>
      </c>
      <c r="AC31" s="343"/>
    </row>
    <row r="32" spans="1:29">
      <c r="A32" s="340"/>
      <c r="B32" s="343" t="s">
        <v>1090</v>
      </c>
      <c r="C32" s="345">
        <f>(Opłacalność!$E$28*((1+Opłacalność!$E$27)^(C$29-1)))</f>
        <v>1.0951363725335668</v>
      </c>
      <c r="D32" s="345">
        <f>(Opłacalność!$E$28*((1+Opłacalność!$E$27)^(D$29-1)))</f>
        <v>1.1498931911602452</v>
      </c>
      <c r="E32" s="345">
        <f>(Opłacalność!$E$28*((1+Opłacalność!$E$27)^(E$29-1)))</f>
        <v>1.2073878507182574</v>
      </c>
      <c r="F32" s="345">
        <f>(Opłacalność!$E$28*((1+Opłacalność!$E$27)^(F$29-1)))</f>
        <v>1.2677572432541704</v>
      </c>
      <c r="G32" s="345">
        <f>(Opłacalność!$E$28*((1+Opłacalność!$E$27)^(G$29-1)))</f>
        <v>1.3311451054168788</v>
      </c>
      <c r="H32" s="345">
        <f>(Opłacalność!$E$28*((1+Opłacalność!$E$27)^(H$29-1)))</f>
        <v>1.3977023606877228</v>
      </c>
      <c r="I32" s="345">
        <f>(Opłacalność!$E$28*((1+Opłacalność!$E$27)^(I$29-1)))</f>
        <v>1.4675874787221088</v>
      </c>
      <c r="J32" s="345">
        <f>(Opłacalność!$E$28*((1+Opłacalność!$E$27)^(J$29-1)))</f>
        <v>1.5409668526582145</v>
      </c>
      <c r="K32" s="345">
        <f>(Opłacalność!$E$28*((1+Opłacalność!$E$27)^(K$29-1)))</f>
        <v>1.618015195291125</v>
      </c>
      <c r="L32" s="345">
        <f>(Opłacalność!$E$28*((1+Opłacalność!$E$27)^(L$29-1)))</f>
        <v>1.6989159550556814</v>
      </c>
      <c r="M32" s="345">
        <f>(Opłacalność!$E$28*((1+Opłacalność!$E$27)^(M$29-1)))</f>
        <v>1.7838617528084655</v>
      </c>
      <c r="N32" s="345">
        <f>(Opłacalność!$E$28*((1+Opłacalność!$E$27)^(N$29-1)))</f>
        <v>1.8730548404488889</v>
      </c>
      <c r="O32" s="345">
        <f>(Opłacalność!$E$28*((1+Opłacalność!$E$27)^(O$29-1)))</f>
        <v>1.9667075824713329</v>
      </c>
      <c r="P32" s="345">
        <f>(Opłacalność!$E$28*((1+Opłacalność!$E$27)^(P$29-1)))</f>
        <v>2.0650429615949002</v>
      </c>
      <c r="Q32" s="345">
        <f>(Opłacalność!$E$28*((1+Opłacalność!$E$27)^(Q$29-1)))</f>
        <v>2.1682951096746446</v>
      </c>
      <c r="R32" s="345">
        <f>(Opłacalność!$E$28*((1+Opłacalność!$E$27)^(R$29-1)))</f>
        <v>2.2767098651583777</v>
      </c>
      <c r="S32" s="345">
        <f>(Opłacalność!$E$28*((1+Opłacalność!$E$27)^(S$29-1)))</f>
        <v>2.3905453584162961</v>
      </c>
      <c r="T32" s="345">
        <f>(Opłacalność!$E$28*((1+Opłacalność!$E$27)^(T$29-1)))</f>
        <v>2.5100726263371111</v>
      </c>
      <c r="U32" s="345">
        <f>(Opłacalność!$E$28*((1+Opłacalność!$E$27)^(U$29-1)))</f>
        <v>2.635576257653967</v>
      </c>
      <c r="V32" s="345">
        <f>(Opłacalność!$E$28*((1+Opłacalność!$E$27)^(V$29-1)))</f>
        <v>2.7673550705366652</v>
      </c>
      <c r="W32" s="345">
        <f>(Opłacalność!$E$28*((1+Opłacalność!$E$27)^(W$29-1)))</f>
        <v>2.9057228240634982</v>
      </c>
      <c r="X32" s="345">
        <f>(Opłacalność!$E$28*((1+Opłacalność!$E$27)^(X$29-1)))</f>
        <v>3.0510089652666732</v>
      </c>
      <c r="Y32" s="345">
        <f>(Opłacalność!$E$28*((1+Opłacalność!$E$27)^(Y$29-1)))</f>
        <v>3.2035594135300065</v>
      </c>
      <c r="Z32" s="345">
        <f>(Opłacalność!$E$28*((1+Opłacalność!$E$27)^(Z$29-1)))</f>
        <v>3.3637373842065075</v>
      </c>
      <c r="AA32" s="345">
        <f>(Opłacalność!$E$28*((1+Opłacalność!$E$27)^(AA$29-1)))</f>
        <v>3.5319242534168325</v>
      </c>
      <c r="AB32" s="345">
        <f>(Opłacalność!$E$28*((1+Opłacalność!$E$27)^(AB$29-1)))</f>
        <v>3.7085204660876743</v>
      </c>
      <c r="AC32" s="343"/>
    </row>
    <row r="33" spans="1:29">
      <c r="A33" s="340"/>
      <c r="B33" s="343"/>
      <c r="C33" s="347">
        <f>IF(C45&lt;Opłacalność!$D$5,(C45-Opłacalność!$D$5)*C39,0)</f>
        <v>0</v>
      </c>
      <c r="D33" s="347">
        <f>IF(D45&lt;Opłacalność!$D$5,(D45-Opłacalność!$D$5)*D39,0)</f>
        <v>0</v>
      </c>
      <c r="E33" s="347">
        <f>IF(E45&lt;Opłacalność!$D$5,(E45-Opłacalność!$D$5)*E39,0)</f>
        <v>0</v>
      </c>
      <c r="F33" s="347">
        <f>IF(F45&lt;Opłacalność!$D$5,(F45-Opłacalność!$D$5)*F39,0)</f>
        <v>0</v>
      </c>
      <c r="G33" s="347">
        <f>IF(G45&lt;Opłacalność!$D$5,(G45-Opłacalność!$D$5)*G39,0)</f>
        <v>0</v>
      </c>
      <c r="H33" s="347">
        <f>IF(H45&lt;Opłacalność!$D$5,(H45-Opłacalność!$D$5)*H39,0)</f>
        <v>0</v>
      </c>
      <c r="I33" s="347">
        <f>IF(I45&lt;Opłacalność!$D$5,(I45-Opłacalność!$D$5)*I39,0)</f>
        <v>0</v>
      </c>
      <c r="J33" s="347">
        <f>IF(J45&lt;Opłacalność!$D$5,(J45-Opłacalność!$D$5)*J39,0)</f>
        <v>0</v>
      </c>
      <c r="K33" s="347">
        <f>IF(K45&lt;Opłacalność!$D$5,(K45-Opłacalność!$D$5)*K39,0)</f>
        <v>0</v>
      </c>
      <c r="L33" s="347">
        <f>IF(L45&lt;Opłacalność!$D$5,(L45-Opłacalność!$D$5)*L39,0)</f>
        <v>0</v>
      </c>
      <c r="M33" s="347">
        <f>IF(M45&lt;Opłacalność!$D$5,(M45-Opłacalność!$D$5)*M39,0)</f>
        <v>0</v>
      </c>
      <c r="N33" s="347">
        <f>IF(N45&lt;Opłacalność!$D$5,(N45-Opłacalność!$D$5)*N39,0)</f>
        <v>0</v>
      </c>
      <c r="O33" s="347">
        <f>IF(O45&lt;Opłacalność!$D$5,(O45-Opłacalność!$D$5)*O39,0)</f>
        <v>0</v>
      </c>
      <c r="P33" s="347">
        <f>IF(P45&lt;Opłacalność!$D$5,(P45-Opłacalność!$D$5)*P39,0)</f>
        <v>-147.72984875332921</v>
      </c>
      <c r="Q33" s="347">
        <f>IF(Q45&lt;Opłacalność!$D$5,(Q45-Opłacalność!$D$5)*Q39,0)</f>
        <v>-317.55419101522529</v>
      </c>
      <c r="R33" s="347">
        <f>IF(R45&lt;Opłacalność!$D$5,(R45-Opłacalność!$D$5)*R39,0)</f>
        <v>-537.33483293802215</v>
      </c>
      <c r="S33" s="347">
        <f>IF(S45&lt;Opłacalność!$D$5,(S45-Opłacalność!$D$5)*S39,0)</f>
        <v>-724.56617028175822</v>
      </c>
      <c r="T33" s="347">
        <f>IF(T45&lt;Opłacalność!$D$5,(T45-Opłacalność!$D$5)*T39,0)</f>
        <v>-1005.2567521571125</v>
      </c>
      <c r="U33" s="347">
        <f>IF(U45&lt;Opłacalność!$D$5,(U45-Opłacalność!$D$5)*U39,0)</f>
        <v>-1211.6793015785815</v>
      </c>
      <c r="V33" s="347">
        <f>IF(V45&lt;Opłacalność!$D$5,(V45-Opłacalność!$D$5)*V39,0)</f>
        <v>-1563.457290727561</v>
      </c>
      <c r="W33" s="347">
        <f>IF(W45&lt;Opłacalność!$D$5,(W45-Opłacalność!$D$5)*W39,0)</f>
        <v>-1791.0381514647306</v>
      </c>
      <c r="X33" s="347">
        <f>IF(X45&lt;Opłacalność!$D$5,(X45-Opłacalność!$D$5)*X39,0)</f>
        <v>-2225.527460952595</v>
      </c>
      <c r="Y33" s="347">
        <f>IF(Y45&lt;Opłacalność!$D$5,(Y45-Opłacalność!$D$5)*Y39,0)</f>
        <v>-2476.4353599153301</v>
      </c>
      <c r="Z33" s="347">
        <f>IF(Z45&lt;Opłacalność!$D$5,(Z45-Opłacalność!$D$5)*Z39,0)</f>
        <v>-3006.8959429130614</v>
      </c>
      <c r="AA33" s="347">
        <f>IF(AA45&lt;Opłacalność!$D$5,(AA45-Opłacalność!$D$5)*AA39,0)</f>
        <v>-3283.5219015194771</v>
      </c>
      <c r="AB33" s="347">
        <f>IF(AB45&lt;Opłacalność!$D$5,(AB45-Opłacalność!$D$5)*AB39,0)</f>
        <v>-3925.0630157887899</v>
      </c>
      <c r="AC33" s="343"/>
    </row>
    <row r="34" spans="1:29">
      <c r="A34" s="340"/>
      <c r="B34" s="343"/>
      <c r="C34" s="347"/>
      <c r="D34" s="347"/>
      <c r="E34" s="347"/>
      <c r="F34" s="347"/>
      <c r="G34" s="347"/>
      <c r="H34" s="347"/>
      <c r="I34" s="347"/>
      <c r="J34" s="347"/>
      <c r="K34" s="347"/>
      <c r="L34" s="347"/>
      <c r="M34" s="347"/>
      <c r="N34" s="347"/>
      <c r="O34" s="347"/>
      <c r="P34" s="347"/>
      <c r="Q34" s="347"/>
      <c r="R34" s="347"/>
      <c r="S34" s="347"/>
      <c r="T34" s="347"/>
      <c r="U34" s="347"/>
      <c r="V34" s="347"/>
      <c r="W34" s="347"/>
      <c r="X34" s="347"/>
      <c r="Y34" s="347"/>
      <c r="Z34" s="347"/>
      <c r="AA34" s="347"/>
      <c r="AB34" s="347"/>
      <c r="AC34" s="343"/>
    </row>
    <row r="35" spans="1:29">
      <c r="A35" s="340"/>
      <c r="B35" s="343" t="s">
        <v>1091</v>
      </c>
      <c r="C35" s="343"/>
      <c r="D35" s="343"/>
      <c r="E35" s="343"/>
      <c r="F35" s="343"/>
      <c r="G35" s="343"/>
      <c r="H35" s="343"/>
      <c r="I35" s="343"/>
      <c r="J35" s="343"/>
      <c r="K35" s="343"/>
      <c r="L35" s="343"/>
      <c r="M35" s="343"/>
      <c r="N35" s="343"/>
      <c r="O35" s="343"/>
      <c r="P35" s="343"/>
      <c r="Q35" s="343"/>
      <c r="R35" s="343"/>
      <c r="S35" s="343"/>
      <c r="T35" s="343"/>
      <c r="U35" s="343"/>
      <c r="V35" s="343"/>
      <c r="W35" s="343"/>
      <c r="X35" s="343"/>
      <c r="Y35" s="343"/>
      <c r="Z35" s="343"/>
      <c r="AA35" s="343"/>
      <c r="AB35" s="343"/>
      <c r="AC35" s="343"/>
    </row>
    <row r="36" spans="1:29">
      <c r="A36" s="340"/>
      <c r="B36" s="343" t="s">
        <v>1087</v>
      </c>
      <c r="C36" s="343">
        <v>1</v>
      </c>
      <c r="D36" s="346">
        <v>2</v>
      </c>
      <c r="E36" s="343">
        <v>3</v>
      </c>
      <c r="F36" s="346">
        <v>4</v>
      </c>
      <c r="G36" s="343">
        <v>5</v>
      </c>
      <c r="H36" s="346">
        <v>6</v>
      </c>
      <c r="I36" s="343">
        <v>7</v>
      </c>
      <c r="J36" s="346">
        <v>8</v>
      </c>
      <c r="K36" s="343">
        <v>9</v>
      </c>
      <c r="L36" s="346">
        <v>10</v>
      </c>
      <c r="M36" s="343">
        <v>11</v>
      </c>
      <c r="N36" s="346">
        <v>12</v>
      </c>
      <c r="O36" s="343">
        <v>13</v>
      </c>
      <c r="P36" s="346">
        <v>14</v>
      </c>
      <c r="Q36" s="343">
        <v>15</v>
      </c>
      <c r="R36" s="346">
        <v>16</v>
      </c>
      <c r="S36" s="343">
        <v>17</v>
      </c>
      <c r="T36" s="346">
        <v>18</v>
      </c>
      <c r="U36" s="343">
        <v>19</v>
      </c>
      <c r="V36" s="346">
        <v>20</v>
      </c>
      <c r="W36" s="343">
        <v>21</v>
      </c>
      <c r="X36" s="346">
        <v>22</v>
      </c>
      <c r="Y36" s="343">
        <v>23</v>
      </c>
      <c r="Z36" s="346">
        <v>24</v>
      </c>
      <c r="AA36" s="343">
        <v>25</v>
      </c>
      <c r="AB36" s="346">
        <v>26</v>
      </c>
      <c r="AC36" s="343"/>
    </row>
    <row r="37" spans="1:29">
      <c r="A37" s="340"/>
      <c r="B37" s="343" t="s">
        <v>1088</v>
      </c>
      <c r="C37" s="348">
        <f>IF(Opłacalność!E32="Tak",ROUNDUP((-Opłacalność!D36+B9)*(1-B10),-2),-Opłacalność!D36*(1-B10))</f>
        <v>-69300</v>
      </c>
      <c r="D37" s="347">
        <f t="shared" ref="D37:AB37" si="1">C37+D38-D41</f>
        <v>-59274.835200000001</v>
      </c>
      <c r="E37" s="347">
        <f t="shared" si="1"/>
        <v>-48978.697755819179</v>
      </c>
      <c r="F37" s="347">
        <f t="shared" si="1"/>
        <v>-37991.533716304351</v>
      </c>
      <c r="G37" s="347">
        <f t="shared" si="1"/>
        <v>-26778.756948236049</v>
      </c>
      <c r="H37" s="347">
        <f t="shared" si="1"/>
        <v>-14814.343205575442</v>
      </c>
      <c r="I37" s="347">
        <f t="shared" si="1"/>
        <v>-2605.1898462456484</v>
      </c>
      <c r="J37" s="347">
        <f t="shared" si="1"/>
        <v>10421.375896515472</v>
      </c>
      <c r="K37" s="347">
        <f t="shared" si="1"/>
        <v>23713.358812395847</v>
      </c>
      <c r="L37" s="347">
        <f t="shared" si="1"/>
        <v>37894.116593394261</v>
      </c>
      <c r="M37" s="347">
        <f t="shared" si="1"/>
        <v>52362.636707436628</v>
      </c>
      <c r="N37" s="347">
        <f t="shared" si="1"/>
        <v>67797.335538176092</v>
      </c>
      <c r="O37" s="347">
        <f t="shared" si="1"/>
        <v>83543.934080493695</v>
      </c>
      <c r="P37" s="347">
        <f t="shared" si="1"/>
        <v>100488.37513848783</v>
      </c>
      <c r="Q37" s="347">
        <f t="shared" si="1"/>
        <v>117940.60248844414</v>
      </c>
      <c r="R37" s="347">
        <f t="shared" si="1"/>
        <v>136753.71264212663</v>
      </c>
      <c r="S37" s="347">
        <f t="shared" si="1"/>
        <v>156120.14418344558</v>
      </c>
      <c r="T37" s="347">
        <f t="shared" si="1"/>
        <v>177006.97806356702</v>
      </c>
      <c r="U37" s="347">
        <f t="shared" si="1"/>
        <v>198496.66819188243</v>
      </c>
      <c r="V37" s="347">
        <f t="shared" si="1"/>
        <v>221684.68392381066</v>
      </c>
      <c r="W37" s="347">
        <f t="shared" si="1"/>
        <v>245529.43207807589</v>
      </c>
      <c r="X37" s="347">
        <f t="shared" si="1"/>
        <v>271270.92964297824</v>
      </c>
      <c r="Y37" s="347">
        <f t="shared" si="1"/>
        <v>297727.74666160229</v>
      </c>
      <c r="Z37" s="347">
        <f t="shared" si="1"/>
        <v>326302.57074495492</v>
      </c>
      <c r="AA37" s="347">
        <f t="shared" si="1"/>
        <v>355656.41185983573</v>
      </c>
      <c r="AB37" s="347">
        <f t="shared" si="1"/>
        <v>387374.94778912968</v>
      </c>
      <c r="AC37" s="343"/>
    </row>
    <row r="38" spans="1:29">
      <c r="A38" s="340"/>
      <c r="B38" s="343" t="s">
        <v>1092</v>
      </c>
      <c r="C38" s="343"/>
      <c r="D38" s="347">
        <f>Opłacalność!D15</f>
        <v>10025.164799999999</v>
      </c>
      <c r="E38" s="347">
        <f t="shared" ref="E38:AB38" si="2">IF(E47&lt;E48,E46+E47,E46+E48)</f>
        <v>10296.13744418082</v>
      </c>
      <c r="F38" s="347">
        <f t="shared" si="2"/>
        <v>10987.164039514828</v>
      </c>
      <c r="G38" s="347">
        <f t="shared" si="2"/>
        <v>11212.776768068303</v>
      </c>
      <c r="H38" s="347">
        <f t="shared" si="2"/>
        <v>11964.413742660607</v>
      </c>
      <c r="I38" s="347">
        <f t="shared" si="2"/>
        <v>12209.153359329794</v>
      </c>
      <c r="J38" s="347">
        <f t="shared" si="2"/>
        <v>13026.56574276112</v>
      </c>
      <c r="K38" s="347">
        <f t="shared" si="2"/>
        <v>13291.982915880375</v>
      </c>
      <c r="L38" s="347">
        <f t="shared" si="2"/>
        <v>14180.757780998414</v>
      </c>
      <c r="M38" s="347">
        <f t="shared" si="2"/>
        <v>14468.520114042365</v>
      </c>
      <c r="N38" s="347">
        <f t="shared" si="2"/>
        <v>15434.698830739462</v>
      </c>
      <c r="O38" s="347">
        <f t="shared" si="2"/>
        <v>15746.598542317595</v>
      </c>
      <c r="P38" s="347">
        <f t="shared" si="2"/>
        <v>16796.711209240813</v>
      </c>
      <c r="Q38" s="347">
        <f t="shared" si="2"/>
        <v>17134.673158941092</v>
      </c>
      <c r="R38" s="347">
        <f t="shared" si="2"/>
        <v>18275.775320744491</v>
      </c>
      <c r="S38" s="347">
        <f t="shared" si="2"/>
        <v>18641.865371037184</v>
      </c>
      <c r="T38" s="347">
        <f t="shared" si="2"/>
        <v>19881.57712796433</v>
      </c>
      <c r="U38" s="347">
        <f t="shared" si="2"/>
        <v>20278.010826736845</v>
      </c>
      <c r="V38" s="347">
        <f t="shared" si="2"/>
        <v>21624.558441200668</v>
      </c>
      <c r="W38" s="347">
        <f t="shared" si="2"/>
        <v>22053.710002800479</v>
      </c>
      <c r="X38" s="347">
        <f t="shared" si="2"/>
        <v>23515.970103949774</v>
      </c>
      <c r="Y38" s="347">
        <f t="shared" si="2"/>
        <v>23980.381658708749</v>
      </c>
      <c r="Z38" s="347">
        <f t="shared" si="2"/>
        <v>25567.928140439588</v>
      </c>
      <c r="AA38" s="347">
        <f t="shared" si="2"/>
        <v>26070.319213361294</v>
      </c>
      <c r="AB38" s="347">
        <f t="shared" si="2"/>
        <v>27793.472913505189</v>
      </c>
      <c r="AC38" s="343"/>
    </row>
    <row r="39" spans="1:29">
      <c r="A39" s="340"/>
      <c r="B39" s="343" t="s">
        <v>1093</v>
      </c>
      <c r="C39" s="345">
        <f>(Opłacalność!$E$28*((1+Opłacalność!$E$27)^(C$29-1)))</f>
        <v>1.0951363725335668</v>
      </c>
      <c r="D39" s="345">
        <f>(Opłacalność!$E$28*((1+Opłacalność!$E$27)^D$29))</f>
        <v>1.2073878507182574</v>
      </c>
      <c r="E39" s="345">
        <f>(Opłacalność!$E$28*((1+Opłacalność!$E$27)^(E$29-1)))</f>
        <v>1.2073878507182574</v>
      </c>
      <c r="F39" s="345">
        <f>(Opłacalność!$E$28*((1+Opłacalność!$E$27)^F$29))</f>
        <v>1.3311451054168788</v>
      </c>
      <c r="G39" s="345">
        <f>(Opłacalność!$E$28*((1+Opłacalność!$E$27)^(G$29-1)))</f>
        <v>1.3311451054168788</v>
      </c>
      <c r="H39" s="345">
        <f>(Opłacalność!$E$28*((1+Opłacalność!$E$27)^H$29))</f>
        <v>1.4675874787221088</v>
      </c>
      <c r="I39" s="345">
        <f>(Opłacalność!$E$28*((1+Opłacalność!$E$27)^(I$29-1)))</f>
        <v>1.4675874787221088</v>
      </c>
      <c r="J39" s="345">
        <f>(Opłacalność!$E$28*((1+Opłacalność!$E$27)^J$29))</f>
        <v>1.618015195291125</v>
      </c>
      <c r="K39" s="345">
        <f>(Opłacalność!$E$28*((1+Opłacalność!$E$27)^(K$29-1)))</f>
        <v>1.618015195291125</v>
      </c>
      <c r="L39" s="345">
        <f>(Opłacalność!$E$28*((1+Opłacalność!$E$27)^L$29))</f>
        <v>1.7838617528084655</v>
      </c>
      <c r="M39" s="345">
        <f>(Opłacalność!$E$28*((1+Opłacalność!$E$27)^(M$29-1)))</f>
        <v>1.7838617528084655</v>
      </c>
      <c r="N39" s="345">
        <f>(Opłacalność!$E$28*((1+Opłacalność!$E$27)^N$29))</f>
        <v>1.9667075824713329</v>
      </c>
      <c r="O39" s="345">
        <f>(Opłacalność!$E$28*((1+Opłacalność!$E$27)^(O$29-1)))</f>
        <v>1.9667075824713329</v>
      </c>
      <c r="P39" s="345">
        <f>(Opłacalność!$E$28*((1+Opłacalność!$E$27)^P$29))</f>
        <v>2.1682951096746446</v>
      </c>
      <c r="Q39" s="345">
        <f>(Opłacalność!$E$28*((1+Opłacalność!$E$27)^(Q$29-1)))</f>
        <v>2.1682951096746446</v>
      </c>
      <c r="R39" s="345">
        <f>(Opłacalność!$E$28*((1+Opłacalność!$E$27)^R$29))</f>
        <v>2.3905453584162961</v>
      </c>
      <c r="S39" s="345">
        <f>(Opłacalność!$E$28*((1+Opłacalność!$E$27)^(S$29-1)))</f>
        <v>2.3905453584162961</v>
      </c>
      <c r="T39" s="345">
        <f>(Opłacalność!$E$28*((1+Opłacalność!$E$27)^T$29))</f>
        <v>2.635576257653967</v>
      </c>
      <c r="U39" s="345">
        <f>(Opłacalność!$E$28*((1+Opłacalność!$E$27)^(U$29-1)))</f>
        <v>2.635576257653967</v>
      </c>
      <c r="V39" s="345">
        <f>(Opłacalność!$E$28*((1+Opłacalność!$E$27)^V$29))</f>
        <v>2.9057228240634982</v>
      </c>
      <c r="W39" s="345">
        <f>(Opłacalność!$E$28*((1+Opłacalność!$E$27)^(W$29-1)))</f>
        <v>2.9057228240634982</v>
      </c>
      <c r="X39" s="345">
        <f>(Opłacalność!$E$28*((1+Opłacalność!$E$27)^X$29))</f>
        <v>3.2035594135300065</v>
      </c>
      <c r="Y39" s="345">
        <f>(Opłacalność!$E$28*((1+Opłacalność!$E$27)^(Y$29-1)))</f>
        <v>3.2035594135300065</v>
      </c>
      <c r="Z39" s="345">
        <f>(Opłacalność!$E$28*((1+Opłacalność!$E$27)^Z$29))</f>
        <v>3.5319242534168325</v>
      </c>
      <c r="AA39" s="345">
        <f>(Opłacalność!$E$28*((1+Opłacalność!$E$27)^(AA$29-1)))</f>
        <v>3.5319242534168325</v>
      </c>
      <c r="AB39" s="345">
        <f>(Opłacalność!$E$28*((1+Opłacalność!$E$27)^AB$29))</f>
        <v>3.8939464893920581</v>
      </c>
      <c r="AC39" s="343"/>
    </row>
    <row r="40" spans="1:29">
      <c r="A40" s="340"/>
      <c r="B40" s="343" t="s">
        <v>1094</v>
      </c>
      <c r="C40" s="345">
        <f>(Opłacalność!$F$4*((1+Opłacalność!$E$27)^(C$29-1)))</f>
        <v>0.85</v>
      </c>
      <c r="D40" s="345">
        <f>(Opłacalność!$F$4*((1+Opłacalność!$E$27)^(D$29-1)))</f>
        <v>0.89249999999999996</v>
      </c>
      <c r="E40" s="345">
        <f>(Opłacalność!$F$4*((1+Opłacalność!$E$27)^(E$29-1)))</f>
        <v>0.93712499999999999</v>
      </c>
      <c r="F40" s="345">
        <f>(Opłacalność!$F$4*((1+Opłacalność!$E$27)^(F$29-1)))</f>
        <v>0.98398125000000003</v>
      </c>
      <c r="G40" s="345">
        <f>(Opłacalność!$F$4*((1+Opłacalność!$E$27)^(G$29-1)))</f>
        <v>1.0331803125000001</v>
      </c>
      <c r="H40" s="345">
        <f>(Opłacalność!$F$4*((1+Opłacalność!$E$27)^(H$29-1)))</f>
        <v>1.0848393281250002</v>
      </c>
      <c r="I40" s="345">
        <f>(Opłacalność!$F$4*((1+Opłacalność!$E$27)^(I$29-1)))</f>
        <v>1.1390812945312498</v>
      </c>
      <c r="J40" s="345">
        <f>(Opłacalność!$F$4*((1+Opłacalność!$E$27)^(J$29-1)))</f>
        <v>1.1960353592578126</v>
      </c>
      <c r="K40" s="345">
        <f>(Opłacalność!$F$4*((1+Opłacalność!$E$27)^(K$29-1)))</f>
        <v>1.2558371272207032</v>
      </c>
      <c r="L40" s="345">
        <f>(Opłacalność!$F$4*((1+Opłacalność!$E$27)^(L$29-1)))</f>
        <v>1.3186289835817384</v>
      </c>
      <c r="M40" s="345">
        <f>(Opłacalność!$F$4*((1+Opłacalność!$E$27)^(M$29-1)))</f>
        <v>1.3845604327608252</v>
      </c>
      <c r="N40" s="345">
        <f>(Opłacalność!$F$4*((1+Opłacalność!$E$27)^(N$29-1)))</f>
        <v>1.4537884543988666</v>
      </c>
      <c r="O40" s="345">
        <f>(Opłacalność!$F$4*((1+Opłacalność!$E$27)^(O$29-1)))</f>
        <v>1.5264778771188097</v>
      </c>
      <c r="P40" s="345">
        <f>(Opłacalność!$F$4*((1+Opłacalność!$E$27)^(P$29-1)))</f>
        <v>1.6028017709747506</v>
      </c>
      <c r="Q40" s="345">
        <f>(Opłacalność!$F$4*((1+Opłacalność!$E$27)^(Q$29-1)))</f>
        <v>1.6829418595234877</v>
      </c>
      <c r="R40" s="345">
        <f>(Opłacalność!$F$4*((1+Opłacalność!$E$27)^(R$29-1)))</f>
        <v>1.7670889524996627</v>
      </c>
      <c r="S40" s="345">
        <f>(Opłacalność!$F$4*((1+Opłacalność!$E$27)^(S$29-1)))</f>
        <v>1.8554434001246456</v>
      </c>
      <c r="T40" s="345">
        <f>(Opłacalność!$F$4*((1+Opłacalność!$E$27)^(T$29-1)))</f>
        <v>1.9482155701308781</v>
      </c>
      <c r="U40" s="345">
        <f>(Opłacalność!$F$4*((1+Opłacalność!$E$27)^(U$29-1)))</f>
        <v>2.045626348637422</v>
      </c>
      <c r="V40" s="345">
        <f>(Opłacalność!$F$4*((1+Opłacalność!$E$27)^(V$29-1)))</f>
        <v>2.1479076660692931</v>
      </c>
      <c r="W40" s="345">
        <f>(Opłacalność!$F$4*((1+Opłacalność!$E$27)^(W$29-1)))</f>
        <v>2.2553030493727575</v>
      </c>
      <c r="X40" s="345">
        <f>(Opłacalność!$F$4*((1+Opłacalność!$E$27)^(X$29-1)))</f>
        <v>2.3680682018413957</v>
      </c>
      <c r="Y40" s="345">
        <f>(Opłacalność!$F$4*((1+Opłacalność!$E$27)^(Y$29-1)))</f>
        <v>2.4864716119334651</v>
      </c>
      <c r="Z40" s="345">
        <f>(Opłacalność!$F$4*((1+Opłacalność!$E$27)^(Z$29-1)))</f>
        <v>2.6107951925301389</v>
      </c>
      <c r="AA40" s="345">
        <f>(Opłacalność!$F$4*((1+Opłacalność!$E$27)^(AA$29-1)))</f>
        <v>2.7413349521566457</v>
      </c>
      <c r="AB40" s="345">
        <f>(Opłacalność!$F$4*((1+Opłacalność!$E$27)^(AB$29-1)))</f>
        <v>2.8784016997644777</v>
      </c>
      <c r="AC40" s="343"/>
    </row>
    <row r="41" spans="1:29">
      <c r="A41" s="340"/>
      <c r="B41" s="343" t="s">
        <v>1095</v>
      </c>
      <c r="C41" s="347">
        <f>IF(C45&lt;Opłacalność!$D$5,(C45-Opłacalność!$D$5)*C39,0)</f>
        <v>0</v>
      </c>
      <c r="D41" s="347">
        <f>IF(D45&lt;Opłacalność!$D$5,(D45-Opłacalność!$D$5)*D39,0)</f>
        <v>0</v>
      </c>
      <c r="E41" s="347">
        <f>IF(E45&lt;Opłacalność!$D$5,(E45-Opłacalność!$D$5)*E39,0)</f>
        <v>0</v>
      </c>
      <c r="F41" s="347">
        <f>IF(F45&lt;Opłacalność!$D$5,(F45-Opłacalność!$D$5)*F39,0)</f>
        <v>0</v>
      </c>
      <c r="G41" s="347">
        <f>IF(G45&lt;Opłacalność!$D$5,(G45-Opłacalność!$D$5)*G39,0)</f>
        <v>0</v>
      </c>
      <c r="H41" s="347">
        <f>IF(H45&lt;Opłacalność!$D$5,(H45-Opłacalność!$D$5)*H39,0)</f>
        <v>0</v>
      </c>
      <c r="I41" s="347">
        <f>IF(I45&lt;Opłacalność!$D$5,(I45-Opłacalność!$D$5)*I39,0)</f>
        <v>0</v>
      </c>
      <c r="J41" s="347">
        <f>IF(J45&lt;Opłacalność!$D$5,(J45-Opłacalność!$D$5)*J39,0)</f>
        <v>0</v>
      </c>
      <c r="K41" s="347">
        <f>IF(K45&lt;Opłacalność!$D$5,(K45-Opłacalność!$D$5)*K39,0)</f>
        <v>0</v>
      </c>
      <c r="L41" s="347">
        <f>IF(L45&lt;Opłacalność!$D$5,(L45-Opłacalność!$D$5)*L39,0)</f>
        <v>0</v>
      </c>
      <c r="M41" s="347">
        <f>IF(M45&lt;Opłacalność!$D$5,(M45-Opłacalność!$D$5)*M39,0)</f>
        <v>0</v>
      </c>
      <c r="N41" s="347">
        <f>IF(N45&lt;Opłacalność!$D$5,(N45-Opłacalność!$D$5)*N39,0)</f>
        <v>0</v>
      </c>
      <c r="O41" s="347">
        <f>IF(O45&lt;Opłacalność!$D$5,(O45-Opłacalność!$D$5)*O39,0)</f>
        <v>0</v>
      </c>
      <c r="P41" s="347">
        <f>IF(P45&lt;Opłacalność!$D$5,(P45-Opłacalność!$D$5)*P39,0)</f>
        <v>-147.72984875332921</v>
      </c>
      <c r="Q41" s="347">
        <f>IF(Q45&lt;Opłacalność!$D$5,(Q45-Opłacalność!$D$5)*Q39,0)</f>
        <v>-317.55419101522529</v>
      </c>
      <c r="R41" s="347">
        <f>IF(R45&lt;Opłacalność!$D$5,(R45-Opłacalność!$D$5)*R39,0)</f>
        <v>-537.33483293802215</v>
      </c>
      <c r="S41" s="347">
        <f>IF(S45&lt;Opłacalność!$D$5,(S45-Opłacalność!$D$5)*S39,0)</f>
        <v>-724.56617028175822</v>
      </c>
      <c r="T41" s="347">
        <f>IF(T45&lt;Opłacalność!$D$5,(T45-Opłacalność!$D$5)*T39,0)</f>
        <v>-1005.2567521571125</v>
      </c>
      <c r="U41" s="347">
        <f>IF(U45&lt;Opłacalność!$D$5,(U45-Opłacalność!$D$5)*U39,0)</f>
        <v>-1211.6793015785815</v>
      </c>
      <c r="V41" s="347">
        <f>IF(V45&lt;Opłacalność!$D$5,(V45-Opłacalność!$D$5)*V39,0)</f>
        <v>-1563.457290727561</v>
      </c>
      <c r="W41" s="347">
        <f>IF(W45&lt;Opłacalność!$D$5,(W45-Opłacalność!$D$5)*W39,0)</f>
        <v>-1791.0381514647306</v>
      </c>
      <c r="X41" s="347">
        <f>IF(X45&lt;Opłacalność!$D$5,(X45-Opłacalność!$D$5)*X39,0)</f>
        <v>-2225.527460952595</v>
      </c>
      <c r="Y41" s="347">
        <f>IF(Y45&lt;Opłacalność!$D$5,(Y45-Opłacalność!$D$5)*Y39,0)</f>
        <v>-2476.4353599153301</v>
      </c>
      <c r="Z41" s="347">
        <f>IF(Z45&lt;Opłacalność!$D$5,(Z45-Opłacalność!$D$5)*Z39,0)</f>
        <v>-3006.8959429130614</v>
      </c>
      <c r="AA41" s="347">
        <f>IF(AA45&lt;Opłacalność!$D$5,(AA45-Opłacalność!$D$5)*AA39,0)</f>
        <v>-3283.5219015194771</v>
      </c>
      <c r="AB41" s="347">
        <f>IF(AB45&lt;Opłacalność!$D$5,(AB45-Opłacalność!$D$5)*AB39,0)</f>
        <v>-3925.0630157887899</v>
      </c>
      <c r="AC41" s="343"/>
    </row>
    <row r="42" spans="1:29">
      <c r="A42" s="340"/>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343"/>
      <c r="AB42" s="343"/>
      <c r="AC42" s="343"/>
    </row>
    <row r="43" spans="1:29">
      <c r="A43" s="340"/>
      <c r="B43" s="343"/>
      <c r="C43" s="343">
        <v>1</v>
      </c>
      <c r="D43" s="343">
        <v>2</v>
      </c>
      <c r="E43" s="343">
        <v>3</v>
      </c>
      <c r="F43" s="343">
        <v>4</v>
      </c>
      <c r="G43" s="343">
        <v>5</v>
      </c>
      <c r="H43" s="343">
        <v>6</v>
      </c>
      <c r="I43" s="343">
        <v>7</v>
      </c>
      <c r="J43" s="343">
        <v>8</v>
      </c>
      <c r="K43" s="343">
        <v>9</v>
      </c>
      <c r="L43" s="343">
        <v>10</v>
      </c>
      <c r="M43" s="343">
        <v>11</v>
      </c>
      <c r="N43" s="343">
        <v>12</v>
      </c>
      <c r="O43" s="343">
        <v>13</v>
      </c>
      <c r="P43" s="343">
        <v>14</v>
      </c>
      <c r="Q43" s="343">
        <v>15</v>
      </c>
      <c r="R43" s="343">
        <v>16</v>
      </c>
      <c r="S43" s="343">
        <v>17</v>
      </c>
      <c r="T43" s="343">
        <v>18</v>
      </c>
      <c r="U43" s="343">
        <v>19</v>
      </c>
      <c r="V43" s="343">
        <v>20</v>
      </c>
      <c r="W43" s="343">
        <v>21</v>
      </c>
      <c r="X43" s="343">
        <v>22</v>
      </c>
      <c r="Y43" s="343">
        <v>23</v>
      </c>
      <c r="Z43" s="343">
        <v>24</v>
      </c>
      <c r="AA43" s="343">
        <v>25</v>
      </c>
      <c r="AB43" s="343">
        <v>26</v>
      </c>
      <c r="AC43" s="343"/>
    </row>
    <row r="44" spans="1:29">
      <c r="A44" s="340"/>
      <c r="B44" s="343" t="s">
        <v>1096</v>
      </c>
      <c r="C44" s="349">
        <f>Opłacalność!D18</f>
        <v>13053.6</v>
      </c>
      <c r="D44" s="349">
        <f t="shared" ref="D44:AB44" si="3">$C$44*(1-(D43*0.006))</f>
        <v>12896.9568</v>
      </c>
      <c r="E44" s="349">
        <f t="shared" si="3"/>
        <v>12818.635200000001</v>
      </c>
      <c r="F44" s="349">
        <f t="shared" si="3"/>
        <v>12740.313599999999</v>
      </c>
      <c r="G44" s="349">
        <f t="shared" si="3"/>
        <v>12661.992</v>
      </c>
      <c r="H44" s="349">
        <f t="shared" si="3"/>
        <v>12583.670399999999</v>
      </c>
      <c r="I44" s="349">
        <f t="shared" si="3"/>
        <v>12505.3488</v>
      </c>
      <c r="J44" s="349">
        <f t="shared" si="3"/>
        <v>12427.0272</v>
      </c>
      <c r="K44" s="349">
        <f t="shared" si="3"/>
        <v>12348.705599999999</v>
      </c>
      <c r="L44" s="349">
        <f t="shared" si="3"/>
        <v>12270.384</v>
      </c>
      <c r="M44" s="349">
        <f t="shared" si="3"/>
        <v>12192.062399999999</v>
      </c>
      <c r="N44" s="349">
        <f t="shared" si="3"/>
        <v>12113.7408</v>
      </c>
      <c r="O44" s="349">
        <f t="shared" si="3"/>
        <v>12035.4192</v>
      </c>
      <c r="P44" s="349">
        <f t="shared" si="3"/>
        <v>11957.097600000001</v>
      </c>
      <c r="Q44" s="349">
        <f t="shared" si="3"/>
        <v>11878.776</v>
      </c>
      <c r="R44" s="349">
        <f t="shared" si="3"/>
        <v>11800.454400000001</v>
      </c>
      <c r="S44" s="349">
        <f t="shared" si="3"/>
        <v>11722.132800000001</v>
      </c>
      <c r="T44" s="349">
        <f t="shared" si="3"/>
        <v>11643.8112</v>
      </c>
      <c r="U44" s="349">
        <f t="shared" si="3"/>
        <v>11565.489600000001</v>
      </c>
      <c r="V44" s="349">
        <f t="shared" si="3"/>
        <v>11487.168</v>
      </c>
      <c r="W44" s="349">
        <f t="shared" si="3"/>
        <v>11408.8464</v>
      </c>
      <c r="X44" s="349">
        <f t="shared" si="3"/>
        <v>11330.524800000001</v>
      </c>
      <c r="Y44" s="349">
        <f t="shared" si="3"/>
        <v>11252.2032</v>
      </c>
      <c r="Z44" s="349">
        <f t="shared" si="3"/>
        <v>11173.881600000001</v>
      </c>
      <c r="AA44" s="349">
        <f t="shared" si="3"/>
        <v>11095.56</v>
      </c>
      <c r="AB44" s="349">
        <f t="shared" si="3"/>
        <v>11017.2384</v>
      </c>
      <c r="AC44" s="343"/>
    </row>
    <row r="45" spans="1:29">
      <c r="A45" s="340"/>
      <c r="B45" s="343" t="s">
        <v>1097</v>
      </c>
      <c r="C45" s="349">
        <f>C44-(C44*Opłacalność!$D$19*0.2)</f>
        <v>12270.384</v>
      </c>
      <c r="D45" s="349">
        <f t="shared" ref="D45:AB45" si="4">D44</f>
        <v>12896.9568</v>
      </c>
      <c r="E45" s="349">
        <f t="shared" si="4"/>
        <v>12818.635200000001</v>
      </c>
      <c r="F45" s="349">
        <f t="shared" si="4"/>
        <v>12740.313599999999</v>
      </c>
      <c r="G45" s="349">
        <f t="shared" si="4"/>
        <v>12661.992</v>
      </c>
      <c r="H45" s="349">
        <f t="shared" si="4"/>
        <v>12583.670399999999</v>
      </c>
      <c r="I45" s="349">
        <f t="shared" si="4"/>
        <v>12505.3488</v>
      </c>
      <c r="J45" s="349">
        <f t="shared" si="4"/>
        <v>12427.0272</v>
      </c>
      <c r="K45" s="349">
        <f t="shared" si="4"/>
        <v>12348.705599999999</v>
      </c>
      <c r="L45" s="349">
        <f t="shared" si="4"/>
        <v>12270.384</v>
      </c>
      <c r="M45" s="349">
        <f t="shared" si="4"/>
        <v>12192.062399999999</v>
      </c>
      <c r="N45" s="349">
        <f t="shared" si="4"/>
        <v>12113.7408</v>
      </c>
      <c r="O45" s="349">
        <f t="shared" si="4"/>
        <v>12035.4192</v>
      </c>
      <c r="P45" s="349">
        <f t="shared" si="4"/>
        <v>11957.097600000001</v>
      </c>
      <c r="Q45" s="349">
        <f t="shared" si="4"/>
        <v>11878.776</v>
      </c>
      <c r="R45" s="349">
        <f t="shared" si="4"/>
        <v>11800.454400000001</v>
      </c>
      <c r="S45" s="349">
        <f t="shared" si="4"/>
        <v>11722.132800000001</v>
      </c>
      <c r="T45" s="349">
        <f t="shared" si="4"/>
        <v>11643.8112</v>
      </c>
      <c r="U45" s="349">
        <f t="shared" si="4"/>
        <v>11565.489600000001</v>
      </c>
      <c r="V45" s="349">
        <f t="shared" si="4"/>
        <v>11487.168</v>
      </c>
      <c r="W45" s="349">
        <f t="shared" si="4"/>
        <v>11408.8464</v>
      </c>
      <c r="X45" s="349">
        <f t="shared" si="4"/>
        <v>11330.524800000001</v>
      </c>
      <c r="Y45" s="349">
        <f t="shared" si="4"/>
        <v>11252.2032</v>
      </c>
      <c r="Z45" s="349">
        <f t="shared" si="4"/>
        <v>11173.881600000001</v>
      </c>
      <c r="AA45" s="349">
        <f t="shared" si="4"/>
        <v>11095.56</v>
      </c>
      <c r="AB45" s="349">
        <f t="shared" si="4"/>
        <v>11017.2384</v>
      </c>
      <c r="AC45" s="343"/>
    </row>
    <row r="46" spans="1:29">
      <c r="A46" s="340"/>
      <c r="B46" s="343" t="s">
        <v>1098</v>
      </c>
      <c r="C46" s="349"/>
      <c r="D46" s="350">
        <f>(D44*Opłacalność!$D$19*'Listy Rozwijane'!D39)</f>
        <v>4671.4886854674642</v>
      </c>
      <c r="E46" s="350">
        <f>(E44*Opłacalność!$D$19*'Listy Rozwijane'!E39)</f>
        <v>4643.1193209808198</v>
      </c>
      <c r="F46" s="350">
        <f>(F44*Opłacalność!$D$19*'Listy Rozwijane'!F39)</f>
        <v>5087.7618270348285</v>
      </c>
      <c r="G46" s="350">
        <f>(G44*Opłacalność!$D$19*'Listy Rozwijane'!G39)</f>
        <v>5056.4846026883033</v>
      </c>
      <c r="H46" s="350">
        <f>(H44*Opłacalność!$D$19*'Listy Rozwijane'!H39)</f>
        <v>5540.2911346218079</v>
      </c>
      <c r="I46" s="350">
        <f>(I44*Opłacalność!$D$19*'Listy Rozwijane'!I39)</f>
        <v>5505.8079947797642</v>
      </c>
      <c r="J46" s="350">
        <f>(J44*Opłacalność!$D$19*'Listy Rozwijane'!J39)</f>
        <v>6032.1356525688361</v>
      </c>
      <c r="K46" s="350">
        <f>(K44*Opłacalność!$D$19*'Listy Rozwijane'!K39)</f>
        <v>5994.1179908929817</v>
      </c>
      <c r="L46" s="350">
        <f>(L44*Opłacalność!$D$19*'Listy Rozwijane'!L39)</f>
        <v>6566.6006129618845</v>
      </c>
      <c r="M46" s="350">
        <f>(M44*Opłacalność!$D$19*'Listy Rozwijane'!M39)</f>
        <v>6524.6861409642552</v>
      </c>
      <c r="N46" s="350">
        <f>(N44*Opłacalność!$D$19*'Listy Rozwijane'!N39)</f>
        <v>7147.2557650357048</v>
      </c>
      <c r="O46" s="350">
        <f>(O44*Opłacalność!$D$19*'Listy Rozwijane'!O39)</f>
        <v>7101.0450596583187</v>
      </c>
      <c r="P46" s="350">
        <f>(P44*Opłacalność!$D$19*'Listy Rozwijane'!P39)</f>
        <v>7777.9548755947289</v>
      </c>
      <c r="Q46" s="350">
        <f>(Q44*Opłacalność!$D$19*'Listy Rozwijane'!Q39)</f>
        <v>7727.0075729161608</v>
      </c>
      <c r="R46" s="350">
        <f>(R44*Opłacalność!$D$19*'Listy Rozwijane'!R39)</f>
        <v>8462.856447936947</v>
      </c>
      <c r="S46" s="350">
        <f>(S44*Opłacalność!$D$19*'Listy Rozwijane'!S39)</f>
        <v>8406.6870467338267</v>
      </c>
      <c r="T46" s="350">
        <f>(T44*Opłacalność!$D$19*'Listy Rozwijane'!T39)</f>
        <v>9206.4457041976038</v>
      </c>
      <c r="U46" s="350">
        <f>(U44*Opłacalność!$D$19*'Listy Rozwijane'!U39)</f>
        <v>9144.5189393711626</v>
      </c>
      <c r="V46" s="350">
        <f>(V44*Opłacalność!$D$19*'Listy Rozwijane'!V39)</f>
        <v>10013.557872435555</v>
      </c>
      <c r="W46" s="350">
        <f>(W44*Opłacalność!$D$19*'Listy Rozwijane'!W39)</f>
        <v>9945.2836142144024</v>
      </c>
      <c r="X46" s="350">
        <f>(X44*Opłacalność!$D$19*'Listy Rozwijane'!X39)</f>
        <v>10889.402814982559</v>
      </c>
      <c r="Y46" s="350">
        <f>(Y44*Opłacalność!$D$19*'Listy Rozwijane'!Y39)</f>
        <v>10814.130445293738</v>
      </c>
      <c r="Z46" s="350">
        <f>(Z44*Opłacalność!$D$19*'Listy Rozwijane'!Z39)</f>
        <v>11839.591028354424</v>
      </c>
      <c r="AA46" s="350">
        <f>(AA44*Opłacalność!$D$19*'Listy Rozwijane'!AA39)</f>
        <v>11756.6032407725</v>
      </c>
      <c r="AB46" s="350">
        <f>(AB44*Opłacalność!$D$19*'Listy Rozwijane'!AB39)</f>
        <v>12870.161037142612</v>
      </c>
      <c r="AC46" s="343"/>
    </row>
    <row r="47" spans="1:29">
      <c r="A47" s="340"/>
      <c r="B47" s="343" t="s">
        <v>1099</v>
      </c>
      <c r="C47" s="343"/>
      <c r="D47" s="350">
        <f>(D44*(1-Opłacalność!$D$19)*(Opłacalność!$D$22*((1+Opłacalność!$E$27)^(C$29-1))))</f>
        <v>5416.7218559999992</v>
      </c>
      <c r="E47" s="350">
        <f>(E44*(1-Opłacalność!$D$19)*(Opłacalność!$D$22*((1+Opłacalność!$E$27)^(D$29-1))))</f>
        <v>5653.0181232000004</v>
      </c>
      <c r="F47" s="350">
        <f>(F44*(1-Opłacalność!$D$19)*(Opłacalność!$D$22*((1+Opłacalność!$E$27)^(E$29-1))))</f>
        <v>5899.4022124799985</v>
      </c>
      <c r="G47" s="350">
        <f>(G44*(1-Opłacalność!$D$19)*(Opłacalność!$D$22*((1+Opłacalność!$E$27)^(F$29-1))))</f>
        <v>6156.2921653800004</v>
      </c>
      <c r="H47" s="350">
        <f>(H44*(1-Opłacalność!$D$19)*(Opłacalność!$D$22*((1+Opłacalność!$E$27)^(G$29-1))))</f>
        <v>6424.1226080387987</v>
      </c>
      <c r="I47" s="350">
        <f>(I44*(1-Opłacalność!$D$19)*(Opłacalność!$D$22*((1+Opłacalność!$E$27)^(H$29-1))))</f>
        <v>6703.3453645500294</v>
      </c>
      <c r="J47" s="350">
        <f>(J44*(1-Opłacalność!$D$19)*(Opłacalność!$D$22*((1+Opłacalność!$E$27)^(I$29-1))))</f>
        <v>6994.4300901922843</v>
      </c>
      <c r="K47" s="350">
        <f>(K44*(1-Opłacalność!$D$19)*(Opłacalność!$D$22*((1+Opłacalność!$E$27)^(J$29-1))))</f>
        <v>7297.8649249873934</v>
      </c>
      <c r="L47" s="350">
        <f>(L44*(1-Opłacalność!$D$19)*(Opłacalność!$D$22*((1+Opłacalność!$E$27)^(K$29-1))))</f>
        <v>7614.1571680365287</v>
      </c>
      <c r="M47" s="350">
        <f>(M44*(1-Opłacalność!$D$19)*(Opłacalność!$D$22*((1+Opłacalność!$E$27)^(L$29-1))))</f>
        <v>7943.8339730781099</v>
      </c>
      <c r="N47" s="350">
        <f>(N44*(1-Opłacalność!$D$19)*(Opłacalność!$D$22*((1+Opłacalność!$E$27)^(M$29-1))))</f>
        <v>8287.4430657037574</v>
      </c>
      <c r="O47" s="350">
        <f>(O44*(1-Opłacalność!$D$19)*(Opłacalność!$D$22*((1+Opłacalność!$E$27)^(N$29-1))))</f>
        <v>8645.5534826592775</v>
      </c>
      <c r="P47" s="350">
        <f>(P44*(1-Opłacalność!$D$19)*(Opłacalność!$D$22*((1+Opłacalność!$E$27)^(O$29-1))))</f>
        <v>9018.7563336460862</v>
      </c>
      <c r="Q47" s="350">
        <f>(Q44*(1-Opłacalność!$D$19)*(Opłacalność!$D$22*((1+Opłacalność!$E$27)^(P$29-1))))</f>
        <v>9407.6655860249302</v>
      </c>
      <c r="R47" s="350">
        <f>(R44*(1-Opłacalność!$D$19)*(Opłacalność!$D$22*((1+Opłacalność!$E$27)^(Q$29-1))))</f>
        <v>9812.9188728075424</v>
      </c>
      <c r="S47" s="350">
        <f>(S44*(1-Opłacalność!$D$19)*(Opłacalność!$D$22*((1+Opłacalność!$E$27)^(R$29-1))))</f>
        <v>10235.178324303357</v>
      </c>
      <c r="T47" s="350">
        <f>(T44*(1-Opłacalność!$D$19)*(Opłacalność!$D$22*((1+Opłacalność!$E$27)^(S$29-1))))</f>
        <v>10675.131423766728</v>
      </c>
      <c r="U47" s="350">
        <f>(U44*(1-Opłacalność!$D$19)*(Opłacalność!$D$22*((1+Opłacalność!$E$27)^(T$29-1))))</f>
        <v>11133.491887365682</v>
      </c>
      <c r="V47" s="350">
        <f>(V44*(1-Opłacalność!$D$19)*(Opłacalność!$D$22*((1+Opłacalność!$E$27)^(U$29-1))))</f>
        <v>11611.000568765114</v>
      </c>
      <c r="W47" s="350">
        <f>(W44*(1-Opłacalność!$D$19)*(Opłacalność!$D$22*((1+Opłacalność!$E$27)^(V$29-1))))</f>
        <v>12108.426388586075</v>
      </c>
      <c r="X47" s="350">
        <f>(X44*(1-Opłacalność!$D$19)*(Opłacalność!$D$22*((1+Opłacalność!$E$27)^(W$29-1))))</f>
        <v>12626.567288967217</v>
      </c>
      <c r="Y47" s="350">
        <f>(Y44*(1-Opłacalność!$D$19)*(Opłacalność!$D$22*((1+Opłacalność!$E$27)^(X$29-1))))</f>
        <v>13166.251213415009</v>
      </c>
      <c r="Z47" s="350">
        <f>(Z44*(1-Opłacalność!$D$19)*(Opłacalność!$D$22*((1+Opłacalność!$E$27)^(Y$29-1))))</f>
        <v>13728.337112085163</v>
      </c>
      <c r="AA47" s="350">
        <f>(AA44*(1-Opłacalność!$D$19)*(Opłacalność!$D$22*((1+Opłacalność!$E$27)^(Z$29-1))))</f>
        <v>14313.715972588794</v>
      </c>
      <c r="AB47" s="350">
        <f>(AB44*(1-Opłacalność!$D$19)*(Opłacalność!$D$22*((1+Opłacalność!$E$27)^(AA$29-1))))</f>
        <v>14923.311876362575</v>
      </c>
      <c r="AC47" s="343"/>
    </row>
    <row r="48" spans="1:29">
      <c r="A48" s="340"/>
      <c r="B48" s="343"/>
      <c r="C48" s="343">
        <f>(Opłacalność!$D$5-(Opłacalność!$D$5*Opłacalność!$D$19))*'Listy Rozwijane'!C40</f>
        <v>7155.011493</v>
      </c>
      <c r="D48" s="350">
        <f>(Opłacalność!$D$5-(Opłacalność!$D$5*Opłacalność!$D$19))*'Listy Rozwijane'!D40</f>
        <v>7512.7620676499992</v>
      </c>
      <c r="E48" s="343">
        <f>(Opłacalność!$D$5-(Opłacalność!$D$5*Opłacalność!$D$19))*'Listy Rozwijane'!E40</f>
        <v>7888.4001710324992</v>
      </c>
      <c r="F48" s="350">
        <f>(Opłacalność!$D$5-(Opłacalność!$D$5*Opłacalność!$D$19))*'Listy Rozwijane'!F40</f>
        <v>8282.8201795841251</v>
      </c>
      <c r="G48" s="343">
        <f>(Opłacalność!$D$5-(Opłacalność!$D$5*Opłacalność!$D$19))*'Listy Rozwijane'!G40</f>
        <v>8696.9611885633312</v>
      </c>
      <c r="H48" s="350">
        <f>(Opłacalność!$D$5-(Opłacalność!$D$5*Opłacalność!$D$19))*'Listy Rozwijane'!H40</f>
        <v>9131.8092479914994</v>
      </c>
      <c r="I48" s="343">
        <f>(Opłacalność!$D$5-(Opłacalność!$D$5*Opłacalność!$D$19))*'Listy Rozwijane'!I40</f>
        <v>9588.3997103910715</v>
      </c>
      <c r="J48" s="350">
        <f>(Opłacalność!$D$5-(Opłacalność!$D$5*Opłacalność!$D$19))*'Listy Rozwijane'!J40</f>
        <v>10067.819695910626</v>
      </c>
      <c r="K48" s="343">
        <f>(Opłacalność!$D$5-(Opłacalność!$D$5*Opłacalność!$D$19))*'Listy Rozwijane'!K40</f>
        <v>10571.210680706157</v>
      </c>
      <c r="L48" s="350">
        <f>(Opłacalność!$D$5-(Opłacalność!$D$5*Opłacalność!$D$19))*'Listy Rozwijane'!L40</f>
        <v>11099.771214741466</v>
      </c>
      <c r="M48" s="343">
        <f>(Opłacalność!$D$5-(Opłacalność!$D$5*Opłacalność!$D$19))*'Listy Rozwijane'!M40</f>
        <v>11654.759775478538</v>
      </c>
      <c r="N48" s="350">
        <f>(Opłacalność!$D$5-(Opłacalność!$D$5*Opłacalność!$D$19))*'Listy Rozwijane'!N40</f>
        <v>12237.497764252466</v>
      </c>
      <c r="O48" s="343">
        <f>(Opłacalność!$D$5-(Opłacalność!$D$5*Opłacalność!$D$19))*'Listy Rozwijane'!O40</f>
        <v>12849.372652465088</v>
      </c>
      <c r="P48" s="350">
        <f>(Opłacalność!$D$5-(Opłacalność!$D$5*Opłacalność!$D$19))*'Listy Rozwijane'!P40</f>
        <v>13491.841285088347</v>
      </c>
      <c r="Q48" s="343">
        <f>(Opłacalność!$D$5-(Opłacalność!$D$5*Opłacalność!$D$19))*'Listy Rozwijane'!Q40</f>
        <v>14166.43334934276</v>
      </c>
      <c r="R48" s="350">
        <f>(Opłacalność!$D$5-(Opłacalność!$D$5*Opłacalność!$D$19))*'Listy Rozwijane'!R40</f>
        <v>14874.755016809902</v>
      </c>
      <c r="S48" s="343">
        <f>(Opłacalność!$D$5-(Opłacalność!$D$5*Opłacalność!$D$19))*'Listy Rozwijane'!S40</f>
        <v>15618.492767650396</v>
      </c>
      <c r="T48" s="350">
        <f>(Opłacalność!$D$5-(Opłacalność!$D$5*Opłacalność!$D$19))*'Listy Rozwijane'!T40</f>
        <v>16399.417406032917</v>
      </c>
      <c r="U48" s="343">
        <f>(Opłacalność!$D$5-(Opłacalność!$D$5*Opłacalność!$D$19))*'Listy Rozwijane'!U40</f>
        <v>17219.388276334565</v>
      </c>
      <c r="V48" s="350">
        <f>(Opłacalność!$D$5-(Opłacalność!$D$5*Opłacalność!$D$19))*'Listy Rozwijane'!V40</f>
        <v>18080.35769015129</v>
      </c>
      <c r="W48" s="343">
        <f>(Opłacalność!$D$5-(Opłacalność!$D$5*Opłacalność!$D$19))*'Listy Rozwijane'!W40</f>
        <v>18984.375574658854</v>
      </c>
      <c r="X48" s="350">
        <f>(Opłacalność!$D$5-(Opłacalność!$D$5*Opłacalność!$D$19))*'Listy Rozwijane'!X40</f>
        <v>19933.5943533918</v>
      </c>
      <c r="Y48" s="343">
        <f>(Opłacalność!$D$5-(Opłacalność!$D$5*Opłacalność!$D$19))*'Listy Rozwijane'!Y40</f>
        <v>20930.274071061387</v>
      </c>
      <c r="Z48" s="350">
        <f>(Opłacalność!$D$5-(Opłacalność!$D$5*Opłacalność!$D$19))*'Listy Rozwijane'!Z40</f>
        <v>21976.787774614459</v>
      </c>
      <c r="AA48" s="343">
        <f>(Opłacalność!$D$5-(Opłacalność!$D$5*Opłacalność!$D$19))*'Listy Rozwijane'!AA40</f>
        <v>23075.627163345183</v>
      </c>
      <c r="AB48" s="350">
        <f>(Opłacalność!$D$5-(Opłacalność!$D$5*Opłacalność!$D$19))*'Listy Rozwijane'!AB40</f>
        <v>24229.40852151244</v>
      </c>
      <c r="AC48" s="343"/>
    </row>
    <row r="49" spans="1:29">
      <c r="A49" s="340"/>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c r="AA49" s="343"/>
      <c r="AB49" s="343"/>
      <c r="AC49" s="343"/>
    </row>
    <row r="50" spans="1:29">
      <c r="A50" s="340"/>
      <c r="B50" s="343"/>
      <c r="C50" s="347">
        <f t="shared" ref="C50:S50" si="5">C37/1000</f>
        <v>-69.3</v>
      </c>
      <c r="D50" s="347">
        <f t="shared" si="5"/>
        <v>-59.274835199999998</v>
      </c>
      <c r="E50" s="347">
        <f t="shared" si="5"/>
        <v>-48.978697755819177</v>
      </c>
      <c r="F50" s="347">
        <f t="shared" si="5"/>
        <v>-37.991533716304353</v>
      </c>
      <c r="G50" s="347">
        <f t="shared" si="5"/>
        <v>-26.778756948236047</v>
      </c>
      <c r="H50" s="347">
        <f t="shared" si="5"/>
        <v>-14.814343205575442</v>
      </c>
      <c r="I50" s="347">
        <f t="shared" si="5"/>
        <v>-2.6051898462456484</v>
      </c>
      <c r="J50" s="347">
        <f t="shared" si="5"/>
        <v>10.421375896515473</v>
      </c>
      <c r="K50" s="347">
        <f t="shared" si="5"/>
        <v>23.713358812395846</v>
      </c>
      <c r="L50" s="347">
        <f t="shared" si="5"/>
        <v>37.894116593394259</v>
      </c>
      <c r="M50" s="347">
        <f t="shared" si="5"/>
        <v>52.362636707436629</v>
      </c>
      <c r="N50" s="347">
        <f t="shared" si="5"/>
        <v>67.797335538176085</v>
      </c>
      <c r="O50" s="347">
        <f t="shared" si="5"/>
        <v>83.543934080493699</v>
      </c>
      <c r="P50" s="347">
        <f t="shared" si="5"/>
        <v>100.48837513848783</v>
      </c>
      <c r="Q50" s="347">
        <f t="shared" si="5"/>
        <v>117.94060248844414</v>
      </c>
      <c r="R50" s="347">
        <f t="shared" si="5"/>
        <v>136.75371264212663</v>
      </c>
      <c r="S50" s="347">
        <f t="shared" si="5"/>
        <v>156.12014418344557</v>
      </c>
      <c r="T50" s="343"/>
      <c r="U50" s="343"/>
      <c r="V50" s="343"/>
      <c r="W50" s="343"/>
      <c r="X50" s="343"/>
      <c r="Y50" s="343"/>
      <c r="Z50" s="343"/>
      <c r="AA50" s="343"/>
      <c r="AB50" s="343"/>
      <c r="AC50" s="343"/>
    </row>
    <row r="51" spans="1:29">
      <c r="A51" s="340"/>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c r="AA51" s="343"/>
      <c r="AB51" s="343"/>
      <c r="AC51" s="343"/>
    </row>
    <row r="52" spans="1:29">
      <c r="A52" s="340"/>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c r="AA52" s="343"/>
      <c r="AB52" s="343"/>
      <c r="AC52" s="343"/>
    </row>
    <row r="53" spans="1:29">
      <c r="A53" s="340"/>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c r="AA53" s="343"/>
      <c r="AB53" s="343"/>
      <c r="AC53" s="343"/>
    </row>
    <row r="54" spans="1:29">
      <c r="A54" s="340"/>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row>
    <row r="55" spans="1:29">
      <c r="A55" s="340"/>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c r="AA55" s="343"/>
      <c r="AB55" s="343"/>
      <c r="AC55" s="343"/>
    </row>
    <row r="56" spans="1:29">
      <c r="A56" s="340"/>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c r="AA56" s="343"/>
      <c r="AB56" s="343"/>
      <c r="AC56" s="343"/>
    </row>
    <row r="57" spans="1:29">
      <c r="A57" s="340"/>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3"/>
      <c r="AC57" s="343"/>
    </row>
    <row r="58" spans="1:29">
      <c r="A58" s="340"/>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c r="AA58" s="343"/>
      <c r="AB58" s="343"/>
      <c r="AC58" s="343"/>
    </row>
    <row r="59" spans="1:29">
      <c r="A59" s="340"/>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c r="AA59" s="343"/>
      <c r="AB59" s="343"/>
      <c r="AC59" s="343"/>
    </row>
    <row r="60" spans="1:29">
      <c r="A60" s="340"/>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c r="AA60" s="343"/>
      <c r="AB60" s="343"/>
      <c r="AC60" s="343"/>
    </row>
    <row r="61" spans="1:29">
      <c r="A61" s="340"/>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c r="AA61" s="343"/>
      <c r="AB61" s="343"/>
      <c r="AC61" s="343"/>
    </row>
    <row r="62" spans="1:29">
      <c r="A62" s="340"/>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c r="AA62" s="343"/>
      <c r="AB62" s="343"/>
      <c r="AC62" s="343"/>
    </row>
    <row r="63" spans="1:29">
      <c r="A63" s="340"/>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c r="AA63" s="343"/>
      <c r="AB63" s="343"/>
      <c r="AC63" s="343"/>
    </row>
    <row r="64" spans="1:29">
      <c r="A64" s="340"/>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3"/>
      <c r="AC64" s="343"/>
    </row>
    <row r="65" spans="1:29">
      <c r="A65" s="340"/>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c r="AA65" s="343"/>
      <c r="AB65" s="343"/>
      <c r="AC65" s="343"/>
    </row>
    <row r="66" spans="1:29">
      <c r="A66" s="340"/>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row>
    <row r="67" spans="1:29">
      <c r="A67" s="340"/>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row>
    <row r="68" spans="1:29">
      <c r="A68" s="340"/>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c r="AA68" s="343"/>
      <c r="AB68" s="343"/>
      <c r="AC68" s="343"/>
    </row>
    <row r="69" spans="1:29">
      <c r="A69" s="340"/>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row>
    <row r="70" spans="1:29">
      <c r="A70" s="340"/>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row>
    <row r="71" spans="1:29">
      <c r="A71" s="340"/>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c r="AA71" s="343"/>
      <c r="AB71" s="343"/>
      <c r="AC71" s="343"/>
    </row>
    <row r="72" spans="1:29">
      <c r="A72" s="340"/>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row>
    <row r="73" spans="1:29">
      <c r="A73" s="340"/>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row>
    <row r="74" spans="1:29">
      <c r="A74" s="340"/>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c r="AA74" s="343"/>
      <c r="AB74" s="343"/>
      <c r="AC74" s="343"/>
    </row>
    <row r="75" spans="1:29">
      <c r="A75" s="340"/>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row>
    <row r="76" spans="1:29">
      <c r="A76" s="340"/>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row>
    <row r="77" spans="1:29">
      <c r="A77" s="340"/>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c r="AA77" s="343"/>
      <c r="AB77" s="343"/>
      <c r="AC77" s="343"/>
    </row>
    <row r="78" spans="1:29">
      <c r="A78" s="340"/>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row>
    <row r="79" spans="1:29">
      <c r="A79" s="340"/>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row>
    <row r="80" spans="1:29">
      <c r="A80" s="340"/>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c r="AA80" s="343"/>
      <c r="AB80" s="343"/>
      <c r="AC80" s="343"/>
    </row>
    <row r="81" spans="1:29">
      <c r="A81" s="340"/>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row>
    <row r="82" spans="1:29">
      <c r="A82" s="340"/>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c r="AA82" s="343"/>
      <c r="AB82" s="343"/>
      <c r="AC82" s="343"/>
    </row>
    <row r="83" spans="1:29">
      <c r="A83" s="340"/>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row>
    <row r="84" spans="1:29">
      <c r="A84" s="340"/>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343"/>
      <c r="AB84" s="343"/>
      <c r="AC84" s="343"/>
    </row>
    <row r="85" spans="1:29">
      <c r="A85" s="340"/>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row>
    <row r="86" spans="1:29">
      <c r="A86" s="340"/>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c r="AA86" s="343"/>
      <c r="AB86" s="343"/>
      <c r="AC86" s="343"/>
    </row>
    <row r="87" spans="1:29">
      <c r="A87" s="340"/>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c r="AA87" s="343"/>
      <c r="AB87" s="343"/>
      <c r="AC87" s="343"/>
    </row>
    <row r="88" spans="1:29">
      <c r="A88" s="340"/>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c r="AA88" s="343"/>
      <c r="AB88" s="343"/>
      <c r="AC88" s="343"/>
    </row>
    <row r="89" spans="1:29">
      <c r="A89" s="340"/>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row>
    <row r="90" spans="1:29">
      <c r="A90" s="340"/>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c r="AA90" s="343"/>
      <c r="AB90" s="343"/>
      <c r="AC90" s="343"/>
    </row>
    <row r="91" spans="1:29">
      <c r="A91" s="340"/>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c r="AA91" s="343"/>
      <c r="AB91" s="343"/>
      <c r="AC91" s="343"/>
    </row>
    <row r="92" spans="1:29">
      <c r="A92" s="340"/>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c r="AA92" s="343"/>
      <c r="AB92" s="343"/>
      <c r="AC92" s="343"/>
    </row>
    <row r="93" spans="1:29">
      <c r="A93" s="340"/>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c r="AA93" s="343"/>
      <c r="AB93" s="343"/>
      <c r="AC93" s="343"/>
    </row>
    <row r="94" spans="1:29">
      <c r="A94" s="340"/>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c r="AA94" s="343"/>
      <c r="AB94" s="343"/>
      <c r="AC94" s="343"/>
    </row>
    <row r="95" spans="1:29">
      <c r="A95" s="340"/>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c r="AA95" s="343"/>
      <c r="AB95" s="343"/>
      <c r="AC95" s="343"/>
    </row>
    <row r="96" spans="1:29">
      <c r="A96" s="340"/>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c r="AA96" s="343"/>
      <c r="AB96" s="343"/>
      <c r="AC96" s="343"/>
    </row>
    <row r="97" spans="1:29">
      <c r="A97" s="340"/>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c r="AA97" s="343"/>
      <c r="AB97" s="343"/>
      <c r="AC97" s="343"/>
    </row>
    <row r="98" spans="1:29">
      <c r="A98" s="340"/>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c r="AA98" s="343"/>
      <c r="AB98" s="343"/>
      <c r="AC98" s="343"/>
    </row>
    <row r="99" spans="1:29">
      <c r="A99" s="340"/>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c r="AA99" s="343"/>
      <c r="AB99" s="343"/>
      <c r="AC99" s="343"/>
    </row>
    <row r="100" spans="1:29">
      <c r="A100" s="340"/>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c r="AA100" s="343"/>
      <c r="AB100" s="343"/>
      <c r="AC100" s="343"/>
    </row>
    <row r="101" spans="1:29">
      <c r="A101" s="340"/>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c r="AA101" s="343"/>
      <c r="AB101" s="343"/>
      <c r="AC101" s="343"/>
    </row>
    <row r="102" spans="1:29">
      <c r="A102" s="340"/>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c r="AA102" s="343"/>
      <c r="AB102" s="343"/>
      <c r="AC102" s="343"/>
    </row>
    <row r="103" spans="1:29">
      <c r="A103" s="340"/>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c r="AA103" s="343"/>
      <c r="AB103" s="343"/>
      <c r="AC103" s="343"/>
    </row>
    <row r="104" spans="1:29">
      <c r="A104" s="340"/>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c r="AA104" s="343"/>
      <c r="AB104" s="343"/>
      <c r="AC104" s="343"/>
    </row>
    <row r="105" spans="1:29">
      <c r="A105" s="340"/>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c r="AA105" s="343"/>
      <c r="AB105" s="343"/>
      <c r="AC105" s="343"/>
    </row>
    <row r="106" spans="1:29">
      <c r="A106" s="340"/>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c r="AA106" s="343"/>
      <c r="AB106" s="343"/>
      <c r="AC106" s="343"/>
    </row>
    <row r="107" spans="1:29">
      <c r="A107" s="340"/>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c r="AA107" s="343"/>
      <c r="AB107" s="343"/>
      <c r="AC107" s="343"/>
    </row>
    <row r="108" spans="1:29">
      <c r="A108" s="340"/>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c r="AA108" s="343"/>
      <c r="AB108" s="343"/>
      <c r="AC108" s="343"/>
    </row>
    <row r="109" spans="1:29">
      <c r="A109" s="340"/>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c r="AA109" s="343"/>
      <c r="AB109" s="343"/>
      <c r="AC109" s="343"/>
    </row>
    <row r="110" spans="1:29">
      <c r="A110" s="340"/>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c r="AA110" s="343"/>
      <c r="AB110" s="343"/>
      <c r="AC110" s="343"/>
    </row>
    <row r="111" spans="1:29">
      <c r="A111" s="340"/>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c r="AA111" s="343"/>
      <c r="AB111" s="343"/>
      <c r="AC111" s="343"/>
    </row>
    <row r="112" spans="1:29">
      <c r="A112" s="340"/>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c r="AA112" s="343"/>
      <c r="AB112" s="343"/>
      <c r="AC112" s="343"/>
    </row>
    <row r="113" spans="1:29">
      <c r="A113" s="340"/>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c r="AA113" s="343"/>
      <c r="AB113" s="343"/>
      <c r="AC113" s="343"/>
    </row>
    <row r="114" spans="1:29">
      <c r="A114" s="340"/>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c r="AA114" s="343"/>
      <c r="AB114" s="343"/>
      <c r="AC114" s="343"/>
    </row>
    <row r="115" spans="1:29">
      <c r="A115" s="340"/>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c r="AA115" s="343"/>
      <c r="AB115" s="343"/>
      <c r="AC115" s="343"/>
    </row>
    <row r="116" spans="1:29">
      <c r="A116" s="340"/>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c r="AA116" s="343"/>
      <c r="AB116" s="343"/>
      <c r="AC116" s="343"/>
    </row>
    <row r="117" spans="1:29">
      <c r="A117" s="340"/>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c r="AA117" s="343"/>
      <c r="AB117" s="343"/>
      <c r="AC117" s="343"/>
    </row>
    <row r="118" spans="1:29">
      <c r="A118" s="340"/>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c r="AA118" s="343"/>
      <c r="AB118" s="343"/>
      <c r="AC118" s="343"/>
    </row>
    <row r="119" spans="1:29">
      <c r="A119" s="340"/>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c r="AA119" s="343"/>
      <c r="AB119" s="343"/>
      <c r="AC119" s="343"/>
    </row>
    <row r="120" spans="1:29">
      <c r="A120" s="340"/>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c r="AA120" s="343"/>
      <c r="AB120" s="343"/>
      <c r="AC120" s="343"/>
    </row>
    <row r="121" spans="1:29">
      <c r="A121" s="340"/>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c r="AA121" s="343"/>
      <c r="AB121" s="343"/>
      <c r="AC121" s="343"/>
    </row>
    <row r="122" spans="1:29">
      <c r="A122" s="340"/>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c r="AA122" s="343"/>
      <c r="AB122" s="343"/>
      <c r="AC122" s="343"/>
    </row>
    <row r="123" spans="1:29">
      <c r="A123" s="340"/>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c r="AA123" s="343"/>
      <c r="AB123" s="343"/>
      <c r="AC123" s="343"/>
    </row>
    <row r="124" spans="1:29">
      <c r="A124" s="340"/>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c r="AA124" s="343"/>
      <c r="AB124" s="343"/>
      <c r="AC124" s="343"/>
    </row>
    <row r="125" spans="1:29">
      <c r="A125" s="340"/>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c r="AA125" s="343"/>
      <c r="AB125" s="343"/>
      <c r="AC125" s="343"/>
    </row>
    <row r="126" spans="1:29">
      <c r="A126" s="340"/>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c r="AA126" s="343"/>
      <c r="AB126" s="343"/>
      <c r="AC126" s="343"/>
    </row>
    <row r="127" spans="1:29">
      <c r="A127" s="340"/>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c r="AA127" s="343"/>
      <c r="AB127" s="343"/>
      <c r="AC127" s="343"/>
    </row>
    <row r="128" spans="1:29">
      <c r="A128" s="340"/>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c r="AA128" s="343"/>
      <c r="AB128" s="343"/>
      <c r="AC128" s="343"/>
    </row>
    <row r="129" spans="1:29">
      <c r="A129" s="340"/>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c r="AA129" s="343"/>
      <c r="AB129" s="343"/>
      <c r="AC129" s="343"/>
    </row>
    <row r="130" spans="1:29">
      <c r="A130" s="340"/>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c r="AA130" s="343"/>
      <c r="AB130" s="343"/>
      <c r="AC130" s="343"/>
    </row>
    <row r="131" spans="1:29">
      <c r="A131" s="340"/>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c r="AA131" s="343"/>
      <c r="AB131" s="343"/>
      <c r="AC131" s="343"/>
    </row>
    <row r="132" spans="1:29">
      <c r="A132" s="340"/>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c r="AA132" s="343"/>
      <c r="AB132" s="343"/>
      <c r="AC132" s="343"/>
    </row>
    <row r="133" spans="1:29">
      <c r="A133" s="340"/>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c r="AA133" s="343"/>
      <c r="AB133" s="343"/>
      <c r="AC133" s="343"/>
    </row>
    <row r="134" spans="1:29">
      <c r="A134" s="340"/>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c r="AA134" s="343"/>
      <c r="AB134" s="343"/>
      <c r="AC134" s="343"/>
    </row>
    <row r="135" spans="1:29">
      <c r="A135" s="340"/>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c r="AA135" s="343"/>
      <c r="AB135" s="343"/>
      <c r="AC135" s="343"/>
    </row>
    <row r="136" spans="1:29">
      <c r="A136" s="340"/>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c r="AA136" s="343"/>
      <c r="AB136" s="343"/>
      <c r="AC136" s="343"/>
    </row>
    <row r="137" spans="1:29">
      <c r="A137" s="340"/>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c r="AA137" s="343"/>
      <c r="AB137" s="343"/>
      <c r="AC137" s="343"/>
    </row>
    <row r="138" spans="1:29">
      <c r="A138" s="340"/>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c r="AA138" s="343"/>
      <c r="AB138" s="343"/>
      <c r="AC138" s="343"/>
    </row>
    <row r="139" spans="1:29">
      <c r="A139" s="340"/>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c r="AA139" s="343"/>
      <c r="AB139" s="343"/>
      <c r="AC139" s="343"/>
    </row>
    <row r="140" spans="1:29">
      <c r="A140" s="340"/>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c r="AA140" s="343"/>
      <c r="AB140" s="343"/>
      <c r="AC140" s="343"/>
    </row>
    <row r="141" spans="1:29">
      <c r="A141" s="340"/>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c r="AA141" s="343"/>
      <c r="AB141" s="343"/>
      <c r="AC141" s="343"/>
    </row>
    <row r="142" spans="1:29">
      <c r="A142" s="340"/>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row>
    <row r="143" spans="1:29">
      <c r="A143" s="340"/>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c r="AA143" s="343"/>
      <c r="AB143" s="343"/>
      <c r="AC143" s="343"/>
    </row>
    <row r="144" spans="1:29">
      <c r="A144" s="340"/>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c r="AA144" s="343"/>
      <c r="AB144" s="343"/>
      <c r="AC144" s="343"/>
    </row>
    <row r="145" spans="1:29">
      <c r="A145" s="340"/>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c r="AA145" s="343"/>
      <c r="AB145" s="343"/>
      <c r="AC145" s="343"/>
    </row>
    <row r="146" spans="1:29">
      <c r="A146" s="340"/>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c r="AA146" s="343"/>
      <c r="AB146" s="343"/>
      <c r="AC146" s="343"/>
    </row>
    <row r="147" spans="1:29">
      <c r="A147" s="340"/>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c r="AA147" s="343"/>
      <c r="AB147" s="343"/>
      <c r="AC147" s="343"/>
    </row>
    <row r="148" spans="1:29">
      <c r="A148" s="340"/>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c r="AA148" s="343"/>
      <c r="AB148" s="343"/>
      <c r="AC148" s="343"/>
    </row>
    <row r="149" spans="1:29">
      <c r="A149" s="340"/>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c r="AA149" s="343"/>
      <c r="AB149" s="343"/>
      <c r="AC149" s="343"/>
    </row>
    <row r="150" spans="1:29">
      <c r="A150" s="340"/>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c r="AA150" s="343"/>
      <c r="AB150" s="343"/>
      <c r="AC150" s="343"/>
    </row>
    <row r="151" spans="1:29">
      <c r="A151" s="340"/>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c r="AA151" s="343"/>
      <c r="AB151" s="343"/>
      <c r="AC151" s="343"/>
    </row>
    <row r="152" spans="1:29">
      <c r="A152" s="340"/>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c r="AA152" s="343"/>
      <c r="AB152" s="343"/>
      <c r="AC152" s="343"/>
    </row>
    <row r="153" spans="1:29">
      <c r="A153" s="340"/>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c r="AA153" s="343"/>
      <c r="AB153" s="343"/>
      <c r="AC153" s="343"/>
    </row>
    <row r="154" spans="1:29">
      <c r="A154" s="340"/>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c r="AA154" s="343"/>
      <c r="AB154" s="343"/>
      <c r="AC154" s="343"/>
    </row>
    <row r="155" spans="1:29">
      <c r="A155" s="340"/>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c r="AA155" s="343"/>
      <c r="AB155" s="343"/>
      <c r="AC155" s="343"/>
    </row>
    <row r="156" spans="1:29">
      <c r="A156" s="340"/>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c r="AA156" s="343"/>
      <c r="AB156" s="343"/>
      <c r="AC156" s="343"/>
    </row>
    <row r="157" spans="1:29">
      <c r="A157" s="340"/>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c r="AA157" s="343"/>
      <c r="AB157" s="343"/>
      <c r="AC157" s="343"/>
    </row>
    <row r="158" spans="1:29">
      <c r="A158" s="340"/>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c r="AA158" s="343"/>
      <c r="AB158" s="343"/>
      <c r="AC158" s="343"/>
    </row>
    <row r="159" spans="1:29">
      <c r="A159" s="340"/>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c r="AA159" s="343"/>
      <c r="AB159" s="343"/>
      <c r="AC159" s="343"/>
    </row>
    <row r="160" spans="1:29">
      <c r="A160" s="340"/>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c r="AA160" s="343"/>
      <c r="AB160" s="343"/>
      <c r="AC160" s="343"/>
    </row>
    <row r="161" spans="1:29">
      <c r="A161" s="340"/>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c r="AA161" s="343"/>
      <c r="AB161" s="343"/>
      <c r="AC161" s="343"/>
    </row>
    <row r="162" spans="1:29">
      <c r="A162" s="340"/>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c r="AA162" s="343"/>
      <c r="AB162" s="343"/>
      <c r="AC162" s="343"/>
    </row>
    <row r="163" spans="1:29">
      <c r="A163" s="340"/>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row>
    <row r="164" spans="1:29">
      <c r="A164" s="340"/>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c r="AA164" s="343"/>
      <c r="AB164" s="343"/>
      <c r="AC164" s="343"/>
    </row>
    <row r="165" spans="1:29">
      <c r="A165" s="340"/>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c r="AA165" s="343"/>
      <c r="AB165" s="343"/>
      <c r="AC165" s="343"/>
    </row>
    <row r="166" spans="1:29">
      <c r="A166" s="340"/>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c r="AA166" s="343"/>
      <c r="AB166" s="343"/>
      <c r="AC166" s="343"/>
    </row>
    <row r="167" spans="1:29">
      <c r="A167" s="340"/>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c r="AA167" s="343"/>
      <c r="AB167" s="343"/>
      <c r="AC167" s="343"/>
    </row>
    <row r="168" spans="1:29">
      <c r="A168" s="340"/>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c r="AA168" s="343"/>
      <c r="AB168" s="343"/>
      <c r="AC168" s="343"/>
    </row>
    <row r="169" spans="1:29">
      <c r="A169" s="340"/>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c r="AA169" s="343"/>
      <c r="AB169" s="343"/>
      <c r="AC169" s="343"/>
    </row>
    <row r="170" spans="1:29">
      <c r="A170" s="340"/>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c r="AA170" s="343"/>
      <c r="AB170" s="343"/>
      <c r="AC170" s="343"/>
    </row>
    <row r="171" spans="1:29">
      <c r="A171" s="340"/>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c r="AA171" s="343"/>
      <c r="AB171" s="343"/>
      <c r="AC171" s="343"/>
    </row>
    <row r="172" spans="1:29">
      <c r="A172" s="340"/>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c r="AA172" s="343"/>
      <c r="AB172" s="343"/>
      <c r="AC172" s="343"/>
    </row>
    <row r="173" spans="1:29">
      <c r="A173" s="340"/>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c r="AA173" s="343"/>
      <c r="AB173" s="343"/>
      <c r="AC173" s="343"/>
    </row>
    <row r="174" spans="1:29">
      <c r="A174" s="340"/>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c r="AA174" s="343"/>
      <c r="AB174" s="343"/>
      <c r="AC174" s="343"/>
    </row>
    <row r="175" spans="1:29">
      <c r="A175" s="340"/>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c r="AA175" s="343"/>
      <c r="AB175" s="343"/>
      <c r="AC175" s="343"/>
    </row>
    <row r="176" spans="1:29">
      <c r="A176" s="340"/>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row>
    <row r="177" spans="1:29">
      <c r="A177" s="340"/>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c r="AA177" s="343"/>
      <c r="AB177" s="343"/>
      <c r="AC177" s="343"/>
    </row>
    <row r="178" spans="1:29">
      <c r="A178" s="340"/>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c r="AA178" s="343"/>
      <c r="AB178" s="343"/>
      <c r="AC178" s="343"/>
    </row>
    <row r="179" spans="1:29">
      <c r="A179" s="340"/>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c r="AA179" s="343"/>
      <c r="AB179" s="343"/>
      <c r="AC179" s="343"/>
    </row>
    <row r="180" spans="1:29">
      <c r="A180" s="340"/>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c r="AA180" s="343"/>
      <c r="AB180" s="343"/>
      <c r="AC180" s="343"/>
    </row>
    <row r="181" spans="1:29">
      <c r="A181" s="340"/>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c r="AA181" s="343"/>
      <c r="AB181" s="343"/>
      <c r="AC181" s="343"/>
    </row>
    <row r="182" spans="1:29">
      <c r="A182" s="340"/>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c r="AA182" s="343"/>
      <c r="AB182" s="343"/>
      <c r="AC182" s="343"/>
    </row>
    <row r="183" spans="1:29">
      <c r="A183" s="340"/>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c r="AA183" s="343"/>
      <c r="AB183" s="343"/>
      <c r="AC183" s="343"/>
    </row>
    <row r="184" spans="1:29">
      <c r="A184" s="340"/>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c r="AA184" s="343"/>
      <c r="AB184" s="343"/>
      <c r="AC184" s="343"/>
    </row>
    <row r="185" spans="1:29">
      <c r="A185" s="340"/>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c r="AA185" s="343"/>
      <c r="AB185" s="343"/>
      <c r="AC185" s="343"/>
    </row>
    <row r="186" spans="1:29">
      <c r="A186" s="340"/>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c r="AA186" s="343"/>
      <c r="AB186" s="343"/>
      <c r="AC186" s="343"/>
    </row>
    <row r="187" spans="1:29">
      <c r="A187" s="340"/>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c r="AA187" s="343"/>
      <c r="AB187" s="343"/>
      <c r="AC187" s="343"/>
    </row>
    <row r="188" spans="1:29">
      <c r="A188" s="340"/>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c r="AA188" s="343"/>
      <c r="AB188" s="343"/>
      <c r="AC188" s="343"/>
    </row>
    <row r="189" spans="1:29">
      <c r="A189" s="340"/>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c r="AA189" s="343"/>
      <c r="AB189" s="343"/>
      <c r="AC189" s="343"/>
    </row>
    <row r="190" spans="1:29">
      <c r="A190" s="340"/>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c r="AA190" s="343"/>
      <c r="AB190" s="343"/>
      <c r="AC190" s="343"/>
    </row>
    <row r="191" spans="1:29">
      <c r="A191" s="340"/>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c r="AA191" s="343"/>
      <c r="AB191" s="343"/>
      <c r="AC191" s="343"/>
    </row>
    <row r="192" spans="1:29">
      <c r="A192" s="340"/>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c r="AA192" s="343"/>
      <c r="AB192" s="343"/>
      <c r="AC192" s="343"/>
    </row>
    <row r="193" spans="1:29">
      <c r="A193" s="340"/>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c r="AA193" s="343"/>
      <c r="AB193" s="343"/>
      <c r="AC193" s="343"/>
    </row>
    <row r="194" spans="1:29">
      <c r="A194" s="340"/>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c r="AA194" s="343"/>
      <c r="AB194" s="343"/>
      <c r="AC194" s="343"/>
    </row>
    <row r="195" spans="1:29">
      <c r="A195" s="340"/>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c r="AA195" s="343"/>
      <c r="AB195" s="343"/>
      <c r="AC195" s="343"/>
    </row>
    <row r="196" spans="1:29">
      <c r="A196" s="340"/>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c r="AA196" s="343"/>
      <c r="AB196" s="343"/>
      <c r="AC196" s="343"/>
    </row>
    <row r="197" spans="1:29">
      <c r="A197" s="340"/>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c r="AA197" s="343"/>
      <c r="AB197" s="343"/>
      <c r="AC197" s="343"/>
    </row>
    <row r="198" spans="1:29">
      <c r="A198" s="340"/>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c r="AA198" s="343"/>
      <c r="AB198" s="343"/>
      <c r="AC198" s="343"/>
    </row>
    <row r="199" spans="1:29">
      <c r="A199" s="340"/>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c r="AA199" s="343"/>
      <c r="AB199" s="343"/>
      <c r="AC199" s="343"/>
    </row>
    <row r="200" spans="1:29">
      <c r="A200" s="340"/>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c r="AA200" s="343"/>
      <c r="AB200" s="343"/>
      <c r="AC200" s="343"/>
    </row>
    <row r="201" spans="1:29">
      <c r="A201" s="340"/>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c r="AA201" s="343"/>
      <c r="AB201" s="343"/>
      <c r="AC201" s="343"/>
    </row>
    <row r="202" spans="1:29">
      <c r="A202" s="340"/>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c r="AA202" s="343"/>
      <c r="AB202" s="343"/>
      <c r="AC202" s="343"/>
    </row>
    <row r="203" spans="1:29">
      <c r="A203" s="340"/>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c r="AA203" s="343"/>
      <c r="AB203" s="343"/>
      <c r="AC203" s="343"/>
    </row>
    <row r="204" spans="1:29">
      <c r="A204" s="340"/>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c r="AA204" s="343"/>
      <c r="AB204" s="343"/>
      <c r="AC204" s="343"/>
    </row>
    <row r="205" spans="1:29">
      <c r="A205" s="340"/>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c r="AA205" s="343"/>
      <c r="AB205" s="343"/>
      <c r="AC205" s="343"/>
    </row>
    <row r="206" spans="1:29">
      <c r="A206" s="340"/>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c r="AA206" s="343"/>
      <c r="AB206" s="343"/>
      <c r="AC206" s="343"/>
    </row>
    <row r="207" spans="1:29">
      <c r="A207" s="340"/>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c r="AA207" s="343"/>
      <c r="AB207" s="343"/>
      <c r="AC207" s="343"/>
    </row>
    <row r="208" spans="1:29">
      <c r="A208" s="340"/>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c r="AA208" s="343"/>
      <c r="AB208" s="343"/>
      <c r="AC208" s="343"/>
    </row>
    <row r="209" spans="1:29">
      <c r="A209" s="340"/>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c r="AA209" s="343"/>
      <c r="AB209" s="343"/>
      <c r="AC209" s="343"/>
    </row>
    <row r="210" spans="1:29">
      <c r="A210" s="340"/>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c r="AA210" s="343"/>
      <c r="AB210" s="343"/>
      <c r="AC210" s="343"/>
    </row>
    <row r="211" spans="1:29">
      <c r="A211" s="340"/>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c r="AA211" s="343"/>
      <c r="AB211" s="343"/>
      <c r="AC211" s="343"/>
    </row>
    <row r="212" spans="1:29">
      <c r="A212" s="340"/>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c r="AA212" s="343"/>
      <c r="AB212" s="343"/>
      <c r="AC212" s="343"/>
    </row>
    <row r="213" spans="1:29">
      <c r="A213" s="340"/>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c r="AA213" s="343"/>
      <c r="AB213" s="343"/>
      <c r="AC213" s="343"/>
    </row>
    <row r="214" spans="1:29">
      <c r="A214" s="340"/>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c r="AA214" s="343"/>
      <c r="AB214" s="343"/>
      <c r="AC214" s="343"/>
    </row>
    <row r="215" spans="1:29">
      <c r="A215" s="340"/>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c r="AA215" s="343"/>
      <c r="AB215" s="343"/>
      <c r="AC215" s="343"/>
    </row>
    <row r="216" spans="1:29">
      <c r="A216" s="340"/>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c r="AA216" s="343"/>
      <c r="AB216" s="343"/>
      <c r="AC216" s="343"/>
    </row>
    <row r="217" spans="1:29">
      <c r="A217" s="340"/>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c r="AA217" s="343"/>
      <c r="AB217" s="343"/>
      <c r="AC217" s="343"/>
    </row>
    <row r="218" spans="1:29">
      <c r="A218" s="340"/>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c r="AA218" s="343"/>
      <c r="AB218" s="343"/>
      <c r="AC218" s="343"/>
    </row>
    <row r="219" spans="1:29">
      <c r="A219" s="340"/>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c r="AA219" s="343"/>
      <c r="AB219" s="343"/>
      <c r="AC219" s="343"/>
    </row>
    <row r="220" spans="1:29">
      <c r="A220" s="340"/>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c r="AA220" s="343"/>
      <c r="AB220" s="343"/>
      <c r="AC220" s="343"/>
    </row>
    <row r="221" spans="1:29">
      <c r="A221" s="340"/>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c r="AA221" s="343"/>
      <c r="AB221" s="343"/>
      <c r="AC221" s="343"/>
    </row>
    <row r="222" spans="1:29">
      <c r="A222" s="340"/>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c r="AA222" s="343"/>
      <c r="AB222" s="343"/>
      <c r="AC222" s="343"/>
    </row>
    <row r="223" spans="1:29">
      <c r="A223" s="340"/>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c r="AA223" s="343"/>
      <c r="AB223" s="343"/>
      <c r="AC223" s="343"/>
    </row>
    <row r="224" spans="1:29">
      <c r="A224" s="340"/>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c r="AA224" s="343"/>
      <c r="AB224" s="343"/>
      <c r="AC224" s="343"/>
    </row>
    <row r="225" spans="1:29">
      <c r="A225" s="340"/>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c r="AA225" s="343"/>
      <c r="AB225" s="343"/>
      <c r="AC225" s="343"/>
    </row>
    <row r="226" spans="1:29">
      <c r="A226" s="340"/>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c r="AA226" s="343"/>
      <c r="AB226" s="343"/>
      <c r="AC226" s="343"/>
    </row>
    <row r="227" spans="1:29">
      <c r="A227" s="340"/>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c r="AA227" s="343"/>
      <c r="AB227" s="343"/>
      <c r="AC227" s="343"/>
    </row>
    <row r="228" spans="1:29">
      <c r="A228" s="340"/>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c r="AA228" s="343"/>
      <c r="AB228" s="343"/>
      <c r="AC228" s="343"/>
    </row>
    <row r="229" spans="1:29">
      <c r="A229" s="340"/>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c r="AA229" s="343"/>
      <c r="AB229" s="343"/>
      <c r="AC229" s="343"/>
    </row>
    <row r="230" spans="1:29">
      <c r="A230" s="340"/>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c r="AA230" s="343"/>
      <c r="AB230" s="343"/>
      <c r="AC230" s="343"/>
    </row>
    <row r="231" spans="1:29">
      <c r="A231" s="340"/>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c r="AA231" s="343"/>
      <c r="AB231" s="343"/>
      <c r="AC231" s="343"/>
    </row>
    <row r="232" spans="1:29">
      <c r="A232" s="340"/>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c r="AA232" s="343"/>
      <c r="AB232" s="343"/>
      <c r="AC232" s="343"/>
    </row>
    <row r="233" spans="1:29">
      <c r="A233" s="340"/>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c r="AA233" s="343"/>
      <c r="AB233" s="343"/>
      <c r="AC233" s="343"/>
    </row>
    <row r="234" spans="1:29">
      <c r="A234" s="340"/>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c r="AA234" s="343"/>
      <c r="AB234" s="343"/>
      <c r="AC234" s="343"/>
    </row>
    <row r="235" spans="1:29">
      <c r="A235" s="340"/>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c r="AA235" s="343"/>
      <c r="AB235" s="343"/>
      <c r="AC235" s="343"/>
    </row>
    <row r="236" spans="1:29">
      <c r="A236" s="340"/>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c r="AA236" s="343"/>
      <c r="AB236" s="343"/>
      <c r="AC236" s="343"/>
    </row>
    <row r="237" spans="1:29">
      <c r="A237" s="340"/>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row>
    <row r="238" spans="1:29">
      <c r="A238" s="340"/>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row>
    <row r="239" spans="1:29">
      <c r="A239" s="340"/>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row>
    <row r="240" spans="1:29">
      <c r="A240" s="340"/>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row>
    <row r="241" spans="1:29">
      <c r="A241" s="340"/>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row>
    <row r="242" spans="1:29">
      <c r="A242" s="340"/>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row>
    <row r="243" spans="1:29">
      <c r="A243" s="340"/>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row>
    <row r="244" spans="1:29">
      <c r="A244" s="340"/>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row>
    <row r="245" spans="1:29">
      <c r="A245" s="340"/>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row>
    <row r="246" spans="1:29">
      <c r="A246" s="340"/>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row>
    <row r="247" spans="1:29">
      <c r="A247" s="340"/>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row>
    <row r="248" spans="1:29">
      <c r="A248" s="340"/>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row>
    <row r="249" spans="1:29">
      <c r="A249" s="340"/>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row>
    <row r="250" spans="1:29">
      <c r="A250" s="340"/>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row>
    <row r="251" spans="1:29">
      <c r="A251" s="340"/>
      <c r="B251" s="340"/>
      <c r="C251" s="340"/>
      <c r="D251" s="340"/>
      <c r="E251" s="340"/>
      <c r="F251" s="340"/>
      <c r="G251" s="340"/>
      <c r="H251" s="340"/>
      <c r="I251" s="340"/>
      <c r="J251" s="340"/>
      <c r="K251" s="340"/>
      <c r="L251" s="340"/>
      <c r="M251" s="340"/>
      <c r="N251" s="340"/>
      <c r="O251" s="340"/>
      <c r="P251" s="340"/>
      <c r="Q251" s="340"/>
      <c r="R251" s="340"/>
      <c r="S251" s="340"/>
      <c r="T251" s="340"/>
      <c r="U251" s="340"/>
      <c r="V251" s="340"/>
      <c r="W251" s="340"/>
      <c r="X251" s="340"/>
      <c r="Y251" s="340"/>
      <c r="Z251" s="340"/>
      <c r="AA251" s="340"/>
      <c r="AB251" s="340"/>
      <c r="AC251" s="340"/>
    </row>
    <row r="252" spans="1:29">
      <c r="A252" s="340"/>
      <c r="B252" s="340"/>
      <c r="C252" s="340"/>
      <c r="D252" s="340"/>
      <c r="E252" s="340"/>
      <c r="F252" s="340"/>
      <c r="G252" s="340"/>
      <c r="H252" s="340"/>
      <c r="I252" s="340"/>
      <c r="J252" s="340"/>
      <c r="K252" s="340"/>
      <c r="L252" s="340"/>
      <c r="M252" s="340"/>
      <c r="N252" s="340"/>
      <c r="O252" s="340"/>
      <c r="P252" s="340"/>
      <c r="Q252" s="340"/>
      <c r="R252" s="340"/>
      <c r="S252" s="340"/>
      <c r="T252" s="340"/>
      <c r="U252" s="340"/>
      <c r="V252" s="340"/>
      <c r="W252" s="340"/>
      <c r="X252" s="340"/>
      <c r="Y252" s="340"/>
      <c r="Z252" s="340"/>
      <c r="AA252" s="340"/>
      <c r="AB252" s="340"/>
      <c r="AC252" s="340"/>
    </row>
    <row r="253" spans="1:29">
      <c r="A253" s="340"/>
      <c r="B253" s="340"/>
      <c r="C253" s="340"/>
      <c r="D253" s="340"/>
      <c r="E253" s="340"/>
      <c r="F253" s="340"/>
      <c r="G253" s="340"/>
      <c r="H253" s="340"/>
      <c r="I253" s="340"/>
      <c r="J253" s="340"/>
      <c r="K253" s="340"/>
      <c r="L253" s="340"/>
      <c r="M253" s="340"/>
      <c r="N253" s="340"/>
      <c r="O253" s="340"/>
      <c r="P253" s="340"/>
      <c r="Q253" s="340"/>
      <c r="R253" s="340"/>
      <c r="S253" s="340"/>
      <c r="T253" s="340"/>
      <c r="U253" s="340"/>
      <c r="V253" s="340"/>
      <c r="W253" s="340"/>
      <c r="X253" s="340"/>
      <c r="Y253" s="340"/>
      <c r="Z253" s="340"/>
      <c r="AA253" s="340"/>
      <c r="AB253" s="340"/>
      <c r="AC253" s="340"/>
    </row>
    <row r="254" spans="1:29">
      <c r="A254" s="340"/>
      <c r="B254" s="340"/>
      <c r="C254" s="340"/>
      <c r="D254" s="340"/>
      <c r="E254" s="340"/>
      <c r="F254" s="340"/>
      <c r="G254" s="340"/>
      <c r="H254" s="340"/>
      <c r="I254" s="340"/>
      <c r="J254" s="340"/>
      <c r="K254" s="340"/>
      <c r="L254" s="340"/>
      <c r="M254" s="340"/>
      <c r="N254" s="340"/>
      <c r="O254" s="340"/>
      <c r="P254" s="340"/>
      <c r="Q254" s="340"/>
      <c r="R254" s="340"/>
      <c r="S254" s="340"/>
      <c r="T254" s="340"/>
      <c r="U254" s="340"/>
      <c r="V254" s="340"/>
      <c r="W254" s="340"/>
      <c r="X254" s="340"/>
      <c r="Y254" s="340"/>
      <c r="Z254" s="340"/>
      <c r="AA254" s="340"/>
      <c r="AB254" s="340"/>
      <c r="AC254" s="340"/>
    </row>
    <row r="255" spans="1:29">
      <c r="A255" s="340"/>
      <c r="B255" s="340"/>
      <c r="C255" s="340"/>
      <c r="D255" s="340"/>
      <c r="E255" s="340"/>
      <c r="F255" s="340"/>
      <c r="G255" s="340"/>
      <c r="H255" s="340"/>
      <c r="I255" s="340"/>
      <c r="J255" s="340"/>
      <c r="K255" s="340"/>
      <c r="L255" s="340"/>
      <c r="M255" s="340"/>
      <c r="N255" s="340"/>
      <c r="O255" s="340"/>
      <c r="P255" s="340"/>
      <c r="Q255" s="340"/>
      <c r="R255" s="340"/>
      <c r="S255" s="340"/>
      <c r="T255" s="340"/>
      <c r="U255" s="340"/>
      <c r="V255" s="340"/>
      <c r="W255" s="340"/>
      <c r="X255" s="340"/>
      <c r="Y255" s="340"/>
      <c r="Z255" s="340"/>
      <c r="AA255" s="340"/>
      <c r="AB255" s="340"/>
      <c r="AC255" s="340"/>
    </row>
    <row r="256" spans="1:29">
      <c r="A256" s="340"/>
      <c r="B256" s="340"/>
      <c r="C256" s="340"/>
      <c r="D256" s="340"/>
      <c r="E256" s="340"/>
      <c r="F256" s="340"/>
      <c r="G256" s="340"/>
      <c r="H256" s="340"/>
      <c r="I256" s="340"/>
      <c r="J256" s="340"/>
      <c r="K256" s="340"/>
      <c r="L256" s="340"/>
      <c r="M256" s="340"/>
      <c r="N256" s="340"/>
      <c r="O256" s="340"/>
      <c r="P256" s="340"/>
      <c r="Q256" s="340"/>
      <c r="R256" s="340"/>
      <c r="S256" s="340"/>
      <c r="T256" s="340"/>
      <c r="U256" s="340"/>
      <c r="V256" s="340"/>
      <c r="W256" s="340"/>
      <c r="X256" s="340"/>
      <c r="Y256" s="340"/>
      <c r="Z256" s="340"/>
      <c r="AA256" s="340"/>
      <c r="AB256" s="340"/>
      <c r="AC256" s="340"/>
    </row>
    <row r="257" spans="1:29">
      <c r="A257" s="340"/>
      <c r="B257" s="340"/>
      <c r="C257" s="340"/>
      <c r="D257" s="340"/>
      <c r="E257" s="340"/>
      <c r="F257" s="340"/>
      <c r="G257" s="340"/>
      <c r="H257" s="340"/>
      <c r="I257" s="340"/>
      <c r="J257" s="340"/>
      <c r="K257" s="340"/>
      <c r="L257" s="340"/>
      <c r="M257" s="340"/>
      <c r="N257" s="340"/>
      <c r="O257" s="340"/>
      <c r="P257" s="340"/>
      <c r="Q257" s="340"/>
      <c r="R257" s="340"/>
      <c r="S257" s="340"/>
      <c r="T257" s="340"/>
      <c r="U257" s="340"/>
      <c r="V257" s="340"/>
      <c r="W257" s="340"/>
      <c r="X257" s="340"/>
      <c r="Y257" s="340"/>
      <c r="Z257" s="340"/>
      <c r="AA257" s="340"/>
      <c r="AB257" s="340"/>
      <c r="AC257" s="340"/>
    </row>
    <row r="258" spans="1:29">
      <c r="A258" s="340"/>
      <c r="B258" s="340"/>
      <c r="C258" s="340"/>
      <c r="D258" s="340"/>
      <c r="E258" s="340"/>
      <c r="F258" s="340"/>
      <c r="G258" s="340"/>
      <c r="H258" s="340"/>
      <c r="I258" s="340"/>
      <c r="J258" s="340"/>
      <c r="K258" s="340"/>
      <c r="L258" s="340"/>
      <c r="M258" s="340"/>
      <c r="N258" s="340"/>
      <c r="O258" s="340"/>
      <c r="P258" s="340"/>
      <c r="Q258" s="340"/>
      <c r="R258" s="340"/>
      <c r="S258" s="340"/>
      <c r="T258" s="340"/>
      <c r="U258" s="340"/>
      <c r="V258" s="340"/>
      <c r="W258" s="340"/>
      <c r="X258" s="340"/>
      <c r="Y258" s="340"/>
      <c r="Z258" s="340"/>
      <c r="AA258" s="340"/>
      <c r="AB258" s="340"/>
      <c r="AC258" s="340"/>
    </row>
    <row r="259" spans="1:29">
      <c r="A259" s="340"/>
      <c r="B259" s="340"/>
      <c r="C259" s="340"/>
      <c r="D259" s="340"/>
      <c r="E259" s="340"/>
      <c r="F259" s="340"/>
      <c r="G259" s="340"/>
      <c r="H259" s="340"/>
      <c r="I259" s="340"/>
      <c r="J259" s="340"/>
      <c r="K259" s="340"/>
      <c r="L259" s="340"/>
      <c r="M259" s="340"/>
      <c r="N259" s="340"/>
      <c r="O259" s="340"/>
      <c r="P259" s="340"/>
      <c r="Q259" s="340"/>
      <c r="R259" s="340"/>
      <c r="S259" s="340"/>
      <c r="T259" s="340"/>
      <c r="U259" s="340"/>
      <c r="V259" s="340"/>
      <c r="W259" s="340"/>
      <c r="X259" s="340"/>
      <c r="Y259" s="340"/>
      <c r="Z259" s="340"/>
      <c r="AA259" s="340"/>
      <c r="AB259" s="340"/>
      <c r="AC259" s="340"/>
    </row>
    <row r="260" spans="1:29">
      <c r="A260" s="340"/>
      <c r="B260" s="340"/>
      <c r="C260" s="340"/>
      <c r="D260" s="340"/>
      <c r="E260" s="340"/>
      <c r="F260" s="340"/>
      <c r="G260" s="340"/>
      <c r="H260" s="340"/>
      <c r="I260" s="340"/>
      <c r="J260" s="340"/>
      <c r="K260" s="340"/>
      <c r="L260" s="340"/>
      <c r="M260" s="340"/>
      <c r="N260" s="340"/>
      <c r="O260" s="340"/>
      <c r="P260" s="340"/>
      <c r="Q260" s="340"/>
      <c r="R260" s="340"/>
      <c r="S260" s="340"/>
      <c r="T260" s="340"/>
      <c r="U260" s="340"/>
      <c r="V260" s="340"/>
      <c r="W260" s="340"/>
      <c r="X260" s="340"/>
      <c r="Y260" s="340"/>
      <c r="Z260" s="340"/>
      <c r="AA260" s="340"/>
      <c r="AB260" s="340"/>
      <c r="AC260" s="340"/>
    </row>
    <row r="261" spans="1:29">
      <c r="A261" s="340"/>
      <c r="B261" s="340"/>
      <c r="C261" s="340"/>
      <c r="D261" s="340"/>
      <c r="E261" s="340"/>
      <c r="F261" s="340"/>
      <c r="G261" s="340"/>
      <c r="H261" s="340"/>
      <c r="I261" s="340"/>
      <c r="J261" s="340"/>
      <c r="K261" s="340"/>
      <c r="L261" s="340"/>
      <c r="M261" s="340"/>
      <c r="N261" s="340"/>
      <c r="O261" s="340"/>
      <c r="P261" s="340"/>
      <c r="Q261" s="340"/>
      <c r="R261" s="340"/>
      <c r="S261" s="340"/>
      <c r="T261" s="340"/>
      <c r="U261" s="340"/>
      <c r="V261" s="340"/>
      <c r="W261" s="340"/>
      <c r="X261" s="340"/>
      <c r="Y261" s="340"/>
      <c r="Z261" s="340"/>
      <c r="AA261" s="340"/>
      <c r="AB261" s="340"/>
      <c r="AC261" s="340"/>
    </row>
    <row r="262" spans="1:29">
      <c r="A262" s="340"/>
      <c r="B262" s="340"/>
      <c r="C262" s="340"/>
      <c r="D262" s="340"/>
      <c r="E262" s="340"/>
      <c r="F262" s="340"/>
      <c r="G262" s="340"/>
      <c r="H262" s="340"/>
      <c r="I262" s="340"/>
      <c r="J262" s="340"/>
      <c r="K262" s="340"/>
      <c r="L262" s="340"/>
      <c r="M262" s="340"/>
      <c r="N262" s="340"/>
      <c r="O262" s="340"/>
      <c r="P262" s="340"/>
      <c r="Q262" s="340"/>
      <c r="R262" s="340"/>
      <c r="S262" s="340"/>
      <c r="T262" s="340"/>
      <c r="U262" s="340"/>
      <c r="V262" s="340"/>
      <c r="W262" s="340"/>
      <c r="X262" s="340"/>
      <c r="Y262" s="340"/>
      <c r="Z262" s="340"/>
      <c r="AA262" s="340"/>
      <c r="AB262" s="340"/>
      <c r="AC262" s="340"/>
    </row>
    <row r="263" spans="1:29">
      <c r="A263" s="340"/>
      <c r="B263" s="340"/>
      <c r="C263" s="340"/>
      <c r="D263" s="340"/>
      <c r="E263" s="340"/>
      <c r="F263" s="340"/>
      <c r="G263" s="340"/>
      <c r="H263" s="340"/>
      <c r="I263" s="340"/>
      <c r="J263" s="340"/>
      <c r="K263" s="340"/>
      <c r="L263" s="340"/>
      <c r="M263" s="340"/>
      <c r="N263" s="340"/>
      <c r="O263" s="340"/>
      <c r="P263" s="340"/>
      <c r="Q263" s="340"/>
      <c r="R263" s="340"/>
      <c r="S263" s="340"/>
      <c r="T263" s="340"/>
      <c r="U263" s="340"/>
      <c r="V263" s="340"/>
      <c r="W263" s="340"/>
      <c r="X263" s="340"/>
      <c r="Y263" s="340"/>
      <c r="Z263" s="340"/>
      <c r="AA263" s="340"/>
      <c r="AB263" s="340"/>
      <c r="AC263" s="340"/>
    </row>
    <row r="264" spans="1:29">
      <c r="A264" s="340"/>
      <c r="B264" s="340"/>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c r="AA264" s="340"/>
      <c r="AB264" s="340"/>
      <c r="AC264" s="340"/>
    </row>
    <row r="265" spans="1:29">
      <c r="A265" s="340"/>
      <c r="B265" s="340"/>
      <c r="C265" s="340"/>
      <c r="D265" s="340"/>
      <c r="E265" s="340"/>
      <c r="F265" s="340"/>
      <c r="G265" s="340"/>
      <c r="H265" s="340"/>
      <c r="I265" s="340"/>
      <c r="J265" s="340"/>
      <c r="K265" s="340"/>
      <c r="L265" s="340"/>
      <c r="M265" s="340"/>
      <c r="N265" s="340"/>
      <c r="O265" s="340"/>
      <c r="P265" s="340"/>
      <c r="Q265" s="340"/>
      <c r="R265" s="340"/>
      <c r="S265" s="340"/>
      <c r="T265" s="340"/>
      <c r="U265" s="340"/>
      <c r="V265" s="340"/>
      <c r="W265" s="340"/>
      <c r="X265" s="340"/>
      <c r="Y265" s="340"/>
      <c r="Z265" s="340"/>
      <c r="AA265" s="340"/>
      <c r="AB265" s="340"/>
      <c r="AC265" s="340"/>
    </row>
    <row r="266" spans="1:29">
      <c r="A266" s="340"/>
      <c r="B266" s="340"/>
      <c r="C266" s="340"/>
      <c r="D266" s="340"/>
      <c r="E266" s="340"/>
      <c r="F266" s="340"/>
      <c r="G266" s="340"/>
      <c r="H266" s="340"/>
      <c r="I266" s="340"/>
      <c r="J266" s="340"/>
      <c r="K266" s="340"/>
      <c r="L266" s="340"/>
      <c r="M266" s="340"/>
      <c r="N266" s="340"/>
      <c r="O266" s="340"/>
      <c r="P266" s="340"/>
      <c r="Q266" s="340"/>
      <c r="R266" s="340"/>
      <c r="S266" s="340"/>
      <c r="T266" s="340"/>
      <c r="U266" s="340"/>
      <c r="V266" s="340"/>
      <c r="W266" s="340"/>
      <c r="X266" s="340"/>
      <c r="Y266" s="340"/>
      <c r="Z266" s="340"/>
      <c r="AA266" s="340"/>
      <c r="AB266" s="340"/>
      <c r="AC266" s="340"/>
    </row>
    <row r="267" spans="1:29">
      <c r="A267" s="340"/>
      <c r="B267" s="340"/>
      <c r="C267" s="340"/>
      <c r="D267" s="340"/>
      <c r="E267" s="340"/>
      <c r="F267" s="340"/>
      <c r="G267" s="340"/>
      <c r="H267" s="340"/>
      <c r="I267" s="340"/>
      <c r="J267" s="340"/>
      <c r="K267" s="340"/>
      <c r="L267" s="340"/>
      <c r="M267" s="340"/>
      <c r="N267" s="340"/>
      <c r="O267" s="340"/>
      <c r="P267" s="340"/>
      <c r="Q267" s="340"/>
      <c r="R267" s="340"/>
      <c r="S267" s="340"/>
      <c r="T267" s="340"/>
      <c r="U267" s="340"/>
      <c r="V267" s="340"/>
      <c r="W267" s="340"/>
      <c r="X267" s="340"/>
      <c r="Y267" s="340"/>
      <c r="Z267" s="340"/>
      <c r="AA267" s="340"/>
      <c r="AB267" s="340"/>
      <c r="AC267" s="340"/>
    </row>
    <row r="268" spans="1:29">
      <c r="A268" s="340"/>
      <c r="B268" s="340"/>
      <c r="C268" s="340"/>
      <c r="D268" s="340"/>
      <c r="E268" s="340"/>
      <c r="F268" s="340"/>
      <c r="G268" s="340"/>
      <c r="H268" s="340"/>
      <c r="I268" s="340"/>
      <c r="J268" s="340"/>
      <c r="K268" s="340"/>
      <c r="L268" s="340"/>
      <c r="M268" s="340"/>
      <c r="N268" s="340"/>
      <c r="O268" s="340"/>
      <c r="P268" s="340"/>
      <c r="Q268" s="340"/>
      <c r="R268" s="340"/>
      <c r="S268" s="340"/>
      <c r="T268" s="340"/>
      <c r="U268" s="340"/>
      <c r="V268" s="340"/>
      <c r="W268" s="340"/>
      <c r="X268" s="340"/>
      <c r="Y268" s="340"/>
      <c r="Z268" s="340"/>
      <c r="AA268" s="340"/>
      <c r="AB268" s="340"/>
      <c r="AC268" s="340"/>
    </row>
    <row r="269" spans="1:29">
      <c r="A269" s="340"/>
      <c r="B269" s="340"/>
      <c r="C269" s="340"/>
      <c r="D269" s="340"/>
      <c r="E269" s="340"/>
      <c r="F269" s="340"/>
      <c r="G269" s="340"/>
      <c r="H269" s="340"/>
      <c r="I269" s="340"/>
      <c r="J269" s="340"/>
      <c r="K269" s="340"/>
      <c r="L269" s="340"/>
      <c r="M269" s="340"/>
      <c r="N269" s="340"/>
      <c r="O269" s="340"/>
      <c r="P269" s="340"/>
      <c r="Q269" s="340"/>
      <c r="R269" s="340"/>
      <c r="S269" s="340"/>
      <c r="T269" s="340"/>
      <c r="U269" s="340"/>
      <c r="V269" s="340"/>
      <c r="W269" s="340"/>
      <c r="X269" s="340"/>
      <c r="Y269" s="340"/>
      <c r="Z269" s="340"/>
      <c r="AA269" s="340"/>
      <c r="AB269" s="340"/>
      <c r="AC269" s="340"/>
    </row>
    <row r="270" spans="1:29">
      <c r="A270" s="340"/>
      <c r="B270" s="340"/>
      <c r="C270" s="340"/>
      <c r="D270" s="340"/>
      <c r="E270" s="340"/>
      <c r="F270" s="340"/>
      <c r="G270" s="340"/>
      <c r="H270" s="340"/>
      <c r="I270" s="340"/>
      <c r="J270" s="340"/>
      <c r="K270" s="340"/>
      <c r="L270" s="340"/>
      <c r="M270" s="340"/>
      <c r="N270" s="340"/>
      <c r="O270" s="340"/>
      <c r="P270" s="340"/>
      <c r="Q270" s="340"/>
      <c r="R270" s="340"/>
      <c r="S270" s="340"/>
      <c r="T270" s="340"/>
      <c r="U270" s="340"/>
      <c r="V270" s="340"/>
      <c r="W270" s="340"/>
      <c r="X270" s="340"/>
      <c r="Y270" s="340"/>
      <c r="Z270" s="340"/>
      <c r="AA270" s="340"/>
      <c r="AB270" s="340"/>
      <c r="AC270" s="340"/>
    </row>
    <row r="271" spans="1:29">
      <c r="A271" s="340"/>
      <c r="B271" s="340"/>
      <c r="C271" s="340"/>
      <c r="D271" s="340"/>
      <c r="E271" s="340"/>
      <c r="F271" s="340"/>
      <c r="G271" s="340"/>
      <c r="H271" s="340"/>
      <c r="I271" s="340"/>
      <c r="J271" s="340"/>
      <c r="K271" s="340"/>
      <c r="L271" s="340"/>
      <c r="M271" s="340"/>
      <c r="N271" s="340"/>
      <c r="O271" s="340"/>
      <c r="P271" s="340"/>
      <c r="Q271" s="340"/>
      <c r="R271" s="340"/>
      <c r="S271" s="340"/>
      <c r="T271" s="340"/>
      <c r="U271" s="340"/>
      <c r="V271" s="340"/>
      <c r="W271" s="340"/>
      <c r="X271" s="340"/>
      <c r="Y271" s="340"/>
      <c r="Z271" s="340"/>
      <c r="AA271" s="340"/>
      <c r="AB271" s="340"/>
      <c r="AC271" s="340"/>
    </row>
    <row r="272" spans="1:29">
      <c r="A272" s="340"/>
      <c r="B272" s="340"/>
      <c r="C272" s="340"/>
      <c r="D272" s="340"/>
      <c r="E272" s="340"/>
      <c r="F272" s="340"/>
      <c r="G272" s="340"/>
      <c r="H272" s="340"/>
      <c r="I272" s="340"/>
      <c r="J272" s="340"/>
      <c r="K272" s="340"/>
      <c r="L272" s="340"/>
      <c r="M272" s="340"/>
      <c r="N272" s="340"/>
      <c r="O272" s="340"/>
      <c r="P272" s="340"/>
      <c r="Q272" s="340"/>
      <c r="R272" s="340"/>
      <c r="S272" s="340"/>
      <c r="T272" s="340"/>
      <c r="U272" s="340"/>
      <c r="V272" s="340"/>
      <c r="W272" s="340"/>
      <c r="X272" s="340"/>
      <c r="Y272" s="340"/>
      <c r="Z272" s="340"/>
      <c r="AA272" s="340"/>
      <c r="AB272" s="340"/>
      <c r="AC272" s="340"/>
    </row>
    <row r="273" spans="1:29">
      <c r="A273" s="340"/>
      <c r="B273" s="340"/>
      <c r="C273" s="340"/>
      <c r="D273" s="340"/>
      <c r="E273" s="340"/>
      <c r="F273" s="340"/>
      <c r="G273" s="340"/>
      <c r="H273" s="340"/>
      <c r="I273" s="340"/>
      <c r="J273" s="340"/>
      <c r="K273" s="340"/>
      <c r="L273" s="340"/>
      <c r="M273" s="340"/>
      <c r="N273" s="340"/>
      <c r="O273" s="340"/>
      <c r="P273" s="340"/>
      <c r="Q273" s="340"/>
      <c r="R273" s="340"/>
      <c r="S273" s="340"/>
      <c r="T273" s="340"/>
      <c r="U273" s="340"/>
      <c r="V273" s="340"/>
      <c r="W273" s="340"/>
      <c r="X273" s="340"/>
      <c r="Y273" s="340"/>
      <c r="Z273" s="340"/>
      <c r="AA273" s="340"/>
      <c r="AB273" s="340"/>
      <c r="AC273" s="340"/>
    </row>
    <row r="274" spans="1:29">
      <c r="A274" s="340"/>
      <c r="B274" s="340"/>
      <c r="C274" s="340"/>
      <c r="D274" s="340"/>
      <c r="E274" s="340"/>
      <c r="F274" s="340"/>
      <c r="G274" s="340"/>
      <c r="H274" s="340"/>
      <c r="I274" s="340"/>
      <c r="J274" s="340"/>
      <c r="K274" s="340"/>
      <c r="L274" s="340"/>
      <c r="M274" s="340"/>
      <c r="N274" s="340"/>
      <c r="O274" s="340"/>
      <c r="P274" s="340"/>
      <c r="Q274" s="340"/>
      <c r="R274" s="340"/>
      <c r="S274" s="340"/>
      <c r="T274" s="340"/>
      <c r="U274" s="340"/>
      <c r="V274" s="340"/>
      <c r="W274" s="340"/>
      <c r="X274" s="340"/>
      <c r="Y274" s="340"/>
      <c r="Z274" s="340"/>
      <c r="AA274" s="340"/>
      <c r="AB274" s="340"/>
      <c r="AC274" s="340"/>
    </row>
    <row r="275" spans="1:29">
      <c r="A275" s="340"/>
      <c r="B275" s="340"/>
      <c r="C275" s="340"/>
      <c r="D275" s="340"/>
      <c r="E275" s="340"/>
      <c r="F275" s="340"/>
      <c r="G275" s="340"/>
      <c r="H275" s="340"/>
      <c r="I275" s="340"/>
      <c r="J275" s="340"/>
      <c r="K275" s="340"/>
      <c r="L275" s="340"/>
      <c r="M275" s="340"/>
      <c r="N275" s="340"/>
      <c r="O275" s="340"/>
      <c r="P275" s="340"/>
      <c r="Q275" s="340"/>
      <c r="R275" s="340"/>
      <c r="S275" s="340"/>
      <c r="T275" s="340"/>
      <c r="U275" s="340"/>
      <c r="V275" s="340"/>
      <c r="W275" s="340"/>
      <c r="X275" s="340"/>
      <c r="Y275" s="340"/>
      <c r="Z275" s="340"/>
      <c r="AA275" s="340"/>
      <c r="AB275" s="340"/>
      <c r="AC275" s="340"/>
    </row>
    <row r="276" spans="1:29">
      <c r="A276" s="340"/>
      <c r="B276" s="340"/>
      <c r="C276" s="340"/>
      <c r="D276" s="340"/>
      <c r="E276" s="340"/>
      <c r="F276" s="340"/>
      <c r="G276" s="340"/>
      <c r="H276" s="340"/>
      <c r="I276" s="340"/>
      <c r="J276" s="340"/>
      <c r="K276" s="340"/>
      <c r="L276" s="340"/>
      <c r="M276" s="340"/>
      <c r="N276" s="340"/>
      <c r="O276" s="340"/>
      <c r="P276" s="340"/>
      <c r="Q276" s="340"/>
      <c r="R276" s="340"/>
      <c r="S276" s="340"/>
      <c r="T276" s="340"/>
      <c r="U276" s="340"/>
      <c r="V276" s="340"/>
      <c r="W276" s="340"/>
      <c r="X276" s="340"/>
      <c r="Y276" s="340"/>
      <c r="Z276" s="340"/>
      <c r="AA276" s="340"/>
      <c r="AB276" s="340"/>
      <c r="AC276" s="340"/>
    </row>
    <row r="277" spans="1:29">
      <c r="A277" s="340"/>
      <c r="B277" s="340"/>
      <c r="C277" s="340"/>
      <c r="D277" s="340"/>
      <c r="E277" s="340"/>
      <c r="F277" s="340"/>
      <c r="G277" s="340"/>
      <c r="H277" s="340"/>
      <c r="I277" s="340"/>
      <c r="J277" s="340"/>
      <c r="K277" s="340"/>
      <c r="L277" s="340"/>
      <c r="M277" s="340"/>
      <c r="N277" s="340"/>
      <c r="O277" s="340"/>
      <c r="P277" s="340"/>
      <c r="Q277" s="340"/>
      <c r="R277" s="340"/>
      <c r="S277" s="340"/>
      <c r="T277" s="340"/>
      <c r="U277" s="340"/>
      <c r="V277" s="340"/>
      <c r="W277" s="340"/>
      <c r="X277" s="340"/>
      <c r="Y277" s="340"/>
      <c r="Z277" s="340"/>
      <c r="AA277" s="340"/>
      <c r="AB277" s="340"/>
      <c r="AC277" s="340"/>
    </row>
    <row r="278" spans="1:29">
      <c r="A278" s="340"/>
      <c r="B278" s="340"/>
      <c r="C278" s="340"/>
      <c r="D278" s="340"/>
      <c r="E278" s="340"/>
      <c r="F278" s="340"/>
      <c r="G278" s="340"/>
      <c r="H278" s="340"/>
      <c r="I278" s="340"/>
      <c r="J278" s="340"/>
      <c r="K278" s="340"/>
      <c r="L278" s="340"/>
      <c r="M278" s="340"/>
      <c r="N278" s="340"/>
      <c r="O278" s="340"/>
      <c r="P278" s="340"/>
      <c r="Q278" s="340"/>
      <c r="R278" s="340"/>
      <c r="S278" s="340"/>
      <c r="T278" s="340"/>
      <c r="U278" s="340"/>
      <c r="V278" s="340"/>
      <c r="W278" s="340"/>
      <c r="X278" s="340"/>
      <c r="Y278" s="340"/>
      <c r="Z278" s="340"/>
      <c r="AA278" s="340"/>
      <c r="AB278" s="340"/>
      <c r="AC278" s="340"/>
    </row>
    <row r="279" spans="1:29">
      <c r="A279" s="340"/>
      <c r="B279" s="340"/>
      <c r="C279" s="340"/>
      <c r="D279" s="340"/>
      <c r="E279" s="340"/>
      <c r="F279" s="340"/>
      <c r="G279" s="340"/>
      <c r="H279" s="340"/>
      <c r="I279" s="340"/>
      <c r="J279" s="340"/>
      <c r="K279" s="340"/>
      <c r="L279" s="340"/>
      <c r="M279" s="340"/>
      <c r="N279" s="340"/>
      <c r="O279" s="340"/>
      <c r="P279" s="340"/>
      <c r="Q279" s="340"/>
      <c r="R279" s="340"/>
      <c r="S279" s="340"/>
      <c r="T279" s="340"/>
      <c r="U279" s="340"/>
      <c r="V279" s="340"/>
      <c r="W279" s="340"/>
      <c r="X279" s="340"/>
      <c r="Y279" s="340"/>
      <c r="Z279" s="340"/>
      <c r="AA279" s="340"/>
      <c r="AB279" s="340"/>
      <c r="AC279" s="340"/>
    </row>
    <row r="280" spans="1:29">
      <c r="A280" s="340"/>
      <c r="B280" s="340"/>
      <c r="C280" s="340"/>
      <c r="D280" s="340"/>
      <c r="E280" s="340"/>
      <c r="F280" s="340"/>
      <c r="G280" s="340"/>
      <c r="H280" s="340"/>
      <c r="I280" s="340"/>
      <c r="J280" s="340"/>
      <c r="K280" s="340"/>
      <c r="L280" s="340"/>
      <c r="M280" s="340"/>
      <c r="N280" s="340"/>
      <c r="O280" s="340"/>
      <c r="P280" s="340"/>
      <c r="Q280" s="340"/>
      <c r="R280" s="340"/>
      <c r="S280" s="340"/>
      <c r="T280" s="340"/>
      <c r="U280" s="340"/>
      <c r="V280" s="340"/>
      <c r="W280" s="340"/>
      <c r="X280" s="340"/>
      <c r="Y280" s="340"/>
      <c r="Z280" s="340"/>
      <c r="AA280" s="340"/>
      <c r="AB280" s="340"/>
      <c r="AC280" s="340"/>
    </row>
    <row r="281" spans="1:29">
      <c r="A281" s="340"/>
      <c r="B281" s="340"/>
      <c r="C281" s="340"/>
      <c r="D281" s="340"/>
      <c r="E281" s="340"/>
      <c r="F281" s="340"/>
      <c r="G281" s="340"/>
      <c r="H281" s="340"/>
      <c r="I281" s="340"/>
      <c r="J281" s="340"/>
      <c r="K281" s="340"/>
      <c r="L281" s="340"/>
      <c r="M281" s="340"/>
      <c r="N281" s="340"/>
      <c r="O281" s="340"/>
      <c r="P281" s="340"/>
      <c r="Q281" s="340"/>
      <c r="R281" s="340"/>
      <c r="S281" s="340"/>
      <c r="T281" s="340"/>
      <c r="U281" s="340"/>
      <c r="V281" s="340"/>
      <c r="W281" s="340"/>
      <c r="X281" s="340"/>
      <c r="Y281" s="340"/>
      <c r="Z281" s="340"/>
      <c r="AA281" s="340"/>
      <c r="AB281" s="340"/>
      <c r="AC281" s="340"/>
    </row>
    <row r="282" spans="1:29">
      <c r="A282" s="340"/>
      <c r="B282" s="340"/>
      <c r="C282" s="340"/>
      <c r="D282" s="340"/>
      <c r="E282" s="340"/>
      <c r="F282" s="340"/>
      <c r="G282" s="340"/>
      <c r="H282" s="340"/>
      <c r="I282" s="340"/>
      <c r="J282" s="340"/>
      <c r="K282" s="340"/>
      <c r="L282" s="340"/>
      <c r="M282" s="340"/>
      <c r="N282" s="340"/>
      <c r="O282" s="340"/>
      <c r="P282" s="340"/>
      <c r="Q282" s="340"/>
      <c r="R282" s="340"/>
      <c r="S282" s="340"/>
      <c r="T282" s="340"/>
      <c r="U282" s="340"/>
      <c r="V282" s="340"/>
      <c r="W282" s="340"/>
      <c r="X282" s="340"/>
      <c r="Y282" s="340"/>
      <c r="Z282" s="340"/>
      <c r="AA282" s="340"/>
      <c r="AB282" s="340"/>
      <c r="AC282" s="340"/>
    </row>
    <row r="283" spans="1:29">
      <c r="A283" s="340"/>
      <c r="B283" s="340"/>
      <c r="C283" s="340"/>
      <c r="D283" s="340"/>
      <c r="E283" s="340"/>
      <c r="F283" s="340"/>
      <c r="G283" s="340"/>
      <c r="H283" s="340"/>
      <c r="I283" s="340"/>
      <c r="J283" s="340"/>
      <c r="K283" s="340"/>
      <c r="L283" s="340"/>
      <c r="M283" s="340"/>
      <c r="N283" s="340"/>
      <c r="O283" s="340"/>
      <c r="P283" s="340"/>
      <c r="Q283" s="340"/>
      <c r="R283" s="340"/>
      <c r="S283" s="340"/>
      <c r="T283" s="340"/>
      <c r="U283" s="340"/>
      <c r="V283" s="340"/>
      <c r="W283" s="340"/>
      <c r="X283" s="340"/>
      <c r="Y283" s="340"/>
      <c r="Z283" s="340"/>
      <c r="AA283" s="340"/>
      <c r="AB283" s="340"/>
      <c r="AC283" s="340"/>
    </row>
    <row r="284" spans="1:29">
      <c r="A284" s="340"/>
      <c r="B284" s="340"/>
      <c r="C284" s="340"/>
      <c r="D284" s="340"/>
      <c r="E284" s="340"/>
      <c r="F284" s="340"/>
      <c r="G284" s="340"/>
      <c r="H284" s="340"/>
      <c r="I284" s="340"/>
      <c r="J284" s="340"/>
      <c r="K284" s="340"/>
      <c r="L284" s="340"/>
      <c r="M284" s="340"/>
      <c r="N284" s="340"/>
      <c r="O284" s="340"/>
      <c r="P284" s="340"/>
      <c r="Q284" s="340"/>
      <c r="R284" s="340"/>
      <c r="S284" s="340"/>
      <c r="T284" s="340"/>
      <c r="U284" s="340"/>
      <c r="V284" s="340"/>
      <c r="W284" s="340"/>
      <c r="X284" s="340"/>
      <c r="Y284" s="340"/>
      <c r="Z284" s="340"/>
      <c r="AA284" s="340"/>
      <c r="AB284" s="340"/>
      <c r="AC284" s="340"/>
    </row>
    <row r="285" spans="1:29">
      <c r="A285" s="340"/>
      <c r="B285" s="340"/>
      <c r="C285" s="340"/>
      <c r="D285" s="340"/>
      <c r="E285" s="340"/>
      <c r="F285" s="340"/>
      <c r="G285" s="340"/>
      <c r="H285" s="340"/>
      <c r="I285" s="340"/>
      <c r="J285" s="340"/>
      <c r="K285" s="340"/>
      <c r="L285" s="340"/>
      <c r="M285" s="340"/>
      <c r="N285" s="340"/>
      <c r="O285" s="340"/>
      <c r="P285" s="340"/>
      <c r="Q285" s="340"/>
      <c r="R285" s="340"/>
      <c r="S285" s="340"/>
      <c r="T285" s="340"/>
      <c r="U285" s="340"/>
      <c r="V285" s="340"/>
      <c r="W285" s="340"/>
      <c r="X285" s="340"/>
      <c r="Y285" s="340"/>
      <c r="Z285" s="340"/>
      <c r="AA285" s="340"/>
      <c r="AB285" s="340"/>
      <c r="AC285" s="340"/>
    </row>
    <row r="286" spans="1:29">
      <c r="A286" s="340"/>
      <c r="B286" s="340"/>
      <c r="C286" s="340"/>
      <c r="D286" s="340"/>
      <c r="E286" s="340"/>
      <c r="F286" s="340"/>
      <c r="G286" s="340"/>
      <c r="H286" s="340"/>
      <c r="I286" s="340"/>
      <c r="J286" s="340"/>
      <c r="K286" s="340"/>
      <c r="L286" s="340"/>
      <c r="M286" s="340"/>
      <c r="N286" s="340"/>
      <c r="O286" s="340"/>
      <c r="P286" s="340"/>
      <c r="Q286" s="340"/>
      <c r="R286" s="340"/>
      <c r="S286" s="340"/>
      <c r="T286" s="340"/>
      <c r="U286" s="340"/>
      <c r="V286" s="340"/>
      <c r="W286" s="340"/>
      <c r="X286" s="340"/>
      <c r="Y286" s="340"/>
      <c r="Z286" s="340"/>
      <c r="AA286" s="340"/>
      <c r="AB286" s="340"/>
      <c r="AC286" s="340"/>
    </row>
    <row r="287" spans="1:29">
      <c r="A287" s="340"/>
      <c r="B287" s="340"/>
      <c r="C287" s="340"/>
      <c r="D287" s="340"/>
      <c r="E287" s="340"/>
      <c r="F287" s="340"/>
      <c r="G287" s="340"/>
      <c r="H287" s="340"/>
      <c r="I287" s="340"/>
      <c r="J287" s="340"/>
      <c r="K287" s="340"/>
      <c r="L287" s="340"/>
      <c r="M287" s="340"/>
      <c r="N287" s="340"/>
      <c r="O287" s="340"/>
      <c r="P287" s="340"/>
      <c r="Q287" s="340"/>
      <c r="R287" s="340"/>
      <c r="S287" s="340"/>
      <c r="T287" s="340"/>
      <c r="U287" s="340"/>
      <c r="V287" s="340"/>
      <c r="W287" s="340"/>
      <c r="X287" s="340"/>
      <c r="Y287" s="340"/>
      <c r="Z287" s="340"/>
      <c r="AA287" s="340"/>
      <c r="AB287" s="340"/>
      <c r="AC287" s="340"/>
    </row>
    <row r="288" spans="1:29">
      <c r="A288" s="340"/>
      <c r="B288" s="340"/>
      <c r="C288" s="340"/>
      <c r="D288" s="340"/>
      <c r="E288" s="340"/>
      <c r="F288" s="340"/>
      <c r="G288" s="340"/>
      <c r="H288" s="340"/>
      <c r="I288" s="340"/>
      <c r="J288" s="340"/>
      <c r="K288" s="340"/>
      <c r="L288" s="340"/>
      <c r="M288" s="340"/>
      <c r="N288" s="340"/>
      <c r="O288" s="340"/>
      <c r="P288" s="340"/>
      <c r="Q288" s="340"/>
      <c r="R288" s="340"/>
      <c r="S288" s="340"/>
      <c r="T288" s="340"/>
      <c r="U288" s="340"/>
      <c r="V288" s="340"/>
      <c r="W288" s="340"/>
      <c r="X288" s="340"/>
      <c r="Y288" s="340"/>
      <c r="Z288" s="340"/>
      <c r="AA288" s="340"/>
      <c r="AB288" s="340"/>
      <c r="AC288" s="340"/>
    </row>
    <row r="289" spans="1:29">
      <c r="A289" s="340"/>
      <c r="B289" s="340"/>
      <c r="C289" s="340"/>
      <c r="D289" s="340"/>
      <c r="E289" s="340"/>
      <c r="F289" s="340"/>
      <c r="G289" s="340"/>
      <c r="H289" s="340"/>
      <c r="I289" s="340"/>
      <c r="J289" s="340"/>
      <c r="K289" s="340"/>
      <c r="L289" s="340"/>
      <c r="M289" s="340"/>
      <c r="N289" s="340"/>
      <c r="O289" s="340"/>
      <c r="P289" s="340"/>
      <c r="Q289" s="340"/>
      <c r="R289" s="340"/>
      <c r="S289" s="340"/>
      <c r="T289" s="340"/>
      <c r="U289" s="340"/>
      <c r="V289" s="340"/>
      <c r="W289" s="340"/>
      <c r="X289" s="340"/>
      <c r="Y289" s="340"/>
      <c r="Z289" s="340"/>
      <c r="AA289" s="340"/>
      <c r="AB289" s="340"/>
      <c r="AC289" s="340"/>
    </row>
    <row r="290" spans="1:29">
      <c r="A290" s="340"/>
      <c r="B290" s="340"/>
      <c r="C290" s="340"/>
      <c r="D290" s="340"/>
      <c r="E290" s="340"/>
      <c r="F290" s="340"/>
      <c r="G290" s="340"/>
      <c r="H290" s="340"/>
      <c r="I290" s="340"/>
      <c r="J290" s="340"/>
      <c r="K290" s="340"/>
      <c r="L290" s="340"/>
      <c r="M290" s="340"/>
      <c r="N290" s="340"/>
      <c r="O290" s="340"/>
      <c r="P290" s="340"/>
      <c r="Q290" s="340"/>
      <c r="R290" s="340"/>
      <c r="S290" s="340"/>
      <c r="T290" s="340"/>
      <c r="U290" s="340"/>
      <c r="V290" s="340"/>
      <c r="W290" s="340"/>
      <c r="X290" s="340"/>
      <c r="Y290" s="340"/>
      <c r="Z290" s="340"/>
      <c r="AA290" s="340"/>
      <c r="AB290" s="340"/>
      <c r="AC290" s="340"/>
    </row>
    <row r="291" spans="1:29">
      <c r="A291" s="340"/>
      <c r="B291" s="340"/>
      <c r="C291" s="340"/>
      <c r="D291" s="340"/>
      <c r="E291" s="340"/>
      <c r="F291" s="340"/>
      <c r="G291" s="340"/>
      <c r="H291" s="340"/>
      <c r="I291" s="340"/>
      <c r="J291" s="340"/>
      <c r="K291" s="340"/>
      <c r="L291" s="340"/>
      <c r="M291" s="340"/>
      <c r="N291" s="340"/>
      <c r="O291" s="340"/>
      <c r="P291" s="340"/>
      <c r="Q291" s="340"/>
      <c r="R291" s="340"/>
      <c r="S291" s="340"/>
      <c r="T291" s="340"/>
      <c r="U291" s="340"/>
      <c r="V291" s="340"/>
      <c r="W291" s="340"/>
      <c r="X291" s="340"/>
      <c r="Y291" s="340"/>
      <c r="Z291" s="340"/>
      <c r="AA291" s="340"/>
      <c r="AB291" s="340"/>
      <c r="AC291" s="340"/>
    </row>
    <row r="292" spans="1:29">
      <c r="A292" s="340"/>
      <c r="B292" s="340"/>
      <c r="C292" s="340"/>
      <c r="D292" s="340"/>
      <c r="E292" s="340"/>
      <c r="F292" s="340"/>
      <c r="G292" s="340"/>
      <c r="H292" s="340"/>
      <c r="I292" s="340"/>
      <c r="J292" s="340"/>
      <c r="K292" s="340"/>
      <c r="L292" s="340"/>
      <c r="M292" s="340"/>
      <c r="N292" s="340"/>
      <c r="O292" s="340"/>
      <c r="P292" s="340"/>
      <c r="Q292" s="340"/>
      <c r="R292" s="340"/>
      <c r="S292" s="340"/>
      <c r="T292" s="340"/>
      <c r="U292" s="340"/>
      <c r="V292" s="340"/>
      <c r="W292" s="340"/>
      <c r="X292" s="340"/>
      <c r="Y292" s="340"/>
      <c r="Z292" s="340"/>
      <c r="AA292" s="340"/>
      <c r="AB292" s="340"/>
      <c r="AC292" s="340"/>
    </row>
    <row r="293" spans="1:29">
      <c r="A293" s="340"/>
      <c r="B293" s="340"/>
      <c r="C293" s="340"/>
      <c r="D293" s="340"/>
      <c r="E293" s="340"/>
      <c r="F293" s="340"/>
      <c r="G293" s="340"/>
      <c r="H293" s="340"/>
      <c r="I293" s="340"/>
      <c r="J293" s="340"/>
      <c r="K293" s="340"/>
      <c r="L293" s="340"/>
      <c r="M293" s="340"/>
      <c r="N293" s="340"/>
      <c r="O293" s="340"/>
      <c r="P293" s="340"/>
      <c r="Q293" s="340"/>
      <c r="R293" s="340"/>
      <c r="S293" s="340"/>
      <c r="T293" s="340"/>
      <c r="U293" s="340"/>
      <c r="V293" s="340"/>
      <c r="W293" s="340"/>
      <c r="X293" s="340"/>
      <c r="Y293" s="340"/>
      <c r="Z293" s="340"/>
      <c r="AA293" s="340"/>
      <c r="AB293" s="340"/>
      <c r="AC293" s="340"/>
    </row>
    <row r="294" spans="1:29">
      <c r="A294" s="340"/>
      <c r="B294" s="340"/>
      <c r="C294" s="340"/>
      <c r="D294" s="340"/>
      <c r="E294" s="340"/>
      <c r="F294" s="340"/>
      <c r="G294" s="340"/>
      <c r="H294" s="340"/>
      <c r="I294" s="340"/>
      <c r="J294" s="340"/>
      <c r="K294" s="340"/>
      <c r="L294" s="340"/>
      <c r="M294" s="340"/>
      <c r="N294" s="340"/>
      <c r="O294" s="340"/>
      <c r="P294" s="340"/>
      <c r="Q294" s="340"/>
      <c r="R294" s="340"/>
      <c r="S294" s="340"/>
      <c r="T294" s="340"/>
      <c r="U294" s="340"/>
      <c r="V294" s="340"/>
      <c r="W294" s="340"/>
      <c r="X294" s="340"/>
      <c r="Y294" s="340"/>
      <c r="Z294" s="340"/>
      <c r="AA294" s="340"/>
      <c r="AB294" s="340"/>
      <c r="AC294" s="340"/>
    </row>
    <row r="295" spans="1:29">
      <c r="A295" s="340"/>
      <c r="B295" s="340"/>
      <c r="C295" s="340"/>
      <c r="D295" s="340"/>
      <c r="E295" s="340"/>
      <c r="F295" s="340"/>
      <c r="G295" s="340"/>
      <c r="H295" s="340"/>
      <c r="I295" s="340"/>
      <c r="J295" s="340"/>
      <c r="K295" s="340"/>
      <c r="L295" s="340"/>
      <c r="M295" s="340"/>
      <c r="N295" s="340"/>
      <c r="O295" s="340"/>
      <c r="P295" s="340"/>
      <c r="Q295" s="340"/>
      <c r="R295" s="340"/>
      <c r="S295" s="340"/>
      <c r="T295" s="340"/>
      <c r="U295" s="340"/>
      <c r="V295" s="340"/>
      <c r="W295" s="340"/>
      <c r="X295" s="340"/>
      <c r="Y295" s="340"/>
      <c r="Z295" s="340"/>
      <c r="AA295" s="340"/>
      <c r="AB295" s="340"/>
      <c r="AC295" s="340"/>
    </row>
    <row r="296" spans="1:29">
      <c r="A296" s="340"/>
      <c r="B296" s="340"/>
      <c r="C296" s="340"/>
      <c r="D296" s="340"/>
      <c r="E296" s="340"/>
      <c r="F296" s="340"/>
      <c r="G296" s="340"/>
      <c r="H296" s="340"/>
      <c r="I296" s="340"/>
      <c r="J296" s="340"/>
      <c r="K296" s="340"/>
      <c r="L296" s="340"/>
      <c r="M296" s="340"/>
      <c r="N296" s="340"/>
      <c r="O296" s="340"/>
      <c r="P296" s="340"/>
      <c r="Q296" s="340"/>
      <c r="R296" s="340"/>
      <c r="S296" s="340"/>
      <c r="T296" s="340"/>
      <c r="U296" s="340"/>
      <c r="V296" s="340"/>
      <c r="W296" s="340"/>
      <c r="X296" s="340"/>
      <c r="Y296" s="340"/>
      <c r="Z296" s="340"/>
      <c r="AA296" s="340"/>
      <c r="AB296" s="340"/>
      <c r="AC296" s="340"/>
    </row>
    <row r="297" spans="1:29">
      <c r="A297" s="340"/>
      <c r="B297" s="340"/>
      <c r="C297" s="340"/>
      <c r="D297" s="340"/>
      <c r="E297" s="340"/>
      <c r="F297" s="340"/>
      <c r="G297" s="340"/>
      <c r="H297" s="340"/>
      <c r="I297" s="340"/>
      <c r="J297" s="340"/>
      <c r="K297" s="340"/>
      <c r="L297" s="340"/>
      <c r="M297" s="340"/>
      <c r="N297" s="340"/>
      <c r="O297" s="340"/>
      <c r="P297" s="340"/>
      <c r="Q297" s="340"/>
      <c r="R297" s="340"/>
      <c r="S297" s="340"/>
      <c r="T297" s="340"/>
      <c r="U297" s="340"/>
      <c r="V297" s="340"/>
      <c r="W297" s="340"/>
      <c r="X297" s="340"/>
      <c r="Y297" s="340"/>
      <c r="Z297" s="340"/>
      <c r="AA297" s="340"/>
      <c r="AB297" s="340"/>
      <c r="AC297" s="340"/>
    </row>
    <row r="298" spans="1:29">
      <c r="A298" s="340"/>
      <c r="B298" s="340"/>
      <c r="C298" s="340"/>
      <c r="D298" s="340"/>
      <c r="E298" s="340"/>
      <c r="F298" s="340"/>
      <c r="G298" s="340"/>
      <c r="H298" s="340"/>
      <c r="I298" s="340"/>
      <c r="J298" s="340"/>
      <c r="K298" s="340"/>
      <c r="L298" s="340"/>
      <c r="M298" s="340"/>
      <c r="N298" s="340"/>
      <c r="O298" s="340"/>
      <c r="P298" s="340"/>
      <c r="Q298" s="340"/>
      <c r="R298" s="340"/>
      <c r="S298" s="340"/>
      <c r="T298" s="340"/>
      <c r="U298" s="340"/>
      <c r="V298" s="340"/>
      <c r="W298" s="340"/>
      <c r="X298" s="340"/>
      <c r="Y298" s="340"/>
      <c r="Z298" s="340"/>
      <c r="AA298" s="340"/>
      <c r="AB298" s="340"/>
      <c r="AC298" s="340"/>
    </row>
    <row r="299" spans="1:29">
      <c r="A299" s="340"/>
      <c r="B299" s="340"/>
      <c r="C299" s="340"/>
      <c r="D299" s="340"/>
      <c r="E299" s="340"/>
      <c r="F299" s="340"/>
      <c r="G299" s="340"/>
      <c r="H299" s="340"/>
      <c r="I299" s="340"/>
      <c r="J299" s="340"/>
      <c r="K299" s="340"/>
      <c r="L299" s="340"/>
      <c r="M299" s="340"/>
      <c r="N299" s="340"/>
      <c r="O299" s="340"/>
      <c r="P299" s="340"/>
      <c r="Q299" s="340"/>
      <c r="R299" s="340"/>
      <c r="S299" s="340"/>
      <c r="T299" s="340"/>
      <c r="U299" s="340"/>
      <c r="V299" s="340"/>
      <c r="W299" s="340"/>
      <c r="X299" s="340"/>
      <c r="Y299" s="340"/>
      <c r="Z299" s="340"/>
      <c r="AA299" s="340"/>
      <c r="AB299" s="340"/>
      <c r="AC299" s="340"/>
    </row>
    <row r="300" spans="1:29">
      <c r="A300" s="340"/>
      <c r="B300" s="340"/>
      <c r="C300" s="340"/>
      <c r="D300" s="340"/>
      <c r="E300" s="340"/>
      <c r="F300" s="340"/>
      <c r="G300" s="340"/>
      <c r="H300" s="340"/>
      <c r="I300" s="340"/>
      <c r="J300" s="340"/>
      <c r="K300" s="340"/>
      <c r="L300" s="340"/>
      <c r="M300" s="340"/>
      <c r="N300" s="340"/>
      <c r="O300" s="340"/>
      <c r="P300" s="340"/>
      <c r="Q300" s="340"/>
      <c r="R300" s="340"/>
      <c r="S300" s="340"/>
      <c r="T300" s="340"/>
      <c r="U300" s="340"/>
      <c r="V300" s="340"/>
      <c r="W300" s="340"/>
      <c r="X300" s="340"/>
      <c r="Y300" s="340"/>
      <c r="Z300" s="340"/>
      <c r="AA300" s="340"/>
      <c r="AB300" s="340"/>
      <c r="AC300" s="340"/>
    </row>
    <row r="301" spans="1:29">
      <c r="A301" s="340"/>
      <c r="B301" s="340"/>
      <c r="C301" s="340"/>
      <c r="D301" s="340"/>
      <c r="E301" s="340"/>
      <c r="F301" s="340"/>
      <c r="G301" s="340"/>
      <c r="H301" s="340"/>
      <c r="I301" s="340"/>
      <c r="J301" s="340"/>
      <c r="K301" s="340"/>
      <c r="L301" s="340"/>
      <c r="M301" s="340"/>
      <c r="N301" s="340"/>
      <c r="O301" s="340"/>
      <c r="P301" s="340"/>
      <c r="Q301" s="340"/>
      <c r="R301" s="340"/>
      <c r="S301" s="340"/>
      <c r="T301" s="340"/>
      <c r="U301" s="340"/>
      <c r="V301" s="340"/>
      <c r="W301" s="340"/>
      <c r="X301" s="340"/>
      <c r="Y301" s="340"/>
      <c r="Z301" s="340"/>
      <c r="AA301" s="340"/>
      <c r="AB301" s="340"/>
      <c r="AC301" s="340"/>
    </row>
    <row r="302" spans="1:29">
      <c r="A302" s="340"/>
      <c r="B302" s="340"/>
      <c r="C302" s="340"/>
      <c r="D302" s="340"/>
      <c r="E302" s="340"/>
      <c r="F302" s="340"/>
      <c r="G302" s="340"/>
      <c r="H302" s="340"/>
      <c r="I302" s="340"/>
      <c r="J302" s="340"/>
      <c r="K302" s="340"/>
      <c r="L302" s="340"/>
      <c r="M302" s="340"/>
      <c r="N302" s="340"/>
      <c r="O302" s="340"/>
      <c r="P302" s="340"/>
      <c r="Q302" s="340"/>
      <c r="R302" s="340"/>
      <c r="S302" s="340"/>
      <c r="T302" s="340"/>
      <c r="U302" s="340"/>
      <c r="V302" s="340"/>
      <c r="W302" s="340"/>
      <c r="X302" s="340"/>
      <c r="Y302" s="340"/>
      <c r="Z302" s="340"/>
      <c r="AA302" s="340"/>
      <c r="AB302" s="340"/>
      <c r="AC302" s="340"/>
    </row>
    <row r="303" spans="1:29">
      <c r="A303" s="340"/>
      <c r="B303" s="340"/>
      <c r="C303" s="340"/>
      <c r="D303" s="340"/>
      <c r="E303" s="340"/>
      <c r="F303" s="340"/>
      <c r="G303" s="340"/>
      <c r="H303" s="340"/>
      <c r="I303" s="340"/>
      <c r="J303" s="340"/>
      <c r="K303" s="340"/>
      <c r="L303" s="340"/>
      <c r="M303" s="340"/>
      <c r="N303" s="340"/>
      <c r="O303" s="340"/>
      <c r="P303" s="340"/>
      <c r="Q303" s="340"/>
      <c r="R303" s="340"/>
      <c r="S303" s="340"/>
      <c r="T303" s="340"/>
      <c r="U303" s="340"/>
      <c r="V303" s="340"/>
      <c r="W303" s="340"/>
      <c r="X303" s="340"/>
      <c r="Y303" s="340"/>
      <c r="Z303" s="340"/>
      <c r="AA303" s="340"/>
      <c r="AB303" s="340"/>
      <c r="AC303" s="340"/>
    </row>
    <row r="304" spans="1:29">
      <c r="A304" s="340"/>
      <c r="B304" s="340"/>
      <c r="C304" s="340"/>
      <c r="D304" s="340"/>
      <c r="E304" s="340"/>
      <c r="F304" s="340"/>
      <c r="G304" s="340"/>
      <c r="H304" s="340"/>
      <c r="I304" s="340"/>
      <c r="J304" s="340"/>
      <c r="K304" s="340"/>
      <c r="L304" s="340"/>
      <c r="M304" s="340"/>
      <c r="N304" s="340"/>
      <c r="O304" s="340"/>
      <c r="P304" s="340"/>
      <c r="Q304" s="340"/>
      <c r="R304" s="340"/>
      <c r="S304" s="340"/>
      <c r="T304" s="340"/>
      <c r="U304" s="340"/>
      <c r="V304" s="340"/>
      <c r="W304" s="340"/>
      <c r="X304" s="340"/>
      <c r="Y304" s="340"/>
      <c r="Z304" s="340"/>
      <c r="AA304" s="340"/>
      <c r="AB304" s="340"/>
      <c r="AC304" s="340"/>
    </row>
    <row r="305" spans="1:29">
      <c r="A305" s="340"/>
      <c r="B305" s="340"/>
      <c r="C305" s="340"/>
      <c r="D305" s="340"/>
      <c r="E305" s="340"/>
      <c r="F305" s="340"/>
      <c r="G305" s="340"/>
      <c r="H305" s="340"/>
      <c r="I305" s="340"/>
      <c r="J305" s="340"/>
      <c r="K305" s="340"/>
      <c r="L305" s="340"/>
      <c r="M305" s="340"/>
      <c r="N305" s="340"/>
      <c r="O305" s="340"/>
      <c r="P305" s="340"/>
      <c r="Q305" s="340"/>
      <c r="R305" s="340"/>
      <c r="S305" s="340"/>
      <c r="T305" s="340"/>
      <c r="U305" s="340"/>
      <c r="V305" s="340"/>
      <c r="W305" s="340"/>
      <c r="X305" s="340"/>
      <c r="Y305" s="340"/>
      <c r="Z305" s="340"/>
      <c r="AA305" s="340"/>
      <c r="AB305" s="340"/>
      <c r="AC305" s="340"/>
    </row>
    <row r="306" spans="1:29">
      <c r="A306" s="340"/>
      <c r="B306" s="340"/>
      <c r="C306" s="340"/>
      <c r="D306" s="340"/>
      <c r="E306" s="340"/>
      <c r="F306" s="340"/>
      <c r="G306" s="340"/>
      <c r="H306" s="340"/>
      <c r="I306" s="340"/>
      <c r="J306" s="340"/>
      <c r="K306" s="340"/>
      <c r="L306" s="340"/>
      <c r="M306" s="340"/>
      <c r="N306" s="340"/>
      <c r="O306" s="340"/>
      <c r="P306" s="340"/>
      <c r="Q306" s="340"/>
      <c r="R306" s="340"/>
      <c r="S306" s="340"/>
      <c r="T306" s="340"/>
      <c r="U306" s="340"/>
      <c r="V306" s="340"/>
      <c r="W306" s="340"/>
      <c r="X306" s="340"/>
      <c r="Y306" s="340"/>
      <c r="Z306" s="340"/>
      <c r="AA306" s="340"/>
      <c r="AB306" s="340"/>
      <c r="AC306" s="340"/>
    </row>
    <row r="307" spans="1:29">
      <c r="A307" s="340"/>
      <c r="B307" s="340"/>
      <c r="C307" s="340"/>
      <c r="D307" s="340"/>
      <c r="E307" s="340"/>
      <c r="F307" s="340"/>
      <c r="G307" s="340"/>
      <c r="H307" s="340"/>
      <c r="I307" s="340"/>
      <c r="J307" s="340"/>
      <c r="K307" s="340"/>
      <c r="L307" s="340"/>
      <c r="M307" s="340"/>
      <c r="N307" s="340"/>
      <c r="O307" s="340"/>
      <c r="P307" s="340"/>
      <c r="Q307" s="340"/>
      <c r="R307" s="340"/>
      <c r="S307" s="340"/>
      <c r="T307" s="340"/>
      <c r="U307" s="340"/>
      <c r="V307" s="340"/>
      <c r="W307" s="340"/>
      <c r="X307" s="340"/>
      <c r="Y307" s="340"/>
      <c r="Z307" s="340"/>
      <c r="AA307" s="340"/>
      <c r="AB307" s="340"/>
      <c r="AC307" s="340"/>
    </row>
    <row r="308" spans="1:29">
      <c r="A308" s="340"/>
      <c r="B308" s="340"/>
      <c r="C308" s="340"/>
      <c r="D308" s="340"/>
      <c r="E308" s="340"/>
      <c r="F308" s="340"/>
      <c r="G308" s="340"/>
      <c r="H308" s="340"/>
      <c r="I308" s="340"/>
      <c r="J308" s="340"/>
      <c r="K308" s="340"/>
      <c r="L308" s="340"/>
      <c r="M308" s="340"/>
      <c r="N308" s="340"/>
      <c r="O308" s="340"/>
      <c r="P308" s="340"/>
      <c r="Q308" s="340"/>
      <c r="R308" s="340"/>
      <c r="S308" s="340"/>
      <c r="T308" s="340"/>
      <c r="U308" s="340"/>
      <c r="V308" s="340"/>
      <c r="W308" s="340"/>
      <c r="X308" s="340"/>
      <c r="Y308" s="340"/>
      <c r="Z308" s="340"/>
      <c r="AA308" s="340"/>
      <c r="AB308" s="340"/>
      <c r="AC308" s="340"/>
    </row>
    <row r="309" spans="1:29">
      <c r="A309" s="340"/>
      <c r="B309" s="340"/>
      <c r="C309" s="340"/>
      <c r="D309" s="340"/>
      <c r="E309" s="340"/>
      <c r="F309" s="340"/>
      <c r="G309" s="340"/>
      <c r="H309" s="340"/>
      <c r="I309" s="340"/>
      <c r="J309" s="340"/>
      <c r="K309" s="340"/>
      <c r="L309" s="340"/>
      <c r="M309" s="340"/>
      <c r="N309" s="340"/>
      <c r="O309" s="340"/>
      <c r="P309" s="340"/>
      <c r="Q309" s="340"/>
      <c r="R309" s="340"/>
      <c r="S309" s="340"/>
      <c r="T309" s="340"/>
      <c r="U309" s="340"/>
      <c r="V309" s="340"/>
      <c r="W309" s="340"/>
      <c r="X309" s="340"/>
      <c r="Y309" s="340"/>
      <c r="Z309" s="340"/>
      <c r="AA309" s="340"/>
      <c r="AB309" s="340"/>
      <c r="AC309" s="340"/>
    </row>
    <row r="310" spans="1:29">
      <c r="A310" s="340"/>
      <c r="B310" s="340"/>
      <c r="C310" s="340"/>
      <c r="D310" s="340"/>
      <c r="E310" s="340"/>
      <c r="F310" s="340"/>
      <c r="G310" s="340"/>
      <c r="H310" s="340"/>
      <c r="I310" s="340"/>
      <c r="J310" s="340"/>
      <c r="K310" s="340"/>
      <c r="L310" s="340"/>
      <c r="M310" s="340"/>
      <c r="N310" s="340"/>
      <c r="O310" s="340"/>
      <c r="P310" s="340"/>
      <c r="Q310" s="340"/>
      <c r="R310" s="340"/>
      <c r="S310" s="340"/>
      <c r="T310" s="340"/>
      <c r="U310" s="340"/>
      <c r="V310" s="340"/>
      <c r="W310" s="340"/>
      <c r="X310" s="340"/>
      <c r="Y310" s="340"/>
      <c r="Z310" s="340"/>
      <c r="AA310" s="340"/>
      <c r="AB310" s="340"/>
      <c r="AC310" s="340"/>
    </row>
    <row r="311" spans="1:29">
      <c r="A311" s="340"/>
      <c r="B311" s="340"/>
      <c r="C311" s="340"/>
      <c r="D311" s="340"/>
      <c r="E311" s="340"/>
      <c r="F311" s="340"/>
      <c r="G311" s="340"/>
      <c r="H311" s="340"/>
      <c r="I311" s="340"/>
      <c r="J311" s="340"/>
      <c r="K311" s="340"/>
      <c r="L311" s="340"/>
      <c r="M311" s="340"/>
      <c r="N311" s="340"/>
      <c r="O311" s="340"/>
      <c r="P311" s="340"/>
      <c r="Q311" s="340"/>
      <c r="R311" s="340"/>
      <c r="S311" s="340"/>
      <c r="T311" s="340"/>
      <c r="U311" s="340"/>
      <c r="V311" s="340"/>
      <c r="W311" s="340"/>
      <c r="X311" s="340"/>
      <c r="Y311" s="340"/>
      <c r="Z311" s="340"/>
      <c r="AA311" s="340"/>
      <c r="AB311" s="340"/>
      <c r="AC311" s="340"/>
    </row>
    <row r="312" spans="1:29">
      <c r="A312" s="340"/>
      <c r="B312" s="340"/>
      <c r="C312" s="340"/>
      <c r="D312" s="340"/>
      <c r="E312" s="340"/>
      <c r="F312" s="340"/>
      <c r="G312" s="340"/>
      <c r="H312" s="340"/>
      <c r="I312" s="340"/>
      <c r="J312" s="340"/>
      <c r="K312" s="340"/>
      <c r="L312" s="340"/>
      <c r="M312" s="340"/>
      <c r="N312" s="340"/>
      <c r="O312" s="340"/>
      <c r="P312" s="340"/>
      <c r="Q312" s="340"/>
      <c r="R312" s="340"/>
      <c r="S312" s="340"/>
      <c r="T312" s="340"/>
      <c r="U312" s="340"/>
      <c r="V312" s="340"/>
      <c r="W312" s="340"/>
      <c r="X312" s="340"/>
      <c r="Y312" s="340"/>
      <c r="Z312" s="340"/>
      <c r="AA312" s="340"/>
      <c r="AB312" s="340"/>
      <c r="AC312" s="340"/>
    </row>
    <row r="313" spans="1:29">
      <c r="A313" s="340"/>
      <c r="B313" s="340"/>
      <c r="C313" s="340"/>
      <c r="D313" s="340"/>
      <c r="E313" s="340"/>
      <c r="F313" s="340"/>
      <c r="G313" s="340"/>
      <c r="H313" s="340"/>
      <c r="I313" s="340"/>
      <c r="J313" s="340"/>
      <c r="K313" s="340"/>
      <c r="L313" s="340"/>
      <c r="M313" s="340"/>
      <c r="N313" s="340"/>
      <c r="O313" s="340"/>
      <c r="P313" s="340"/>
      <c r="Q313" s="340"/>
      <c r="R313" s="340"/>
      <c r="S313" s="340"/>
      <c r="T313" s="340"/>
      <c r="U313" s="340"/>
      <c r="V313" s="340"/>
      <c r="W313" s="340"/>
      <c r="X313" s="340"/>
      <c r="Y313" s="340"/>
      <c r="Z313" s="340"/>
      <c r="AA313" s="340"/>
      <c r="AB313" s="340"/>
      <c r="AC313" s="340"/>
    </row>
    <row r="314" spans="1:29">
      <c r="A314" s="340"/>
      <c r="B314" s="340"/>
      <c r="C314" s="340"/>
      <c r="D314" s="340"/>
      <c r="E314" s="340"/>
      <c r="F314" s="340"/>
      <c r="G314" s="340"/>
      <c r="H314" s="340"/>
      <c r="I314" s="340"/>
      <c r="J314" s="340"/>
      <c r="K314" s="340"/>
      <c r="L314" s="340"/>
      <c r="M314" s="340"/>
      <c r="N314" s="340"/>
      <c r="O314" s="340"/>
      <c r="P314" s="340"/>
      <c r="Q314" s="340"/>
      <c r="R314" s="340"/>
      <c r="S314" s="340"/>
      <c r="T314" s="340"/>
      <c r="U314" s="340"/>
      <c r="V314" s="340"/>
      <c r="W314" s="340"/>
      <c r="X314" s="340"/>
      <c r="Y314" s="340"/>
      <c r="Z314" s="340"/>
      <c r="AA314" s="340"/>
      <c r="AB314" s="340"/>
      <c r="AC314" s="340"/>
    </row>
    <row r="315" spans="1:29">
      <c r="A315" s="340"/>
      <c r="B315" s="340"/>
      <c r="C315" s="340"/>
      <c r="D315" s="340"/>
      <c r="E315" s="340"/>
      <c r="F315" s="340"/>
      <c r="G315" s="340"/>
      <c r="H315" s="340"/>
      <c r="I315" s="340"/>
      <c r="J315" s="340"/>
      <c r="K315" s="340"/>
      <c r="L315" s="340"/>
      <c r="M315" s="340"/>
      <c r="N315" s="340"/>
      <c r="O315" s="340"/>
      <c r="P315" s="340"/>
      <c r="Q315" s="340"/>
      <c r="R315" s="340"/>
      <c r="S315" s="340"/>
      <c r="T315" s="340"/>
      <c r="U315" s="340"/>
      <c r="V315" s="340"/>
      <c r="W315" s="340"/>
      <c r="X315" s="340"/>
      <c r="Y315" s="340"/>
      <c r="Z315" s="340"/>
      <c r="AA315" s="340"/>
      <c r="AB315" s="340"/>
      <c r="AC315" s="340"/>
    </row>
    <row r="316" spans="1:29">
      <c r="A316" s="340"/>
      <c r="B316" s="340"/>
      <c r="C316" s="340"/>
      <c r="D316" s="340"/>
      <c r="E316" s="340"/>
      <c r="F316" s="340"/>
      <c r="G316" s="340"/>
      <c r="H316" s="340"/>
      <c r="I316" s="340"/>
      <c r="J316" s="340"/>
      <c r="K316" s="340"/>
      <c r="L316" s="340"/>
      <c r="M316" s="340"/>
      <c r="N316" s="340"/>
      <c r="O316" s="340"/>
      <c r="P316" s="340"/>
      <c r="Q316" s="340"/>
      <c r="R316" s="340"/>
      <c r="S316" s="340"/>
      <c r="T316" s="340"/>
      <c r="U316" s="340"/>
      <c r="V316" s="340"/>
      <c r="W316" s="340"/>
      <c r="X316" s="340"/>
      <c r="Y316" s="340"/>
      <c r="Z316" s="340"/>
      <c r="AA316" s="340"/>
      <c r="AB316" s="340"/>
      <c r="AC316" s="340"/>
    </row>
    <row r="317" spans="1:29">
      <c r="A317" s="340"/>
      <c r="B317" s="340"/>
      <c r="C317" s="340"/>
      <c r="D317" s="340"/>
      <c r="E317" s="340"/>
      <c r="F317" s="340"/>
      <c r="G317" s="340"/>
      <c r="H317" s="340"/>
      <c r="I317" s="340"/>
      <c r="J317" s="340"/>
      <c r="K317" s="340"/>
      <c r="L317" s="340"/>
      <c r="M317" s="340"/>
      <c r="N317" s="340"/>
      <c r="O317" s="340"/>
      <c r="P317" s="340"/>
      <c r="Q317" s="340"/>
      <c r="R317" s="340"/>
      <c r="S317" s="340"/>
      <c r="T317" s="340"/>
      <c r="U317" s="340"/>
      <c r="V317" s="340"/>
      <c r="W317" s="340"/>
      <c r="X317" s="340"/>
      <c r="Y317" s="340"/>
      <c r="Z317" s="340"/>
      <c r="AA317" s="340"/>
      <c r="AB317" s="340"/>
      <c r="AC317" s="340"/>
    </row>
    <row r="318" spans="1:29">
      <c r="A318" s="340"/>
      <c r="B318" s="340"/>
      <c r="C318" s="340"/>
      <c r="D318" s="340"/>
      <c r="E318" s="340"/>
      <c r="F318" s="340"/>
      <c r="G318" s="340"/>
      <c r="H318" s="340"/>
      <c r="I318" s="340"/>
      <c r="J318" s="340"/>
      <c r="K318" s="340"/>
      <c r="L318" s="340"/>
      <c r="M318" s="340"/>
      <c r="N318" s="340"/>
      <c r="O318" s="340"/>
      <c r="P318" s="340"/>
      <c r="Q318" s="340"/>
      <c r="R318" s="340"/>
      <c r="S318" s="340"/>
      <c r="T318" s="340"/>
      <c r="U318" s="340"/>
      <c r="V318" s="340"/>
      <c r="W318" s="340"/>
      <c r="X318" s="340"/>
      <c r="Y318" s="340"/>
      <c r="Z318" s="340"/>
      <c r="AA318" s="340"/>
      <c r="AB318" s="340"/>
      <c r="AC318" s="340"/>
    </row>
    <row r="319" spans="1:29">
      <c r="A319" s="340"/>
      <c r="B319" s="340"/>
      <c r="C319" s="340"/>
      <c r="D319" s="340"/>
      <c r="E319" s="340"/>
      <c r="F319" s="340"/>
      <c r="G319" s="340"/>
      <c r="H319" s="340"/>
      <c r="I319" s="340"/>
      <c r="J319" s="340"/>
      <c r="K319" s="340"/>
      <c r="L319" s="340"/>
      <c r="M319" s="340"/>
      <c r="N319" s="340"/>
      <c r="O319" s="340"/>
      <c r="P319" s="340"/>
      <c r="Q319" s="340"/>
      <c r="R319" s="340"/>
      <c r="S319" s="340"/>
      <c r="T319" s="340"/>
      <c r="U319" s="340"/>
      <c r="V319" s="340"/>
      <c r="W319" s="340"/>
      <c r="X319" s="340"/>
      <c r="Y319" s="340"/>
      <c r="Z319" s="340"/>
      <c r="AA319" s="340"/>
      <c r="AB319" s="340"/>
      <c r="AC319" s="340"/>
    </row>
    <row r="320" spans="1:29">
      <c r="A320" s="340"/>
      <c r="B320" s="340"/>
      <c r="C320" s="340"/>
      <c r="D320" s="340"/>
      <c r="E320" s="340"/>
      <c r="F320" s="340"/>
      <c r="G320" s="340"/>
      <c r="H320" s="340"/>
      <c r="I320" s="340"/>
      <c r="J320" s="340"/>
      <c r="K320" s="340"/>
      <c r="L320" s="340"/>
      <c r="M320" s="340"/>
      <c r="N320" s="340"/>
      <c r="O320" s="340"/>
      <c r="P320" s="340"/>
      <c r="Q320" s="340"/>
      <c r="R320" s="340"/>
      <c r="S320" s="340"/>
      <c r="T320" s="340"/>
      <c r="U320" s="340"/>
      <c r="V320" s="340"/>
      <c r="W320" s="340"/>
      <c r="X320" s="340"/>
      <c r="Y320" s="340"/>
      <c r="Z320" s="340"/>
      <c r="AA320" s="340"/>
      <c r="AB320" s="340"/>
      <c r="AC320" s="340"/>
    </row>
    <row r="321" spans="1:29">
      <c r="A321" s="340"/>
      <c r="B321" s="340"/>
      <c r="C321" s="340"/>
      <c r="D321" s="340"/>
      <c r="E321" s="340"/>
      <c r="F321" s="340"/>
      <c r="G321" s="340"/>
      <c r="H321" s="340"/>
      <c r="I321" s="340"/>
      <c r="J321" s="340"/>
      <c r="K321" s="340"/>
      <c r="L321" s="340"/>
      <c r="M321" s="340"/>
      <c r="N321" s="340"/>
      <c r="O321" s="340"/>
      <c r="P321" s="340"/>
      <c r="Q321" s="340"/>
      <c r="R321" s="340"/>
      <c r="S321" s="340"/>
      <c r="T321" s="340"/>
      <c r="U321" s="340"/>
      <c r="V321" s="340"/>
      <c r="W321" s="340"/>
      <c r="X321" s="340"/>
      <c r="Y321" s="340"/>
      <c r="Z321" s="340"/>
      <c r="AA321" s="340"/>
      <c r="AB321" s="340"/>
      <c r="AC321" s="340"/>
    </row>
    <row r="322" spans="1:29">
      <c r="A322" s="340"/>
      <c r="B322" s="340"/>
      <c r="C322" s="340"/>
      <c r="D322" s="340"/>
      <c r="E322" s="340"/>
      <c r="F322" s="340"/>
      <c r="G322" s="340"/>
      <c r="H322" s="340"/>
      <c r="I322" s="340"/>
      <c r="J322" s="340"/>
      <c r="K322" s="340"/>
      <c r="L322" s="340"/>
      <c r="M322" s="340"/>
      <c r="N322" s="340"/>
      <c r="O322" s="340"/>
      <c r="P322" s="340"/>
      <c r="Q322" s="340"/>
      <c r="R322" s="340"/>
      <c r="S322" s="340"/>
      <c r="T322" s="340"/>
      <c r="U322" s="340"/>
      <c r="V322" s="340"/>
      <c r="W322" s="340"/>
      <c r="X322" s="340"/>
      <c r="Y322" s="340"/>
      <c r="Z322" s="340"/>
      <c r="AA322" s="340"/>
      <c r="AB322" s="340"/>
      <c r="AC322" s="340"/>
    </row>
    <row r="323" spans="1:29">
      <c r="A323" s="340"/>
      <c r="B323" s="340"/>
      <c r="C323" s="340"/>
      <c r="D323" s="340"/>
      <c r="E323" s="340"/>
      <c r="F323" s="340"/>
      <c r="G323" s="340"/>
      <c r="H323" s="340"/>
      <c r="I323" s="340"/>
      <c r="J323" s="340"/>
      <c r="K323" s="340"/>
      <c r="L323" s="340"/>
      <c r="M323" s="340"/>
      <c r="N323" s="340"/>
      <c r="O323" s="340"/>
      <c r="P323" s="340"/>
      <c r="Q323" s="340"/>
      <c r="R323" s="340"/>
      <c r="S323" s="340"/>
      <c r="T323" s="340"/>
      <c r="U323" s="340"/>
      <c r="V323" s="340"/>
      <c r="W323" s="340"/>
      <c r="X323" s="340"/>
      <c r="Y323" s="340"/>
      <c r="Z323" s="340"/>
      <c r="AA323" s="340"/>
      <c r="AB323" s="340"/>
      <c r="AC323" s="340"/>
    </row>
    <row r="324" spans="1:29">
      <c r="A324" s="340"/>
      <c r="B324" s="340"/>
      <c r="C324" s="340"/>
      <c r="D324" s="340"/>
      <c r="E324" s="340"/>
      <c r="F324" s="340"/>
      <c r="G324" s="340"/>
      <c r="H324" s="340"/>
      <c r="I324" s="340"/>
      <c r="J324" s="340"/>
      <c r="K324" s="340"/>
      <c r="L324" s="340"/>
      <c r="M324" s="340"/>
      <c r="N324" s="340"/>
      <c r="O324" s="340"/>
      <c r="P324" s="340"/>
      <c r="Q324" s="340"/>
      <c r="R324" s="340"/>
      <c r="S324" s="340"/>
      <c r="T324" s="340"/>
      <c r="U324" s="340"/>
      <c r="V324" s="340"/>
      <c r="W324" s="340"/>
      <c r="X324" s="340"/>
      <c r="Y324" s="340"/>
      <c r="Z324" s="340"/>
      <c r="AA324" s="340"/>
      <c r="AB324" s="340"/>
      <c r="AC324" s="340"/>
    </row>
    <row r="325" spans="1:29">
      <c r="A325" s="340"/>
      <c r="B325" s="340"/>
      <c r="C325" s="340"/>
      <c r="D325" s="340"/>
      <c r="E325" s="340"/>
      <c r="F325" s="340"/>
      <c r="G325" s="340"/>
      <c r="H325" s="340"/>
      <c r="I325" s="340"/>
      <c r="J325" s="340"/>
      <c r="K325" s="340"/>
      <c r="L325" s="340"/>
      <c r="M325" s="340"/>
      <c r="N325" s="340"/>
      <c r="O325" s="340"/>
      <c r="P325" s="340"/>
      <c r="Q325" s="340"/>
      <c r="R325" s="340"/>
      <c r="S325" s="340"/>
      <c r="T325" s="340"/>
      <c r="U325" s="340"/>
      <c r="V325" s="340"/>
      <c r="W325" s="340"/>
      <c r="X325" s="340"/>
      <c r="Y325" s="340"/>
      <c r="Z325" s="340"/>
      <c r="AA325" s="340"/>
      <c r="AB325" s="340"/>
      <c r="AC325" s="340"/>
    </row>
    <row r="326" spans="1:29">
      <c r="A326" s="340"/>
      <c r="B326" s="340"/>
      <c r="C326" s="340"/>
      <c r="D326" s="340"/>
      <c r="E326" s="340"/>
      <c r="F326" s="340"/>
      <c r="G326" s="340"/>
      <c r="H326" s="340"/>
      <c r="I326" s="340"/>
      <c r="J326" s="340"/>
      <c r="K326" s="340"/>
      <c r="L326" s="340"/>
      <c r="M326" s="340"/>
      <c r="N326" s="340"/>
      <c r="O326" s="340"/>
      <c r="P326" s="340"/>
      <c r="Q326" s="340"/>
      <c r="R326" s="340"/>
      <c r="S326" s="340"/>
      <c r="T326" s="340"/>
      <c r="U326" s="340"/>
      <c r="V326" s="340"/>
      <c r="W326" s="340"/>
      <c r="X326" s="340"/>
      <c r="Y326" s="340"/>
      <c r="Z326" s="340"/>
      <c r="AA326" s="340"/>
      <c r="AB326" s="340"/>
      <c r="AC326" s="340"/>
    </row>
    <row r="327" spans="1:29">
      <c r="A327" s="340"/>
      <c r="B327" s="340"/>
      <c r="C327" s="340"/>
      <c r="D327" s="340"/>
      <c r="E327" s="340"/>
      <c r="F327" s="340"/>
      <c r="G327" s="340"/>
      <c r="H327" s="340"/>
      <c r="I327" s="340"/>
      <c r="J327" s="340"/>
      <c r="K327" s="340"/>
      <c r="L327" s="340"/>
      <c r="M327" s="340"/>
      <c r="N327" s="340"/>
      <c r="O327" s="340"/>
      <c r="P327" s="340"/>
      <c r="Q327" s="340"/>
      <c r="R327" s="340"/>
      <c r="S327" s="340"/>
      <c r="T327" s="340"/>
      <c r="U327" s="340"/>
      <c r="V327" s="340"/>
      <c r="W327" s="340"/>
      <c r="X327" s="340"/>
      <c r="Y327" s="340"/>
      <c r="Z327" s="340"/>
      <c r="AA327" s="340"/>
      <c r="AB327" s="340"/>
      <c r="AC327" s="340"/>
    </row>
    <row r="328" spans="1:29">
      <c r="A328" s="340"/>
      <c r="B328" s="340"/>
      <c r="C328" s="340"/>
      <c r="D328" s="340"/>
      <c r="E328" s="340"/>
      <c r="F328" s="340"/>
      <c r="G328" s="340"/>
      <c r="H328" s="340"/>
      <c r="I328" s="340"/>
      <c r="J328" s="340"/>
      <c r="K328" s="340"/>
      <c r="L328" s="340"/>
      <c r="M328" s="340"/>
      <c r="N328" s="340"/>
      <c r="O328" s="340"/>
      <c r="P328" s="340"/>
      <c r="Q328" s="340"/>
      <c r="R328" s="340"/>
      <c r="S328" s="340"/>
      <c r="T328" s="340"/>
      <c r="U328" s="340"/>
      <c r="V328" s="340"/>
      <c r="W328" s="340"/>
      <c r="X328" s="340"/>
      <c r="Y328" s="340"/>
      <c r="Z328" s="340"/>
      <c r="AA328" s="340"/>
      <c r="AB328" s="340"/>
      <c r="AC328" s="340"/>
    </row>
    <row r="329" spans="1:29">
      <c r="A329" s="340"/>
      <c r="B329" s="340"/>
      <c r="C329" s="340"/>
      <c r="D329" s="340"/>
      <c r="E329" s="340"/>
      <c r="F329" s="340"/>
      <c r="G329" s="340"/>
      <c r="H329" s="340"/>
      <c r="I329" s="340"/>
      <c r="J329" s="340"/>
      <c r="K329" s="340"/>
      <c r="L329" s="340"/>
      <c r="M329" s="340"/>
      <c r="N329" s="340"/>
      <c r="O329" s="340"/>
      <c r="P329" s="340"/>
      <c r="Q329" s="340"/>
      <c r="R329" s="340"/>
      <c r="S329" s="340"/>
      <c r="T329" s="340"/>
      <c r="U329" s="340"/>
      <c r="V329" s="340"/>
      <c r="W329" s="340"/>
      <c r="X329" s="340"/>
      <c r="Y329" s="340"/>
      <c r="Z329" s="340"/>
      <c r="AA329" s="340"/>
      <c r="AB329" s="340"/>
      <c r="AC329" s="340"/>
    </row>
    <row r="330" spans="1:29">
      <c r="A330" s="340"/>
      <c r="B330" s="340"/>
      <c r="C330" s="340"/>
      <c r="D330" s="340"/>
      <c r="E330" s="340"/>
      <c r="F330" s="340"/>
      <c r="G330" s="340"/>
      <c r="H330" s="340"/>
      <c r="I330" s="340"/>
      <c r="J330" s="340"/>
      <c r="K330" s="340"/>
      <c r="L330" s="340"/>
      <c r="M330" s="340"/>
      <c r="N330" s="340"/>
      <c r="O330" s="340"/>
      <c r="P330" s="340"/>
      <c r="Q330" s="340"/>
      <c r="R330" s="340"/>
      <c r="S330" s="340"/>
      <c r="T330" s="340"/>
      <c r="U330" s="340"/>
      <c r="V330" s="340"/>
      <c r="W330" s="340"/>
      <c r="X330" s="340"/>
      <c r="Y330" s="340"/>
      <c r="Z330" s="340"/>
      <c r="AA330" s="340"/>
      <c r="AB330" s="340"/>
      <c r="AC330" s="340"/>
    </row>
    <row r="331" spans="1:29">
      <c r="A331" s="340"/>
      <c r="B331" s="340"/>
      <c r="C331" s="340"/>
      <c r="D331" s="340"/>
      <c r="E331" s="340"/>
      <c r="F331" s="340"/>
      <c r="G331" s="340"/>
      <c r="H331" s="340"/>
      <c r="I331" s="340"/>
      <c r="J331" s="340"/>
      <c r="K331" s="340"/>
      <c r="L331" s="340"/>
      <c r="M331" s="340"/>
      <c r="N331" s="340"/>
      <c r="O331" s="340"/>
      <c r="P331" s="340"/>
      <c r="Q331" s="340"/>
      <c r="R331" s="340"/>
      <c r="S331" s="340"/>
      <c r="T331" s="340"/>
      <c r="U331" s="340"/>
      <c r="V331" s="340"/>
      <c r="W331" s="340"/>
      <c r="X331" s="340"/>
      <c r="Y331" s="340"/>
      <c r="Z331" s="340"/>
      <c r="AA331" s="340"/>
      <c r="AB331" s="340"/>
      <c r="AC331" s="340"/>
    </row>
    <row r="332" spans="1:29">
      <c r="A332" s="340"/>
      <c r="B332" s="340"/>
      <c r="C332" s="340"/>
      <c r="D332" s="340"/>
      <c r="E332" s="340"/>
      <c r="F332" s="340"/>
      <c r="G332" s="340"/>
      <c r="H332" s="340"/>
      <c r="I332" s="340"/>
      <c r="J332" s="340"/>
      <c r="K332" s="340"/>
      <c r="L332" s="340"/>
      <c r="M332" s="340"/>
      <c r="N332" s="340"/>
      <c r="O332" s="340"/>
      <c r="P332" s="340"/>
      <c r="Q332" s="340"/>
      <c r="R332" s="340"/>
      <c r="S332" s="340"/>
      <c r="T332" s="340"/>
      <c r="U332" s="340"/>
      <c r="V332" s="340"/>
      <c r="W332" s="340"/>
      <c r="X332" s="340"/>
      <c r="Y332" s="340"/>
      <c r="Z332" s="340"/>
      <c r="AA332" s="340"/>
      <c r="AB332" s="340"/>
      <c r="AC332" s="340"/>
    </row>
    <row r="333" spans="1:29">
      <c r="A333" s="340"/>
      <c r="B333" s="340"/>
      <c r="C333" s="340"/>
      <c r="D333" s="340"/>
      <c r="E333" s="340"/>
      <c r="F333" s="340"/>
      <c r="G333" s="340"/>
      <c r="H333" s="340"/>
      <c r="I333" s="340"/>
      <c r="J333" s="340"/>
      <c r="K333" s="340"/>
      <c r="L333" s="340"/>
      <c r="M333" s="340"/>
      <c r="N333" s="340"/>
      <c r="O333" s="340"/>
      <c r="P333" s="340"/>
      <c r="Q333" s="340"/>
      <c r="R333" s="340"/>
      <c r="S333" s="340"/>
      <c r="T333" s="340"/>
      <c r="U333" s="340"/>
      <c r="V333" s="340"/>
      <c r="W333" s="340"/>
      <c r="X333" s="340"/>
      <c r="Y333" s="340"/>
      <c r="Z333" s="340"/>
      <c r="AA333" s="340"/>
      <c r="AB333" s="340"/>
      <c r="AC333" s="340"/>
    </row>
    <row r="334" spans="1:29">
      <c r="A334" s="340"/>
      <c r="B334" s="340"/>
      <c r="C334" s="340"/>
      <c r="D334" s="340"/>
      <c r="E334" s="340"/>
      <c r="F334" s="340"/>
      <c r="G334" s="340"/>
      <c r="H334" s="340"/>
      <c r="I334" s="340"/>
      <c r="J334" s="340"/>
      <c r="K334" s="340"/>
      <c r="L334" s="340"/>
      <c r="M334" s="340"/>
      <c r="N334" s="340"/>
      <c r="O334" s="340"/>
      <c r="P334" s="340"/>
      <c r="Q334" s="340"/>
      <c r="R334" s="340"/>
      <c r="S334" s="340"/>
      <c r="T334" s="340"/>
      <c r="U334" s="340"/>
      <c r="V334" s="340"/>
      <c r="W334" s="340"/>
      <c r="X334" s="340"/>
      <c r="Y334" s="340"/>
      <c r="Z334" s="340"/>
      <c r="AA334" s="340"/>
      <c r="AB334" s="340"/>
      <c r="AC334" s="340"/>
    </row>
    <row r="335" spans="1:29">
      <c r="A335" s="340"/>
      <c r="B335" s="340"/>
      <c r="C335" s="340"/>
      <c r="D335" s="340"/>
      <c r="E335" s="340"/>
      <c r="F335" s="340"/>
      <c r="G335" s="340"/>
      <c r="H335" s="340"/>
      <c r="I335" s="340"/>
      <c r="J335" s="340"/>
      <c r="K335" s="340"/>
      <c r="L335" s="340"/>
      <c r="M335" s="340"/>
      <c r="N335" s="340"/>
      <c r="O335" s="340"/>
      <c r="P335" s="340"/>
      <c r="Q335" s="340"/>
      <c r="R335" s="340"/>
      <c r="S335" s="340"/>
      <c r="T335" s="340"/>
      <c r="U335" s="340"/>
      <c r="V335" s="340"/>
      <c r="W335" s="340"/>
      <c r="X335" s="340"/>
      <c r="Y335" s="340"/>
      <c r="Z335" s="340"/>
      <c r="AA335" s="340"/>
      <c r="AB335" s="340"/>
      <c r="AC335" s="340"/>
    </row>
    <row r="336" spans="1:29">
      <c r="A336" s="340"/>
      <c r="B336" s="340"/>
      <c r="C336" s="340"/>
      <c r="D336" s="340"/>
      <c r="E336" s="340"/>
      <c r="F336" s="340"/>
      <c r="G336" s="340"/>
      <c r="H336" s="340"/>
      <c r="I336" s="340"/>
      <c r="J336" s="340"/>
      <c r="K336" s="340"/>
      <c r="L336" s="340"/>
      <c r="M336" s="340"/>
      <c r="N336" s="340"/>
      <c r="O336" s="340"/>
      <c r="P336" s="340"/>
      <c r="Q336" s="340"/>
      <c r="R336" s="340"/>
      <c r="S336" s="340"/>
      <c r="T336" s="340"/>
      <c r="U336" s="340"/>
      <c r="V336" s="340"/>
      <c r="W336" s="340"/>
      <c r="X336" s="340"/>
      <c r="Y336" s="340"/>
      <c r="Z336" s="340"/>
      <c r="AA336" s="340"/>
      <c r="AB336" s="340"/>
      <c r="AC336" s="340"/>
    </row>
    <row r="337" spans="1:29">
      <c r="A337" s="340"/>
      <c r="B337" s="340"/>
      <c r="C337" s="340"/>
      <c r="D337" s="340"/>
      <c r="E337" s="340"/>
      <c r="F337" s="340"/>
      <c r="G337" s="340"/>
      <c r="H337" s="340"/>
      <c r="I337" s="340"/>
      <c r="J337" s="340"/>
      <c r="K337" s="340"/>
      <c r="L337" s="340"/>
      <c r="M337" s="340"/>
      <c r="N337" s="340"/>
      <c r="O337" s="340"/>
      <c r="P337" s="340"/>
      <c r="Q337" s="340"/>
      <c r="R337" s="340"/>
      <c r="S337" s="340"/>
      <c r="T337" s="340"/>
      <c r="U337" s="340"/>
      <c r="V337" s="340"/>
      <c r="W337" s="340"/>
      <c r="X337" s="340"/>
      <c r="Y337" s="340"/>
      <c r="Z337" s="340"/>
      <c r="AA337" s="340"/>
      <c r="AB337" s="340"/>
      <c r="AC337" s="340"/>
    </row>
    <row r="338" spans="1:29">
      <c r="A338" s="340"/>
      <c r="B338" s="340"/>
      <c r="C338" s="340"/>
      <c r="D338" s="340"/>
      <c r="E338" s="340"/>
      <c r="F338" s="340"/>
      <c r="G338" s="340"/>
      <c r="H338" s="340"/>
      <c r="I338" s="340"/>
      <c r="J338" s="340"/>
      <c r="K338" s="340"/>
      <c r="L338" s="340"/>
      <c r="M338" s="340"/>
      <c r="N338" s="340"/>
      <c r="O338" s="340"/>
      <c r="P338" s="340"/>
      <c r="Q338" s="340"/>
      <c r="R338" s="340"/>
      <c r="S338" s="340"/>
      <c r="T338" s="340"/>
      <c r="U338" s="340"/>
      <c r="V338" s="340"/>
      <c r="W338" s="340"/>
      <c r="X338" s="340"/>
      <c r="Y338" s="340"/>
      <c r="Z338" s="340"/>
      <c r="AA338" s="340"/>
      <c r="AB338" s="340"/>
      <c r="AC338" s="340"/>
    </row>
    <row r="339" spans="1:29">
      <c r="A339" s="340"/>
      <c r="B339" s="340"/>
      <c r="C339" s="340"/>
      <c r="D339" s="340"/>
      <c r="E339" s="340"/>
      <c r="F339" s="340"/>
      <c r="G339" s="340"/>
      <c r="H339" s="340"/>
      <c r="I339" s="340"/>
      <c r="J339" s="340"/>
      <c r="K339" s="340"/>
      <c r="L339" s="340"/>
      <c r="M339" s="340"/>
      <c r="N339" s="340"/>
      <c r="O339" s="340"/>
      <c r="P339" s="340"/>
      <c r="Q339" s="340"/>
      <c r="R339" s="340"/>
      <c r="S339" s="340"/>
      <c r="T339" s="340"/>
      <c r="U339" s="340"/>
      <c r="V339" s="340"/>
      <c r="W339" s="340"/>
      <c r="X339" s="340"/>
      <c r="Y339" s="340"/>
      <c r="Z339" s="340"/>
      <c r="AA339" s="340"/>
      <c r="AB339" s="340"/>
      <c r="AC339" s="340"/>
    </row>
    <row r="340" spans="1:29">
      <c r="A340" s="340"/>
      <c r="B340" s="340"/>
      <c r="C340" s="340"/>
      <c r="D340" s="340"/>
      <c r="E340" s="340"/>
      <c r="F340" s="340"/>
      <c r="G340" s="340"/>
      <c r="H340" s="340"/>
      <c r="I340" s="340"/>
      <c r="J340" s="340"/>
      <c r="K340" s="340"/>
      <c r="L340" s="340"/>
      <c r="M340" s="340"/>
      <c r="N340" s="340"/>
      <c r="O340" s="340"/>
      <c r="P340" s="340"/>
      <c r="Q340" s="340"/>
      <c r="R340" s="340"/>
      <c r="S340" s="340"/>
      <c r="T340" s="340"/>
      <c r="U340" s="340"/>
      <c r="V340" s="340"/>
      <c r="W340" s="340"/>
      <c r="X340" s="340"/>
      <c r="Y340" s="340"/>
      <c r="Z340" s="340"/>
      <c r="AA340" s="340"/>
      <c r="AB340" s="340"/>
      <c r="AC340" s="340"/>
    </row>
    <row r="341" spans="1:29">
      <c r="A341" s="340"/>
      <c r="B341" s="340"/>
      <c r="C341" s="340"/>
      <c r="D341" s="340"/>
      <c r="E341" s="340"/>
      <c r="F341" s="340"/>
      <c r="G341" s="340"/>
      <c r="H341" s="340"/>
      <c r="I341" s="340"/>
      <c r="J341" s="340"/>
      <c r="K341" s="340"/>
      <c r="L341" s="340"/>
      <c r="M341" s="340"/>
      <c r="N341" s="340"/>
      <c r="O341" s="340"/>
      <c r="P341" s="340"/>
      <c r="Q341" s="340"/>
      <c r="R341" s="340"/>
      <c r="S341" s="340"/>
      <c r="T341" s="340"/>
      <c r="U341" s="340"/>
      <c r="V341" s="340"/>
      <c r="W341" s="340"/>
      <c r="X341" s="340"/>
      <c r="Y341" s="340"/>
      <c r="Z341" s="340"/>
      <c r="AA341" s="340"/>
      <c r="AB341" s="340"/>
      <c r="AC341" s="340"/>
    </row>
    <row r="342" spans="1:29">
      <c r="A342" s="340"/>
      <c r="B342" s="340"/>
      <c r="C342" s="340"/>
      <c r="D342" s="340"/>
      <c r="E342" s="340"/>
      <c r="F342" s="340"/>
      <c r="G342" s="340"/>
      <c r="H342" s="340"/>
      <c r="I342" s="340"/>
      <c r="J342" s="340"/>
      <c r="K342" s="340"/>
      <c r="L342" s="340"/>
      <c r="M342" s="340"/>
      <c r="N342" s="340"/>
      <c r="O342" s="340"/>
      <c r="P342" s="340"/>
      <c r="Q342" s="340"/>
      <c r="R342" s="340"/>
      <c r="S342" s="340"/>
      <c r="T342" s="340"/>
      <c r="U342" s="340"/>
      <c r="V342" s="340"/>
      <c r="W342" s="340"/>
      <c r="X342" s="340"/>
      <c r="Y342" s="340"/>
      <c r="Z342" s="340"/>
      <c r="AA342" s="340"/>
      <c r="AB342" s="340"/>
      <c r="AC342" s="340"/>
    </row>
    <row r="343" spans="1:29">
      <c r="A343" s="340"/>
      <c r="B343" s="340"/>
      <c r="C343" s="340"/>
      <c r="D343" s="340"/>
      <c r="E343" s="340"/>
      <c r="F343" s="340"/>
      <c r="G343" s="340"/>
      <c r="H343" s="340"/>
      <c r="I343" s="340"/>
      <c r="J343" s="340"/>
      <c r="K343" s="340"/>
      <c r="L343" s="340"/>
      <c r="M343" s="340"/>
      <c r="N343" s="340"/>
      <c r="O343" s="340"/>
      <c r="P343" s="340"/>
      <c r="Q343" s="340"/>
      <c r="R343" s="340"/>
      <c r="S343" s="340"/>
      <c r="T343" s="340"/>
      <c r="U343" s="340"/>
      <c r="V343" s="340"/>
      <c r="W343" s="340"/>
      <c r="X343" s="340"/>
      <c r="Y343" s="340"/>
      <c r="Z343" s="340"/>
      <c r="AA343" s="340"/>
      <c r="AB343" s="340"/>
      <c r="AC343" s="340"/>
    </row>
    <row r="344" spans="1:29">
      <c r="A344" s="340"/>
      <c r="B344" s="340"/>
      <c r="C344" s="340"/>
      <c r="D344" s="340"/>
      <c r="E344" s="340"/>
      <c r="F344" s="340"/>
      <c r="G344" s="340"/>
      <c r="H344" s="340"/>
      <c r="I344" s="340"/>
      <c r="J344" s="340"/>
      <c r="K344" s="340"/>
      <c r="L344" s="340"/>
      <c r="M344" s="340"/>
      <c r="N344" s="340"/>
      <c r="O344" s="340"/>
      <c r="P344" s="340"/>
      <c r="Q344" s="340"/>
      <c r="R344" s="340"/>
      <c r="S344" s="340"/>
      <c r="T344" s="340"/>
      <c r="U344" s="340"/>
      <c r="V344" s="340"/>
      <c r="W344" s="340"/>
      <c r="X344" s="340"/>
      <c r="Y344" s="340"/>
      <c r="Z344" s="340"/>
      <c r="AA344" s="340"/>
      <c r="AB344" s="340"/>
      <c r="AC344" s="340"/>
    </row>
    <row r="345" spans="1:29">
      <c r="A345" s="340"/>
      <c r="B345" s="340"/>
      <c r="C345" s="340"/>
      <c r="D345" s="340"/>
      <c r="E345" s="340"/>
      <c r="F345" s="340"/>
      <c r="G345" s="340"/>
      <c r="H345" s="340"/>
      <c r="I345" s="340"/>
      <c r="J345" s="340"/>
      <c r="K345" s="340"/>
      <c r="L345" s="340"/>
      <c r="M345" s="340"/>
      <c r="N345" s="340"/>
      <c r="O345" s="340"/>
      <c r="P345" s="340"/>
      <c r="Q345" s="340"/>
      <c r="R345" s="340"/>
      <c r="S345" s="340"/>
      <c r="T345" s="340"/>
      <c r="U345" s="340"/>
      <c r="V345" s="340"/>
      <c r="W345" s="340"/>
      <c r="X345" s="340"/>
      <c r="Y345" s="340"/>
      <c r="Z345" s="340"/>
      <c r="AA345" s="340"/>
      <c r="AB345" s="340"/>
      <c r="AC345" s="340"/>
    </row>
    <row r="346" spans="1:29">
      <c r="A346" s="340"/>
      <c r="B346" s="340"/>
      <c r="C346" s="340"/>
      <c r="D346" s="340"/>
      <c r="E346" s="340"/>
      <c r="F346" s="340"/>
      <c r="G346" s="340"/>
      <c r="H346" s="340"/>
      <c r="I346" s="340"/>
      <c r="J346" s="340"/>
      <c r="K346" s="340"/>
      <c r="L346" s="340"/>
      <c r="M346" s="340"/>
      <c r="N346" s="340"/>
      <c r="O346" s="340"/>
      <c r="P346" s="340"/>
      <c r="Q346" s="340"/>
      <c r="R346" s="340"/>
      <c r="S346" s="340"/>
      <c r="T346" s="340"/>
      <c r="U346" s="340"/>
      <c r="V346" s="340"/>
      <c r="W346" s="340"/>
      <c r="X346" s="340"/>
      <c r="Y346" s="340"/>
      <c r="Z346" s="340"/>
      <c r="AA346" s="340"/>
      <c r="AB346" s="340"/>
      <c r="AC346" s="340"/>
    </row>
    <row r="347" spans="1:29">
      <c r="A347" s="340"/>
      <c r="B347" s="340"/>
      <c r="C347" s="340"/>
      <c r="D347" s="340"/>
      <c r="E347" s="340"/>
      <c r="F347" s="340"/>
      <c r="G347" s="340"/>
      <c r="H347" s="340"/>
      <c r="I347" s="340"/>
      <c r="J347" s="340"/>
      <c r="K347" s="340"/>
      <c r="L347" s="340"/>
      <c r="M347" s="340"/>
      <c r="N347" s="340"/>
      <c r="O347" s="340"/>
      <c r="P347" s="340"/>
      <c r="Q347" s="340"/>
      <c r="R347" s="340"/>
      <c r="S347" s="340"/>
      <c r="T347" s="340"/>
      <c r="U347" s="340"/>
      <c r="V347" s="340"/>
      <c r="W347" s="340"/>
      <c r="X347" s="340"/>
      <c r="Y347" s="340"/>
      <c r="Z347" s="340"/>
      <c r="AA347" s="340"/>
      <c r="AB347" s="340"/>
      <c r="AC347" s="340"/>
    </row>
    <row r="348" spans="1:29">
      <c r="A348" s="340"/>
      <c r="B348" s="340"/>
      <c r="C348" s="340"/>
      <c r="D348" s="340"/>
      <c r="E348" s="340"/>
      <c r="F348" s="340"/>
      <c r="G348" s="340"/>
      <c r="H348" s="340"/>
      <c r="I348" s="340"/>
      <c r="J348" s="340"/>
      <c r="K348" s="340"/>
      <c r="L348" s="340"/>
      <c r="M348" s="340"/>
      <c r="N348" s="340"/>
      <c r="O348" s="340"/>
      <c r="P348" s="340"/>
      <c r="Q348" s="340"/>
      <c r="R348" s="340"/>
      <c r="S348" s="340"/>
      <c r="T348" s="340"/>
      <c r="U348" s="340"/>
      <c r="V348" s="340"/>
      <c r="W348" s="340"/>
      <c r="X348" s="340"/>
      <c r="Y348" s="340"/>
      <c r="Z348" s="340"/>
      <c r="AA348" s="340"/>
      <c r="AB348" s="340"/>
      <c r="AC348" s="340"/>
    </row>
    <row r="349" spans="1:29">
      <c r="A349" s="340"/>
      <c r="B349" s="340"/>
      <c r="C349" s="340"/>
      <c r="D349" s="340"/>
      <c r="E349" s="340"/>
      <c r="F349" s="340"/>
      <c r="G349" s="340"/>
      <c r="H349" s="340"/>
      <c r="I349" s="340"/>
      <c r="J349" s="340"/>
      <c r="K349" s="340"/>
      <c r="L349" s="340"/>
      <c r="M349" s="340"/>
      <c r="N349" s="340"/>
      <c r="O349" s="340"/>
      <c r="P349" s="340"/>
      <c r="Q349" s="340"/>
      <c r="R349" s="340"/>
      <c r="S349" s="340"/>
      <c r="T349" s="340"/>
      <c r="U349" s="340"/>
      <c r="V349" s="340"/>
      <c r="W349" s="340"/>
      <c r="X349" s="340"/>
      <c r="Y349" s="340"/>
      <c r="Z349" s="340"/>
      <c r="AA349" s="340"/>
      <c r="AB349" s="340"/>
      <c r="AC349" s="340"/>
    </row>
    <row r="350" spans="1:29">
      <c r="A350" s="340"/>
      <c r="B350" s="340"/>
      <c r="C350" s="340"/>
      <c r="D350" s="340"/>
      <c r="E350" s="340"/>
      <c r="F350" s="340"/>
      <c r="G350" s="340"/>
      <c r="H350" s="340"/>
      <c r="I350" s="340"/>
      <c r="J350" s="340"/>
      <c r="K350" s="340"/>
      <c r="L350" s="340"/>
      <c r="M350" s="340"/>
      <c r="N350" s="340"/>
      <c r="O350" s="340"/>
      <c r="P350" s="340"/>
      <c r="Q350" s="340"/>
      <c r="R350" s="340"/>
      <c r="S350" s="340"/>
      <c r="T350" s="340"/>
      <c r="U350" s="340"/>
      <c r="V350" s="340"/>
      <c r="W350" s="340"/>
      <c r="X350" s="340"/>
      <c r="Y350" s="340"/>
      <c r="Z350" s="340"/>
      <c r="AA350" s="340"/>
      <c r="AB350" s="340"/>
      <c r="AC350" s="340"/>
    </row>
    <row r="351" spans="1:29">
      <c r="A351" s="340"/>
      <c r="B351" s="340"/>
      <c r="C351" s="340"/>
      <c r="D351" s="340"/>
      <c r="E351" s="340"/>
      <c r="F351" s="340"/>
      <c r="G351" s="340"/>
      <c r="H351" s="340"/>
      <c r="I351" s="340"/>
      <c r="J351" s="340"/>
      <c r="K351" s="340"/>
      <c r="L351" s="340"/>
      <c r="M351" s="340"/>
      <c r="N351" s="340"/>
      <c r="O351" s="340"/>
      <c r="P351" s="340"/>
      <c r="Q351" s="340"/>
      <c r="R351" s="340"/>
      <c r="S351" s="340"/>
      <c r="T351" s="340"/>
      <c r="U351" s="340"/>
      <c r="V351" s="340"/>
      <c r="W351" s="340"/>
      <c r="X351" s="340"/>
      <c r="Y351" s="340"/>
      <c r="Z351" s="340"/>
      <c r="AA351" s="340"/>
      <c r="AB351" s="340"/>
      <c r="AC351" s="340"/>
    </row>
    <row r="352" spans="1:29">
      <c r="A352" s="340"/>
      <c r="B352" s="340"/>
      <c r="C352" s="340"/>
      <c r="D352" s="340"/>
      <c r="E352" s="340"/>
      <c r="F352" s="340"/>
      <c r="G352" s="340"/>
      <c r="H352" s="340"/>
      <c r="I352" s="340"/>
      <c r="J352" s="340"/>
      <c r="K352" s="340"/>
      <c r="L352" s="340"/>
      <c r="M352" s="340"/>
      <c r="N352" s="340"/>
      <c r="O352" s="340"/>
      <c r="P352" s="340"/>
      <c r="Q352" s="340"/>
      <c r="R352" s="340"/>
      <c r="S352" s="340"/>
      <c r="T352" s="340"/>
      <c r="U352" s="340"/>
      <c r="V352" s="340"/>
      <c r="W352" s="340"/>
      <c r="X352" s="340"/>
      <c r="Y352" s="340"/>
      <c r="Z352" s="340"/>
      <c r="AA352" s="340"/>
      <c r="AB352" s="340"/>
      <c r="AC352" s="340"/>
    </row>
    <row r="353" spans="1:29">
      <c r="A353" s="340"/>
      <c r="B353" s="340"/>
      <c r="C353" s="340"/>
      <c r="D353" s="340"/>
      <c r="E353" s="340"/>
      <c r="F353" s="340"/>
      <c r="G353" s="340"/>
      <c r="H353" s="340"/>
      <c r="I353" s="340"/>
      <c r="J353" s="340"/>
      <c r="K353" s="340"/>
      <c r="L353" s="340"/>
      <c r="M353" s="340"/>
      <c r="N353" s="340"/>
      <c r="O353" s="340"/>
      <c r="P353" s="340"/>
      <c r="Q353" s="340"/>
      <c r="R353" s="340"/>
      <c r="S353" s="340"/>
      <c r="T353" s="340"/>
      <c r="U353" s="340"/>
      <c r="V353" s="340"/>
      <c r="W353" s="340"/>
      <c r="X353" s="340"/>
      <c r="Y353" s="340"/>
      <c r="Z353" s="340"/>
      <c r="AA353" s="340"/>
      <c r="AB353" s="340"/>
      <c r="AC353" s="340"/>
    </row>
    <row r="354" spans="1:29">
      <c r="A354" s="340"/>
      <c r="B354" s="340"/>
      <c r="C354" s="340"/>
      <c r="D354" s="340"/>
      <c r="E354" s="340"/>
      <c r="F354" s="340"/>
      <c r="G354" s="340"/>
      <c r="H354" s="340"/>
      <c r="I354" s="340"/>
      <c r="J354" s="340"/>
      <c r="K354" s="340"/>
      <c r="L354" s="340"/>
      <c r="M354" s="340"/>
      <c r="N354" s="340"/>
      <c r="O354" s="340"/>
      <c r="P354" s="340"/>
      <c r="Q354" s="340"/>
      <c r="R354" s="340"/>
      <c r="S354" s="340"/>
      <c r="T354" s="340"/>
      <c r="U354" s="340"/>
      <c r="V354" s="340"/>
      <c r="W354" s="340"/>
      <c r="X354" s="340"/>
      <c r="Y354" s="340"/>
      <c r="Z354" s="340"/>
      <c r="AA354" s="340"/>
      <c r="AB354" s="340"/>
      <c r="AC354" s="340"/>
    </row>
    <row r="355" spans="1:29">
      <c r="A355" s="340"/>
      <c r="B355" s="340"/>
      <c r="C355" s="340"/>
      <c r="D355" s="340"/>
      <c r="E355" s="340"/>
      <c r="F355" s="340"/>
      <c r="G355" s="340"/>
      <c r="H355" s="340"/>
      <c r="I355" s="340"/>
      <c r="J355" s="340"/>
      <c r="K355" s="340"/>
      <c r="L355" s="340"/>
      <c r="M355" s="340"/>
      <c r="N355" s="340"/>
      <c r="O355" s="340"/>
      <c r="P355" s="340"/>
      <c r="Q355" s="340"/>
      <c r="R355" s="340"/>
      <c r="S355" s="340"/>
      <c r="T355" s="340"/>
      <c r="U355" s="340"/>
      <c r="V355" s="340"/>
      <c r="W355" s="340"/>
      <c r="X355" s="340"/>
      <c r="Y355" s="340"/>
      <c r="Z355" s="340"/>
      <c r="AA355" s="340"/>
      <c r="AB355" s="340"/>
      <c r="AC355" s="340"/>
    </row>
    <row r="356" spans="1:29">
      <c r="A356" s="340"/>
      <c r="B356" s="340"/>
      <c r="C356" s="340"/>
      <c r="D356" s="340"/>
      <c r="E356" s="340"/>
      <c r="F356" s="340"/>
      <c r="G356" s="340"/>
      <c r="H356" s="340"/>
      <c r="I356" s="340"/>
      <c r="J356" s="340"/>
      <c r="K356" s="340"/>
      <c r="L356" s="340"/>
      <c r="M356" s="340"/>
      <c r="N356" s="340"/>
      <c r="O356" s="340"/>
      <c r="P356" s="340"/>
      <c r="Q356" s="340"/>
      <c r="R356" s="340"/>
      <c r="S356" s="340"/>
      <c r="T356" s="340"/>
      <c r="U356" s="340"/>
      <c r="V356" s="340"/>
      <c r="W356" s="340"/>
      <c r="X356" s="340"/>
      <c r="Y356" s="340"/>
      <c r="Z356" s="340"/>
      <c r="AA356" s="340"/>
      <c r="AB356" s="340"/>
      <c r="AC356" s="340"/>
    </row>
    <row r="357" spans="1:29">
      <c r="A357" s="340"/>
      <c r="B357" s="340"/>
      <c r="C357" s="340"/>
      <c r="D357" s="340"/>
      <c r="E357" s="340"/>
      <c r="F357" s="340"/>
      <c r="G357" s="340"/>
      <c r="H357" s="340"/>
      <c r="I357" s="340"/>
      <c r="J357" s="340"/>
      <c r="K357" s="340"/>
      <c r="L357" s="340"/>
      <c r="M357" s="340"/>
      <c r="N357" s="340"/>
      <c r="O357" s="340"/>
      <c r="P357" s="340"/>
      <c r="Q357" s="340"/>
      <c r="R357" s="340"/>
      <c r="S357" s="340"/>
      <c r="T357" s="340"/>
      <c r="U357" s="340"/>
      <c r="V357" s="340"/>
      <c r="W357" s="340"/>
      <c r="X357" s="340"/>
      <c r="Y357" s="340"/>
      <c r="Z357" s="340"/>
      <c r="AA357" s="340"/>
      <c r="AB357" s="340"/>
      <c r="AC357" s="340"/>
    </row>
    <row r="358" spans="1:29">
      <c r="A358" s="340"/>
      <c r="B358" s="340"/>
      <c r="C358" s="340"/>
      <c r="D358" s="340"/>
      <c r="E358" s="340"/>
      <c r="F358" s="340"/>
      <c r="G358" s="340"/>
      <c r="H358" s="340"/>
      <c r="I358" s="340"/>
      <c r="J358" s="340"/>
      <c r="K358" s="340"/>
      <c r="L358" s="340"/>
      <c r="M358" s="340"/>
      <c r="N358" s="340"/>
      <c r="O358" s="340"/>
      <c r="P358" s="340"/>
      <c r="Q358" s="340"/>
      <c r="R358" s="340"/>
      <c r="S358" s="340"/>
      <c r="T358" s="340"/>
      <c r="U358" s="340"/>
      <c r="V358" s="340"/>
      <c r="W358" s="340"/>
      <c r="X358" s="340"/>
      <c r="Y358" s="340"/>
      <c r="Z358" s="340"/>
      <c r="AA358" s="340"/>
      <c r="AB358" s="340"/>
      <c r="AC358" s="340"/>
    </row>
    <row r="359" spans="1:29">
      <c r="A359" s="340"/>
      <c r="B359" s="340"/>
      <c r="C359" s="340"/>
      <c r="D359" s="340"/>
      <c r="E359" s="340"/>
      <c r="F359" s="340"/>
      <c r="G359" s="340"/>
      <c r="H359" s="340"/>
      <c r="I359" s="340"/>
      <c r="J359" s="340"/>
      <c r="K359" s="340"/>
      <c r="L359" s="340"/>
      <c r="M359" s="340"/>
      <c r="N359" s="340"/>
      <c r="O359" s="340"/>
      <c r="P359" s="340"/>
      <c r="Q359" s="340"/>
      <c r="R359" s="340"/>
      <c r="S359" s="340"/>
      <c r="T359" s="340"/>
      <c r="U359" s="340"/>
      <c r="V359" s="340"/>
      <c r="W359" s="340"/>
      <c r="X359" s="340"/>
      <c r="Y359" s="340"/>
      <c r="Z359" s="340"/>
      <c r="AA359" s="340"/>
      <c r="AB359" s="340"/>
      <c r="AC359" s="340"/>
    </row>
    <row r="360" spans="1:29">
      <c r="A360" s="340"/>
      <c r="B360" s="340"/>
      <c r="C360" s="340"/>
      <c r="D360" s="340"/>
      <c r="E360" s="340"/>
      <c r="F360" s="340"/>
      <c r="G360" s="340"/>
      <c r="H360" s="340"/>
      <c r="I360" s="340"/>
      <c r="J360" s="340"/>
      <c r="K360" s="340"/>
      <c r="L360" s="340"/>
      <c r="M360" s="340"/>
      <c r="N360" s="340"/>
      <c r="O360" s="340"/>
      <c r="P360" s="340"/>
      <c r="Q360" s="340"/>
      <c r="R360" s="340"/>
      <c r="S360" s="340"/>
      <c r="T360" s="340"/>
      <c r="U360" s="340"/>
      <c r="V360" s="340"/>
      <c r="W360" s="340"/>
      <c r="X360" s="340"/>
      <c r="Y360" s="340"/>
      <c r="Z360" s="340"/>
      <c r="AA360" s="340"/>
      <c r="AB360" s="340"/>
      <c r="AC360" s="340"/>
    </row>
    <row r="361" spans="1:29">
      <c r="A361" s="340"/>
      <c r="B361" s="340"/>
      <c r="C361" s="340"/>
      <c r="D361" s="340"/>
      <c r="E361" s="340"/>
      <c r="F361" s="340"/>
      <c r="G361" s="340"/>
      <c r="H361" s="340"/>
      <c r="I361" s="340"/>
      <c r="J361" s="340"/>
      <c r="K361" s="340"/>
      <c r="L361" s="340"/>
      <c r="M361" s="340"/>
      <c r="N361" s="340"/>
      <c r="O361" s="340"/>
      <c r="P361" s="340"/>
      <c r="Q361" s="340"/>
      <c r="R361" s="340"/>
      <c r="S361" s="340"/>
      <c r="T361" s="340"/>
      <c r="U361" s="340"/>
      <c r="V361" s="340"/>
      <c r="W361" s="340"/>
      <c r="X361" s="340"/>
      <c r="Y361" s="340"/>
      <c r="Z361" s="340"/>
      <c r="AA361" s="340"/>
      <c r="AB361" s="340"/>
      <c r="AC361" s="340"/>
    </row>
    <row r="362" spans="1:29">
      <c r="A362" s="340"/>
      <c r="B362" s="340"/>
      <c r="C362" s="340"/>
      <c r="D362" s="340"/>
      <c r="E362" s="340"/>
      <c r="F362" s="340"/>
      <c r="G362" s="340"/>
      <c r="H362" s="340"/>
      <c r="I362" s="340"/>
      <c r="J362" s="340"/>
      <c r="K362" s="340"/>
      <c r="L362" s="340"/>
      <c r="M362" s="340"/>
      <c r="N362" s="340"/>
      <c r="O362" s="340"/>
      <c r="P362" s="340"/>
      <c r="Q362" s="340"/>
      <c r="R362" s="340"/>
      <c r="S362" s="340"/>
      <c r="T362" s="340"/>
      <c r="U362" s="340"/>
      <c r="V362" s="340"/>
      <c r="W362" s="340"/>
      <c r="X362" s="340"/>
      <c r="Y362" s="340"/>
      <c r="Z362" s="340"/>
      <c r="AA362" s="340"/>
      <c r="AB362" s="340"/>
      <c r="AC362" s="340"/>
    </row>
    <row r="363" spans="1:29">
      <c r="A363" s="340"/>
      <c r="B363" s="340"/>
      <c r="C363" s="340"/>
      <c r="D363" s="340"/>
      <c r="E363" s="340"/>
      <c r="F363" s="340"/>
      <c r="G363" s="340"/>
      <c r="H363" s="340"/>
      <c r="I363" s="340"/>
      <c r="J363" s="340"/>
      <c r="K363" s="340"/>
      <c r="L363" s="340"/>
      <c r="M363" s="340"/>
      <c r="N363" s="340"/>
      <c r="O363" s="340"/>
      <c r="P363" s="340"/>
      <c r="Q363" s="340"/>
      <c r="R363" s="340"/>
      <c r="S363" s="340"/>
      <c r="T363" s="340"/>
      <c r="U363" s="340"/>
      <c r="V363" s="340"/>
      <c r="W363" s="340"/>
      <c r="X363" s="340"/>
      <c r="Y363" s="340"/>
      <c r="Z363" s="340"/>
      <c r="AA363" s="340"/>
      <c r="AB363" s="340"/>
      <c r="AC363" s="340"/>
    </row>
    <row r="364" spans="1:29">
      <c r="A364" s="340"/>
      <c r="B364" s="340"/>
      <c r="C364" s="340"/>
      <c r="D364" s="340"/>
      <c r="E364" s="340"/>
      <c r="F364" s="340"/>
      <c r="G364" s="340"/>
      <c r="H364" s="340"/>
      <c r="I364" s="340"/>
      <c r="J364" s="340"/>
      <c r="K364" s="340"/>
      <c r="L364" s="340"/>
      <c r="M364" s="340"/>
      <c r="N364" s="340"/>
      <c r="O364" s="340"/>
      <c r="P364" s="340"/>
      <c r="Q364" s="340"/>
      <c r="R364" s="340"/>
      <c r="S364" s="340"/>
      <c r="T364" s="340"/>
      <c r="U364" s="340"/>
      <c r="V364" s="340"/>
      <c r="W364" s="340"/>
      <c r="X364" s="340"/>
      <c r="Y364" s="340"/>
      <c r="Z364" s="340"/>
      <c r="AA364" s="340"/>
      <c r="AB364" s="340"/>
      <c r="AC364" s="340"/>
    </row>
    <row r="365" spans="1:29">
      <c r="A365" s="340"/>
      <c r="B365" s="340"/>
      <c r="C365" s="340"/>
      <c r="D365" s="340"/>
      <c r="E365" s="340"/>
      <c r="F365" s="340"/>
      <c r="G365" s="340"/>
      <c r="H365" s="340"/>
      <c r="I365" s="340"/>
      <c r="J365" s="340"/>
      <c r="K365" s="340"/>
      <c r="L365" s="340"/>
      <c r="M365" s="340"/>
      <c r="N365" s="340"/>
      <c r="O365" s="340"/>
      <c r="P365" s="340"/>
      <c r="Q365" s="340"/>
      <c r="R365" s="340"/>
      <c r="S365" s="340"/>
      <c r="T365" s="340"/>
      <c r="U365" s="340"/>
      <c r="V365" s="340"/>
      <c r="W365" s="340"/>
      <c r="X365" s="340"/>
      <c r="Y365" s="340"/>
      <c r="Z365" s="340"/>
      <c r="AA365" s="340"/>
      <c r="AB365" s="340"/>
      <c r="AC365" s="340"/>
    </row>
    <row r="366" spans="1:29">
      <c r="A366" s="340"/>
      <c r="B366" s="340"/>
      <c r="C366" s="340"/>
      <c r="D366" s="340"/>
      <c r="E366" s="340"/>
      <c r="F366" s="340"/>
      <c r="G366" s="340"/>
      <c r="H366" s="340"/>
      <c r="I366" s="340"/>
      <c r="J366" s="340"/>
      <c r="K366" s="340"/>
      <c r="L366" s="340"/>
      <c r="M366" s="340"/>
      <c r="N366" s="340"/>
      <c r="O366" s="340"/>
      <c r="P366" s="340"/>
      <c r="Q366" s="340"/>
      <c r="R366" s="340"/>
      <c r="S366" s="340"/>
      <c r="T366" s="340"/>
      <c r="U366" s="340"/>
      <c r="V366" s="340"/>
      <c r="W366" s="340"/>
      <c r="X366" s="340"/>
      <c r="Y366" s="340"/>
      <c r="Z366" s="340"/>
      <c r="AA366" s="340"/>
      <c r="AB366" s="340"/>
      <c r="AC366" s="340"/>
    </row>
    <row r="367" spans="1:29">
      <c r="A367" s="340"/>
      <c r="B367" s="340"/>
      <c r="C367" s="340"/>
      <c r="D367" s="340"/>
      <c r="E367" s="340"/>
      <c r="F367" s="340"/>
      <c r="G367" s="340"/>
      <c r="H367" s="340"/>
      <c r="I367" s="340"/>
      <c r="J367" s="340"/>
      <c r="K367" s="340"/>
      <c r="L367" s="340"/>
      <c r="M367" s="340"/>
      <c r="N367" s="340"/>
      <c r="O367" s="340"/>
      <c r="P367" s="340"/>
      <c r="Q367" s="340"/>
      <c r="R367" s="340"/>
      <c r="S367" s="340"/>
      <c r="T367" s="340"/>
      <c r="U367" s="340"/>
      <c r="V367" s="340"/>
      <c r="W367" s="340"/>
      <c r="X367" s="340"/>
      <c r="Y367" s="340"/>
      <c r="Z367" s="340"/>
      <c r="AA367" s="340"/>
      <c r="AB367" s="340"/>
      <c r="AC367" s="340"/>
    </row>
    <row r="368" spans="1:29">
      <c r="A368" s="340"/>
      <c r="B368" s="340"/>
      <c r="C368" s="340"/>
      <c r="D368" s="340"/>
      <c r="E368" s="340"/>
      <c r="F368" s="340"/>
      <c r="G368" s="340"/>
      <c r="H368" s="340"/>
      <c r="I368" s="340"/>
      <c r="J368" s="340"/>
      <c r="K368" s="340"/>
      <c r="L368" s="340"/>
      <c r="M368" s="340"/>
      <c r="N368" s="340"/>
      <c r="O368" s="340"/>
      <c r="P368" s="340"/>
      <c r="Q368" s="340"/>
      <c r="R368" s="340"/>
      <c r="S368" s="340"/>
      <c r="T368" s="340"/>
      <c r="U368" s="340"/>
      <c r="V368" s="340"/>
      <c r="W368" s="340"/>
      <c r="X368" s="340"/>
      <c r="Y368" s="340"/>
      <c r="Z368" s="340"/>
      <c r="AA368" s="340"/>
      <c r="AB368" s="340"/>
      <c r="AC368" s="340"/>
    </row>
    <row r="369" spans="1:29">
      <c r="A369" s="340"/>
      <c r="B369" s="340"/>
      <c r="C369" s="340"/>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row>
    <row r="370" spans="1:29">
      <c r="A370" s="340"/>
      <c r="B370" s="340"/>
      <c r="C370" s="340"/>
      <c r="D370" s="340"/>
      <c r="E370" s="340"/>
      <c r="F370" s="340"/>
      <c r="G370" s="340"/>
      <c r="H370" s="340"/>
      <c r="I370" s="340"/>
      <c r="J370" s="340"/>
      <c r="K370" s="340"/>
      <c r="L370" s="340"/>
      <c r="M370" s="340"/>
      <c r="N370" s="340"/>
      <c r="O370" s="340"/>
      <c r="P370" s="340"/>
      <c r="Q370" s="340"/>
      <c r="R370" s="340"/>
      <c r="S370" s="340"/>
      <c r="T370" s="340"/>
      <c r="U370" s="340"/>
      <c r="V370" s="340"/>
      <c r="W370" s="340"/>
      <c r="X370" s="340"/>
      <c r="Y370" s="340"/>
      <c r="Z370" s="340"/>
      <c r="AA370" s="340"/>
      <c r="AB370" s="340"/>
      <c r="AC370" s="340"/>
    </row>
    <row r="371" spans="1:29">
      <c r="A371" s="340"/>
      <c r="B371" s="340"/>
      <c r="C371" s="340"/>
      <c r="D371" s="340"/>
      <c r="E371" s="340"/>
      <c r="F371" s="340"/>
      <c r="G371" s="340"/>
      <c r="H371" s="340"/>
      <c r="I371" s="340"/>
      <c r="J371" s="340"/>
      <c r="K371" s="340"/>
      <c r="L371" s="340"/>
      <c r="M371" s="340"/>
      <c r="N371" s="340"/>
      <c r="O371" s="340"/>
      <c r="P371" s="340"/>
      <c r="Q371" s="340"/>
      <c r="R371" s="340"/>
      <c r="S371" s="340"/>
      <c r="T371" s="340"/>
      <c r="U371" s="340"/>
      <c r="V371" s="340"/>
      <c r="W371" s="340"/>
      <c r="X371" s="340"/>
      <c r="Y371" s="340"/>
      <c r="Z371" s="340"/>
      <c r="AA371" s="340"/>
      <c r="AB371" s="340"/>
      <c r="AC371" s="340"/>
    </row>
    <row r="372" spans="1:29">
      <c r="A372" s="340"/>
      <c r="B372" s="340"/>
      <c r="C372" s="340"/>
      <c r="D372" s="340"/>
      <c r="E372" s="340"/>
      <c r="F372" s="340"/>
      <c r="G372" s="340"/>
      <c r="H372" s="340"/>
      <c r="I372" s="340"/>
      <c r="J372" s="340"/>
      <c r="K372" s="340"/>
      <c r="L372" s="340"/>
      <c r="M372" s="340"/>
      <c r="N372" s="340"/>
      <c r="O372" s="340"/>
      <c r="P372" s="340"/>
      <c r="Q372" s="340"/>
      <c r="R372" s="340"/>
      <c r="S372" s="340"/>
      <c r="T372" s="340"/>
      <c r="U372" s="340"/>
      <c r="V372" s="340"/>
      <c r="W372" s="340"/>
      <c r="X372" s="340"/>
      <c r="Y372" s="340"/>
      <c r="Z372" s="340"/>
      <c r="AA372" s="340"/>
      <c r="AB372" s="340"/>
      <c r="AC372" s="340"/>
    </row>
    <row r="373" spans="1:29">
      <c r="A373" s="340"/>
      <c r="B373" s="340"/>
      <c r="C373" s="340"/>
      <c r="D373" s="340"/>
      <c r="E373" s="340"/>
      <c r="F373" s="340"/>
      <c r="G373" s="340"/>
      <c r="H373" s="340"/>
      <c r="I373" s="340"/>
      <c r="J373" s="340"/>
      <c r="K373" s="340"/>
      <c r="L373" s="340"/>
      <c r="M373" s="340"/>
      <c r="N373" s="340"/>
      <c r="O373" s="340"/>
      <c r="P373" s="340"/>
      <c r="Q373" s="340"/>
      <c r="R373" s="340"/>
      <c r="S373" s="340"/>
      <c r="T373" s="340"/>
      <c r="U373" s="340"/>
      <c r="V373" s="340"/>
      <c r="W373" s="340"/>
      <c r="X373" s="340"/>
      <c r="Y373" s="340"/>
      <c r="Z373" s="340"/>
      <c r="AA373" s="340"/>
      <c r="AB373" s="340"/>
      <c r="AC373" s="340"/>
    </row>
    <row r="374" spans="1:29">
      <c r="A374" s="340"/>
      <c r="B374" s="340"/>
      <c r="C374" s="340"/>
      <c r="D374" s="340"/>
      <c r="E374" s="340"/>
      <c r="F374" s="340"/>
      <c r="G374" s="340"/>
      <c r="H374" s="340"/>
      <c r="I374" s="340"/>
      <c r="J374" s="340"/>
      <c r="K374" s="340"/>
      <c r="L374" s="340"/>
      <c r="M374" s="340"/>
      <c r="N374" s="340"/>
      <c r="O374" s="340"/>
      <c r="P374" s="340"/>
      <c r="Q374" s="340"/>
      <c r="R374" s="340"/>
      <c r="S374" s="340"/>
      <c r="T374" s="340"/>
      <c r="U374" s="340"/>
      <c r="V374" s="340"/>
      <c r="W374" s="340"/>
      <c r="X374" s="340"/>
      <c r="Y374" s="340"/>
      <c r="Z374" s="340"/>
      <c r="AA374" s="340"/>
      <c r="AB374" s="340"/>
      <c r="AC374" s="340"/>
    </row>
    <row r="375" spans="1:29">
      <c r="A375" s="340"/>
      <c r="B375" s="340"/>
      <c r="C375" s="340"/>
      <c r="D375" s="340"/>
      <c r="E375" s="340"/>
      <c r="F375" s="340"/>
      <c r="G375" s="340"/>
      <c r="H375" s="340"/>
      <c r="I375" s="340"/>
      <c r="J375" s="340"/>
      <c r="K375" s="340"/>
      <c r="L375" s="340"/>
      <c r="M375" s="340"/>
      <c r="N375" s="340"/>
      <c r="O375" s="340"/>
      <c r="P375" s="340"/>
      <c r="Q375" s="340"/>
      <c r="R375" s="340"/>
      <c r="S375" s="340"/>
      <c r="T375" s="340"/>
      <c r="U375" s="340"/>
      <c r="V375" s="340"/>
      <c r="W375" s="340"/>
      <c r="X375" s="340"/>
      <c r="Y375" s="340"/>
      <c r="Z375" s="340"/>
      <c r="AA375" s="340"/>
      <c r="AB375" s="340"/>
      <c r="AC375" s="340"/>
    </row>
    <row r="376" spans="1:29">
      <c r="A376" s="340"/>
      <c r="B376" s="340"/>
      <c r="C376" s="340"/>
      <c r="D376" s="340"/>
      <c r="E376" s="340"/>
      <c r="F376" s="340"/>
      <c r="G376" s="340"/>
      <c r="H376" s="340"/>
      <c r="I376" s="340"/>
      <c r="J376" s="340"/>
      <c r="K376" s="340"/>
      <c r="L376" s="340"/>
      <c r="M376" s="340"/>
      <c r="N376" s="340"/>
      <c r="O376" s="340"/>
      <c r="P376" s="340"/>
      <c r="Q376" s="340"/>
      <c r="R376" s="340"/>
      <c r="S376" s="340"/>
      <c r="T376" s="340"/>
      <c r="U376" s="340"/>
      <c r="V376" s="340"/>
      <c r="W376" s="340"/>
      <c r="X376" s="340"/>
      <c r="Y376" s="340"/>
      <c r="Z376" s="340"/>
      <c r="AA376" s="340"/>
      <c r="AB376" s="340"/>
      <c r="AC376" s="340"/>
    </row>
    <row r="377" spans="1:29">
      <c r="A377" s="340"/>
      <c r="B377" s="340"/>
      <c r="C377" s="340"/>
      <c r="D377" s="340"/>
      <c r="E377" s="340"/>
      <c r="F377" s="340"/>
      <c r="G377" s="340"/>
      <c r="H377" s="340"/>
      <c r="I377" s="340"/>
      <c r="J377" s="340"/>
      <c r="K377" s="340"/>
      <c r="L377" s="340"/>
      <c r="M377" s="340"/>
      <c r="N377" s="340"/>
      <c r="O377" s="340"/>
      <c r="P377" s="340"/>
      <c r="Q377" s="340"/>
      <c r="R377" s="340"/>
      <c r="S377" s="340"/>
      <c r="T377" s="340"/>
      <c r="U377" s="340"/>
      <c r="V377" s="340"/>
      <c r="W377" s="340"/>
      <c r="X377" s="340"/>
      <c r="Y377" s="340"/>
      <c r="Z377" s="340"/>
      <c r="AA377" s="340"/>
      <c r="AB377" s="340"/>
      <c r="AC377" s="340"/>
    </row>
    <row r="378" spans="1:29">
      <c r="A378" s="340"/>
      <c r="B378" s="340"/>
      <c r="C378" s="340"/>
      <c r="D378" s="340"/>
      <c r="E378" s="340"/>
      <c r="F378" s="340"/>
      <c r="G378" s="340"/>
      <c r="H378" s="340"/>
      <c r="I378" s="340"/>
      <c r="J378" s="340"/>
      <c r="K378" s="340"/>
      <c r="L378" s="340"/>
      <c r="M378" s="340"/>
      <c r="N378" s="340"/>
      <c r="O378" s="340"/>
      <c r="P378" s="340"/>
      <c r="Q378" s="340"/>
      <c r="R378" s="340"/>
      <c r="S378" s="340"/>
      <c r="T378" s="340"/>
      <c r="U378" s="340"/>
      <c r="V378" s="340"/>
      <c r="W378" s="340"/>
      <c r="X378" s="340"/>
      <c r="Y378" s="340"/>
      <c r="Z378" s="340"/>
      <c r="AA378" s="340"/>
      <c r="AB378" s="340"/>
      <c r="AC378" s="340"/>
    </row>
    <row r="379" spans="1:29">
      <c r="A379" s="340"/>
      <c r="B379" s="340"/>
      <c r="C379" s="340"/>
      <c r="D379" s="340"/>
      <c r="E379" s="340"/>
      <c r="F379" s="340"/>
      <c r="G379" s="340"/>
      <c r="H379" s="340"/>
      <c r="I379" s="340"/>
      <c r="J379" s="340"/>
      <c r="K379" s="340"/>
      <c r="L379" s="340"/>
      <c r="M379" s="340"/>
      <c r="N379" s="340"/>
      <c r="O379" s="340"/>
      <c r="P379" s="340"/>
      <c r="Q379" s="340"/>
      <c r="R379" s="340"/>
      <c r="S379" s="340"/>
      <c r="T379" s="340"/>
      <c r="U379" s="340"/>
      <c r="V379" s="340"/>
      <c r="W379" s="340"/>
      <c r="X379" s="340"/>
      <c r="Y379" s="340"/>
      <c r="Z379" s="340"/>
      <c r="AA379" s="340"/>
      <c r="AB379" s="340"/>
      <c r="AC379" s="340"/>
    </row>
    <row r="380" spans="1:29">
      <c r="A380" s="340"/>
      <c r="B380" s="340"/>
      <c r="C380" s="340"/>
      <c r="D380" s="340"/>
      <c r="E380" s="340"/>
      <c r="F380" s="340"/>
      <c r="G380" s="340"/>
      <c r="H380" s="340"/>
      <c r="I380" s="340"/>
      <c r="J380" s="340"/>
      <c r="K380" s="340"/>
      <c r="L380" s="340"/>
      <c r="M380" s="340"/>
      <c r="N380" s="340"/>
      <c r="O380" s="340"/>
      <c r="P380" s="340"/>
      <c r="Q380" s="340"/>
      <c r="R380" s="340"/>
      <c r="S380" s="340"/>
      <c r="T380" s="340"/>
      <c r="U380" s="340"/>
      <c r="V380" s="340"/>
      <c r="W380" s="340"/>
      <c r="X380" s="340"/>
      <c r="Y380" s="340"/>
      <c r="Z380" s="340"/>
      <c r="AA380" s="340"/>
      <c r="AB380" s="340"/>
      <c r="AC380" s="340"/>
    </row>
    <row r="381" spans="1:29">
      <c r="A381" s="340"/>
      <c r="B381" s="340"/>
      <c r="C381" s="340"/>
      <c r="D381" s="340"/>
      <c r="E381" s="340"/>
      <c r="F381" s="340"/>
      <c r="G381" s="340"/>
      <c r="H381" s="340"/>
      <c r="I381" s="340"/>
      <c r="J381" s="340"/>
      <c r="K381" s="340"/>
      <c r="L381" s="340"/>
      <c r="M381" s="340"/>
      <c r="N381" s="340"/>
      <c r="O381" s="340"/>
      <c r="P381" s="340"/>
      <c r="Q381" s="340"/>
      <c r="R381" s="340"/>
      <c r="S381" s="340"/>
      <c r="T381" s="340"/>
      <c r="U381" s="340"/>
      <c r="V381" s="340"/>
      <c r="W381" s="340"/>
      <c r="X381" s="340"/>
      <c r="Y381" s="340"/>
      <c r="Z381" s="340"/>
      <c r="AA381" s="340"/>
      <c r="AB381" s="340"/>
      <c r="AC381" s="340"/>
    </row>
    <row r="382" spans="1:29">
      <c r="A382" s="340"/>
      <c r="B382" s="340"/>
      <c r="C382" s="340"/>
      <c r="D382" s="340"/>
      <c r="E382" s="340"/>
      <c r="F382" s="340"/>
      <c r="G382" s="340"/>
      <c r="H382" s="340"/>
      <c r="I382" s="340"/>
      <c r="J382" s="340"/>
      <c r="K382" s="340"/>
      <c r="L382" s="340"/>
      <c r="M382" s="340"/>
      <c r="N382" s="340"/>
      <c r="O382" s="340"/>
      <c r="P382" s="340"/>
      <c r="Q382" s="340"/>
      <c r="R382" s="340"/>
      <c r="S382" s="340"/>
      <c r="T382" s="340"/>
      <c r="U382" s="340"/>
      <c r="V382" s="340"/>
      <c r="W382" s="340"/>
      <c r="X382" s="340"/>
      <c r="Y382" s="340"/>
      <c r="Z382" s="340"/>
      <c r="AA382" s="340"/>
      <c r="AB382" s="340"/>
      <c r="AC382" s="340"/>
    </row>
    <row r="383" spans="1:29">
      <c r="A383" s="340"/>
      <c r="B383" s="340"/>
      <c r="C383" s="340"/>
      <c r="D383" s="340"/>
      <c r="E383" s="340"/>
      <c r="F383" s="340"/>
      <c r="G383" s="340"/>
      <c r="H383" s="340"/>
      <c r="I383" s="340"/>
      <c r="J383" s="340"/>
      <c r="K383" s="340"/>
      <c r="L383" s="340"/>
      <c r="M383" s="340"/>
      <c r="N383" s="340"/>
      <c r="O383" s="340"/>
      <c r="P383" s="340"/>
      <c r="Q383" s="340"/>
      <c r="R383" s="340"/>
      <c r="S383" s="340"/>
      <c r="T383" s="340"/>
      <c r="U383" s="340"/>
      <c r="V383" s="340"/>
      <c r="W383" s="340"/>
      <c r="X383" s="340"/>
      <c r="Y383" s="340"/>
      <c r="Z383" s="340"/>
      <c r="AA383" s="340"/>
      <c r="AB383" s="340"/>
      <c r="AC383" s="340"/>
    </row>
    <row r="384" spans="1:29">
      <c r="A384" s="340"/>
      <c r="B384" s="340"/>
      <c r="C384" s="340"/>
      <c r="D384" s="340"/>
      <c r="E384" s="340"/>
      <c r="F384" s="340"/>
      <c r="G384" s="340"/>
      <c r="H384" s="340"/>
      <c r="I384" s="340"/>
      <c r="J384" s="340"/>
      <c r="K384" s="340"/>
      <c r="L384" s="340"/>
      <c r="M384" s="340"/>
      <c r="N384" s="340"/>
      <c r="O384" s="340"/>
      <c r="P384" s="340"/>
      <c r="Q384" s="340"/>
      <c r="R384" s="340"/>
      <c r="S384" s="340"/>
      <c r="T384" s="340"/>
      <c r="U384" s="340"/>
      <c r="V384" s="340"/>
      <c r="W384" s="340"/>
      <c r="X384" s="340"/>
      <c r="Y384" s="340"/>
      <c r="Z384" s="340"/>
      <c r="AA384" s="340"/>
      <c r="AB384" s="340"/>
      <c r="AC384" s="340"/>
    </row>
    <row r="385" spans="1:29">
      <c r="A385" s="340"/>
      <c r="B385" s="340"/>
      <c r="C385" s="340"/>
      <c r="D385" s="340"/>
      <c r="E385" s="340"/>
      <c r="F385" s="340"/>
      <c r="G385" s="340"/>
      <c r="H385" s="340"/>
      <c r="I385" s="340"/>
      <c r="J385" s="340"/>
      <c r="K385" s="340"/>
      <c r="L385" s="340"/>
      <c r="M385" s="340"/>
      <c r="N385" s="340"/>
      <c r="O385" s="340"/>
      <c r="P385" s="340"/>
      <c r="Q385" s="340"/>
      <c r="R385" s="340"/>
      <c r="S385" s="340"/>
      <c r="T385" s="340"/>
      <c r="U385" s="340"/>
      <c r="V385" s="340"/>
      <c r="W385" s="340"/>
      <c r="X385" s="340"/>
      <c r="Y385" s="340"/>
      <c r="Z385" s="340"/>
      <c r="AA385" s="340"/>
      <c r="AB385" s="340"/>
      <c r="AC385" s="340"/>
    </row>
    <row r="386" spans="1:29">
      <c r="A386" s="340"/>
      <c r="B386" s="340"/>
      <c r="C386" s="340"/>
      <c r="D386" s="340"/>
      <c r="E386" s="340"/>
      <c r="F386" s="340"/>
      <c r="G386" s="340"/>
      <c r="H386" s="340"/>
      <c r="I386" s="340"/>
      <c r="J386" s="340"/>
      <c r="K386" s="340"/>
      <c r="L386" s="340"/>
      <c r="M386" s="340"/>
      <c r="N386" s="340"/>
      <c r="O386" s="340"/>
      <c r="P386" s="340"/>
      <c r="Q386" s="340"/>
      <c r="R386" s="340"/>
      <c r="S386" s="340"/>
      <c r="T386" s="340"/>
      <c r="U386" s="340"/>
      <c r="V386" s="340"/>
      <c r="W386" s="340"/>
      <c r="X386" s="340"/>
      <c r="Y386" s="340"/>
      <c r="Z386" s="340"/>
      <c r="AA386" s="340"/>
      <c r="AB386" s="340"/>
      <c r="AC386" s="340"/>
    </row>
    <row r="387" spans="1:29">
      <c r="A387" s="340"/>
      <c r="B387" s="340"/>
      <c r="C387" s="340"/>
      <c r="D387" s="340"/>
      <c r="E387" s="340"/>
      <c r="F387" s="340"/>
      <c r="G387" s="340"/>
      <c r="H387" s="340"/>
      <c r="I387" s="340"/>
      <c r="J387" s="340"/>
      <c r="K387" s="340"/>
      <c r="L387" s="340"/>
      <c r="M387" s="340"/>
      <c r="N387" s="340"/>
      <c r="O387" s="340"/>
      <c r="P387" s="340"/>
      <c r="Q387" s="340"/>
      <c r="R387" s="340"/>
      <c r="S387" s="340"/>
      <c r="T387" s="340"/>
      <c r="U387" s="340"/>
      <c r="V387" s="340"/>
      <c r="W387" s="340"/>
      <c r="X387" s="340"/>
      <c r="Y387" s="340"/>
      <c r="Z387" s="340"/>
      <c r="AA387" s="340"/>
      <c r="AB387" s="340"/>
      <c r="AC387" s="340"/>
    </row>
    <row r="388" spans="1:29">
      <c r="A388" s="340"/>
      <c r="B388" s="340"/>
      <c r="C388" s="340"/>
      <c r="D388" s="340"/>
      <c r="E388" s="340"/>
      <c r="F388" s="340"/>
      <c r="G388" s="340"/>
      <c r="H388" s="340"/>
      <c r="I388" s="340"/>
      <c r="J388" s="340"/>
      <c r="K388" s="340"/>
      <c r="L388" s="340"/>
      <c r="M388" s="340"/>
      <c r="N388" s="340"/>
      <c r="O388" s="340"/>
      <c r="P388" s="340"/>
      <c r="Q388" s="340"/>
      <c r="R388" s="340"/>
      <c r="S388" s="340"/>
      <c r="T388" s="340"/>
      <c r="U388" s="340"/>
      <c r="V388" s="340"/>
      <c r="W388" s="340"/>
      <c r="X388" s="340"/>
      <c r="Y388" s="340"/>
      <c r="Z388" s="340"/>
      <c r="AA388" s="340"/>
      <c r="AB388" s="340"/>
      <c r="AC388" s="340"/>
    </row>
    <row r="389" spans="1:29">
      <c r="A389" s="340"/>
      <c r="B389" s="340"/>
      <c r="C389" s="340"/>
      <c r="D389" s="340"/>
      <c r="E389" s="340"/>
      <c r="F389" s="340"/>
      <c r="G389" s="340"/>
      <c r="H389" s="340"/>
      <c r="I389" s="340"/>
      <c r="J389" s="340"/>
      <c r="K389" s="340"/>
      <c r="L389" s="340"/>
      <c r="M389" s="340"/>
      <c r="N389" s="340"/>
      <c r="O389" s="340"/>
      <c r="P389" s="340"/>
      <c r="Q389" s="340"/>
      <c r="R389" s="340"/>
      <c r="S389" s="340"/>
      <c r="T389" s="340"/>
      <c r="U389" s="340"/>
      <c r="V389" s="340"/>
      <c r="W389" s="340"/>
      <c r="X389" s="340"/>
      <c r="Y389" s="340"/>
      <c r="Z389" s="340"/>
      <c r="AA389" s="340"/>
      <c r="AB389" s="340"/>
      <c r="AC389" s="340"/>
    </row>
    <row r="390" spans="1:29">
      <c r="A390" s="340"/>
      <c r="B390" s="340"/>
      <c r="C390" s="340"/>
      <c r="D390" s="340"/>
      <c r="E390" s="340"/>
      <c r="F390" s="340"/>
      <c r="G390" s="340"/>
      <c r="H390" s="340"/>
      <c r="I390" s="340"/>
      <c r="J390" s="340"/>
      <c r="K390" s="340"/>
      <c r="L390" s="340"/>
      <c r="M390" s="340"/>
      <c r="N390" s="340"/>
      <c r="O390" s="340"/>
      <c r="P390" s="340"/>
      <c r="Q390" s="340"/>
      <c r="R390" s="340"/>
      <c r="S390" s="340"/>
      <c r="T390" s="340"/>
      <c r="U390" s="340"/>
      <c r="V390" s="340"/>
      <c r="W390" s="340"/>
      <c r="X390" s="340"/>
      <c r="Y390" s="340"/>
      <c r="Z390" s="340"/>
      <c r="AA390" s="340"/>
      <c r="AB390" s="340"/>
      <c r="AC390" s="340"/>
    </row>
    <row r="391" spans="1:29">
      <c r="A391" s="340"/>
      <c r="B391" s="340"/>
      <c r="C391" s="340"/>
      <c r="D391" s="340"/>
      <c r="E391" s="340"/>
      <c r="F391" s="340"/>
      <c r="G391" s="340"/>
      <c r="H391" s="340"/>
      <c r="I391" s="340"/>
      <c r="J391" s="340"/>
      <c r="K391" s="340"/>
      <c r="L391" s="340"/>
      <c r="M391" s="340"/>
      <c r="N391" s="340"/>
      <c r="O391" s="340"/>
      <c r="P391" s="340"/>
      <c r="Q391" s="340"/>
      <c r="R391" s="340"/>
      <c r="S391" s="340"/>
      <c r="T391" s="340"/>
      <c r="U391" s="340"/>
      <c r="V391" s="340"/>
      <c r="W391" s="340"/>
      <c r="X391" s="340"/>
      <c r="Y391" s="340"/>
      <c r="Z391" s="340"/>
      <c r="AA391" s="340"/>
      <c r="AB391" s="340"/>
      <c r="AC391" s="340"/>
    </row>
    <row r="392" spans="1:29">
      <c r="A392" s="340"/>
      <c r="B392" s="340"/>
      <c r="C392" s="340"/>
      <c r="D392" s="340"/>
      <c r="E392" s="340"/>
      <c r="F392" s="340"/>
      <c r="G392" s="340"/>
      <c r="H392" s="340"/>
      <c r="I392" s="340"/>
      <c r="J392" s="340"/>
      <c r="K392" s="340"/>
      <c r="L392" s="340"/>
      <c r="M392" s="340"/>
      <c r="N392" s="340"/>
      <c r="O392" s="340"/>
      <c r="P392" s="340"/>
      <c r="Q392" s="340"/>
      <c r="R392" s="340"/>
      <c r="S392" s="340"/>
      <c r="T392" s="340"/>
      <c r="U392" s="340"/>
      <c r="V392" s="340"/>
      <c r="W392" s="340"/>
      <c r="X392" s="340"/>
      <c r="Y392" s="340"/>
      <c r="Z392" s="340"/>
      <c r="AA392" s="340"/>
      <c r="AB392" s="340"/>
      <c r="AC392" s="340"/>
    </row>
    <row r="393" spans="1:29">
      <c r="A393" s="340"/>
      <c r="B393" s="340"/>
      <c r="C393" s="340"/>
      <c r="D393" s="340"/>
      <c r="E393" s="340"/>
      <c r="F393" s="340"/>
      <c r="G393" s="340"/>
      <c r="H393" s="340"/>
      <c r="I393" s="340"/>
      <c r="J393" s="340"/>
      <c r="K393" s="340"/>
      <c r="L393" s="340"/>
      <c r="M393" s="340"/>
      <c r="N393" s="340"/>
      <c r="O393" s="340"/>
      <c r="P393" s="340"/>
      <c r="Q393" s="340"/>
      <c r="R393" s="340"/>
      <c r="S393" s="340"/>
      <c r="T393" s="340"/>
      <c r="U393" s="340"/>
      <c r="V393" s="340"/>
      <c r="W393" s="340"/>
      <c r="X393" s="340"/>
      <c r="Y393" s="340"/>
      <c r="Z393" s="340"/>
      <c r="AA393" s="340"/>
      <c r="AB393" s="340"/>
      <c r="AC393" s="340"/>
    </row>
    <row r="394" spans="1:29">
      <c r="A394" s="340"/>
      <c r="B394" s="340"/>
      <c r="C394" s="340"/>
      <c r="D394" s="340"/>
      <c r="E394" s="340"/>
      <c r="F394" s="340"/>
      <c r="G394" s="340"/>
      <c r="H394" s="340"/>
      <c r="I394" s="340"/>
      <c r="J394" s="340"/>
      <c r="K394" s="340"/>
      <c r="L394" s="340"/>
      <c r="M394" s="340"/>
      <c r="N394" s="340"/>
      <c r="O394" s="340"/>
      <c r="P394" s="340"/>
      <c r="Q394" s="340"/>
      <c r="R394" s="340"/>
      <c r="S394" s="340"/>
      <c r="T394" s="340"/>
      <c r="U394" s="340"/>
      <c r="V394" s="340"/>
      <c r="W394" s="340"/>
      <c r="X394" s="340"/>
      <c r="Y394" s="340"/>
      <c r="Z394" s="340"/>
      <c r="AA394" s="340"/>
      <c r="AB394" s="340"/>
      <c r="AC394" s="340"/>
    </row>
    <row r="395" spans="1:29">
      <c r="A395" s="340"/>
      <c r="B395" s="340"/>
      <c r="C395" s="340"/>
      <c r="D395" s="340"/>
      <c r="E395" s="340"/>
      <c r="F395" s="340"/>
      <c r="G395" s="340"/>
      <c r="H395" s="340"/>
      <c r="I395" s="340"/>
      <c r="J395" s="340"/>
      <c r="K395" s="340"/>
      <c r="L395" s="340"/>
      <c r="M395" s="340"/>
      <c r="N395" s="340"/>
      <c r="O395" s="340"/>
      <c r="P395" s="340"/>
      <c r="Q395" s="340"/>
      <c r="R395" s="340"/>
      <c r="S395" s="340"/>
      <c r="T395" s="340"/>
      <c r="U395" s="340"/>
      <c r="V395" s="340"/>
      <c r="W395" s="340"/>
      <c r="X395" s="340"/>
      <c r="Y395" s="340"/>
      <c r="Z395" s="340"/>
      <c r="AA395" s="340"/>
      <c r="AB395" s="340"/>
      <c r="AC395" s="340"/>
    </row>
    <row r="396" spans="1:29">
      <c r="A396" s="340"/>
      <c r="B396" s="340"/>
      <c r="C396" s="340"/>
      <c r="D396" s="340"/>
      <c r="E396" s="340"/>
      <c r="F396" s="340"/>
      <c r="G396" s="340"/>
      <c r="H396" s="340"/>
      <c r="I396" s="340"/>
      <c r="J396" s="340"/>
      <c r="K396" s="340"/>
      <c r="L396" s="340"/>
      <c r="M396" s="340"/>
      <c r="N396" s="340"/>
      <c r="O396" s="340"/>
      <c r="P396" s="340"/>
      <c r="Q396" s="340"/>
      <c r="R396" s="340"/>
      <c r="S396" s="340"/>
      <c r="T396" s="340"/>
      <c r="U396" s="340"/>
      <c r="V396" s="340"/>
      <c r="W396" s="340"/>
      <c r="X396" s="340"/>
      <c r="Y396" s="340"/>
      <c r="Z396" s="340"/>
      <c r="AA396" s="340"/>
      <c r="AB396" s="340"/>
      <c r="AC396" s="340"/>
    </row>
    <row r="397" spans="1:29">
      <c r="A397" s="340"/>
      <c r="B397" s="340"/>
      <c r="C397" s="340"/>
      <c r="D397" s="340"/>
      <c r="E397" s="340"/>
      <c r="F397" s="340"/>
      <c r="G397" s="340"/>
      <c r="H397" s="340"/>
      <c r="I397" s="340"/>
      <c r="J397" s="340"/>
      <c r="K397" s="340"/>
      <c r="L397" s="340"/>
      <c r="M397" s="340"/>
      <c r="N397" s="340"/>
      <c r="O397" s="340"/>
      <c r="P397" s="340"/>
      <c r="Q397" s="340"/>
      <c r="R397" s="340"/>
      <c r="S397" s="340"/>
      <c r="T397" s="340"/>
      <c r="U397" s="340"/>
      <c r="V397" s="340"/>
      <c r="W397" s="340"/>
      <c r="X397" s="340"/>
      <c r="Y397" s="340"/>
      <c r="Z397" s="340"/>
      <c r="AA397" s="340"/>
      <c r="AB397" s="340"/>
      <c r="AC397" s="340"/>
    </row>
    <row r="398" spans="1:29">
      <c r="A398" s="340"/>
      <c r="B398" s="340"/>
      <c r="C398" s="340"/>
      <c r="D398" s="340"/>
      <c r="E398" s="340"/>
      <c r="F398" s="340"/>
      <c r="G398" s="340"/>
      <c r="H398" s="340"/>
      <c r="I398" s="340"/>
      <c r="J398" s="340"/>
      <c r="K398" s="340"/>
      <c r="L398" s="340"/>
      <c r="M398" s="340"/>
      <c r="N398" s="340"/>
      <c r="O398" s="340"/>
      <c r="P398" s="340"/>
      <c r="Q398" s="340"/>
      <c r="R398" s="340"/>
      <c r="S398" s="340"/>
      <c r="T398" s="340"/>
      <c r="U398" s="340"/>
      <c r="V398" s="340"/>
      <c r="W398" s="340"/>
      <c r="X398" s="340"/>
      <c r="Y398" s="340"/>
      <c r="Z398" s="340"/>
      <c r="AA398" s="340"/>
      <c r="AB398" s="340"/>
      <c r="AC398" s="340"/>
    </row>
    <row r="399" spans="1:29">
      <c r="A399" s="340"/>
      <c r="B399" s="340"/>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c r="AA399" s="340"/>
      <c r="AB399" s="340"/>
      <c r="AC399" s="340"/>
    </row>
    <row r="400" spans="1:29">
      <c r="A400" s="340"/>
      <c r="B400" s="340"/>
      <c r="C400" s="340"/>
      <c r="D400" s="340"/>
      <c r="E400" s="340"/>
      <c r="F400" s="340"/>
      <c r="G400" s="340"/>
      <c r="H400" s="340"/>
      <c r="I400" s="340"/>
      <c r="J400" s="340"/>
      <c r="K400" s="340"/>
      <c r="L400" s="340"/>
      <c r="M400" s="340"/>
      <c r="N400" s="340"/>
      <c r="O400" s="340"/>
      <c r="P400" s="340"/>
      <c r="Q400" s="340"/>
      <c r="R400" s="340"/>
      <c r="S400" s="340"/>
      <c r="T400" s="340"/>
      <c r="U400" s="340"/>
      <c r="V400" s="340"/>
      <c r="W400" s="340"/>
      <c r="X400" s="340"/>
      <c r="Y400" s="340"/>
      <c r="Z400" s="340"/>
      <c r="AA400" s="340"/>
      <c r="AB400" s="340"/>
      <c r="AC400" s="340"/>
    </row>
    <row r="401" spans="1:29">
      <c r="A401" s="340"/>
      <c r="B401" s="340"/>
      <c r="C401" s="340"/>
      <c r="D401" s="340"/>
      <c r="E401" s="340"/>
      <c r="F401" s="340"/>
      <c r="G401" s="340"/>
      <c r="H401" s="340"/>
      <c r="I401" s="340"/>
      <c r="J401" s="340"/>
      <c r="K401" s="340"/>
      <c r="L401" s="340"/>
      <c r="M401" s="340"/>
      <c r="N401" s="340"/>
      <c r="O401" s="340"/>
      <c r="P401" s="340"/>
      <c r="Q401" s="340"/>
      <c r="R401" s="340"/>
      <c r="S401" s="340"/>
      <c r="T401" s="340"/>
      <c r="U401" s="340"/>
      <c r="V401" s="340"/>
      <c r="W401" s="340"/>
      <c r="X401" s="340"/>
      <c r="Y401" s="340"/>
      <c r="Z401" s="340"/>
      <c r="AA401" s="340"/>
      <c r="AB401" s="340"/>
      <c r="AC401" s="340"/>
    </row>
    <row r="402" spans="1:29">
      <c r="A402" s="340"/>
      <c r="B402" s="340"/>
      <c r="C402" s="340"/>
      <c r="D402" s="340"/>
      <c r="E402" s="340"/>
      <c r="F402" s="340"/>
      <c r="G402" s="340"/>
      <c r="H402" s="340"/>
      <c r="I402" s="340"/>
      <c r="J402" s="340"/>
      <c r="K402" s="340"/>
      <c r="L402" s="340"/>
      <c r="M402" s="340"/>
      <c r="N402" s="340"/>
      <c r="O402" s="340"/>
      <c r="P402" s="340"/>
      <c r="Q402" s="340"/>
      <c r="R402" s="340"/>
      <c r="S402" s="340"/>
      <c r="T402" s="340"/>
      <c r="U402" s="340"/>
      <c r="V402" s="340"/>
      <c r="W402" s="340"/>
      <c r="X402" s="340"/>
      <c r="Y402" s="340"/>
      <c r="Z402" s="340"/>
      <c r="AA402" s="340"/>
      <c r="AB402" s="340"/>
      <c r="AC402" s="340"/>
    </row>
    <row r="403" spans="1:29">
      <c r="A403" s="340"/>
      <c r="B403" s="340"/>
      <c r="C403" s="340"/>
      <c r="D403" s="340"/>
      <c r="E403" s="340"/>
      <c r="F403" s="340"/>
      <c r="G403" s="340"/>
      <c r="H403" s="340"/>
      <c r="I403" s="340"/>
      <c r="J403" s="340"/>
      <c r="K403" s="340"/>
      <c r="L403" s="340"/>
      <c r="M403" s="340"/>
      <c r="N403" s="340"/>
      <c r="O403" s="340"/>
      <c r="P403" s="340"/>
      <c r="Q403" s="340"/>
      <c r="R403" s="340"/>
      <c r="S403" s="340"/>
      <c r="T403" s="340"/>
      <c r="U403" s="340"/>
      <c r="V403" s="340"/>
      <c r="W403" s="340"/>
      <c r="X403" s="340"/>
      <c r="Y403" s="340"/>
      <c r="Z403" s="340"/>
      <c r="AA403" s="340"/>
      <c r="AB403" s="340"/>
      <c r="AC403" s="340"/>
    </row>
    <row r="404" spans="1:29">
      <c r="A404" s="340"/>
      <c r="B404" s="340"/>
      <c r="C404" s="340"/>
      <c r="D404" s="340"/>
      <c r="E404" s="340"/>
      <c r="F404" s="340"/>
      <c r="G404" s="340"/>
      <c r="H404" s="340"/>
      <c r="I404" s="340"/>
      <c r="J404" s="340"/>
      <c r="K404" s="340"/>
      <c r="L404" s="340"/>
      <c r="M404" s="340"/>
      <c r="N404" s="340"/>
      <c r="O404" s="340"/>
      <c r="P404" s="340"/>
      <c r="Q404" s="340"/>
      <c r="R404" s="340"/>
      <c r="S404" s="340"/>
      <c r="T404" s="340"/>
      <c r="U404" s="340"/>
      <c r="V404" s="340"/>
      <c r="W404" s="340"/>
      <c r="X404" s="340"/>
      <c r="Y404" s="340"/>
      <c r="Z404" s="340"/>
      <c r="AA404" s="340"/>
      <c r="AB404" s="340"/>
      <c r="AC404" s="340"/>
    </row>
    <row r="405" spans="1:29">
      <c r="A405" s="340"/>
      <c r="B405" s="340"/>
      <c r="C405" s="340"/>
      <c r="D405" s="340"/>
      <c r="E405" s="340"/>
      <c r="F405" s="340"/>
      <c r="G405" s="340"/>
      <c r="H405" s="340"/>
      <c r="I405" s="340"/>
      <c r="J405" s="340"/>
      <c r="K405" s="340"/>
      <c r="L405" s="340"/>
      <c r="M405" s="340"/>
      <c r="N405" s="340"/>
      <c r="O405" s="340"/>
      <c r="P405" s="340"/>
      <c r="Q405" s="340"/>
      <c r="R405" s="340"/>
      <c r="S405" s="340"/>
      <c r="T405" s="340"/>
      <c r="U405" s="340"/>
      <c r="V405" s="340"/>
      <c r="W405" s="340"/>
      <c r="X405" s="340"/>
      <c r="Y405" s="340"/>
      <c r="Z405" s="340"/>
      <c r="AA405" s="340"/>
      <c r="AB405" s="340"/>
      <c r="AC405" s="340"/>
    </row>
    <row r="406" spans="1:29">
      <c r="A406" s="340"/>
      <c r="B406" s="340"/>
      <c r="C406" s="340"/>
      <c r="D406" s="340"/>
      <c r="E406" s="340"/>
      <c r="F406" s="340"/>
      <c r="G406" s="340"/>
      <c r="H406" s="340"/>
      <c r="I406" s="340"/>
      <c r="J406" s="340"/>
      <c r="K406" s="340"/>
      <c r="L406" s="340"/>
      <c r="M406" s="340"/>
      <c r="N406" s="340"/>
      <c r="O406" s="340"/>
      <c r="P406" s="340"/>
      <c r="Q406" s="340"/>
      <c r="R406" s="340"/>
      <c r="S406" s="340"/>
      <c r="T406" s="340"/>
      <c r="U406" s="340"/>
      <c r="V406" s="340"/>
      <c r="W406" s="340"/>
      <c r="X406" s="340"/>
      <c r="Y406" s="340"/>
      <c r="Z406" s="340"/>
      <c r="AA406" s="340"/>
      <c r="AB406" s="340"/>
      <c r="AC406" s="340"/>
    </row>
    <row r="407" spans="1:29">
      <c r="A407" s="340"/>
      <c r="B407" s="340"/>
      <c r="C407" s="340"/>
      <c r="D407" s="340"/>
      <c r="E407" s="340"/>
      <c r="F407" s="340"/>
      <c r="G407" s="340"/>
      <c r="H407" s="340"/>
      <c r="I407" s="340"/>
      <c r="J407" s="340"/>
      <c r="K407" s="340"/>
      <c r="L407" s="340"/>
      <c r="M407" s="340"/>
      <c r="N407" s="340"/>
      <c r="O407" s="340"/>
      <c r="P407" s="340"/>
      <c r="Q407" s="340"/>
      <c r="R407" s="340"/>
      <c r="S407" s="340"/>
      <c r="T407" s="340"/>
      <c r="U407" s="340"/>
      <c r="V407" s="340"/>
      <c r="W407" s="340"/>
      <c r="X407" s="340"/>
      <c r="Y407" s="340"/>
      <c r="Z407" s="340"/>
      <c r="AA407" s="340"/>
      <c r="AB407" s="340"/>
      <c r="AC407" s="340"/>
    </row>
    <row r="408" spans="1:29">
      <c r="A408" s="340"/>
      <c r="B408" s="340"/>
      <c r="C408" s="340"/>
      <c r="D408" s="340"/>
      <c r="E408" s="340"/>
      <c r="F408" s="340"/>
      <c r="G408" s="340"/>
      <c r="H408" s="340"/>
      <c r="I408" s="340"/>
      <c r="J408" s="340"/>
      <c r="K408" s="340"/>
      <c r="L408" s="340"/>
      <c r="M408" s="340"/>
      <c r="N408" s="340"/>
      <c r="O408" s="340"/>
      <c r="P408" s="340"/>
      <c r="Q408" s="340"/>
      <c r="R408" s="340"/>
      <c r="S408" s="340"/>
      <c r="T408" s="340"/>
      <c r="U408" s="340"/>
      <c r="V408" s="340"/>
      <c r="W408" s="340"/>
      <c r="X408" s="340"/>
      <c r="Y408" s="340"/>
      <c r="Z408" s="340"/>
      <c r="AA408" s="340"/>
      <c r="AB408" s="340"/>
      <c r="AC408" s="340"/>
    </row>
    <row r="409" spans="1:29">
      <c r="A409" s="340"/>
      <c r="B409" s="340"/>
      <c r="C409" s="340"/>
      <c r="D409" s="340"/>
      <c r="E409" s="340"/>
      <c r="F409" s="340"/>
      <c r="G409" s="340"/>
      <c r="H409" s="340"/>
      <c r="I409" s="340"/>
      <c r="J409" s="340"/>
      <c r="K409" s="340"/>
      <c r="L409" s="340"/>
      <c r="M409" s="340"/>
      <c r="N409" s="340"/>
      <c r="O409" s="340"/>
      <c r="P409" s="340"/>
      <c r="Q409" s="340"/>
      <c r="R409" s="340"/>
      <c r="S409" s="340"/>
      <c r="T409" s="340"/>
      <c r="U409" s="340"/>
      <c r="V409" s="340"/>
      <c r="W409" s="340"/>
      <c r="X409" s="340"/>
      <c r="Y409" s="340"/>
      <c r="Z409" s="340"/>
      <c r="AA409" s="340"/>
      <c r="AB409" s="340"/>
      <c r="AC409" s="340"/>
    </row>
    <row r="410" spans="1:29">
      <c r="A410" s="340"/>
      <c r="B410" s="340"/>
      <c r="C410" s="340"/>
      <c r="D410" s="340"/>
      <c r="E410" s="340"/>
      <c r="F410" s="340"/>
      <c r="G410" s="340"/>
      <c r="H410" s="340"/>
      <c r="I410" s="340"/>
      <c r="J410" s="340"/>
      <c r="K410" s="340"/>
      <c r="L410" s="340"/>
      <c r="M410" s="340"/>
      <c r="N410" s="340"/>
      <c r="O410" s="340"/>
      <c r="P410" s="340"/>
      <c r="Q410" s="340"/>
      <c r="R410" s="340"/>
      <c r="S410" s="340"/>
      <c r="T410" s="340"/>
      <c r="U410" s="340"/>
      <c r="V410" s="340"/>
      <c r="W410" s="340"/>
      <c r="X410" s="340"/>
      <c r="Y410" s="340"/>
      <c r="Z410" s="340"/>
      <c r="AA410" s="340"/>
      <c r="AB410" s="340"/>
      <c r="AC410" s="340"/>
    </row>
    <row r="411" spans="1:29">
      <c r="A411" s="340"/>
      <c r="B411" s="340"/>
      <c r="C411" s="340"/>
      <c r="D411" s="340"/>
      <c r="E411" s="340"/>
      <c r="F411" s="340"/>
      <c r="G411" s="340"/>
      <c r="H411" s="340"/>
      <c r="I411" s="340"/>
      <c r="J411" s="340"/>
      <c r="K411" s="340"/>
      <c r="L411" s="340"/>
      <c r="M411" s="340"/>
      <c r="N411" s="340"/>
      <c r="O411" s="340"/>
      <c r="P411" s="340"/>
      <c r="Q411" s="340"/>
      <c r="R411" s="340"/>
      <c r="S411" s="340"/>
      <c r="T411" s="340"/>
      <c r="U411" s="340"/>
      <c r="V411" s="340"/>
      <c r="W411" s="340"/>
      <c r="X411" s="340"/>
      <c r="Y411" s="340"/>
      <c r="Z411" s="340"/>
      <c r="AA411" s="340"/>
      <c r="AB411" s="340"/>
      <c r="AC411" s="340"/>
    </row>
    <row r="412" spans="1:29">
      <c r="A412" s="340"/>
      <c r="B412" s="340"/>
      <c r="C412" s="340"/>
      <c r="D412" s="340"/>
      <c r="E412" s="340"/>
      <c r="F412" s="340"/>
      <c r="G412" s="340"/>
      <c r="H412" s="340"/>
      <c r="I412" s="340"/>
      <c r="J412" s="340"/>
      <c r="K412" s="340"/>
      <c r="L412" s="340"/>
      <c r="M412" s="340"/>
      <c r="N412" s="340"/>
      <c r="O412" s="340"/>
      <c r="P412" s="340"/>
      <c r="Q412" s="340"/>
      <c r="R412" s="340"/>
      <c r="S412" s="340"/>
      <c r="T412" s="340"/>
      <c r="U412" s="340"/>
      <c r="V412" s="340"/>
      <c r="W412" s="340"/>
      <c r="X412" s="340"/>
      <c r="Y412" s="340"/>
      <c r="Z412" s="340"/>
      <c r="AA412" s="340"/>
      <c r="AB412" s="340"/>
      <c r="AC412" s="340"/>
    </row>
    <row r="413" spans="1:29">
      <c r="A413" s="340"/>
      <c r="B413" s="340"/>
      <c r="C413" s="340"/>
      <c r="D413" s="340"/>
      <c r="E413" s="340"/>
      <c r="F413" s="340"/>
      <c r="G413" s="340"/>
      <c r="H413" s="340"/>
      <c r="I413" s="340"/>
      <c r="J413" s="340"/>
      <c r="K413" s="340"/>
      <c r="L413" s="340"/>
      <c r="M413" s="340"/>
      <c r="N413" s="340"/>
      <c r="O413" s="340"/>
      <c r="P413" s="340"/>
      <c r="Q413" s="340"/>
      <c r="R413" s="340"/>
      <c r="S413" s="340"/>
      <c r="T413" s="340"/>
      <c r="U413" s="340"/>
      <c r="V413" s="340"/>
      <c r="W413" s="340"/>
      <c r="X413" s="340"/>
      <c r="Y413" s="340"/>
      <c r="Z413" s="340"/>
      <c r="AA413" s="340"/>
      <c r="AB413" s="340"/>
      <c r="AC413" s="340"/>
    </row>
    <row r="414" spans="1:29">
      <c r="A414" s="340"/>
      <c r="B414" s="340"/>
      <c r="C414" s="340"/>
      <c r="D414" s="340"/>
      <c r="E414" s="340"/>
      <c r="F414" s="340"/>
      <c r="G414" s="340"/>
      <c r="H414" s="340"/>
      <c r="I414" s="340"/>
      <c r="J414" s="340"/>
      <c r="K414" s="340"/>
      <c r="L414" s="340"/>
      <c r="M414" s="340"/>
      <c r="N414" s="340"/>
      <c r="O414" s="340"/>
      <c r="P414" s="340"/>
      <c r="Q414" s="340"/>
      <c r="R414" s="340"/>
      <c r="S414" s="340"/>
      <c r="T414" s="340"/>
      <c r="U414" s="340"/>
      <c r="V414" s="340"/>
      <c r="W414" s="340"/>
      <c r="X414" s="340"/>
      <c r="Y414" s="340"/>
      <c r="Z414" s="340"/>
      <c r="AA414" s="340"/>
      <c r="AB414" s="340"/>
      <c r="AC414" s="340"/>
    </row>
    <row r="415" spans="1:29">
      <c r="A415" s="340"/>
      <c r="B415" s="340"/>
      <c r="C415" s="340"/>
      <c r="D415" s="340"/>
      <c r="E415" s="340"/>
      <c r="F415" s="340"/>
      <c r="G415" s="340"/>
      <c r="H415" s="340"/>
      <c r="I415" s="340"/>
      <c r="J415" s="340"/>
      <c r="K415" s="340"/>
      <c r="L415" s="340"/>
      <c r="M415" s="340"/>
      <c r="N415" s="340"/>
      <c r="O415" s="340"/>
      <c r="P415" s="340"/>
      <c r="Q415" s="340"/>
      <c r="R415" s="340"/>
      <c r="S415" s="340"/>
      <c r="T415" s="340"/>
      <c r="U415" s="340"/>
      <c r="V415" s="340"/>
      <c r="W415" s="340"/>
      <c r="X415" s="340"/>
      <c r="Y415" s="340"/>
      <c r="Z415" s="340"/>
      <c r="AA415" s="340"/>
      <c r="AB415" s="340"/>
      <c r="AC415" s="340"/>
    </row>
    <row r="416" spans="1:29">
      <c r="A416" s="340"/>
      <c r="B416" s="340"/>
      <c r="C416" s="340"/>
      <c r="D416" s="340"/>
      <c r="E416" s="340"/>
      <c r="F416" s="340"/>
      <c r="G416" s="340"/>
      <c r="H416" s="340"/>
      <c r="I416" s="340"/>
      <c r="J416" s="340"/>
      <c r="K416" s="340"/>
      <c r="L416" s="340"/>
      <c r="M416" s="340"/>
      <c r="N416" s="340"/>
      <c r="O416" s="340"/>
      <c r="P416" s="340"/>
      <c r="Q416" s="340"/>
      <c r="R416" s="340"/>
      <c r="S416" s="340"/>
      <c r="T416" s="340"/>
      <c r="U416" s="340"/>
      <c r="V416" s="340"/>
      <c r="W416" s="340"/>
      <c r="X416" s="340"/>
      <c r="Y416" s="340"/>
      <c r="Z416" s="340"/>
      <c r="AA416" s="340"/>
      <c r="AB416" s="340"/>
      <c r="AC416" s="340"/>
    </row>
    <row r="417" spans="1:29">
      <c r="A417" s="340"/>
      <c r="B417" s="340"/>
      <c r="C417" s="340"/>
      <c r="D417" s="340"/>
      <c r="E417" s="340"/>
      <c r="F417" s="340"/>
      <c r="G417" s="340"/>
      <c r="H417" s="340"/>
      <c r="I417" s="340"/>
      <c r="J417" s="340"/>
      <c r="K417" s="340"/>
      <c r="L417" s="340"/>
      <c r="M417" s="340"/>
      <c r="N417" s="340"/>
      <c r="O417" s="340"/>
      <c r="P417" s="340"/>
      <c r="Q417" s="340"/>
      <c r="R417" s="340"/>
      <c r="S417" s="340"/>
      <c r="T417" s="340"/>
      <c r="U417" s="340"/>
      <c r="V417" s="340"/>
      <c r="W417" s="340"/>
      <c r="X417" s="340"/>
      <c r="Y417" s="340"/>
      <c r="Z417" s="340"/>
      <c r="AA417" s="340"/>
      <c r="AB417" s="340"/>
      <c r="AC417" s="340"/>
    </row>
    <row r="418" spans="1:29">
      <c r="A418" s="340"/>
      <c r="B418" s="340"/>
      <c r="C418" s="340"/>
      <c r="D418" s="340"/>
      <c r="E418" s="340"/>
      <c r="F418" s="340"/>
      <c r="G418" s="340"/>
      <c r="H418" s="340"/>
      <c r="I418" s="340"/>
      <c r="J418" s="340"/>
      <c r="K418" s="340"/>
      <c r="L418" s="340"/>
      <c r="M418" s="340"/>
      <c r="N418" s="340"/>
      <c r="O418" s="340"/>
      <c r="P418" s="340"/>
      <c r="Q418" s="340"/>
      <c r="R418" s="340"/>
      <c r="S418" s="340"/>
      <c r="T418" s="340"/>
      <c r="U418" s="340"/>
      <c r="V418" s="340"/>
      <c r="W418" s="340"/>
      <c r="X418" s="340"/>
      <c r="Y418" s="340"/>
      <c r="Z418" s="340"/>
      <c r="AA418" s="340"/>
      <c r="AB418" s="340"/>
      <c r="AC418" s="340"/>
    </row>
    <row r="419" spans="1:29">
      <c r="A419" s="340"/>
      <c r="B419" s="340"/>
      <c r="C419" s="340"/>
      <c r="D419" s="340"/>
      <c r="E419" s="340"/>
      <c r="F419" s="340"/>
      <c r="G419" s="340"/>
      <c r="H419" s="340"/>
      <c r="I419" s="340"/>
      <c r="J419" s="340"/>
      <c r="K419" s="340"/>
      <c r="L419" s="340"/>
      <c r="M419" s="340"/>
      <c r="N419" s="340"/>
      <c r="O419" s="340"/>
      <c r="P419" s="340"/>
      <c r="Q419" s="340"/>
      <c r="R419" s="340"/>
      <c r="S419" s="340"/>
      <c r="T419" s="340"/>
      <c r="U419" s="340"/>
      <c r="V419" s="340"/>
      <c r="W419" s="340"/>
      <c r="X419" s="340"/>
      <c r="Y419" s="340"/>
      <c r="Z419" s="340"/>
      <c r="AA419" s="340"/>
      <c r="AB419" s="340"/>
      <c r="AC419" s="340"/>
    </row>
    <row r="420" spans="1:29">
      <c r="A420" s="340"/>
      <c r="B420" s="340"/>
      <c r="C420" s="340"/>
      <c r="D420" s="340"/>
      <c r="E420" s="340"/>
      <c r="F420" s="340"/>
      <c r="G420" s="340"/>
      <c r="H420" s="340"/>
      <c r="I420" s="340"/>
      <c r="J420" s="340"/>
      <c r="K420" s="340"/>
      <c r="L420" s="340"/>
      <c r="M420" s="340"/>
      <c r="N420" s="340"/>
      <c r="O420" s="340"/>
      <c r="P420" s="340"/>
      <c r="Q420" s="340"/>
      <c r="R420" s="340"/>
      <c r="S420" s="340"/>
      <c r="T420" s="340"/>
      <c r="U420" s="340"/>
      <c r="V420" s="340"/>
      <c r="W420" s="340"/>
      <c r="X420" s="340"/>
      <c r="Y420" s="340"/>
      <c r="Z420" s="340"/>
      <c r="AA420" s="340"/>
      <c r="AB420" s="340"/>
      <c r="AC420" s="340"/>
    </row>
    <row r="421" spans="1:29">
      <c r="A421" s="340"/>
      <c r="B421" s="340"/>
      <c r="C421" s="340"/>
      <c r="D421" s="340"/>
      <c r="E421" s="340"/>
      <c r="F421" s="340"/>
      <c r="G421" s="340"/>
      <c r="H421" s="340"/>
      <c r="I421" s="340"/>
      <c r="J421" s="340"/>
      <c r="K421" s="340"/>
      <c r="L421" s="340"/>
      <c r="M421" s="340"/>
      <c r="N421" s="340"/>
      <c r="O421" s="340"/>
      <c r="P421" s="340"/>
      <c r="Q421" s="340"/>
      <c r="R421" s="340"/>
      <c r="S421" s="340"/>
      <c r="T421" s="340"/>
      <c r="U421" s="340"/>
      <c r="V421" s="340"/>
      <c r="W421" s="340"/>
      <c r="X421" s="340"/>
      <c r="Y421" s="340"/>
      <c r="Z421" s="340"/>
      <c r="AA421" s="340"/>
      <c r="AB421" s="340"/>
      <c r="AC421" s="340"/>
    </row>
    <row r="422" spans="1:29">
      <c r="A422" s="340"/>
      <c r="B422" s="340"/>
      <c r="C422" s="340"/>
      <c r="D422" s="340"/>
      <c r="E422" s="340"/>
      <c r="F422" s="340"/>
      <c r="G422" s="340"/>
      <c r="H422" s="340"/>
      <c r="I422" s="340"/>
      <c r="J422" s="340"/>
      <c r="K422" s="340"/>
      <c r="L422" s="340"/>
      <c r="M422" s="340"/>
      <c r="N422" s="340"/>
      <c r="O422" s="340"/>
      <c r="P422" s="340"/>
      <c r="Q422" s="340"/>
      <c r="R422" s="340"/>
      <c r="S422" s="340"/>
      <c r="T422" s="340"/>
      <c r="U422" s="340"/>
      <c r="V422" s="340"/>
      <c r="W422" s="340"/>
      <c r="X422" s="340"/>
      <c r="Y422" s="340"/>
      <c r="Z422" s="340"/>
      <c r="AA422" s="340"/>
      <c r="AB422" s="340"/>
      <c r="AC422" s="340"/>
    </row>
    <row r="423" spans="1:29">
      <c r="A423" s="340"/>
      <c r="B423" s="340"/>
      <c r="C423" s="340"/>
      <c r="D423" s="340"/>
      <c r="E423" s="340"/>
      <c r="F423" s="340"/>
      <c r="G423" s="340"/>
      <c r="H423" s="340"/>
      <c r="I423" s="340"/>
      <c r="J423" s="340"/>
      <c r="K423" s="340"/>
      <c r="L423" s="340"/>
      <c r="M423" s="340"/>
      <c r="N423" s="340"/>
      <c r="O423" s="340"/>
      <c r="P423" s="340"/>
      <c r="Q423" s="340"/>
      <c r="R423" s="340"/>
      <c r="S423" s="340"/>
      <c r="T423" s="340"/>
      <c r="U423" s="340"/>
      <c r="V423" s="340"/>
      <c r="W423" s="340"/>
      <c r="X423" s="340"/>
      <c r="Y423" s="340"/>
      <c r="Z423" s="340"/>
      <c r="AA423" s="340"/>
      <c r="AB423" s="340"/>
      <c r="AC423" s="340"/>
    </row>
    <row r="424" spans="1:29">
      <c r="A424" s="340"/>
      <c r="B424" s="340"/>
      <c r="C424" s="340"/>
      <c r="D424" s="340"/>
      <c r="E424" s="340"/>
      <c r="F424" s="340"/>
      <c r="G424" s="340"/>
      <c r="H424" s="340"/>
      <c r="I424" s="340"/>
      <c r="J424" s="340"/>
      <c r="K424" s="340"/>
      <c r="L424" s="340"/>
      <c r="M424" s="340"/>
      <c r="N424" s="340"/>
      <c r="O424" s="340"/>
      <c r="P424" s="340"/>
      <c r="Q424" s="340"/>
      <c r="R424" s="340"/>
      <c r="S424" s="340"/>
      <c r="T424" s="340"/>
      <c r="U424" s="340"/>
      <c r="V424" s="340"/>
      <c r="W424" s="340"/>
      <c r="X424" s="340"/>
      <c r="Y424" s="340"/>
      <c r="Z424" s="340"/>
      <c r="AA424" s="340"/>
      <c r="AB424" s="340"/>
      <c r="AC424" s="340"/>
    </row>
    <row r="425" spans="1:29">
      <c r="A425" s="340"/>
      <c r="B425" s="340"/>
      <c r="C425" s="340"/>
      <c r="D425" s="340"/>
      <c r="E425" s="340"/>
      <c r="F425" s="340"/>
      <c r="G425" s="340"/>
      <c r="H425" s="340"/>
      <c r="I425" s="340"/>
      <c r="J425" s="340"/>
      <c r="K425" s="340"/>
      <c r="L425" s="340"/>
      <c r="M425" s="340"/>
      <c r="N425" s="340"/>
      <c r="O425" s="340"/>
      <c r="P425" s="340"/>
      <c r="Q425" s="340"/>
      <c r="R425" s="340"/>
      <c r="S425" s="340"/>
      <c r="T425" s="340"/>
      <c r="U425" s="340"/>
      <c r="V425" s="340"/>
      <c r="W425" s="340"/>
      <c r="X425" s="340"/>
      <c r="Y425" s="340"/>
      <c r="Z425" s="340"/>
      <c r="AA425" s="340"/>
      <c r="AB425" s="340"/>
      <c r="AC425" s="340"/>
    </row>
    <row r="426" spans="1:29">
      <c r="A426" s="340"/>
      <c r="B426" s="340"/>
      <c r="C426" s="340"/>
      <c r="D426" s="340"/>
      <c r="E426" s="340"/>
      <c r="F426" s="340"/>
      <c r="G426" s="340"/>
      <c r="H426" s="340"/>
      <c r="I426" s="340"/>
      <c r="J426" s="340"/>
      <c r="K426" s="340"/>
      <c r="L426" s="340"/>
      <c r="M426" s="340"/>
      <c r="N426" s="340"/>
      <c r="O426" s="340"/>
      <c r="P426" s="340"/>
      <c r="Q426" s="340"/>
      <c r="R426" s="340"/>
      <c r="S426" s="340"/>
      <c r="T426" s="340"/>
      <c r="U426" s="340"/>
      <c r="V426" s="340"/>
      <c r="W426" s="340"/>
      <c r="X426" s="340"/>
      <c r="Y426" s="340"/>
      <c r="Z426" s="340"/>
      <c r="AA426" s="340"/>
      <c r="AB426" s="340"/>
      <c r="AC426" s="340"/>
    </row>
    <row r="427" spans="1:29">
      <c r="A427" s="340"/>
      <c r="B427" s="340"/>
      <c r="C427" s="340"/>
      <c r="D427" s="340"/>
      <c r="E427" s="340"/>
      <c r="F427" s="340"/>
      <c r="G427" s="340"/>
      <c r="H427" s="340"/>
      <c r="I427" s="340"/>
      <c r="J427" s="340"/>
      <c r="K427" s="340"/>
      <c r="L427" s="340"/>
      <c r="M427" s="340"/>
      <c r="N427" s="340"/>
      <c r="O427" s="340"/>
      <c r="P427" s="340"/>
      <c r="Q427" s="340"/>
      <c r="R427" s="340"/>
      <c r="S427" s="340"/>
      <c r="T427" s="340"/>
      <c r="U427" s="340"/>
      <c r="V427" s="340"/>
      <c r="W427" s="340"/>
      <c r="X427" s="340"/>
      <c r="Y427" s="340"/>
      <c r="Z427" s="340"/>
      <c r="AA427" s="340"/>
      <c r="AB427" s="340"/>
      <c r="AC427" s="340"/>
    </row>
    <row r="428" spans="1:29">
      <c r="A428" s="340"/>
      <c r="B428" s="340"/>
      <c r="C428" s="340"/>
      <c r="D428" s="340"/>
      <c r="E428" s="340"/>
      <c r="F428" s="340"/>
      <c r="G428" s="340"/>
      <c r="H428" s="340"/>
      <c r="I428" s="340"/>
      <c r="J428" s="340"/>
      <c r="K428" s="340"/>
      <c r="L428" s="340"/>
      <c r="M428" s="340"/>
      <c r="N428" s="340"/>
      <c r="O428" s="340"/>
      <c r="P428" s="340"/>
      <c r="Q428" s="340"/>
      <c r="R428" s="340"/>
      <c r="S428" s="340"/>
      <c r="T428" s="340"/>
      <c r="U428" s="340"/>
      <c r="V428" s="340"/>
      <c r="W428" s="340"/>
      <c r="X428" s="340"/>
      <c r="Y428" s="340"/>
      <c r="Z428" s="340"/>
      <c r="AA428" s="340"/>
      <c r="AB428" s="340"/>
      <c r="AC428" s="340"/>
    </row>
    <row r="429" spans="1:29">
      <c r="A429" s="340"/>
      <c r="B429" s="340"/>
      <c r="C429" s="340"/>
      <c r="D429" s="340"/>
      <c r="E429" s="340"/>
      <c r="F429" s="340"/>
      <c r="G429" s="340"/>
      <c r="H429" s="340"/>
      <c r="I429" s="340"/>
      <c r="J429" s="340"/>
      <c r="K429" s="340"/>
      <c r="L429" s="340"/>
      <c r="M429" s="340"/>
      <c r="N429" s="340"/>
      <c r="O429" s="340"/>
      <c r="P429" s="340"/>
      <c r="Q429" s="340"/>
      <c r="R429" s="340"/>
      <c r="S429" s="340"/>
      <c r="T429" s="340"/>
      <c r="U429" s="340"/>
      <c r="V429" s="340"/>
      <c r="W429" s="340"/>
      <c r="X429" s="340"/>
      <c r="Y429" s="340"/>
      <c r="Z429" s="340"/>
      <c r="AA429" s="340"/>
      <c r="AB429" s="340"/>
      <c r="AC429" s="340"/>
    </row>
    <row r="430" spans="1:29">
      <c r="A430" s="340"/>
      <c r="B430" s="340"/>
      <c r="C430" s="340"/>
      <c r="D430" s="340"/>
      <c r="E430" s="340"/>
      <c r="F430" s="340"/>
      <c r="G430" s="340"/>
      <c r="H430" s="340"/>
      <c r="I430" s="340"/>
      <c r="J430" s="340"/>
      <c r="K430" s="340"/>
      <c r="L430" s="340"/>
      <c r="M430" s="340"/>
      <c r="N430" s="340"/>
      <c r="O430" s="340"/>
      <c r="P430" s="340"/>
      <c r="Q430" s="340"/>
      <c r="R430" s="340"/>
      <c r="S430" s="340"/>
      <c r="T430" s="340"/>
      <c r="U430" s="340"/>
      <c r="V430" s="340"/>
      <c r="W430" s="340"/>
      <c r="X430" s="340"/>
      <c r="Y430" s="340"/>
      <c r="Z430" s="340"/>
      <c r="AA430" s="340"/>
      <c r="AB430" s="340"/>
      <c r="AC430" s="340"/>
    </row>
    <row r="431" spans="1:29">
      <c r="A431" s="340"/>
      <c r="B431" s="340"/>
      <c r="C431" s="340"/>
      <c r="D431" s="340"/>
      <c r="E431" s="340"/>
      <c r="F431" s="340"/>
      <c r="G431" s="340"/>
      <c r="H431" s="340"/>
      <c r="I431" s="340"/>
      <c r="J431" s="340"/>
      <c r="K431" s="340"/>
      <c r="L431" s="340"/>
      <c r="M431" s="340"/>
      <c r="N431" s="340"/>
      <c r="O431" s="340"/>
      <c r="P431" s="340"/>
      <c r="Q431" s="340"/>
      <c r="R431" s="340"/>
      <c r="S431" s="340"/>
      <c r="T431" s="340"/>
      <c r="U431" s="340"/>
      <c r="V431" s="340"/>
      <c r="W431" s="340"/>
      <c r="X431" s="340"/>
      <c r="Y431" s="340"/>
      <c r="Z431" s="340"/>
      <c r="AA431" s="340"/>
      <c r="AB431" s="340"/>
      <c r="AC431" s="340"/>
    </row>
    <row r="432" spans="1:29">
      <c r="A432" s="340"/>
      <c r="B432" s="340"/>
      <c r="C432" s="340"/>
      <c r="D432" s="340"/>
      <c r="E432" s="340"/>
      <c r="F432" s="340"/>
      <c r="G432" s="340"/>
      <c r="H432" s="340"/>
      <c r="I432" s="340"/>
      <c r="J432" s="340"/>
      <c r="K432" s="340"/>
      <c r="L432" s="340"/>
      <c r="M432" s="340"/>
      <c r="N432" s="340"/>
      <c r="O432" s="340"/>
      <c r="P432" s="340"/>
      <c r="Q432" s="340"/>
      <c r="R432" s="340"/>
      <c r="S432" s="340"/>
      <c r="T432" s="340"/>
      <c r="U432" s="340"/>
      <c r="V432" s="340"/>
      <c r="W432" s="340"/>
      <c r="X432" s="340"/>
      <c r="Y432" s="340"/>
      <c r="Z432" s="340"/>
      <c r="AA432" s="340"/>
      <c r="AB432" s="340"/>
      <c r="AC432" s="340"/>
    </row>
    <row r="433" spans="1:29">
      <c r="A433" s="340"/>
      <c r="B433" s="340"/>
      <c r="C433" s="340"/>
      <c r="D433" s="340"/>
      <c r="E433" s="340"/>
      <c r="F433" s="340"/>
      <c r="G433" s="340"/>
      <c r="H433" s="340"/>
      <c r="I433" s="340"/>
      <c r="J433" s="340"/>
      <c r="K433" s="340"/>
      <c r="L433" s="340"/>
      <c r="M433" s="340"/>
      <c r="N433" s="340"/>
      <c r="O433" s="340"/>
      <c r="P433" s="340"/>
      <c r="Q433" s="340"/>
      <c r="R433" s="340"/>
      <c r="S433" s="340"/>
      <c r="T433" s="340"/>
      <c r="U433" s="340"/>
      <c r="V433" s="340"/>
      <c r="W433" s="340"/>
      <c r="X433" s="340"/>
      <c r="Y433" s="340"/>
      <c r="Z433" s="340"/>
      <c r="AA433" s="340"/>
      <c r="AB433" s="340"/>
      <c r="AC433" s="340"/>
    </row>
    <row r="434" spans="1:29">
      <c r="A434" s="340"/>
      <c r="B434" s="340"/>
      <c r="C434" s="340"/>
      <c r="D434" s="340"/>
      <c r="E434" s="340"/>
      <c r="F434" s="340"/>
      <c r="G434" s="340"/>
      <c r="H434" s="340"/>
      <c r="I434" s="340"/>
      <c r="J434" s="340"/>
      <c r="K434" s="340"/>
      <c r="L434" s="340"/>
      <c r="M434" s="340"/>
      <c r="N434" s="340"/>
      <c r="O434" s="340"/>
      <c r="P434" s="340"/>
      <c r="Q434" s="340"/>
      <c r="R434" s="340"/>
      <c r="S434" s="340"/>
      <c r="T434" s="340"/>
      <c r="U434" s="340"/>
      <c r="V434" s="340"/>
      <c r="W434" s="340"/>
      <c r="X434" s="340"/>
      <c r="Y434" s="340"/>
      <c r="Z434" s="340"/>
      <c r="AA434" s="340"/>
      <c r="AB434" s="340"/>
      <c r="AC434" s="340"/>
    </row>
    <row r="435" spans="1:29">
      <c r="A435" s="340"/>
      <c r="B435" s="340"/>
      <c r="C435" s="340"/>
      <c r="D435" s="340"/>
      <c r="E435" s="340"/>
      <c r="F435" s="340"/>
      <c r="G435" s="340"/>
      <c r="H435" s="340"/>
      <c r="I435" s="340"/>
      <c r="J435" s="340"/>
      <c r="K435" s="340"/>
      <c r="L435" s="340"/>
      <c r="M435" s="340"/>
      <c r="N435" s="340"/>
      <c r="O435" s="340"/>
      <c r="P435" s="340"/>
      <c r="Q435" s="340"/>
      <c r="R435" s="340"/>
      <c r="S435" s="340"/>
      <c r="T435" s="340"/>
      <c r="U435" s="340"/>
      <c r="V435" s="340"/>
      <c r="W435" s="340"/>
      <c r="X435" s="340"/>
      <c r="Y435" s="340"/>
      <c r="Z435" s="340"/>
      <c r="AA435" s="340"/>
      <c r="AB435" s="340"/>
      <c r="AC435" s="340"/>
    </row>
    <row r="436" spans="1:29">
      <c r="A436" s="340"/>
      <c r="B436" s="340"/>
      <c r="C436" s="340"/>
      <c r="D436" s="340"/>
      <c r="E436" s="340"/>
      <c r="F436" s="340"/>
      <c r="G436" s="340"/>
      <c r="H436" s="340"/>
      <c r="I436" s="340"/>
      <c r="J436" s="340"/>
      <c r="K436" s="340"/>
      <c r="L436" s="340"/>
      <c r="M436" s="340"/>
      <c r="N436" s="340"/>
      <c r="O436" s="340"/>
      <c r="P436" s="340"/>
      <c r="Q436" s="340"/>
      <c r="R436" s="340"/>
      <c r="S436" s="340"/>
      <c r="T436" s="340"/>
      <c r="U436" s="340"/>
      <c r="V436" s="340"/>
      <c r="W436" s="340"/>
      <c r="X436" s="340"/>
      <c r="Y436" s="340"/>
      <c r="Z436" s="340"/>
      <c r="AA436" s="340"/>
      <c r="AB436" s="340"/>
      <c r="AC436" s="340"/>
    </row>
    <row r="437" spans="1:29">
      <c r="A437" s="340"/>
      <c r="B437" s="340"/>
      <c r="C437" s="340"/>
      <c r="D437" s="340"/>
      <c r="E437" s="340"/>
      <c r="F437" s="340"/>
      <c r="G437" s="340"/>
      <c r="H437" s="340"/>
      <c r="I437" s="340"/>
      <c r="J437" s="340"/>
      <c r="K437" s="340"/>
      <c r="L437" s="340"/>
      <c r="M437" s="340"/>
      <c r="N437" s="340"/>
      <c r="O437" s="340"/>
      <c r="P437" s="340"/>
      <c r="Q437" s="340"/>
      <c r="R437" s="340"/>
      <c r="S437" s="340"/>
      <c r="T437" s="340"/>
      <c r="U437" s="340"/>
      <c r="V437" s="340"/>
      <c r="W437" s="340"/>
      <c r="X437" s="340"/>
      <c r="Y437" s="340"/>
      <c r="Z437" s="340"/>
      <c r="AA437" s="340"/>
      <c r="AB437" s="340"/>
      <c r="AC437" s="340"/>
    </row>
    <row r="438" spans="1:29">
      <c r="A438" s="340"/>
      <c r="B438" s="340"/>
      <c r="C438" s="340"/>
      <c r="D438" s="340"/>
      <c r="E438" s="340"/>
      <c r="F438" s="340"/>
      <c r="G438" s="340"/>
      <c r="H438" s="340"/>
      <c r="I438" s="340"/>
      <c r="J438" s="340"/>
      <c r="K438" s="340"/>
      <c r="L438" s="340"/>
      <c r="M438" s="340"/>
      <c r="N438" s="340"/>
      <c r="O438" s="340"/>
      <c r="P438" s="340"/>
      <c r="Q438" s="340"/>
      <c r="R438" s="340"/>
      <c r="S438" s="340"/>
      <c r="T438" s="340"/>
      <c r="U438" s="340"/>
      <c r="V438" s="340"/>
      <c r="W438" s="340"/>
      <c r="X438" s="340"/>
      <c r="Y438" s="340"/>
      <c r="Z438" s="340"/>
      <c r="AA438" s="340"/>
      <c r="AB438" s="340"/>
      <c r="AC438" s="340"/>
    </row>
    <row r="439" spans="1:29">
      <c r="A439" s="340"/>
      <c r="B439" s="340"/>
      <c r="C439" s="340"/>
      <c r="D439" s="340"/>
      <c r="E439" s="340"/>
      <c r="F439" s="340"/>
      <c r="G439" s="340"/>
      <c r="H439" s="340"/>
      <c r="I439" s="340"/>
      <c r="J439" s="340"/>
      <c r="K439" s="340"/>
      <c r="L439" s="340"/>
      <c r="M439" s="340"/>
      <c r="N439" s="340"/>
      <c r="O439" s="340"/>
      <c r="P439" s="340"/>
      <c r="Q439" s="340"/>
      <c r="R439" s="340"/>
      <c r="S439" s="340"/>
      <c r="T439" s="340"/>
      <c r="U439" s="340"/>
      <c r="V439" s="340"/>
      <c r="W439" s="340"/>
      <c r="X439" s="340"/>
      <c r="Y439" s="340"/>
      <c r="Z439" s="340"/>
      <c r="AA439" s="340"/>
      <c r="AB439" s="340"/>
      <c r="AC439" s="340"/>
    </row>
    <row r="440" spans="1:29">
      <c r="A440" s="340"/>
      <c r="B440" s="340"/>
      <c r="C440" s="340"/>
      <c r="D440" s="340"/>
      <c r="E440" s="340"/>
      <c r="F440" s="340"/>
      <c r="G440" s="340"/>
      <c r="H440" s="340"/>
      <c r="I440" s="340"/>
      <c r="J440" s="340"/>
      <c r="K440" s="340"/>
      <c r="L440" s="340"/>
      <c r="M440" s="340"/>
      <c r="N440" s="340"/>
      <c r="O440" s="340"/>
      <c r="P440" s="340"/>
      <c r="Q440" s="340"/>
      <c r="R440" s="340"/>
      <c r="S440" s="340"/>
      <c r="T440" s="340"/>
      <c r="U440" s="340"/>
      <c r="V440" s="340"/>
      <c r="W440" s="340"/>
      <c r="X440" s="340"/>
      <c r="Y440" s="340"/>
      <c r="Z440" s="340"/>
      <c r="AA440" s="340"/>
      <c r="AB440" s="340"/>
      <c r="AC440" s="340"/>
    </row>
    <row r="441" spans="1:29">
      <c r="A441" s="340"/>
      <c r="B441" s="340"/>
      <c r="C441" s="340"/>
      <c r="D441" s="340"/>
      <c r="E441" s="340"/>
      <c r="F441" s="340"/>
      <c r="G441" s="340"/>
      <c r="H441" s="340"/>
      <c r="I441" s="340"/>
      <c r="J441" s="340"/>
      <c r="K441" s="340"/>
      <c r="L441" s="340"/>
      <c r="M441" s="340"/>
      <c r="N441" s="340"/>
      <c r="O441" s="340"/>
      <c r="P441" s="340"/>
      <c r="Q441" s="340"/>
      <c r="R441" s="340"/>
      <c r="S441" s="340"/>
      <c r="T441" s="340"/>
      <c r="U441" s="340"/>
      <c r="V441" s="340"/>
      <c r="W441" s="340"/>
      <c r="X441" s="340"/>
      <c r="Y441" s="340"/>
      <c r="Z441" s="340"/>
      <c r="AA441" s="340"/>
      <c r="AB441" s="340"/>
      <c r="AC441" s="340"/>
    </row>
    <row r="442" spans="1:29">
      <c r="A442" s="340"/>
      <c r="B442" s="340"/>
      <c r="C442" s="340"/>
      <c r="D442" s="340"/>
      <c r="E442" s="340"/>
      <c r="F442" s="340"/>
      <c r="G442" s="340"/>
      <c r="H442" s="340"/>
      <c r="I442" s="340"/>
      <c r="J442" s="340"/>
      <c r="K442" s="340"/>
      <c r="L442" s="340"/>
      <c r="M442" s="340"/>
      <c r="N442" s="340"/>
      <c r="O442" s="340"/>
      <c r="P442" s="340"/>
      <c r="Q442" s="340"/>
      <c r="R442" s="340"/>
      <c r="S442" s="340"/>
      <c r="T442" s="340"/>
      <c r="U442" s="340"/>
      <c r="V442" s="340"/>
      <c r="W442" s="340"/>
      <c r="X442" s="340"/>
      <c r="Y442" s="340"/>
      <c r="Z442" s="340"/>
      <c r="AA442" s="340"/>
      <c r="AB442" s="340"/>
      <c r="AC442" s="340"/>
    </row>
    <row r="443" spans="1:29">
      <c r="A443" s="340"/>
      <c r="B443" s="340"/>
      <c r="C443" s="340"/>
      <c r="D443" s="340"/>
      <c r="E443" s="340"/>
      <c r="F443" s="340"/>
      <c r="G443" s="340"/>
      <c r="H443" s="340"/>
      <c r="I443" s="340"/>
      <c r="J443" s="340"/>
      <c r="K443" s="340"/>
      <c r="L443" s="340"/>
      <c r="M443" s="340"/>
      <c r="N443" s="340"/>
      <c r="O443" s="340"/>
      <c r="P443" s="340"/>
      <c r="Q443" s="340"/>
      <c r="R443" s="340"/>
      <c r="S443" s="340"/>
      <c r="T443" s="340"/>
      <c r="U443" s="340"/>
      <c r="V443" s="340"/>
      <c r="W443" s="340"/>
      <c r="X443" s="340"/>
      <c r="Y443" s="340"/>
      <c r="Z443" s="340"/>
      <c r="AA443" s="340"/>
      <c r="AB443" s="340"/>
      <c r="AC443" s="340"/>
    </row>
    <row r="444" spans="1:29">
      <c r="A444" s="340"/>
      <c r="B444" s="340"/>
      <c r="C444" s="340"/>
      <c r="D444" s="340"/>
      <c r="E444" s="340"/>
      <c r="F444" s="340"/>
      <c r="G444" s="340"/>
      <c r="H444" s="340"/>
      <c r="I444" s="340"/>
      <c r="J444" s="340"/>
      <c r="K444" s="340"/>
      <c r="L444" s="340"/>
      <c r="M444" s="340"/>
      <c r="N444" s="340"/>
      <c r="O444" s="340"/>
      <c r="P444" s="340"/>
      <c r="Q444" s="340"/>
      <c r="R444" s="340"/>
      <c r="S444" s="340"/>
      <c r="T444" s="340"/>
      <c r="U444" s="340"/>
      <c r="V444" s="340"/>
      <c r="W444" s="340"/>
      <c r="X444" s="340"/>
      <c r="Y444" s="340"/>
      <c r="Z444" s="340"/>
      <c r="AA444" s="340"/>
      <c r="AB444" s="340"/>
      <c r="AC444" s="340"/>
    </row>
    <row r="445" spans="1:29">
      <c r="A445" s="340"/>
      <c r="B445" s="340"/>
      <c r="C445" s="340"/>
      <c r="D445" s="340"/>
      <c r="E445" s="340"/>
      <c r="F445" s="340"/>
      <c r="G445" s="340"/>
      <c r="H445" s="340"/>
      <c r="I445" s="340"/>
      <c r="J445" s="340"/>
      <c r="K445" s="340"/>
      <c r="L445" s="340"/>
      <c r="M445" s="340"/>
      <c r="N445" s="340"/>
      <c r="O445" s="340"/>
      <c r="P445" s="340"/>
      <c r="Q445" s="340"/>
      <c r="R445" s="340"/>
      <c r="S445" s="340"/>
      <c r="T445" s="340"/>
      <c r="U445" s="340"/>
      <c r="V445" s="340"/>
      <c r="W445" s="340"/>
      <c r="X445" s="340"/>
      <c r="Y445" s="340"/>
      <c r="Z445" s="340"/>
      <c r="AA445" s="340"/>
      <c r="AB445" s="340"/>
      <c r="AC445" s="340"/>
    </row>
    <row r="446" spans="1:29">
      <c r="A446" s="340"/>
      <c r="B446" s="340"/>
      <c r="C446" s="340"/>
      <c r="D446" s="340"/>
      <c r="E446" s="340"/>
      <c r="F446" s="340"/>
      <c r="G446" s="340"/>
      <c r="H446" s="340"/>
      <c r="I446" s="340"/>
      <c r="J446" s="340"/>
      <c r="K446" s="340"/>
      <c r="L446" s="340"/>
      <c r="M446" s="340"/>
      <c r="N446" s="340"/>
      <c r="O446" s="340"/>
      <c r="P446" s="340"/>
      <c r="Q446" s="340"/>
      <c r="R446" s="340"/>
      <c r="S446" s="340"/>
      <c r="T446" s="340"/>
      <c r="U446" s="340"/>
      <c r="V446" s="340"/>
      <c r="W446" s="340"/>
      <c r="X446" s="340"/>
      <c r="Y446" s="340"/>
      <c r="Z446" s="340"/>
      <c r="AA446" s="340"/>
      <c r="AB446" s="340"/>
      <c r="AC446" s="340"/>
    </row>
    <row r="447" spans="1:29">
      <c r="A447" s="340"/>
      <c r="B447" s="340"/>
      <c r="C447" s="340"/>
      <c r="D447" s="340"/>
      <c r="E447" s="340"/>
      <c r="F447" s="340"/>
      <c r="G447" s="340"/>
      <c r="H447" s="340"/>
      <c r="I447" s="340"/>
      <c r="J447" s="340"/>
      <c r="K447" s="340"/>
      <c r="L447" s="340"/>
      <c r="M447" s="340"/>
      <c r="N447" s="340"/>
      <c r="O447" s="340"/>
      <c r="P447" s="340"/>
      <c r="Q447" s="340"/>
      <c r="R447" s="340"/>
      <c r="S447" s="340"/>
      <c r="T447" s="340"/>
      <c r="U447" s="340"/>
      <c r="V447" s="340"/>
      <c r="W447" s="340"/>
      <c r="X447" s="340"/>
      <c r="Y447" s="340"/>
      <c r="Z447" s="340"/>
      <c r="AA447" s="340"/>
      <c r="AB447" s="340"/>
      <c r="AC447" s="340"/>
    </row>
    <row r="448" spans="1:29">
      <c r="A448" s="340"/>
      <c r="B448" s="340"/>
      <c r="C448" s="340"/>
      <c r="D448" s="340"/>
      <c r="E448" s="340"/>
      <c r="F448" s="340"/>
      <c r="G448" s="340"/>
      <c r="H448" s="340"/>
      <c r="I448" s="340"/>
      <c r="J448" s="340"/>
      <c r="K448" s="340"/>
      <c r="L448" s="340"/>
      <c r="M448" s="340"/>
      <c r="N448" s="340"/>
      <c r="O448" s="340"/>
      <c r="P448" s="340"/>
      <c r="Q448" s="340"/>
      <c r="R448" s="340"/>
      <c r="S448" s="340"/>
      <c r="T448" s="340"/>
      <c r="U448" s="340"/>
      <c r="V448" s="340"/>
      <c r="W448" s="340"/>
      <c r="X448" s="340"/>
      <c r="Y448" s="340"/>
      <c r="Z448" s="340"/>
      <c r="AA448" s="340"/>
      <c r="AB448" s="340"/>
      <c r="AC448" s="340"/>
    </row>
    <row r="449" spans="1:29">
      <c r="A449" s="340"/>
      <c r="B449" s="340"/>
      <c r="C449" s="340"/>
      <c r="D449" s="340"/>
      <c r="E449" s="340"/>
      <c r="F449" s="340"/>
      <c r="G449" s="340"/>
      <c r="H449" s="340"/>
      <c r="I449" s="340"/>
      <c r="J449" s="340"/>
      <c r="K449" s="340"/>
      <c r="L449" s="340"/>
      <c r="M449" s="340"/>
      <c r="N449" s="340"/>
      <c r="O449" s="340"/>
      <c r="P449" s="340"/>
      <c r="Q449" s="340"/>
      <c r="R449" s="340"/>
      <c r="S449" s="340"/>
      <c r="T449" s="340"/>
      <c r="U449" s="340"/>
      <c r="V449" s="340"/>
      <c r="W449" s="340"/>
      <c r="X449" s="340"/>
      <c r="Y449" s="340"/>
      <c r="Z449" s="340"/>
      <c r="AA449" s="340"/>
      <c r="AB449" s="340"/>
      <c r="AC449" s="340"/>
    </row>
    <row r="450" spans="1:29">
      <c r="A450" s="340"/>
      <c r="B450" s="340"/>
      <c r="C450" s="340"/>
      <c r="D450" s="340"/>
      <c r="E450" s="340"/>
      <c r="F450" s="340"/>
      <c r="G450" s="340"/>
      <c r="H450" s="340"/>
      <c r="I450" s="340"/>
      <c r="J450" s="340"/>
      <c r="K450" s="340"/>
      <c r="L450" s="340"/>
      <c r="M450" s="340"/>
      <c r="N450" s="340"/>
      <c r="O450" s="340"/>
      <c r="P450" s="340"/>
      <c r="Q450" s="340"/>
      <c r="R450" s="340"/>
      <c r="S450" s="340"/>
      <c r="T450" s="340"/>
      <c r="U450" s="340"/>
      <c r="V450" s="340"/>
      <c r="W450" s="340"/>
      <c r="X450" s="340"/>
      <c r="Y450" s="340"/>
      <c r="Z450" s="340"/>
      <c r="AA450" s="340"/>
      <c r="AB450" s="340"/>
      <c r="AC450" s="340"/>
    </row>
    <row r="451" spans="1:29">
      <c r="A451" s="340"/>
      <c r="B451" s="340"/>
      <c r="C451" s="340"/>
      <c r="D451" s="340"/>
      <c r="E451" s="340"/>
      <c r="F451" s="340"/>
      <c r="G451" s="340"/>
      <c r="H451" s="340"/>
      <c r="I451" s="340"/>
      <c r="J451" s="340"/>
      <c r="K451" s="340"/>
      <c r="L451" s="340"/>
      <c r="M451" s="340"/>
      <c r="N451" s="340"/>
      <c r="O451" s="340"/>
      <c r="P451" s="340"/>
      <c r="Q451" s="340"/>
      <c r="R451" s="340"/>
      <c r="S451" s="340"/>
      <c r="T451" s="340"/>
      <c r="U451" s="340"/>
      <c r="V451" s="340"/>
      <c r="W451" s="340"/>
      <c r="X451" s="340"/>
      <c r="Y451" s="340"/>
      <c r="Z451" s="340"/>
      <c r="AA451" s="340"/>
      <c r="AB451" s="340"/>
      <c r="AC451" s="340"/>
    </row>
    <row r="452" spans="1:29">
      <c r="A452" s="340"/>
      <c r="B452" s="340"/>
      <c r="C452" s="340"/>
      <c r="D452" s="340"/>
      <c r="E452" s="340"/>
      <c r="F452" s="340"/>
      <c r="G452" s="340"/>
      <c r="H452" s="340"/>
      <c r="I452" s="340"/>
      <c r="J452" s="340"/>
      <c r="K452" s="340"/>
      <c r="L452" s="340"/>
      <c r="M452" s="340"/>
      <c r="N452" s="340"/>
      <c r="O452" s="340"/>
      <c r="P452" s="340"/>
      <c r="Q452" s="340"/>
      <c r="R452" s="340"/>
      <c r="S452" s="340"/>
      <c r="T452" s="340"/>
      <c r="U452" s="340"/>
      <c r="V452" s="340"/>
      <c r="W452" s="340"/>
      <c r="X452" s="340"/>
      <c r="Y452" s="340"/>
      <c r="Z452" s="340"/>
      <c r="AA452" s="340"/>
      <c r="AB452" s="340"/>
      <c r="AC452" s="340"/>
    </row>
    <row r="453" spans="1:29">
      <c r="A453" s="340"/>
      <c r="B453" s="340"/>
      <c r="C453" s="340"/>
      <c r="D453" s="340"/>
      <c r="E453" s="340"/>
      <c r="F453" s="340"/>
      <c r="G453" s="340"/>
      <c r="H453" s="340"/>
      <c r="I453" s="340"/>
      <c r="J453" s="340"/>
      <c r="K453" s="340"/>
      <c r="L453" s="340"/>
      <c r="M453" s="340"/>
      <c r="N453" s="340"/>
      <c r="O453" s="340"/>
      <c r="P453" s="340"/>
      <c r="Q453" s="340"/>
      <c r="R453" s="340"/>
      <c r="S453" s="340"/>
      <c r="T453" s="340"/>
      <c r="U453" s="340"/>
      <c r="V453" s="340"/>
      <c r="W453" s="340"/>
      <c r="X453" s="340"/>
      <c r="Y453" s="340"/>
      <c r="Z453" s="340"/>
      <c r="AA453" s="340"/>
      <c r="AB453" s="340"/>
      <c r="AC453" s="340"/>
    </row>
    <row r="454" spans="1:29">
      <c r="A454" s="340"/>
      <c r="B454" s="340"/>
      <c r="C454" s="340"/>
      <c r="D454" s="340"/>
      <c r="E454" s="340"/>
      <c r="F454" s="340"/>
      <c r="G454" s="340"/>
      <c r="H454" s="340"/>
      <c r="I454" s="340"/>
      <c r="J454" s="340"/>
      <c r="K454" s="340"/>
      <c r="L454" s="340"/>
      <c r="M454" s="340"/>
      <c r="N454" s="340"/>
      <c r="O454" s="340"/>
      <c r="P454" s="340"/>
      <c r="Q454" s="340"/>
      <c r="R454" s="340"/>
      <c r="S454" s="340"/>
      <c r="T454" s="340"/>
      <c r="U454" s="340"/>
      <c r="V454" s="340"/>
      <c r="W454" s="340"/>
      <c r="X454" s="340"/>
      <c r="Y454" s="340"/>
      <c r="Z454" s="340"/>
      <c r="AA454" s="340"/>
      <c r="AB454" s="340"/>
      <c r="AC454" s="340"/>
    </row>
    <row r="455" spans="1:29">
      <c r="A455" s="340"/>
      <c r="B455" s="340"/>
      <c r="C455" s="340"/>
      <c r="D455" s="340"/>
      <c r="E455" s="340"/>
      <c r="F455" s="340"/>
      <c r="G455" s="340"/>
      <c r="H455" s="340"/>
      <c r="I455" s="340"/>
      <c r="J455" s="340"/>
      <c r="K455" s="340"/>
      <c r="L455" s="340"/>
      <c r="M455" s="340"/>
      <c r="N455" s="340"/>
      <c r="O455" s="340"/>
      <c r="P455" s="340"/>
      <c r="Q455" s="340"/>
      <c r="R455" s="340"/>
      <c r="S455" s="340"/>
      <c r="T455" s="340"/>
      <c r="U455" s="340"/>
      <c r="V455" s="340"/>
      <c r="W455" s="340"/>
      <c r="X455" s="340"/>
      <c r="Y455" s="340"/>
      <c r="Z455" s="340"/>
      <c r="AA455" s="340"/>
      <c r="AB455" s="340"/>
      <c r="AC455" s="340"/>
    </row>
    <row r="456" spans="1:29">
      <c r="A456" s="340"/>
      <c r="B456" s="340"/>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c r="AA456" s="340"/>
      <c r="AB456" s="340"/>
      <c r="AC456" s="340"/>
    </row>
    <row r="457" spans="1:29">
      <c r="A457" s="340"/>
      <c r="B457" s="340"/>
      <c r="C457" s="340"/>
      <c r="D457" s="340"/>
      <c r="E457" s="340"/>
      <c r="F457" s="340"/>
      <c r="G457" s="340"/>
      <c r="H457" s="340"/>
      <c r="I457" s="340"/>
      <c r="J457" s="340"/>
      <c r="K457" s="340"/>
      <c r="L457" s="340"/>
      <c r="M457" s="340"/>
      <c r="N457" s="340"/>
      <c r="O457" s="340"/>
      <c r="P457" s="340"/>
      <c r="Q457" s="340"/>
      <c r="R457" s="340"/>
      <c r="S457" s="340"/>
      <c r="T457" s="340"/>
      <c r="U457" s="340"/>
      <c r="V457" s="340"/>
      <c r="W457" s="340"/>
      <c r="X457" s="340"/>
      <c r="Y457" s="340"/>
      <c r="Z457" s="340"/>
      <c r="AA457" s="340"/>
      <c r="AB457" s="340"/>
      <c r="AC457" s="340"/>
    </row>
    <row r="458" spans="1:29">
      <c r="A458" s="340"/>
      <c r="B458" s="340"/>
      <c r="C458" s="340"/>
      <c r="D458" s="340"/>
      <c r="E458" s="340"/>
      <c r="F458" s="340"/>
      <c r="G458" s="340"/>
      <c r="H458" s="340"/>
      <c r="I458" s="340"/>
      <c r="J458" s="340"/>
      <c r="K458" s="340"/>
      <c r="L458" s="340"/>
      <c r="M458" s="340"/>
      <c r="N458" s="340"/>
      <c r="O458" s="340"/>
      <c r="P458" s="340"/>
      <c r="Q458" s="340"/>
      <c r="R458" s="340"/>
      <c r="S458" s="340"/>
      <c r="T458" s="340"/>
      <c r="U458" s="340"/>
      <c r="V458" s="340"/>
      <c r="W458" s="340"/>
      <c r="X458" s="340"/>
      <c r="Y458" s="340"/>
      <c r="Z458" s="340"/>
      <c r="AA458" s="340"/>
      <c r="AB458" s="340"/>
      <c r="AC458" s="340"/>
    </row>
    <row r="459" spans="1:29">
      <c r="A459" s="340"/>
      <c r="B459" s="340"/>
      <c r="C459" s="340"/>
      <c r="D459" s="340"/>
      <c r="E459" s="340"/>
      <c r="F459" s="340"/>
      <c r="G459" s="340"/>
      <c r="H459" s="340"/>
      <c r="I459" s="340"/>
      <c r="J459" s="340"/>
      <c r="K459" s="340"/>
      <c r="L459" s="340"/>
      <c r="M459" s="340"/>
      <c r="N459" s="340"/>
      <c r="O459" s="340"/>
      <c r="P459" s="340"/>
      <c r="Q459" s="340"/>
      <c r="R459" s="340"/>
      <c r="S459" s="340"/>
      <c r="T459" s="340"/>
      <c r="U459" s="340"/>
      <c r="V459" s="340"/>
      <c r="W459" s="340"/>
      <c r="X459" s="340"/>
      <c r="Y459" s="340"/>
      <c r="Z459" s="340"/>
      <c r="AA459" s="340"/>
      <c r="AB459" s="340"/>
      <c r="AC459" s="340"/>
    </row>
    <row r="460" spans="1:29">
      <c r="A460" s="340"/>
      <c r="B460" s="340"/>
      <c r="C460" s="340"/>
      <c r="D460" s="340"/>
      <c r="E460" s="340"/>
      <c r="F460" s="340"/>
      <c r="G460" s="340"/>
      <c r="H460" s="340"/>
      <c r="I460" s="340"/>
      <c r="J460" s="340"/>
      <c r="K460" s="340"/>
      <c r="L460" s="340"/>
      <c r="M460" s="340"/>
      <c r="N460" s="340"/>
      <c r="O460" s="340"/>
      <c r="P460" s="340"/>
      <c r="Q460" s="340"/>
      <c r="R460" s="340"/>
      <c r="S460" s="340"/>
      <c r="T460" s="340"/>
      <c r="U460" s="340"/>
      <c r="V460" s="340"/>
      <c r="W460" s="340"/>
      <c r="X460" s="340"/>
      <c r="Y460" s="340"/>
      <c r="Z460" s="340"/>
      <c r="AA460" s="340"/>
      <c r="AB460" s="340"/>
      <c r="AC460" s="340"/>
    </row>
    <row r="461" spans="1:29">
      <c r="A461" s="340"/>
      <c r="B461" s="340"/>
      <c r="C461" s="340"/>
      <c r="D461" s="340"/>
      <c r="E461" s="340"/>
      <c r="F461" s="340"/>
      <c r="G461" s="340"/>
      <c r="H461" s="340"/>
      <c r="I461" s="340"/>
      <c r="J461" s="340"/>
      <c r="K461" s="340"/>
      <c r="L461" s="340"/>
      <c r="M461" s="340"/>
      <c r="N461" s="340"/>
      <c r="O461" s="340"/>
      <c r="P461" s="340"/>
      <c r="Q461" s="340"/>
      <c r="R461" s="340"/>
      <c r="S461" s="340"/>
      <c r="T461" s="340"/>
      <c r="U461" s="340"/>
      <c r="V461" s="340"/>
      <c r="W461" s="340"/>
      <c r="X461" s="340"/>
      <c r="Y461" s="340"/>
      <c r="Z461" s="340"/>
      <c r="AA461" s="340"/>
      <c r="AB461" s="340"/>
      <c r="AC461" s="340"/>
    </row>
    <row r="462" spans="1:29">
      <c r="A462" s="340"/>
      <c r="B462" s="340"/>
      <c r="C462" s="340"/>
      <c r="D462" s="340"/>
      <c r="E462" s="340"/>
      <c r="F462" s="340"/>
      <c r="G462" s="340"/>
      <c r="H462" s="340"/>
      <c r="I462" s="340"/>
      <c r="J462" s="340"/>
      <c r="K462" s="340"/>
      <c r="L462" s="340"/>
      <c r="M462" s="340"/>
      <c r="N462" s="340"/>
      <c r="O462" s="340"/>
      <c r="P462" s="340"/>
      <c r="Q462" s="340"/>
      <c r="R462" s="340"/>
      <c r="S462" s="340"/>
      <c r="T462" s="340"/>
      <c r="U462" s="340"/>
      <c r="V462" s="340"/>
      <c r="W462" s="340"/>
      <c r="X462" s="340"/>
      <c r="Y462" s="340"/>
      <c r="Z462" s="340"/>
      <c r="AA462" s="340"/>
      <c r="AB462" s="340"/>
      <c r="AC462" s="340"/>
    </row>
    <row r="463" spans="1:29">
      <c r="A463" s="340"/>
      <c r="B463" s="340"/>
      <c r="C463" s="340"/>
      <c r="D463" s="340"/>
      <c r="E463" s="340"/>
      <c r="F463" s="340"/>
      <c r="G463" s="340"/>
      <c r="H463" s="340"/>
      <c r="I463" s="340"/>
      <c r="J463" s="340"/>
      <c r="K463" s="340"/>
      <c r="L463" s="340"/>
      <c r="M463" s="340"/>
      <c r="N463" s="340"/>
      <c r="O463" s="340"/>
      <c r="P463" s="340"/>
      <c r="Q463" s="340"/>
      <c r="R463" s="340"/>
      <c r="S463" s="340"/>
      <c r="T463" s="340"/>
      <c r="U463" s="340"/>
      <c r="V463" s="340"/>
      <c r="W463" s="340"/>
      <c r="X463" s="340"/>
      <c r="Y463" s="340"/>
      <c r="Z463" s="340"/>
      <c r="AA463" s="340"/>
      <c r="AB463" s="340"/>
      <c r="AC463" s="340"/>
    </row>
    <row r="464" spans="1:29">
      <c r="A464" s="340"/>
      <c r="B464" s="340"/>
      <c r="C464" s="340"/>
      <c r="D464" s="340"/>
      <c r="E464" s="340"/>
      <c r="F464" s="340"/>
      <c r="G464" s="340"/>
      <c r="H464" s="340"/>
      <c r="I464" s="340"/>
      <c r="J464" s="340"/>
      <c r="K464" s="340"/>
      <c r="L464" s="340"/>
      <c r="M464" s="340"/>
      <c r="N464" s="340"/>
      <c r="O464" s="340"/>
      <c r="P464" s="340"/>
      <c r="Q464" s="340"/>
      <c r="R464" s="340"/>
      <c r="S464" s="340"/>
      <c r="T464" s="340"/>
      <c r="U464" s="340"/>
      <c r="V464" s="340"/>
      <c r="W464" s="340"/>
      <c r="X464" s="340"/>
      <c r="Y464" s="340"/>
      <c r="Z464" s="340"/>
      <c r="AA464" s="340"/>
      <c r="AB464" s="340"/>
      <c r="AC464" s="340"/>
    </row>
    <row r="465" spans="1:29">
      <c r="A465" s="340"/>
      <c r="B465" s="340"/>
      <c r="C465" s="340"/>
      <c r="D465" s="340"/>
      <c r="E465" s="340"/>
      <c r="F465" s="340"/>
      <c r="G465" s="340"/>
      <c r="H465" s="340"/>
      <c r="I465" s="340"/>
      <c r="J465" s="340"/>
      <c r="K465" s="340"/>
      <c r="L465" s="340"/>
      <c r="M465" s="340"/>
      <c r="N465" s="340"/>
      <c r="O465" s="340"/>
      <c r="P465" s="340"/>
      <c r="Q465" s="340"/>
      <c r="R465" s="340"/>
      <c r="S465" s="340"/>
      <c r="T465" s="340"/>
      <c r="U465" s="340"/>
      <c r="V465" s="340"/>
      <c r="W465" s="340"/>
      <c r="X465" s="340"/>
      <c r="Y465" s="340"/>
      <c r="Z465" s="340"/>
      <c r="AA465" s="340"/>
      <c r="AB465" s="340"/>
      <c r="AC465" s="340"/>
    </row>
    <row r="466" spans="1:29">
      <c r="A466" s="340"/>
      <c r="B466" s="340"/>
      <c r="C466" s="340"/>
      <c r="D466" s="340"/>
      <c r="E466" s="340"/>
      <c r="F466" s="340"/>
      <c r="G466" s="340"/>
      <c r="H466" s="340"/>
      <c r="I466" s="340"/>
      <c r="J466" s="340"/>
      <c r="K466" s="340"/>
      <c r="L466" s="340"/>
      <c r="M466" s="340"/>
      <c r="N466" s="340"/>
      <c r="O466" s="340"/>
      <c r="P466" s="340"/>
      <c r="Q466" s="340"/>
      <c r="R466" s="340"/>
      <c r="S466" s="340"/>
      <c r="T466" s="340"/>
      <c r="U466" s="340"/>
      <c r="V466" s="340"/>
      <c r="W466" s="340"/>
      <c r="X466" s="340"/>
      <c r="Y466" s="340"/>
      <c r="Z466" s="340"/>
      <c r="AA466" s="340"/>
      <c r="AB466" s="340"/>
      <c r="AC466" s="340"/>
    </row>
    <row r="467" spans="1:29">
      <c r="A467" s="340"/>
      <c r="B467" s="340"/>
      <c r="C467" s="340"/>
      <c r="D467" s="340"/>
      <c r="E467" s="340"/>
      <c r="F467" s="340"/>
      <c r="G467" s="340"/>
      <c r="H467" s="340"/>
      <c r="I467" s="340"/>
      <c r="J467" s="340"/>
      <c r="K467" s="340"/>
      <c r="L467" s="340"/>
      <c r="M467" s="340"/>
      <c r="N467" s="340"/>
      <c r="O467" s="340"/>
      <c r="P467" s="340"/>
      <c r="Q467" s="340"/>
      <c r="R467" s="340"/>
      <c r="S467" s="340"/>
      <c r="T467" s="340"/>
      <c r="U467" s="340"/>
      <c r="V467" s="340"/>
      <c r="W467" s="340"/>
      <c r="X467" s="340"/>
      <c r="Y467" s="340"/>
      <c r="Z467" s="340"/>
      <c r="AA467" s="340"/>
      <c r="AB467" s="340"/>
      <c r="AC467" s="340"/>
    </row>
    <row r="468" spans="1:29">
      <c r="A468" s="340"/>
      <c r="B468" s="340"/>
      <c r="C468" s="340"/>
      <c r="D468" s="340"/>
      <c r="E468" s="340"/>
      <c r="F468" s="340"/>
      <c r="G468" s="340"/>
      <c r="H468" s="340"/>
      <c r="I468" s="340"/>
      <c r="J468" s="340"/>
      <c r="K468" s="340"/>
      <c r="L468" s="340"/>
      <c r="M468" s="340"/>
      <c r="N468" s="340"/>
      <c r="O468" s="340"/>
      <c r="P468" s="340"/>
      <c r="Q468" s="340"/>
      <c r="R468" s="340"/>
      <c r="S468" s="340"/>
      <c r="T468" s="340"/>
      <c r="U468" s="340"/>
      <c r="V468" s="340"/>
      <c r="W468" s="340"/>
      <c r="X468" s="340"/>
      <c r="Y468" s="340"/>
      <c r="Z468" s="340"/>
      <c r="AA468" s="340"/>
      <c r="AB468" s="340"/>
      <c r="AC468" s="340"/>
    </row>
    <row r="469" spans="1:29">
      <c r="A469" s="340"/>
      <c r="B469" s="340"/>
      <c r="C469" s="340"/>
      <c r="D469" s="340"/>
      <c r="E469" s="340"/>
      <c r="F469" s="340"/>
      <c r="G469" s="340"/>
      <c r="H469" s="340"/>
      <c r="I469" s="340"/>
      <c r="J469" s="340"/>
      <c r="K469" s="340"/>
      <c r="L469" s="340"/>
      <c r="M469" s="340"/>
      <c r="N469" s="340"/>
      <c r="O469" s="340"/>
      <c r="P469" s="340"/>
      <c r="Q469" s="340"/>
      <c r="R469" s="340"/>
      <c r="S469" s="340"/>
      <c r="T469" s="340"/>
      <c r="U469" s="340"/>
      <c r="V469" s="340"/>
      <c r="W469" s="340"/>
      <c r="X469" s="340"/>
      <c r="Y469" s="340"/>
      <c r="Z469" s="340"/>
      <c r="AA469" s="340"/>
      <c r="AB469" s="340"/>
      <c r="AC469" s="340"/>
    </row>
    <row r="470" spans="1:29">
      <c r="A470" s="340"/>
      <c r="B470" s="340"/>
      <c r="C470" s="340"/>
      <c r="D470" s="340"/>
      <c r="E470" s="340"/>
      <c r="F470" s="340"/>
      <c r="G470" s="340"/>
      <c r="H470" s="340"/>
      <c r="I470" s="340"/>
      <c r="J470" s="340"/>
      <c r="K470" s="340"/>
      <c r="L470" s="340"/>
      <c r="M470" s="340"/>
      <c r="N470" s="340"/>
      <c r="O470" s="340"/>
      <c r="P470" s="340"/>
      <c r="Q470" s="340"/>
      <c r="R470" s="340"/>
      <c r="S470" s="340"/>
      <c r="T470" s="340"/>
      <c r="U470" s="340"/>
      <c r="V470" s="340"/>
      <c r="W470" s="340"/>
      <c r="X470" s="340"/>
      <c r="Y470" s="340"/>
      <c r="Z470" s="340"/>
      <c r="AA470" s="340"/>
      <c r="AB470" s="340"/>
      <c r="AC470" s="340"/>
    </row>
    <row r="471" spans="1:29">
      <c r="A471" s="340"/>
      <c r="B471" s="340"/>
      <c r="C471" s="340"/>
      <c r="D471" s="340"/>
      <c r="E471" s="340"/>
      <c r="F471" s="340"/>
      <c r="G471" s="340"/>
      <c r="H471" s="340"/>
      <c r="I471" s="340"/>
      <c r="J471" s="340"/>
      <c r="K471" s="340"/>
      <c r="L471" s="340"/>
      <c r="M471" s="340"/>
      <c r="N471" s="340"/>
      <c r="O471" s="340"/>
      <c r="P471" s="340"/>
      <c r="Q471" s="340"/>
      <c r="R471" s="340"/>
      <c r="S471" s="340"/>
      <c r="T471" s="340"/>
      <c r="U471" s="340"/>
      <c r="V471" s="340"/>
      <c r="W471" s="340"/>
      <c r="X471" s="340"/>
      <c r="Y471" s="340"/>
      <c r="Z471" s="340"/>
      <c r="AA471" s="340"/>
      <c r="AB471" s="340"/>
      <c r="AC471" s="340"/>
    </row>
    <row r="472" spans="1:29">
      <c r="A472" s="340"/>
      <c r="B472" s="340"/>
      <c r="C472" s="340"/>
      <c r="D472" s="340"/>
      <c r="E472" s="340"/>
      <c r="F472" s="340"/>
      <c r="G472" s="340"/>
      <c r="H472" s="340"/>
      <c r="I472" s="340"/>
      <c r="J472" s="340"/>
      <c r="K472" s="340"/>
      <c r="L472" s="340"/>
      <c r="M472" s="340"/>
      <c r="N472" s="340"/>
      <c r="O472" s="340"/>
      <c r="P472" s="340"/>
      <c r="Q472" s="340"/>
      <c r="R472" s="340"/>
      <c r="S472" s="340"/>
      <c r="T472" s="340"/>
      <c r="U472" s="340"/>
      <c r="V472" s="340"/>
      <c r="W472" s="340"/>
      <c r="X472" s="340"/>
      <c r="Y472" s="340"/>
      <c r="Z472" s="340"/>
      <c r="AA472" s="340"/>
      <c r="AB472" s="340"/>
      <c r="AC472" s="340"/>
    </row>
    <row r="473" spans="1:29">
      <c r="A473" s="340"/>
      <c r="B473" s="340"/>
      <c r="C473" s="340"/>
      <c r="D473" s="340"/>
      <c r="E473" s="340"/>
      <c r="F473" s="340"/>
      <c r="G473" s="340"/>
      <c r="H473" s="340"/>
      <c r="I473" s="340"/>
      <c r="J473" s="340"/>
      <c r="K473" s="340"/>
      <c r="L473" s="340"/>
      <c r="M473" s="340"/>
      <c r="N473" s="340"/>
      <c r="O473" s="340"/>
      <c r="P473" s="340"/>
      <c r="Q473" s="340"/>
      <c r="R473" s="340"/>
      <c r="S473" s="340"/>
      <c r="T473" s="340"/>
      <c r="U473" s="340"/>
      <c r="V473" s="340"/>
      <c r="W473" s="340"/>
      <c r="X473" s="340"/>
      <c r="Y473" s="340"/>
      <c r="Z473" s="340"/>
      <c r="AA473" s="340"/>
      <c r="AB473" s="340"/>
      <c r="AC473" s="340"/>
    </row>
    <row r="474" spans="1:29">
      <c r="A474" s="340"/>
      <c r="B474" s="340"/>
      <c r="C474" s="340"/>
      <c r="D474" s="340"/>
      <c r="E474" s="340"/>
      <c r="F474" s="340"/>
      <c r="G474" s="340"/>
      <c r="H474" s="340"/>
      <c r="I474" s="340"/>
      <c r="J474" s="340"/>
      <c r="K474" s="340"/>
      <c r="L474" s="340"/>
      <c r="M474" s="340"/>
      <c r="N474" s="340"/>
      <c r="O474" s="340"/>
      <c r="P474" s="340"/>
      <c r="Q474" s="340"/>
      <c r="R474" s="340"/>
      <c r="S474" s="340"/>
      <c r="T474" s="340"/>
      <c r="U474" s="340"/>
      <c r="V474" s="340"/>
      <c r="W474" s="340"/>
      <c r="X474" s="340"/>
      <c r="Y474" s="340"/>
      <c r="Z474" s="340"/>
      <c r="AA474" s="340"/>
      <c r="AB474" s="340"/>
      <c r="AC474" s="340"/>
    </row>
    <row r="475" spans="1:29">
      <c r="A475" s="340"/>
      <c r="B475" s="340"/>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c r="AA475" s="340"/>
      <c r="AB475" s="340"/>
      <c r="AC475" s="340"/>
    </row>
    <row r="476" spans="1:29">
      <c r="A476" s="340"/>
      <c r="B476" s="340"/>
      <c r="C476" s="340"/>
      <c r="D476" s="340"/>
      <c r="E476" s="340"/>
      <c r="F476" s="340"/>
      <c r="G476" s="340"/>
      <c r="H476" s="340"/>
      <c r="I476" s="340"/>
      <c r="J476" s="340"/>
      <c r="K476" s="340"/>
      <c r="L476" s="340"/>
      <c r="M476" s="340"/>
      <c r="N476" s="340"/>
      <c r="O476" s="340"/>
      <c r="P476" s="340"/>
      <c r="Q476" s="340"/>
      <c r="R476" s="340"/>
      <c r="S476" s="340"/>
      <c r="T476" s="340"/>
      <c r="U476" s="340"/>
      <c r="V476" s="340"/>
      <c r="W476" s="340"/>
      <c r="X476" s="340"/>
      <c r="Y476" s="340"/>
      <c r="Z476" s="340"/>
      <c r="AA476" s="340"/>
      <c r="AB476" s="340"/>
      <c r="AC476" s="340"/>
    </row>
    <row r="477" spans="1:29">
      <c r="A477" s="340"/>
      <c r="B477" s="340"/>
      <c r="C477" s="340"/>
      <c r="D477" s="340"/>
      <c r="E477" s="340"/>
      <c r="F477" s="340"/>
      <c r="G477" s="340"/>
      <c r="H477" s="340"/>
      <c r="I477" s="340"/>
      <c r="J477" s="340"/>
      <c r="K477" s="340"/>
      <c r="L477" s="340"/>
      <c r="M477" s="340"/>
      <c r="N477" s="340"/>
      <c r="O477" s="340"/>
      <c r="P477" s="340"/>
      <c r="Q477" s="340"/>
      <c r="R477" s="340"/>
      <c r="S477" s="340"/>
      <c r="T477" s="340"/>
      <c r="U477" s="340"/>
      <c r="V477" s="340"/>
      <c r="W477" s="340"/>
      <c r="X477" s="340"/>
      <c r="Y477" s="340"/>
      <c r="Z477" s="340"/>
      <c r="AA477" s="340"/>
      <c r="AB477" s="340"/>
      <c r="AC477" s="340"/>
    </row>
    <row r="478" spans="1:29">
      <c r="A478" s="340"/>
      <c r="B478" s="340"/>
      <c r="C478" s="340"/>
      <c r="D478" s="340"/>
      <c r="E478" s="340"/>
      <c r="F478" s="340"/>
      <c r="G478" s="340"/>
      <c r="H478" s="340"/>
      <c r="I478" s="340"/>
      <c r="J478" s="340"/>
      <c r="K478" s="340"/>
      <c r="L478" s="340"/>
      <c r="M478" s="340"/>
      <c r="N478" s="340"/>
      <c r="O478" s="340"/>
      <c r="P478" s="340"/>
      <c r="Q478" s="340"/>
      <c r="R478" s="340"/>
      <c r="S478" s="340"/>
      <c r="T478" s="340"/>
      <c r="U478" s="340"/>
      <c r="V478" s="340"/>
      <c r="W478" s="340"/>
      <c r="X478" s="340"/>
      <c r="Y478" s="340"/>
      <c r="Z478" s="340"/>
      <c r="AA478" s="340"/>
      <c r="AB478" s="340"/>
      <c r="AC478" s="340"/>
    </row>
    <row r="479" spans="1:29">
      <c r="A479" s="340"/>
      <c r="B479" s="340"/>
      <c r="C479" s="340"/>
      <c r="D479" s="340"/>
      <c r="E479" s="340"/>
      <c r="F479" s="340"/>
      <c r="G479" s="340"/>
      <c r="H479" s="340"/>
      <c r="I479" s="340"/>
      <c r="J479" s="340"/>
      <c r="K479" s="340"/>
      <c r="L479" s="340"/>
      <c r="M479" s="340"/>
      <c r="N479" s="340"/>
      <c r="O479" s="340"/>
      <c r="P479" s="340"/>
      <c r="Q479" s="340"/>
      <c r="R479" s="340"/>
      <c r="S479" s="340"/>
      <c r="T479" s="340"/>
      <c r="U479" s="340"/>
      <c r="V479" s="340"/>
      <c r="W479" s="340"/>
      <c r="X479" s="340"/>
      <c r="Y479" s="340"/>
      <c r="Z479" s="340"/>
      <c r="AA479" s="340"/>
      <c r="AB479" s="340"/>
      <c r="AC479" s="340"/>
    </row>
    <row r="480" spans="1:29">
      <c r="A480" s="340"/>
      <c r="B480" s="340"/>
      <c r="C480" s="340"/>
      <c r="D480" s="340"/>
      <c r="E480" s="340"/>
      <c r="F480" s="340"/>
      <c r="G480" s="340"/>
      <c r="H480" s="340"/>
      <c r="I480" s="340"/>
      <c r="J480" s="340"/>
      <c r="K480" s="340"/>
      <c r="L480" s="340"/>
      <c r="M480" s="340"/>
      <c r="N480" s="340"/>
      <c r="O480" s="340"/>
      <c r="P480" s="340"/>
      <c r="Q480" s="340"/>
      <c r="R480" s="340"/>
      <c r="S480" s="340"/>
      <c r="T480" s="340"/>
      <c r="U480" s="340"/>
      <c r="V480" s="340"/>
      <c r="W480" s="340"/>
      <c r="X480" s="340"/>
      <c r="Y480" s="340"/>
      <c r="Z480" s="340"/>
      <c r="AA480" s="340"/>
      <c r="AB480" s="340"/>
      <c r="AC480" s="340"/>
    </row>
    <row r="481" spans="1:29">
      <c r="A481" s="340"/>
      <c r="B481" s="340"/>
      <c r="C481" s="340"/>
      <c r="D481" s="340"/>
      <c r="E481" s="340"/>
      <c r="F481" s="340"/>
      <c r="G481" s="340"/>
      <c r="H481" s="340"/>
      <c r="I481" s="340"/>
      <c r="J481" s="340"/>
      <c r="K481" s="340"/>
      <c r="L481" s="340"/>
      <c r="M481" s="340"/>
      <c r="N481" s="340"/>
      <c r="O481" s="340"/>
      <c r="P481" s="340"/>
      <c r="Q481" s="340"/>
      <c r="R481" s="340"/>
      <c r="S481" s="340"/>
      <c r="T481" s="340"/>
      <c r="U481" s="340"/>
      <c r="V481" s="340"/>
      <c r="W481" s="340"/>
      <c r="X481" s="340"/>
      <c r="Y481" s="340"/>
      <c r="Z481" s="340"/>
      <c r="AA481" s="340"/>
      <c r="AB481" s="340"/>
      <c r="AC481" s="340"/>
    </row>
    <row r="482" spans="1:29">
      <c r="A482" s="340"/>
      <c r="B482" s="340"/>
      <c r="C482" s="340"/>
      <c r="D482" s="340"/>
      <c r="E482" s="340"/>
      <c r="F482" s="340"/>
      <c r="G482" s="340"/>
      <c r="H482" s="340"/>
      <c r="I482" s="340"/>
      <c r="J482" s="340"/>
      <c r="K482" s="340"/>
      <c r="L482" s="340"/>
      <c r="M482" s="340"/>
      <c r="N482" s="340"/>
      <c r="O482" s="340"/>
      <c r="P482" s="340"/>
      <c r="Q482" s="340"/>
      <c r="R482" s="340"/>
      <c r="S482" s="340"/>
      <c r="T482" s="340"/>
      <c r="U482" s="340"/>
      <c r="V482" s="340"/>
      <c r="W482" s="340"/>
      <c r="X482" s="340"/>
      <c r="Y482" s="340"/>
      <c r="Z482" s="340"/>
      <c r="AA482" s="340"/>
      <c r="AB482" s="340"/>
      <c r="AC482" s="340"/>
    </row>
    <row r="483" spans="1:29">
      <c r="A483" s="340"/>
      <c r="B483" s="340"/>
      <c r="C483" s="340"/>
      <c r="D483" s="340"/>
      <c r="E483" s="340"/>
      <c r="F483" s="340"/>
      <c r="G483" s="340"/>
      <c r="H483" s="340"/>
      <c r="I483" s="340"/>
      <c r="J483" s="340"/>
      <c r="K483" s="340"/>
      <c r="L483" s="340"/>
      <c r="M483" s="340"/>
      <c r="N483" s="340"/>
      <c r="O483" s="340"/>
      <c r="P483" s="340"/>
      <c r="Q483" s="340"/>
      <c r="R483" s="340"/>
      <c r="S483" s="340"/>
      <c r="T483" s="340"/>
      <c r="U483" s="340"/>
      <c r="V483" s="340"/>
      <c r="W483" s="340"/>
      <c r="X483" s="340"/>
      <c r="Y483" s="340"/>
      <c r="Z483" s="340"/>
      <c r="AA483" s="340"/>
      <c r="AB483" s="340"/>
      <c r="AC483" s="340"/>
    </row>
    <row r="484" spans="1:29">
      <c r="A484" s="340"/>
      <c r="B484" s="340"/>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c r="AA484" s="340"/>
      <c r="AB484" s="340"/>
      <c r="AC484" s="340"/>
    </row>
    <row r="485" spans="1:29">
      <c r="A485" s="340"/>
      <c r="B485" s="340"/>
      <c r="C485" s="340"/>
      <c r="D485" s="340"/>
      <c r="E485" s="340"/>
      <c r="F485" s="340"/>
      <c r="G485" s="340"/>
      <c r="H485" s="340"/>
      <c r="I485" s="340"/>
      <c r="J485" s="340"/>
      <c r="K485" s="340"/>
      <c r="L485" s="340"/>
      <c r="M485" s="340"/>
      <c r="N485" s="340"/>
      <c r="O485" s="340"/>
      <c r="P485" s="340"/>
      <c r="Q485" s="340"/>
      <c r="R485" s="340"/>
      <c r="S485" s="340"/>
      <c r="T485" s="340"/>
      <c r="U485" s="340"/>
      <c r="V485" s="340"/>
      <c r="W485" s="340"/>
      <c r="X485" s="340"/>
      <c r="Y485" s="340"/>
      <c r="Z485" s="340"/>
      <c r="AA485" s="340"/>
      <c r="AB485" s="340"/>
      <c r="AC485" s="340"/>
    </row>
    <row r="486" spans="1:29">
      <c r="A486" s="340"/>
      <c r="B486" s="340"/>
      <c r="C486" s="340"/>
      <c r="D486" s="340"/>
      <c r="E486" s="340"/>
      <c r="F486" s="340"/>
      <c r="G486" s="340"/>
      <c r="H486" s="340"/>
      <c r="I486" s="340"/>
      <c r="J486" s="340"/>
      <c r="K486" s="340"/>
      <c r="L486" s="340"/>
      <c r="M486" s="340"/>
      <c r="N486" s="340"/>
      <c r="O486" s="340"/>
      <c r="P486" s="340"/>
      <c r="Q486" s="340"/>
      <c r="R486" s="340"/>
      <c r="S486" s="340"/>
      <c r="T486" s="340"/>
      <c r="U486" s="340"/>
      <c r="V486" s="340"/>
      <c r="W486" s="340"/>
      <c r="X486" s="340"/>
      <c r="Y486" s="340"/>
      <c r="Z486" s="340"/>
      <c r="AA486" s="340"/>
      <c r="AB486" s="340"/>
      <c r="AC486" s="340"/>
    </row>
    <row r="487" spans="1:29">
      <c r="A487" s="340"/>
      <c r="B487" s="340"/>
      <c r="C487" s="340"/>
      <c r="D487" s="340"/>
      <c r="E487" s="340"/>
      <c r="F487" s="340"/>
      <c r="G487" s="340"/>
      <c r="H487" s="340"/>
      <c r="I487" s="340"/>
      <c r="J487" s="340"/>
      <c r="K487" s="340"/>
      <c r="L487" s="340"/>
      <c r="M487" s="340"/>
      <c r="N487" s="340"/>
      <c r="O487" s="340"/>
      <c r="P487" s="340"/>
      <c r="Q487" s="340"/>
      <c r="R487" s="340"/>
      <c r="S487" s="340"/>
      <c r="T487" s="340"/>
      <c r="U487" s="340"/>
      <c r="V487" s="340"/>
      <c r="W487" s="340"/>
      <c r="X487" s="340"/>
      <c r="Y487" s="340"/>
      <c r="Z487" s="340"/>
      <c r="AA487" s="340"/>
      <c r="AB487" s="340"/>
      <c r="AC487" s="340"/>
    </row>
    <row r="488" spans="1:29">
      <c r="A488" s="340"/>
      <c r="B488" s="340"/>
      <c r="C488" s="340"/>
      <c r="D488" s="340"/>
      <c r="E488" s="340"/>
      <c r="F488" s="340"/>
      <c r="G488" s="340"/>
      <c r="H488" s="340"/>
      <c r="I488" s="340"/>
      <c r="J488" s="340"/>
      <c r="K488" s="340"/>
      <c r="L488" s="340"/>
      <c r="M488" s="340"/>
      <c r="N488" s="340"/>
      <c r="O488" s="340"/>
      <c r="P488" s="340"/>
      <c r="Q488" s="340"/>
      <c r="R488" s="340"/>
      <c r="S488" s="340"/>
      <c r="T488" s="340"/>
      <c r="U488" s="340"/>
      <c r="V488" s="340"/>
      <c r="W488" s="340"/>
      <c r="X488" s="340"/>
      <c r="Y488" s="340"/>
      <c r="Z488" s="340"/>
      <c r="AA488" s="340"/>
      <c r="AB488" s="340"/>
      <c r="AC488" s="340"/>
    </row>
    <row r="489" spans="1:29">
      <c r="A489" s="340"/>
      <c r="B489" s="340"/>
      <c r="C489" s="340"/>
      <c r="D489" s="340"/>
      <c r="E489" s="340"/>
      <c r="F489" s="340"/>
      <c r="G489" s="340"/>
      <c r="H489" s="340"/>
      <c r="I489" s="340"/>
      <c r="J489" s="340"/>
      <c r="K489" s="340"/>
      <c r="L489" s="340"/>
      <c r="M489" s="340"/>
      <c r="N489" s="340"/>
      <c r="O489" s="340"/>
      <c r="P489" s="340"/>
      <c r="Q489" s="340"/>
      <c r="R489" s="340"/>
      <c r="S489" s="340"/>
      <c r="T489" s="340"/>
      <c r="U489" s="340"/>
      <c r="V489" s="340"/>
      <c r="W489" s="340"/>
      <c r="X489" s="340"/>
      <c r="Y489" s="340"/>
      <c r="Z489" s="340"/>
      <c r="AA489" s="340"/>
      <c r="AB489" s="340"/>
      <c r="AC489" s="340"/>
    </row>
    <row r="490" spans="1:29">
      <c r="A490" s="340"/>
      <c r="B490" s="340"/>
      <c r="C490" s="340"/>
      <c r="D490" s="340"/>
      <c r="E490" s="340"/>
      <c r="F490" s="340"/>
      <c r="G490" s="340"/>
      <c r="H490" s="340"/>
      <c r="I490" s="340"/>
      <c r="J490" s="340"/>
      <c r="K490" s="340"/>
      <c r="L490" s="340"/>
      <c r="M490" s="340"/>
      <c r="N490" s="340"/>
      <c r="O490" s="340"/>
      <c r="P490" s="340"/>
      <c r="Q490" s="340"/>
      <c r="R490" s="340"/>
      <c r="S490" s="340"/>
      <c r="T490" s="340"/>
      <c r="U490" s="340"/>
      <c r="V490" s="340"/>
      <c r="W490" s="340"/>
      <c r="X490" s="340"/>
      <c r="Y490" s="340"/>
      <c r="Z490" s="340"/>
      <c r="AA490" s="340"/>
      <c r="AB490" s="340"/>
      <c r="AC490" s="340"/>
    </row>
    <row r="491" spans="1:29">
      <c r="A491" s="340"/>
      <c r="B491" s="340"/>
      <c r="C491" s="340"/>
      <c r="D491" s="340"/>
      <c r="E491" s="340"/>
      <c r="F491" s="340"/>
      <c r="G491" s="340"/>
      <c r="H491" s="340"/>
      <c r="I491" s="340"/>
      <c r="J491" s="340"/>
      <c r="K491" s="340"/>
      <c r="L491" s="340"/>
      <c r="M491" s="340"/>
      <c r="N491" s="340"/>
      <c r="O491" s="340"/>
      <c r="P491" s="340"/>
      <c r="Q491" s="340"/>
      <c r="R491" s="340"/>
      <c r="S491" s="340"/>
      <c r="T491" s="340"/>
      <c r="U491" s="340"/>
      <c r="V491" s="340"/>
      <c r="W491" s="340"/>
      <c r="X491" s="340"/>
      <c r="Y491" s="340"/>
      <c r="Z491" s="340"/>
      <c r="AA491" s="340"/>
      <c r="AB491" s="340"/>
      <c r="AC491" s="340"/>
    </row>
    <row r="492" spans="1:29">
      <c r="A492" s="340"/>
      <c r="B492" s="340"/>
      <c r="C492" s="340"/>
      <c r="D492" s="340"/>
      <c r="E492" s="340"/>
      <c r="F492" s="340"/>
      <c r="G492" s="340"/>
      <c r="H492" s="340"/>
      <c r="I492" s="340"/>
      <c r="J492" s="340"/>
      <c r="K492" s="340"/>
      <c r="L492" s="340"/>
      <c r="M492" s="340"/>
      <c r="N492" s="340"/>
      <c r="O492" s="340"/>
      <c r="P492" s="340"/>
      <c r="Q492" s="340"/>
      <c r="R492" s="340"/>
      <c r="S492" s="340"/>
      <c r="T492" s="340"/>
      <c r="U492" s="340"/>
      <c r="V492" s="340"/>
      <c r="W492" s="340"/>
      <c r="X492" s="340"/>
      <c r="Y492" s="340"/>
      <c r="Z492" s="340"/>
      <c r="AA492" s="340"/>
      <c r="AB492" s="340"/>
      <c r="AC492" s="340"/>
    </row>
    <row r="493" spans="1:29">
      <c r="A493" s="340"/>
      <c r="B493" s="340"/>
      <c r="C493" s="340"/>
      <c r="D493" s="340"/>
      <c r="E493" s="340"/>
      <c r="F493" s="340"/>
      <c r="G493" s="340"/>
      <c r="H493" s="340"/>
      <c r="I493" s="340"/>
      <c r="J493" s="340"/>
      <c r="K493" s="340"/>
      <c r="L493" s="340"/>
      <c r="M493" s="340"/>
      <c r="N493" s="340"/>
      <c r="O493" s="340"/>
      <c r="P493" s="340"/>
      <c r="Q493" s="340"/>
      <c r="R493" s="340"/>
      <c r="S493" s="340"/>
      <c r="T493" s="340"/>
      <c r="U493" s="340"/>
      <c r="V493" s="340"/>
      <c r="W493" s="340"/>
      <c r="X493" s="340"/>
      <c r="Y493" s="340"/>
      <c r="Z493" s="340"/>
      <c r="AA493" s="340"/>
      <c r="AB493" s="340"/>
      <c r="AC493" s="340"/>
    </row>
    <row r="494" spans="1:29">
      <c r="A494" s="340"/>
      <c r="B494" s="340"/>
      <c r="C494" s="340"/>
      <c r="D494" s="340"/>
      <c r="E494" s="340"/>
      <c r="F494" s="340"/>
      <c r="G494" s="340"/>
      <c r="H494" s="340"/>
      <c r="I494" s="340"/>
      <c r="J494" s="340"/>
      <c r="K494" s="340"/>
      <c r="L494" s="340"/>
      <c r="M494" s="340"/>
      <c r="N494" s="340"/>
      <c r="O494" s="340"/>
      <c r="P494" s="340"/>
      <c r="Q494" s="340"/>
      <c r="R494" s="340"/>
      <c r="S494" s="340"/>
      <c r="T494" s="340"/>
      <c r="U494" s="340"/>
      <c r="V494" s="340"/>
      <c r="W494" s="340"/>
      <c r="X494" s="340"/>
      <c r="Y494" s="340"/>
      <c r="Z494" s="340"/>
      <c r="AA494" s="340"/>
      <c r="AB494" s="340"/>
      <c r="AC494" s="340"/>
    </row>
    <row r="495" spans="1:29">
      <c r="A495" s="340"/>
      <c r="B495" s="340"/>
      <c r="C495" s="340"/>
      <c r="D495" s="340"/>
      <c r="E495" s="340"/>
      <c r="F495" s="340"/>
      <c r="G495" s="340"/>
      <c r="H495" s="340"/>
      <c r="I495" s="340"/>
      <c r="J495" s="340"/>
      <c r="K495" s="340"/>
      <c r="L495" s="340"/>
      <c r="M495" s="340"/>
      <c r="N495" s="340"/>
      <c r="O495" s="340"/>
      <c r="P495" s="340"/>
      <c r="Q495" s="340"/>
      <c r="R495" s="340"/>
      <c r="S495" s="340"/>
      <c r="T495" s="340"/>
      <c r="U495" s="340"/>
      <c r="V495" s="340"/>
      <c r="W495" s="340"/>
      <c r="X495" s="340"/>
      <c r="Y495" s="340"/>
      <c r="Z495" s="340"/>
      <c r="AA495" s="340"/>
      <c r="AB495" s="340"/>
      <c r="AC495" s="340"/>
    </row>
    <row r="496" spans="1:29">
      <c r="A496" s="340"/>
      <c r="B496" s="340"/>
      <c r="C496" s="340"/>
      <c r="D496" s="340"/>
      <c r="E496" s="340"/>
      <c r="F496" s="340"/>
      <c r="G496" s="340"/>
      <c r="H496" s="340"/>
      <c r="I496" s="340"/>
      <c r="J496" s="340"/>
      <c r="K496" s="340"/>
      <c r="L496" s="340"/>
      <c r="M496" s="340"/>
      <c r="N496" s="340"/>
      <c r="O496" s="340"/>
      <c r="P496" s="340"/>
      <c r="Q496" s="340"/>
      <c r="R496" s="340"/>
      <c r="S496" s="340"/>
      <c r="T496" s="340"/>
      <c r="U496" s="340"/>
      <c r="V496" s="340"/>
      <c r="W496" s="340"/>
      <c r="X496" s="340"/>
      <c r="Y496" s="340"/>
      <c r="Z496" s="340"/>
      <c r="AA496" s="340"/>
      <c r="AB496" s="340"/>
      <c r="AC496" s="340"/>
    </row>
    <row r="497" spans="1:29">
      <c r="A497" s="340"/>
      <c r="B497" s="340"/>
      <c r="C497" s="340"/>
      <c r="D497" s="340"/>
      <c r="E497" s="340"/>
      <c r="F497" s="340"/>
      <c r="G497" s="340"/>
      <c r="H497" s="340"/>
      <c r="I497" s="340"/>
      <c r="J497" s="340"/>
      <c r="K497" s="340"/>
      <c r="L497" s="340"/>
      <c r="M497" s="340"/>
      <c r="N497" s="340"/>
      <c r="O497" s="340"/>
      <c r="P497" s="340"/>
      <c r="Q497" s="340"/>
      <c r="R497" s="340"/>
      <c r="S497" s="340"/>
      <c r="T497" s="340"/>
      <c r="U497" s="340"/>
      <c r="V497" s="340"/>
      <c r="W497" s="340"/>
      <c r="X497" s="340"/>
      <c r="Y497" s="340"/>
      <c r="Z497" s="340"/>
      <c r="AA497" s="340"/>
      <c r="AB497" s="340"/>
      <c r="AC497" s="340"/>
    </row>
    <row r="498" spans="1:29">
      <c r="A498" s="340"/>
      <c r="B498" s="340"/>
      <c r="C498" s="340"/>
      <c r="D498" s="340"/>
      <c r="E498" s="340"/>
      <c r="F498" s="340"/>
      <c r="G498" s="340"/>
      <c r="H498" s="340"/>
      <c r="I498" s="340"/>
      <c r="J498" s="340"/>
      <c r="K498" s="340"/>
      <c r="L498" s="340"/>
      <c r="M498" s="340"/>
      <c r="N498" s="340"/>
      <c r="O498" s="340"/>
      <c r="P498" s="340"/>
      <c r="Q498" s="340"/>
      <c r="R498" s="340"/>
      <c r="S498" s="340"/>
      <c r="T498" s="340"/>
      <c r="U498" s="340"/>
      <c r="V498" s="340"/>
      <c r="W498" s="340"/>
      <c r="X498" s="340"/>
      <c r="Y498" s="340"/>
      <c r="Z498" s="340"/>
      <c r="AA498" s="340"/>
      <c r="AB498" s="340"/>
      <c r="AC498" s="340"/>
    </row>
    <row r="499" spans="1:29">
      <c r="A499" s="340"/>
      <c r="B499" s="340"/>
      <c r="C499" s="340"/>
      <c r="D499" s="340"/>
      <c r="E499" s="340"/>
      <c r="F499" s="340"/>
      <c r="G499" s="340"/>
      <c r="H499" s="340"/>
      <c r="I499" s="340"/>
      <c r="J499" s="340"/>
      <c r="K499" s="340"/>
      <c r="L499" s="340"/>
      <c r="M499" s="340"/>
      <c r="N499" s="340"/>
      <c r="O499" s="340"/>
      <c r="P499" s="340"/>
      <c r="Q499" s="340"/>
      <c r="R499" s="340"/>
      <c r="S499" s="340"/>
      <c r="T499" s="340"/>
      <c r="U499" s="340"/>
      <c r="V499" s="340"/>
      <c r="W499" s="340"/>
      <c r="X499" s="340"/>
      <c r="Y499" s="340"/>
      <c r="Z499" s="340"/>
      <c r="AA499" s="340"/>
      <c r="AB499" s="340"/>
      <c r="AC499" s="340"/>
    </row>
    <row r="500" spans="1:29">
      <c r="A500" s="340"/>
      <c r="B500" s="340"/>
      <c r="C500" s="340"/>
      <c r="D500" s="340"/>
      <c r="E500" s="340"/>
      <c r="F500" s="340"/>
      <c r="G500" s="340"/>
      <c r="H500" s="340"/>
      <c r="I500" s="340"/>
      <c r="J500" s="340"/>
      <c r="K500" s="340"/>
      <c r="L500" s="340"/>
      <c r="M500" s="340"/>
      <c r="N500" s="340"/>
      <c r="O500" s="340"/>
      <c r="P500" s="340"/>
      <c r="Q500" s="340"/>
      <c r="R500" s="340"/>
      <c r="S500" s="340"/>
      <c r="T500" s="340"/>
      <c r="U500" s="340"/>
      <c r="V500" s="340"/>
      <c r="W500" s="340"/>
      <c r="X500" s="340"/>
      <c r="Y500" s="340"/>
      <c r="Z500" s="340"/>
      <c r="AA500" s="340"/>
      <c r="AB500" s="340"/>
      <c r="AC500" s="340"/>
    </row>
    <row r="501" spans="1:29">
      <c r="A501" s="340"/>
      <c r="B501" s="340"/>
      <c r="C501" s="340"/>
      <c r="D501" s="340"/>
      <c r="E501" s="340"/>
      <c r="F501" s="340"/>
      <c r="G501" s="340"/>
      <c r="H501" s="340"/>
      <c r="I501" s="340"/>
      <c r="J501" s="340"/>
      <c r="K501" s="340"/>
      <c r="L501" s="340"/>
      <c r="M501" s="340"/>
      <c r="N501" s="340"/>
      <c r="O501" s="340"/>
      <c r="P501" s="340"/>
      <c r="Q501" s="340"/>
      <c r="R501" s="340"/>
      <c r="S501" s="340"/>
      <c r="T501" s="340"/>
      <c r="U501" s="340"/>
      <c r="V501" s="340"/>
      <c r="W501" s="340"/>
      <c r="X501" s="340"/>
      <c r="Y501" s="340"/>
      <c r="Z501" s="340"/>
      <c r="AA501" s="340"/>
      <c r="AB501" s="340"/>
      <c r="AC501" s="340"/>
    </row>
    <row r="502" spans="1:29">
      <c r="A502" s="340"/>
      <c r="B502" s="340"/>
      <c r="C502" s="340"/>
      <c r="D502" s="340"/>
      <c r="E502" s="340"/>
      <c r="F502" s="340"/>
      <c r="G502" s="340"/>
      <c r="H502" s="340"/>
      <c r="I502" s="340"/>
      <c r="J502" s="340"/>
      <c r="K502" s="340"/>
      <c r="L502" s="340"/>
      <c r="M502" s="340"/>
      <c r="N502" s="340"/>
      <c r="O502" s="340"/>
      <c r="P502" s="340"/>
      <c r="Q502" s="340"/>
      <c r="R502" s="340"/>
      <c r="S502" s="340"/>
      <c r="T502" s="340"/>
      <c r="U502" s="340"/>
      <c r="V502" s="340"/>
      <c r="W502" s="340"/>
      <c r="X502" s="340"/>
      <c r="Y502" s="340"/>
      <c r="Z502" s="340"/>
      <c r="AA502" s="340"/>
      <c r="AB502" s="340"/>
      <c r="AC502" s="340"/>
    </row>
    <row r="503" spans="1:29">
      <c r="A503" s="340"/>
      <c r="B503" s="340"/>
      <c r="C503" s="340"/>
      <c r="D503" s="340"/>
      <c r="E503" s="340"/>
      <c r="F503" s="340"/>
      <c r="G503" s="340"/>
      <c r="H503" s="340"/>
      <c r="I503" s="340"/>
      <c r="J503" s="340"/>
      <c r="K503" s="340"/>
      <c r="L503" s="340"/>
      <c r="M503" s="340"/>
      <c r="N503" s="340"/>
      <c r="O503" s="340"/>
      <c r="P503" s="340"/>
      <c r="Q503" s="340"/>
      <c r="R503" s="340"/>
      <c r="S503" s="340"/>
      <c r="T503" s="340"/>
      <c r="U503" s="340"/>
      <c r="V503" s="340"/>
      <c r="W503" s="340"/>
      <c r="X503" s="340"/>
      <c r="Y503" s="340"/>
      <c r="Z503" s="340"/>
      <c r="AA503" s="340"/>
      <c r="AB503" s="340"/>
      <c r="AC503" s="340"/>
    </row>
    <row r="504" spans="1:29">
      <c r="A504" s="340"/>
      <c r="B504" s="340"/>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c r="AA504" s="340"/>
      <c r="AB504" s="340"/>
      <c r="AC504" s="340"/>
    </row>
    <row r="505" spans="1:29">
      <c r="A505" s="340"/>
      <c r="B505" s="340"/>
      <c r="C505" s="340"/>
      <c r="D505" s="340"/>
      <c r="E505" s="340"/>
      <c r="F505" s="340"/>
      <c r="G505" s="340"/>
      <c r="H505" s="340"/>
      <c r="I505" s="340"/>
      <c r="J505" s="340"/>
      <c r="K505" s="340"/>
      <c r="L505" s="340"/>
      <c r="M505" s="340"/>
      <c r="N505" s="340"/>
      <c r="O505" s="340"/>
      <c r="P505" s="340"/>
      <c r="Q505" s="340"/>
      <c r="R505" s="340"/>
      <c r="S505" s="340"/>
      <c r="T505" s="340"/>
      <c r="U505" s="340"/>
      <c r="V505" s="340"/>
      <c r="W505" s="340"/>
      <c r="X505" s="340"/>
      <c r="Y505" s="340"/>
      <c r="Z505" s="340"/>
      <c r="AA505" s="340"/>
      <c r="AB505" s="340"/>
      <c r="AC505" s="340"/>
    </row>
    <row r="506" spans="1:29">
      <c r="A506" s="340"/>
      <c r="B506" s="340"/>
      <c r="C506" s="340"/>
      <c r="D506" s="340"/>
      <c r="E506" s="340"/>
      <c r="F506" s="340"/>
      <c r="G506" s="340"/>
      <c r="H506" s="340"/>
      <c r="I506" s="340"/>
      <c r="J506" s="340"/>
      <c r="K506" s="340"/>
      <c r="L506" s="340"/>
      <c r="M506" s="340"/>
      <c r="N506" s="340"/>
      <c r="O506" s="340"/>
      <c r="P506" s="340"/>
      <c r="Q506" s="340"/>
      <c r="R506" s="340"/>
      <c r="S506" s="340"/>
      <c r="T506" s="340"/>
      <c r="U506" s="340"/>
      <c r="V506" s="340"/>
      <c r="W506" s="340"/>
      <c r="X506" s="340"/>
      <c r="Y506" s="340"/>
      <c r="Z506" s="340"/>
      <c r="AA506" s="340"/>
      <c r="AB506" s="340"/>
      <c r="AC506" s="340"/>
    </row>
    <row r="507" spans="1:29">
      <c r="A507" s="340"/>
      <c r="B507" s="340"/>
      <c r="C507" s="340"/>
      <c r="D507" s="340"/>
      <c r="E507" s="340"/>
      <c r="F507" s="340"/>
      <c r="G507" s="340"/>
      <c r="H507" s="340"/>
      <c r="I507" s="340"/>
      <c r="J507" s="340"/>
      <c r="K507" s="340"/>
      <c r="L507" s="340"/>
      <c r="M507" s="340"/>
      <c r="N507" s="340"/>
      <c r="O507" s="340"/>
      <c r="P507" s="340"/>
      <c r="Q507" s="340"/>
      <c r="R507" s="340"/>
      <c r="S507" s="340"/>
      <c r="T507" s="340"/>
      <c r="U507" s="340"/>
      <c r="V507" s="340"/>
      <c r="W507" s="340"/>
      <c r="X507" s="340"/>
      <c r="Y507" s="340"/>
      <c r="Z507" s="340"/>
      <c r="AA507" s="340"/>
      <c r="AB507" s="340"/>
      <c r="AC507" s="340"/>
    </row>
    <row r="508" spans="1:29">
      <c r="A508" s="340"/>
      <c r="B508" s="340"/>
      <c r="C508" s="340"/>
      <c r="D508" s="340"/>
      <c r="E508" s="340"/>
      <c r="F508" s="340"/>
      <c r="G508" s="340"/>
      <c r="H508" s="340"/>
      <c r="I508" s="340"/>
      <c r="J508" s="340"/>
      <c r="K508" s="340"/>
      <c r="L508" s="340"/>
      <c r="M508" s="340"/>
      <c r="N508" s="340"/>
      <c r="O508" s="340"/>
      <c r="P508" s="340"/>
      <c r="Q508" s="340"/>
      <c r="R508" s="340"/>
      <c r="S508" s="340"/>
      <c r="T508" s="340"/>
      <c r="U508" s="340"/>
      <c r="V508" s="340"/>
      <c r="W508" s="340"/>
      <c r="X508" s="340"/>
      <c r="Y508" s="340"/>
      <c r="Z508" s="340"/>
      <c r="AA508" s="340"/>
      <c r="AB508" s="340"/>
      <c r="AC508" s="340"/>
    </row>
    <row r="509" spans="1:29">
      <c r="A509" s="340"/>
      <c r="B509" s="340"/>
      <c r="C509" s="340"/>
      <c r="D509" s="340"/>
      <c r="E509" s="340"/>
      <c r="F509" s="340"/>
      <c r="G509" s="340"/>
      <c r="H509" s="340"/>
      <c r="I509" s="340"/>
      <c r="J509" s="340"/>
      <c r="K509" s="340"/>
      <c r="L509" s="340"/>
      <c r="M509" s="340"/>
      <c r="N509" s="340"/>
      <c r="O509" s="340"/>
      <c r="P509" s="340"/>
      <c r="Q509" s="340"/>
      <c r="R509" s="340"/>
      <c r="S509" s="340"/>
      <c r="T509" s="340"/>
      <c r="U509" s="340"/>
      <c r="V509" s="340"/>
      <c r="W509" s="340"/>
      <c r="X509" s="340"/>
      <c r="Y509" s="340"/>
      <c r="Z509" s="340"/>
      <c r="AA509" s="340"/>
      <c r="AB509" s="340"/>
      <c r="AC509" s="340"/>
    </row>
    <row r="510" spans="1:29">
      <c r="A510" s="340"/>
      <c r="B510" s="340"/>
      <c r="C510" s="340"/>
      <c r="D510" s="340"/>
      <c r="E510" s="340"/>
      <c r="F510" s="340"/>
      <c r="G510" s="340"/>
      <c r="H510" s="340"/>
      <c r="I510" s="340"/>
      <c r="J510" s="340"/>
      <c r="K510" s="340"/>
      <c r="L510" s="340"/>
      <c r="M510" s="340"/>
      <c r="N510" s="340"/>
      <c r="O510" s="340"/>
      <c r="P510" s="340"/>
      <c r="Q510" s="340"/>
      <c r="R510" s="340"/>
      <c r="S510" s="340"/>
      <c r="T510" s="340"/>
      <c r="U510" s="340"/>
      <c r="V510" s="340"/>
      <c r="W510" s="340"/>
      <c r="X510" s="340"/>
      <c r="Y510" s="340"/>
      <c r="Z510" s="340"/>
      <c r="AA510" s="340"/>
      <c r="AB510" s="340"/>
      <c r="AC510" s="340"/>
    </row>
    <row r="511" spans="1:29">
      <c r="A511" s="340"/>
      <c r="B511" s="340"/>
      <c r="C511" s="340"/>
      <c r="D511" s="340"/>
      <c r="E511" s="340"/>
      <c r="F511" s="340"/>
      <c r="G511" s="340"/>
      <c r="H511" s="340"/>
      <c r="I511" s="340"/>
      <c r="J511" s="340"/>
      <c r="K511" s="340"/>
      <c r="L511" s="340"/>
      <c r="M511" s="340"/>
      <c r="N511" s="340"/>
      <c r="O511" s="340"/>
      <c r="P511" s="340"/>
      <c r="Q511" s="340"/>
      <c r="R511" s="340"/>
      <c r="S511" s="340"/>
      <c r="T511" s="340"/>
      <c r="U511" s="340"/>
      <c r="V511" s="340"/>
      <c r="W511" s="340"/>
      <c r="X511" s="340"/>
      <c r="Y511" s="340"/>
      <c r="Z511" s="340"/>
      <c r="AA511" s="340"/>
      <c r="AB511" s="340"/>
      <c r="AC511" s="340"/>
    </row>
    <row r="512" spans="1:29">
      <c r="A512" s="340"/>
      <c r="B512" s="340"/>
      <c r="C512" s="340"/>
      <c r="D512" s="340"/>
      <c r="E512" s="340"/>
      <c r="F512" s="340"/>
      <c r="G512" s="340"/>
      <c r="H512" s="340"/>
      <c r="I512" s="340"/>
      <c r="J512" s="340"/>
      <c r="K512" s="340"/>
      <c r="L512" s="340"/>
      <c r="M512" s="340"/>
      <c r="N512" s="340"/>
      <c r="O512" s="340"/>
      <c r="P512" s="340"/>
      <c r="Q512" s="340"/>
      <c r="R512" s="340"/>
      <c r="S512" s="340"/>
      <c r="T512" s="340"/>
      <c r="U512" s="340"/>
      <c r="V512" s="340"/>
      <c r="W512" s="340"/>
      <c r="X512" s="340"/>
      <c r="Y512" s="340"/>
      <c r="Z512" s="340"/>
      <c r="AA512" s="340"/>
      <c r="AB512" s="340"/>
      <c r="AC512" s="340"/>
    </row>
    <row r="513" spans="1:29">
      <c r="A513" s="340"/>
      <c r="B513" s="340"/>
      <c r="C513" s="340"/>
      <c r="D513" s="340"/>
      <c r="E513" s="340"/>
      <c r="F513" s="340"/>
      <c r="G513" s="340"/>
      <c r="H513" s="340"/>
      <c r="I513" s="340"/>
      <c r="J513" s="340"/>
      <c r="K513" s="340"/>
      <c r="L513" s="340"/>
      <c r="M513" s="340"/>
      <c r="N513" s="340"/>
      <c r="O513" s="340"/>
      <c r="P513" s="340"/>
      <c r="Q513" s="340"/>
      <c r="R513" s="340"/>
      <c r="S513" s="340"/>
      <c r="T513" s="340"/>
      <c r="U513" s="340"/>
      <c r="V513" s="340"/>
      <c r="W513" s="340"/>
      <c r="X513" s="340"/>
      <c r="Y513" s="340"/>
      <c r="Z513" s="340"/>
      <c r="AA513" s="340"/>
      <c r="AB513" s="340"/>
      <c r="AC513" s="340"/>
    </row>
    <row r="514" spans="1:29">
      <c r="A514" s="340"/>
      <c r="B514" s="340"/>
      <c r="C514" s="340"/>
      <c r="D514" s="340"/>
      <c r="E514" s="340"/>
      <c r="F514" s="340"/>
      <c r="G514" s="340"/>
      <c r="H514" s="340"/>
      <c r="I514" s="340"/>
      <c r="J514" s="340"/>
      <c r="K514" s="340"/>
      <c r="L514" s="340"/>
      <c r="M514" s="340"/>
      <c r="N514" s="340"/>
      <c r="O514" s="340"/>
      <c r="P514" s="340"/>
      <c r="Q514" s="340"/>
      <c r="R514" s="340"/>
      <c r="S514" s="340"/>
      <c r="T514" s="340"/>
      <c r="U514" s="340"/>
      <c r="V514" s="340"/>
      <c r="W514" s="340"/>
      <c r="X514" s="340"/>
      <c r="Y514" s="340"/>
      <c r="Z514" s="340"/>
      <c r="AA514" s="340"/>
      <c r="AB514" s="340"/>
      <c r="AC514" s="340"/>
    </row>
    <row r="515" spans="1:29">
      <c r="A515" s="340"/>
      <c r="B515" s="340"/>
      <c r="C515" s="340"/>
      <c r="D515" s="340"/>
      <c r="E515" s="340"/>
      <c r="F515" s="340"/>
      <c r="G515" s="340"/>
      <c r="H515" s="340"/>
      <c r="I515" s="340"/>
      <c r="J515" s="340"/>
      <c r="K515" s="340"/>
      <c r="L515" s="340"/>
      <c r="M515" s="340"/>
      <c r="N515" s="340"/>
      <c r="O515" s="340"/>
      <c r="P515" s="340"/>
      <c r="Q515" s="340"/>
      <c r="R515" s="340"/>
      <c r="S515" s="340"/>
      <c r="T515" s="340"/>
      <c r="U515" s="340"/>
      <c r="V515" s="340"/>
      <c r="W515" s="340"/>
      <c r="X515" s="340"/>
      <c r="Y515" s="340"/>
      <c r="Z515" s="340"/>
      <c r="AA515" s="340"/>
      <c r="AB515" s="340"/>
      <c r="AC515" s="340"/>
    </row>
    <row r="516" spans="1:29">
      <c r="A516" s="340"/>
      <c r="B516" s="340"/>
      <c r="C516" s="340"/>
      <c r="D516" s="340"/>
      <c r="E516" s="340"/>
      <c r="F516" s="340"/>
      <c r="G516" s="340"/>
      <c r="H516" s="340"/>
      <c r="I516" s="340"/>
      <c r="J516" s="340"/>
      <c r="K516" s="340"/>
      <c r="L516" s="340"/>
      <c r="M516" s="340"/>
      <c r="N516" s="340"/>
      <c r="O516" s="340"/>
      <c r="P516" s="340"/>
      <c r="Q516" s="340"/>
      <c r="R516" s="340"/>
      <c r="S516" s="340"/>
      <c r="T516" s="340"/>
      <c r="U516" s="340"/>
      <c r="V516" s="340"/>
      <c r="W516" s="340"/>
      <c r="X516" s="340"/>
      <c r="Y516" s="340"/>
      <c r="Z516" s="340"/>
      <c r="AA516" s="340"/>
      <c r="AB516" s="340"/>
      <c r="AC516" s="340"/>
    </row>
    <row r="517" spans="1:29">
      <c r="A517" s="340"/>
      <c r="B517" s="340"/>
      <c r="C517" s="340"/>
      <c r="D517" s="340"/>
      <c r="E517" s="340"/>
      <c r="F517" s="340"/>
      <c r="G517" s="340"/>
      <c r="H517" s="340"/>
      <c r="I517" s="340"/>
      <c r="J517" s="340"/>
      <c r="K517" s="340"/>
      <c r="L517" s="340"/>
      <c r="M517" s="340"/>
      <c r="N517" s="340"/>
      <c r="O517" s="340"/>
      <c r="P517" s="340"/>
      <c r="Q517" s="340"/>
      <c r="R517" s="340"/>
      <c r="S517" s="340"/>
      <c r="T517" s="340"/>
      <c r="U517" s="340"/>
      <c r="V517" s="340"/>
      <c r="W517" s="340"/>
      <c r="X517" s="340"/>
      <c r="Y517" s="340"/>
      <c r="Z517" s="340"/>
      <c r="AA517" s="340"/>
      <c r="AB517" s="340"/>
      <c r="AC517" s="340"/>
    </row>
    <row r="518" spans="1:29">
      <c r="A518" s="340"/>
      <c r="B518" s="340"/>
      <c r="C518" s="340"/>
      <c r="D518" s="340"/>
      <c r="E518" s="340"/>
      <c r="F518" s="340"/>
      <c r="G518" s="340"/>
      <c r="H518" s="340"/>
      <c r="I518" s="340"/>
      <c r="J518" s="340"/>
      <c r="K518" s="340"/>
      <c r="L518" s="340"/>
      <c r="M518" s="340"/>
      <c r="N518" s="340"/>
      <c r="O518" s="340"/>
      <c r="P518" s="340"/>
      <c r="Q518" s="340"/>
      <c r="R518" s="340"/>
      <c r="S518" s="340"/>
      <c r="T518" s="340"/>
      <c r="U518" s="340"/>
      <c r="V518" s="340"/>
      <c r="W518" s="340"/>
      <c r="X518" s="340"/>
      <c r="Y518" s="340"/>
      <c r="Z518" s="340"/>
      <c r="AA518" s="340"/>
      <c r="AB518" s="340"/>
      <c r="AC518" s="340"/>
    </row>
    <row r="519" spans="1:29">
      <c r="A519" s="340"/>
      <c r="B519" s="340"/>
      <c r="C519" s="340"/>
      <c r="D519" s="340"/>
      <c r="E519" s="340"/>
      <c r="F519" s="340"/>
      <c r="G519" s="340"/>
      <c r="H519" s="340"/>
      <c r="I519" s="340"/>
      <c r="J519" s="340"/>
      <c r="K519" s="340"/>
      <c r="L519" s="340"/>
      <c r="M519" s="340"/>
      <c r="N519" s="340"/>
      <c r="O519" s="340"/>
      <c r="P519" s="340"/>
      <c r="Q519" s="340"/>
      <c r="R519" s="340"/>
      <c r="S519" s="340"/>
      <c r="T519" s="340"/>
      <c r="U519" s="340"/>
      <c r="V519" s="340"/>
      <c r="W519" s="340"/>
      <c r="X519" s="340"/>
      <c r="Y519" s="340"/>
      <c r="Z519" s="340"/>
      <c r="AA519" s="340"/>
      <c r="AB519" s="340"/>
      <c r="AC519" s="340"/>
    </row>
    <row r="520" spans="1:29">
      <c r="A520" s="340"/>
      <c r="B520" s="340"/>
      <c r="C520" s="340"/>
      <c r="D520" s="340"/>
      <c r="E520" s="340"/>
      <c r="F520" s="340"/>
      <c r="G520" s="340"/>
      <c r="H520" s="340"/>
      <c r="I520" s="340"/>
      <c r="J520" s="340"/>
      <c r="K520" s="340"/>
      <c r="L520" s="340"/>
      <c r="M520" s="340"/>
      <c r="N520" s="340"/>
      <c r="O520" s="340"/>
      <c r="P520" s="340"/>
      <c r="Q520" s="340"/>
      <c r="R520" s="340"/>
      <c r="S520" s="340"/>
      <c r="T520" s="340"/>
      <c r="U520" s="340"/>
      <c r="V520" s="340"/>
      <c r="W520" s="340"/>
      <c r="X520" s="340"/>
      <c r="Y520" s="340"/>
      <c r="Z520" s="340"/>
      <c r="AA520" s="340"/>
      <c r="AB520" s="340"/>
      <c r="AC520" s="340"/>
    </row>
    <row r="521" spans="1:29">
      <c r="A521" s="340"/>
      <c r="B521" s="340"/>
      <c r="C521" s="340"/>
      <c r="D521" s="340"/>
      <c r="E521" s="340"/>
      <c r="F521" s="340"/>
      <c r="G521" s="340"/>
      <c r="H521" s="340"/>
      <c r="I521" s="340"/>
      <c r="J521" s="340"/>
      <c r="K521" s="340"/>
      <c r="L521" s="340"/>
      <c r="M521" s="340"/>
      <c r="N521" s="340"/>
      <c r="O521" s="340"/>
      <c r="P521" s="340"/>
      <c r="Q521" s="340"/>
      <c r="R521" s="340"/>
      <c r="S521" s="340"/>
      <c r="T521" s="340"/>
      <c r="U521" s="340"/>
      <c r="V521" s="340"/>
      <c r="W521" s="340"/>
      <c r="X521" s="340"/>
      <c r="Y521" s="340"/>
      <c r="Z521" s="340"/>
      <c r="AA521" s="340"/>
      <c r="AB521" s="340"/>
      <c r="AC521" s="340"/>
    </row>
    <row r="522" spans="1:29">
      <c r="A522" s="340"/>
      <c r="B522" s="340"/>
      <c r="C522" s="340"/>
      <c r="D522" s="340"/>
      <c r="E522" s="340"/>
      <c r="F522" s="340"/>
      <c r="G522" s="340"/>
      <c r="H522" s="340"/>
      <c r="I522" s="340"/>
      <c r="J522" s="340"/>
      <c r="K522" s="340"/>
      <c r="L522" s="340"/>
      <c r="M522" s="340"/>
      <c r="N522" s="340"/>
      <c r="O522" s="340"/>
      <c r="P522" s="340"/>
      <c r="Q522" s="340"/>
      <c r="R522" s="340"/>
      <c r="S522" s="340"/>
      <c r="T522" s="340"/>
      <c r="U522" s="340"/>
      <c r="V522" s="340"/>
      <c r="W522" s="340"/>
      <c r="X522" s="340"/>
      <c r="Y522" s="340"/>
      <c r="Z522" s="340"/>
      <c r="AA522" s="340"/>
      <c r="AB522" s="340"/>
      <c r="AC522" s="340"/>
    </row>
    <row r="523" spans="1:29">
      <c r="A523" s="340"/>
      <c r="B523" s="340"/>
      <c r="C523" s="340"/>
      <c r="D523" s="340"/>
      <c r="E523" s="340"/>
      <c r="F523" s="340"/>
      <c r="G523" s="340"/>
      <c r="H523" s="340"/>
      <c r="I523" s="340"/>
      <c r="J523" s="340"/>
      <c r="K523" s="340"/>
      <c r="L523" s="340"/>
      <c r="M523" s="340"/>
      <c r="N523" s="340"/>
      <c r="O523" s="340"/>
      <c r="P523" s="340"/>
      <c r="Q523" s="340"/>
      <c r="R523" s="340"/>
      <c r="S523" s="340"/>
      <c r="T523" s="340"/>
      <c r="U523" s="340"/>
      <c r="V523" s="340"/>
      <c r="W523" s="340"/>
      <c r="X523" s="340"/>
      <c r="Y523" s="340"/>
      <c r="Z523" s="340"/>
      <c r="AA523" s="340"/>
      <c r="AB523" s="340"/>
      <c r="AC523" s="340"/>
    </row>
    <row r="524" spans="1:29">
      <c r="A524" s="340"/>
      <c r="B524" s="340"/>
      <c r="C524" s="340"/>
      <c r="D524" s="340"/>
      <c r="E524" s="340"/>
      <c r="F524" s="340"/>
      <c r="G524" s="340"/>
      <c r="H524" s="340"/>
      <c r="I524" s="340"/>
      <c r="J524" s="340"/>
      <c r="K524" s="340"/>
      <c r="L524" s="340"/>
      <c r="M524" s="340"/>
      <c r="N524" s="340"/>
      <c r="O524" s="340"/>
      <c r="P524" s="340"/>
      <c r="Q524" s="340"/>
      <c r="R524" s="340"/>
      <c r="S524" s="340"/>
      <c r="T524" s="340"/>
      <c r="U524" s="340"/>
      <c r="V524" s="340"/>
      <c r="W524" s="340"/>
      <c r="X524" s="340"/>
      <c r="Y524" s="340"/>
      <c r="Z524" s="340"/>
      <c r="AA524" s="340"/>
      <c r="AB524" s="340"/>
      <c r="AC524" s="340"/>
    </row>
    <row r="525" spans="1:29">
      <c r="A525" s="340"/>
      <c r="B525" s="340"/>
      <c r="C525" s="340"/>
      <c r="D525" s="340"/>
      <c r="E525" s="340"/>
      <c r="F525" s="340"/>
      <c r="G525" s="340"/>
      <c r="H525" s="340"/>
      <c r="I525" s="340"/>
      <c r="J525" s="340"/>
      <c r="K525" s="340"/>
      <c r="L525" s="340"/>
      <c r="M525" s="340"/>
      <c r="N525" s="340"/>
      <c r="O525" s="340"/>
      <c r="P525" s="340"/>
      <c r="Q525" s="340"/>
      <c r="R525" s="340"/>
      <c r="S525" s="340"/>
      <c r="T525" s="340"/>
      <c r="U525" s="340"/>
      <c r="V525" s="340"/>
      <c r="W525" s="340"/>
      <c r="X525" s="340"/>
      <c r="Y525" s="340"/>
      <c r="Z525" s="340"/>
      <c r="AA525" s="340"/>
      <c r="AB525" s="340"/>
      <c r="AC525" s="340"/>
    </row>
    <row r="526" spans="1:29">
      <c r="A526" s="340"/>
      <c r="B526" s="340"/>
      <c r="C526" s="340"/>
      <c r="D526" s="340"/>
      <c r="E526" s="340"/>
      <c r="F526" s="340"/>
      <c r="G526" s="340"/>
      <c r="H526" s="340"/>
      <c r="I526" s="340"/>
      <c r="J526" s="340"/>
      <c r="K526" s="340"/>
      <c r="L526" s="340"/>
      <c r="M526" s="340"/>
      <c r="N526" s="340"/>
      <c r="O526" s="340"/>
      <c r="P526" s="340"/>
      <c r="Q526" s="340"/>
      <c r="R526" s="340"/>
      <c r="S526" s="340"/>
      <c r="T526" s="340"/>
      <c r="U526" s="340"/>
      <c r="V526" s="340"/>
      <c r="W526" s="340"/>
      <c r="X526" s="340"/>
      <c r="Y526" s="340"/>
      <c r="Z526" s="340"/>
      <c r="AA526" s="340"/>
      <c r="AB526" s="340"/>
      <c r="AC526" s="340"/>
    </row>
    <row r="527" spans="1:29">
      <c r="A527" s="340"/>
      <c r="B527" s="340"/>
      <c r="C527" s="340"/>
      <c r="D527" s="340"/>
      <c r="E527" s="340"/>
      <c r="F527" s="340"/>
      <c r="G527" s="340"/>
      <c r="H527" s="340"/>
      <c r="I527" s="340"/>
      <c r="J527" s="340"/>
      <c r="K527" s="340"/>
      <c r="L527" s="340"/>
      <c r="M527" s="340"/>
      <c r="N527" s="340"/>
      <c r="O527" s="340"/>
      <c r="P527" s="340"/>
      <c r="Q527" s="340"/>
      <c r="R527" s="340"/>
      <c r="S527" s="340"/>
      <c r="T527" s="340"/>
      <c r="U527" s="340"/>
      <c r="V527" s="340"/>
      <c r="W527" s="340"/>
      <c r="X527" s="340"/>
      <c r="Y527" s="340"/>
      <c r="Z527" s="340"/>
      <c r="AA527" s="340"/>
      <c r="AB527" s="340"/>
      <c r="AC527" s="340"/>
    </row>
    <row r="528" spans="1:29">
      <c r="A528" s="340"/>
      <c r="B528" s="340"/>
      <c r="C528" s="340"/>
      <c r="D528" s="340"/>
      <c r="E528" s="340"/>
      <c r="F528" s="340"/>
      <c r="G528" s="340"/>
      <c r="H528" s="340"/>
      <c r="I528" s="340"/>
      <c r="J528" s="340"/>
      <c r="K528" s="340"/>
      <c r="L528" s="340"/>
      <c r="M528" s="340"/>
      <c r="N528" s="340"/>
      <c r="O528" s="340"/>
      <c r="P528" s="340"/>
      <c r="Q528" s="340"/>
      <c r="R528" s="340"/>
      <c r="S528" s="340"/>
      <c r="T528" s="340"/>
      <c r="U528" s="340"/>
      <c r="V528" s="340"/>
      <c r="W528" s="340"/>
      <c r="X528" s="340"/>
      <c r="Y528" s="340"/>
      <c r="Z528" s="340"/>
      <c r="AA528" s="340"/>
      <c r="AB528" s="340"/>
      <c r="AC528" s="340"/>
    </row>
    <row r="529" spans="1:29">
      <c r="A529" s="340"/>
      <c r="B529" s="340"/>
      <c r="C529" s="340"/>
      <c r="D529" s="340"/>
      <c r="E529" s="340"/>
      <c r="F529" s="340"/>
      <c r="G529" s="340"/>
      <c r="H529" s="340"/>
      <c r="I529" s="340"/>
      <c r="J529" s="340"/>
      <c r="K529" s="340"/>
      <c r="L529" s="340"/>
      <c r="M529" s="340"/>
      <c r="N529" s="340"/>
      <c r="O529" s="340"/>
      <c r="P529" s="340"/>
      <c r="Q529" s="340"/>
      <c r="R529" s="340"/>
      <c r="S529" s="340"/>
      <c r="T529" s="340"/>
      <c r="U529" s="340"/>
      <c r="V529" s="340"/>
      <c r="W529" s="340"/>
      <c r="X529" s="340"/>
      <c r="Y529" s="340"/>
      <c r="Z529" s="340"/>
      <c r="AA529" s="340"/>
      <c r="AB529" s="340"/>
      <c r="AC529" s="340"/>
    </row>
    <row r="530" spans="1:29">
      <c r="A530" s="340"/>
      <c r="B530" s="340"/>
      <c r="C530" s="340"/>
      <c r="D530" s="340"/>
      <c r="E530" s="340"/>
      <c r="F530" s="340"/>
      <c r="G530" s="340"/>
      <c r="H530" s="340"/>
      <c r="I530" s="340"/>
      <c r="J530" s="340"/>
      <c r="K530" s="340"/>
      <c r="L530" s="340"/>
      <c r="M530" s="340"/>
      <c r="N530" s="340"/>
      <c r="O530" s="340"/>
      <c r="P530" s="340"/>
      <c r="Q530" s="340"/>
      <c r="R530" s="340"/>
      <c r="S530" s="340"/>
      <c r="T530" s="340"/>
      <c r="U530" s="340"/>
      <c r="V530" s="340"/>
      <c r="W530" s="340"/>
      <c r="X530" s="340"/>
      <c r="Y530" s="340"/>
      <c r="Z530" s="340"/>
      <c r="AA530" s="340"/>
      <c r="AB530" s="340"/>
      <c r="AC530" s="340"/>
    </row>
    <row r="531" spans="1:29">
      <c r="A531" s="340"/>
      <c r="B531" s="340"/>
      <c r="C531" s="340"/>
      <c r="D531" s="340"/>
      <c r="E531" s="340"/>
      <c r="F531" s="340"/>
      <c r="G531" s="340"/>
      <c r="H531" s="340"/>
      <c r="I531" s="340"/>
      <c r="J531" s="340"/>
      <c r="K531" s="340"/>
      <c r="L531" s="340"/>
      <c r="M531" s="340"/>
      <c r="N531" s="340"/>
      <c r="O531" s="340"/>
      <c r="P531" s="340"/>
      <c r="Q531" s="340"/>
      <c r="R531" s="340"/>
      <c r="S531" s="340"/>
      <c r="T531" s="340"/>
      <c r="U531" s="340"/>
      <c r="V531" s="340"/>
      <c r="W531" s="340"/>
      <c r="X531" s="340"/>
      <c r="Y531" s="340"/>
      <c r="Z531" s="340"/>
      <c r="AA531" s="340"/>
      <c r="AB531" s="340"/>
      <c r="AC531" s="340"/>
    </row>
    <row r="532" spans="1:29">
      <c r="A532" s="340"/>
      <c r="B532" s="340"/>
      <c r="C532" s="340"/>
      <c r="D532" s="340"/>
      <c r="E532" s="340"/>
      <c r="F532" s="340"/>
      <c r="G532" s="340"/>
      <c r="H532" s="340"/>
      <c r="I532" s="340"/>
      <c r="J532" s="340"/>
      <c r="K532" s="340"/>
      <c r="L532" s="340"/>
      <c r="M532" s="340"/>
      <c r="N532" s="340"/>
      <c r="O532" s="340"/>
      <c r="P532" s="340"/>
      <c r="Q532" s="340"/>
      <c r="R532" s="340"/>
      <c r="S532" s="340"/>
      <c r="T532" s="340"/>
      <c r="U532" s="340"/>
      <c r="V532" s="340"/>
      <c r="W532" s="340"/>
      <c r="X532" s="340"/>
      <c r="Y532" s="340"/>
      <c r="Z532" s="340"/>
      <c r="AA532" s="340"/>
      <c r="AB532" s="340"/>
      <c r="AC532" s="340"/>
    </row>
    <row r="533" spans="1:29">
      <c r="A533" s="340"/>
      <c r="B533" s="340"/>
      <c r="C533" s="340"/>
      <c r="D533" s="340"/>
      <c r="E533" s="340"/>
      <c r="F533" s="340"/>
      <c r="G533" s="340"/>
      <c r="H533" s="340"/>
      <c r="I533" s="340"/>
      <c r="J533" s="340"/>
      <c r="K533" s="340"/>
      <c r="L533" s="340"/>
      <c r="M533" s="340"/>
      <c r="N533" s="340"/>
      <c r="O533" s="340"/>
      <c r="P533" s="340"/>
      <c r="Q533" s="340"/>
      <c r="R533" s="340"/>
      <c r="S533" s="340"/>
      <c r="T533" s="340"/>
      <c r="U533" s="340"/>
      <c r="V533" s="340"/>
      <c r="W533" s="340"/>
      <c r="X533" s="340"/>
      <c r="Y533" s="340"/>
      <c r="Z533" s="340"/>
      <c r="AA533" s="340"/>
      <c r="AB533" s="340"/>
      <c r="AC533" s="340"/>
    </row>
    <row r="534" spans="1:29">
      <c r="A534" s="340"/>
      <c r="B534" s="340"/>
      <c r="C534" s="340"/>
      <c r="D534" s="340"/>
      <c r="E534" s="340"/>
      <c r="F534" s="340"/>
      <c r="G534" s="340"/>
      <c r="H534" s="340"/>
      <c r="I534" s="340"/>
      <c r="J534" s="340"/>
      <c r="K534" s="340"/>
      <c r="L534" s="340"/>
      <c r="M534" s="340"/>
      <c r="N534" s="340"/>
      <c r="O534" s="340"/>
      <c r="P534" s="340"/>
      <c r="Q534" s="340"/>
      <c r="R534" s="340"/>
      <c r="S534" s="340"/>
      <c r="T534" s="340"/>
      <c r="U534" s="340"/>
      <c r="V534" s="340"/>
      <c r="W534" s="340"/>
      <c r="X534" s="340"/>
      <c r="Y534" s="340"/>
      <c r="Z534" s="340"/>
      <c r="AA534" s="340"/>
      <c r="AB534" s="340"/>
      <c r="AC534" s="340"/>
    </row>
    <row r="535" spans="1:29">
      <c r="A535" s="340"/>
      <c r="B535" s="340"/>
      <c r="C535" s="340"/>
      <c r="D535" s="340"/>
      <c r="E535" s="340"/>
      <c r="F535" s="340"/>
      <c r="G535" s="340"/>
      <c r="H535" s="340"/>
      <c r="I535" s="340"/>
      <c r="J535" s="340"/>
      <c r="K535" s="340"/>
      <c r="L535" s="340"/>
      <c r="M535" s="340"/>
      <c r="N535" s="340"/>
      <c r="O535" s="340"/>
      <c r="P535" s="340"/>
      <c r="Q535" s="340"/>
      <c r="R535" s="340"/>
      <c r="S535" s="340"/>
      <c r="T535" s="340"/>
      <c r="U535" s="340"/>
      <c r="V535" s="340"/>
      <c r="W535" s="340"/>
      <c r="X535" s="340"/>
      <c r="Y535" s="340"/>
      <c r="Z535" s="340"/>
      <c r="AA535" s="340"/>
      <c r="AB535" s="340"/>
      <c r="AC535" s="340"/>
    </row>
    <row r="536" spans="1:29">
      <c r="A536" s="340"/>
      <c r="B536" s="340"/>
      <c r="C536" s="340"/>
      <c r="D536" s="340"/>
      <c r="E536" s="340"/>
      <c r="F536" s="340"/>
      <c r="G536" s="340"/>
      <c r="H536" s="340"/>
      <c r="I536" s="340"/>
      <c r="J536" s="340"/>
      <c r="K536" s="340"/>
      <c r="L536" s="340"/>
      <c r="M536" s="340"/>
      <c r="N536" s="340"/>
      <c r="O536" s="340"/>
      <c r="P536" s="340"/>
      <c r="Q536" s="340"/>
      <c r="R536" s="340"/>
      <c r="S536" s="340"/>
      <c r="T536" s="340"/>
      <c r="U536" s="340"/>
      <c r="V536" s="340"/>
      <c r="W536" s="340"/>
      <c r="X536" s="340"/>
      <c r="Y536" s="340"/>
      <c r="Z536" s="340"/>
      <c r="AA536" s="340"/>
      <c r="AB536" s="340"/>
      <c r="AC536" s="340"/>
    </row>
    <row r="537" spans="1:29">
      <c r="A537" s="340"/>
      <c r="B537" s="340"/>
      <c r="C537" s="340"/>
      <c r="D537" s="340"/>
      <c r="E537" s="340"/>
      <c r="F537" s="340"/>
      <c r="G537" s="340"/>
      <c r="H537" s="340"/>
      <c r="I537" s="340"/>
      <c r="J537" s="340"/>
      <c r="K537" s="340"/>
      <c r="L537" s="340"/>
      <c r="M537" s="340"/>
      <c r="N537" s="340"/>
      <c r="O537" s="340"/>
      <c r="P537" s="340"/>
      <c r="Q537" s="340"/>
      <c r="R537" s="340"/>
      <c r="S537" s="340"/>
      <c r="T537" s="340"/>
      <c r="U537" s="340"/>
      <c r="V537" s="340"/>
      <c r="W537" s="340"/>
      <c r="X537" s="340"/>
      <c r="Y537" s="340"/>
      <c r="Z537" s="340"/>
      <c r="AA537" s="340"/>
      <c r="AB537" s="340"/>
      <c r="AC537" s="340"/>
    </row>
    <row r="538" spans="1:29">
      <c r="A538" s="340"/>
      <c r="B538" s="340"/>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c r="AA538" s="340"/>
      <c r="AB538" s="340"/>
      <c r="AC538" s="340"/>
    </row>
    <row r="539" spans="1:29">
      <c r="A539" s="340"/>
      <c r="B539" s="340"/>
      <c r="C539" s="340"/>
      <c r="D539" s="340"/>
      <c r="E539" s="340"/>
      <c r="F539" s="340"/>
      <c r="G539" s="340"/>
      <c r="H539" s="340"/>
      <c r="I539" s="340"/>
      <c r="J539" s="340"/>
      <c r="K539" s="340"/>
      <c r="L539" s="340"/>
      <c r="M539" s="340"/>
      <c r="N539" s="340"/>
      <c r="O539" s="340"/>
      <c r="P539" s="340"/>
      <c r="Q539" s="340"/>
      <c r="R539" s="340"/>
      <c r="S539" s="340"/>
      <c r="T539" s="340"/>
      <c r="U539" s="340"/>
      <c r="V539" s="340"/>
      <c r="W539" s="340"/>
      <c r="X539" s="340"/>
      <c r="Y539" s="340"/>
      <c r="Z539" s="340"/>
      <c r="AA539" s="340"/>
      <c r="AB539" s="340"/>
      <c r="AC539" s="340"/>
    </row>
    <row r="540" spans="1:29">
      <c r="A540" s="340"/>
      <c r="B540" s="340"/>
      <c r="C540" s="340"/>
      <c r="D540" s="340"/>
      <c r="E540" s="340"/>
      <c r="F540" s="340"/>
      <c r="G540" s="340"/>
      <c r="H540" s="340"/>
      <c r="I540" s="340"/>
      <c r="J540" s="340"/>
      <c r="K540" s="340"/>
      <c r="L540" s="340"/>
      <c r="M540" s="340"/>
      <c r="N540" s="340"/>
      <c r="O540" s="340"/>
      <c r="P540" s="340"/>
      <c r="Q540" s="340"/>
      <c r="R540" s="340"/>
      <c r="S540" s="340"/>
      <c r="T540" s="340"/>
      <c r="U540" s="340"/>
      <c r="V540" s="340"/>
      <c r="W540" s="340"/>
      <c r="X540" s="340"/>
      <c r="Y540" s="340"/>
      <c r="Z540" s="340"/>
      <c r="AA540" s="340"/>
      <c r="AB540" s="340"/>
      <c r="AC540" s="340"/>
    </row>
    <row r="541" spans="1:29">
      <c r="A541" s="340"/>
      <c r="B541" s="340"/>
      <c r="C541" s="340"/>
      <c r="D541" s="340"/>
      <c r="E541" s="340"/>
      <c r="F541" s="340"/>
      <c r="G541" s="340"/>
      <c r="H541" s="340"/>
      <c r="I541" s="340"/>
      <c r="J541" s="340"/>
      <c r="K541" s="340"/>
      <c r="L541" s="340"/>
      <c r="M541" s="340"/>
      <c r="N541" s="340"/>
      <c r="O541" s="340"/>
      <c r="P541" s="340"/>
      <c r="Q541" s="340"/>
      <c r="R541" s="340"/>
      <c r="S541" s="340"/>
      <c r="T541" s="340"/>
      <c r="U541" s="340"/>
      <c r="V541" s="340"/>
      <c r="W541" s="340"/>
      <c r="X541" s="340"/>
      <c r="Y541" s="340"/>
      <c r="Z541" s="340"/>
      <c r="AA541" s="340"/>
      <c r="AB541" s="340"/>
      <c r="AC541" s="340"/>
    </row>
    <row r="542" spans="1:29">
      <c r="A542" s="340"/>
      <c r="B542" s="340"/>
      <c r="C542" s="340"/>
      <c r="D542" s="340"/>
      <c r="E542" s="340"/>
      <c r="F542" s="340"/>
      <c r="G542" s="340"/>
      <c r="H542" s="340"/>
      <c r="I542" s="340"/>
      <c r="J542" s="340"/>
      <c r="K542" s="340"/>
      <c r="L542" s="340"/>
      <c r="M542" s="340"/>
      <c r="N542" s="340"/>
      <c r="O542" s="340"/>
      <c r="P542" s="340"/>
      <c r="Q542" s="340"/>
      <c r="R542" s="340"/>
      <c r="S542" s="340"/>
      <c r="T542" s="340"/>
      <c r="U542" s="340"/>
      <c r="V542" s="340"/>
      <c r="W542" s="340"/>
      <c r="X542" s="340"/>
      <c r="Y542" s="340"/>
      <c r="Z542" s="340"/>
      <c r="AA542" s="340"/>
      <c r="AB542" s="340"/>
      <c r="AC542" s="340"/>
    </row>
    <row r="543" spans="1:29">
      <c r="A543" s="340"/>
      <c r="B543" s="340"/>
      <c r="C543" s="340"/>
      <c r="D543" s="340"/>
      <c r="E543" s="340"/>
      <c r="F543" s="340"/>
      <c r="G543" s="340"/>
      <c r="H543" s="340"/>
      <c r="I543" s="340"/>
      <c r="J543" s="340"/>
      <c r="K543" s="340"/>
      <c r="L543" s="340"/>
      <c r="M543" s="340"/>
      <c r="N543" s="340"/>
      <c r="O543" s="340"/>
      <c r="P543" s="340"/>
      <c r="Q543" s="340"/>
      <c r="R543" s="340"/>
      <c r="S543" s="340"/>
      <c r="T543" s="340"/>
      <c r="U543" s="340"/>
      <c r="V543" s="340"/>
      <c r="W543" s="340"/>
      <c r="X543" s="340"/>
      <c r="Y543" s="340"/>
      <c r="Z543" s="340"/>
      <c r="AA543" s="340"/>
      <c r="AB543" s="340"/>
      <c r="AC543" s="340"/>
    </row>
    <row r="544" spans="1:29">
      <c r="A544" s="340"/>
      <c r="B544" s="340"/>
      <c r="C544" s="340"/>
      <c r="D544" s="340"/>
      <c r="E544" s="340"/>
      <c r="F544" s="340"/>
      <c r="G544" s="340"/>
      <c r="H544" s="340"/>
      <c r="I544" s="340"/>
      <c r="J544" s="340"/>
      <c r="K544" s="340"/>
      <c r="L544" s="340"/>
      <c r="M544" s="340"/>
      <c r="N544" s="340"/>
      <c r="O544" s="340"/>
      <c r="P544" s="340"/>
      <c r="Q544" s="340"/>
      <c r="R544" s="340"/>
      <c r="S544" s="340"/>
      <c r="T544" s="340"/>
      <c r="U544" s="340"/>
      <c r="V544" s="340"/>
      <c r="W544" s="340"/>
      <c r="X544" s="340"/>
      <c r="Y544" s="340"/>
      <c r="Z544" s="340"/>
      <c r="AA544" s="340"/>
      <c r="AB544" s="340"/>
      <c r="AC544" s="340"/>
    </row>
    <row r="545" spans="1:29">
      <c r="A545" s="340"/>
      <c r="B545" s="340"/>
      <c r="C545" s="340"/>
      <c r="D545" s="340"/>
      <c r="E545" s="340"/>
      <c r="F545" s="340"/>
      <c r="G545" s="340"/>
      <c r="H545" s="340"/>
      <c r="I545" s="340"/>
      <c r="J545" s="340"/>
      <c r="K545" s="340"/>
      <c r="L545" s="340"/>
      <c r="M545" s="340"/>
      <c r="N545" s="340"/>
      <c r="O545" s="340"/>
      <c r="P545" s="340"/>
      <c r="Q545" s="340"/>
      <c r="R545" s="340"/>
      <c r="S545" s="340"/>
      <c r="T545" s="340"/>
      <c r="U545" s="340"/>
      <c r="V545" s="340"/>
      <c r="W545" s="340"/>
      <c r="X545" s="340"/>
      <c r="Y545" s="340"/>
      <c r="Z545" s="340"/>
      <c r="AA545" s="340"/>
      <c r="AB545" s="340"/>
      <c r="AC545" s="340"/>
    </row>
    <row r="546" spans="1:29">
      <c r="A546" s="340"/>
      <c r="B546" s="340"/>
      <c r="C546" s="340"/>
      <c r="D546" s="340"/>
      <c r="E546" s="340"/>
      <c r="F546" s="340"/>
      <c r="G546" s="340"/>
      <c r="H546" s="340"/>
      <c r="I546" s="340"/>
      <c r="J546" s="340"/>
      <c r="K546" s="340"/>
      <c r="L546" s="340"/>
      <c r="M546" s="340"/>
      <c r="N546" s="340"/>
      <c r="O546" s="340"/>
      <c r="P546" s="340"/>
      <c r="Q546" s="340"/>
      <c r="R546" s="340"/>
      <c r="S546" s="340"/>
      <c r="T546" s="340"/>
      <c r="U546" s="340"/>
      <c r="V546" s="340"/>
      <c r="W546" s="340"/>
      <c r="X546" s="340"/>
      <c r="Y546" s="340"/>
      <c r="Z546" s="340"/>
      <c r="AA546" s="340"/>
      <c r="AB546" s="340"/>
      <c r="AC546" s="340"/>
    </row>
    <row r="547" spans="1:29">
      <c r="A547" s="340"/>
      <c r="B547" s="340"/>
      <c r="C547" s="340"/>
      <c r="D547" s="340"/>
      <c r="E547" s="340"/>
      <c r="F547" s="340"/>
      <c r="G547" s="340"/>
      <c r="H547" s="340"/>
      <c r="I547" s="340"/>
      <c r="J547" s="340"/>
      <c r="K547" s="340"/>
      <c r="L547" s="340"/>
      <c r="M547" s="340"/>
      <c r="N547" s="340"/>
      <c r="O547" s="340"/>
      <c r="P547" s="340"/>
      <c r="Q547" s="340"/>
      <c r="R547" s="340"/>
      <c r="S547" s="340"/>
      <c r="T547" s="340"/>
      <c r="U547" s="340"/>
      <c r="V547" s="340"/>
      <c r="W547" s="340"/>
      <c r="X547" s="340"/>
      <c r="Y547" s="340"/>
      <c r="Z547" s="340"/>
      <c r="AA547" s="340"/>
      <c r="AB547" s="340"/>
      <c r="AC547" s="340"/>
    </row>
    <row r="548" spans="1:29">
      <c r="A548" s="340"/>
      <c r="B548" s="340"/>
      <c r="C548" s="340"/>
      <c r="D548" s="340"/>
      <c r="E548" s="340"/>
      <c r="F548" s="340"/>
      <c r="G548" s="340"/>
      <c r="H548" s="340"/>
      <c r="I548" s="340"/>
      <c r="J548" s="340"/>
      <c r="K548" s="340"/>
      <c r="L548" s="340"/>
      <c r="M548" s="340"/>
      <c r="N548" s="340"/>
      <c r="O548" s="340"/>
      <c r="P548" s="340"/>
      <c r="Q548" s="340"/>
      <c r="R548" s="340"/>
      <c r="S548" s="340"/>
      <c r="T548" s="340"/>
      <c r="U548" s="340"/>
      <c r="V548" s="340"/>
      <c r="W548" s="340"/>
      <c r="X548" s="340"/>
      <c r="Y548" s="340"/>
      <c r="Z548" s="340"/>
      <c r="AA548" s="340"/>
      <c r="AB548" s="340"/>
      <c r="AC548" s="340"/>
    </row>
    <row r="549" spans="1:29">
      <c r="A549" s="340"/>
      <c r="B549" s="340"/>
      <c r="C549" s="340"/>
      <c r="D549" s="340"/>
      <c r="E549" s="340"/>
      <c r="F549" s="340"/>
      <c r="G549" s="340"/>
      <c r="H549" s="340"/>
      <c r="I549" s="340"/>
      <c r="J549" s="340"/>
      <c r="K549" s="340"/>
      <c r="L549" s="340"/>
      <c r="M549" s="340"/>
      <c r="N549" s="340"/>
      <c r="O549" s="340"/>
      <c r="P549" s="340"/>
      <c r="Q549" s="340"/>
      <c r="R549" s="340"/>
      <c r="S549" s="340"/>
      <c r="T549" s="340"/>
      <c r="U549" s="340"/>
      <c r="V549" s="340"/>
      <c r="W549" s="340"/>
      <c r="X549" s="340"/>
      <c r="Y549" s="340"/>
      <c r="Z549" s="340"/>
      <c r="AA549" s="340"/>
      <c r="AB549" s="340"/>
      <c r="AC549" s="340"/>
    </row>
    <row r="550" spans="1:29">
      <c r="A550" s="340"/>
      <c r="B550" s="340"/>
      <c r="C550" s="340"/>
      <c r="D550" s="340"/>
      <c r="E550" s="340"/>
      <c r="F550" s="340"/>
      <c r="G550" s="340"/>
      <c r="H550" s="340"/>
      <c r="I550" s="340"/>
      <c r="J550" s="340"/>
      <c r="K550" s="340"/>
      <c r="L550" s="340"/>
      <c r="M550" s="340"/>
      <c r="N550" s="340"/>
      <c r="O550" s="340"/>
      <c r="P550" s="340"/>
      <c r="Q550" s="340"/>
      <c r="R550" s="340"/>
      <c r="S550" s="340"/>
      <c r="T550" s="340"/>
      <c r="U550" s="340"/>
      <c r="V550" s="340"/>
      <c r="W550" s="340"/>
      <c r="X550" s="340"/>
      <c r="Y550" s="340"/>
      <c r="Z550" s="340"/>
      <c r="AA550" s="340"/>
      <c r="AB550" s="340"/>
      <c r="AC550" s="340"/>
    </row>
    <row r="551" spans="1:29">
      <c r="A551" s="340"/>
      <c r="B551" s="340"/>
      <c r="C551" s="340"/>
      <c r="D551" s="340"/>
      <c r="E551" s="340"/>
      <c r="F551" s="340"/>
      <c r="G551" s="340"/>
      <c r="H551" s="340"/>
      <c r="I551" s="340"/>
      <c r="J551" s="340"/>
      <c r="K551" s="340"/>
      <c r="L551" s="340"/>
      <c r="M551" s="340"/>
      <c r="N551" s="340"/>
      <c r="O551" s="340"/>
      <c r="P551" s="340"/>
      <c r="Q551" s="340"/>
      <c r="R551" s="340"/>
      <c r="S551" s="340"/>
      <c r="T551" s="340"/>
      <c r="U551" s="340"/>
      <c r="V551" s="340"/>
      <c r="W551" s="340"/>
      <c r="X551" s="340"/>
      <c r="Y551" s="340"/>
      <c r="Z551" s="340"/>
      <c r="AA551" s="340"/>
      <c r="AB551" s="340"/>
      <c r="AC551" s="340"/>
    </row>
    <row r="552" spans="1:29">
      <c r="A552" s="340"/>
      <c r="B552" s="340"/>
      <c r="C552" s="340"/>
      <c r="D552" s="340"/>
      <c r="E552" s="340"/>
      <c r="F552" s="340"/>
      <c r="G552" s="340"/>
      <c r="H552" s="340"/>
      <c r="I552" s="340"/>
      <c r="J552" s="340"/>
      <c r="K552" s="340"/>
      <c r="L552" s="340"/>
      <c r="M552" s="340"/>
      <c r="N552" s="340"/>
      <c r="O552" s="340"/>
      <c r="P552" s="340"/>
      <c r="Q552" s="340"/>
      <c r="R552" s="340"/>
      <c r="S552" s="340"/>
      <c r="T552" s="340"/>
      <c r="U552" s="340"/>
      <c r="V552" s="340"/>
      <c r="W552" s="340"/>
      <c r="X552" s="340"/>
      <c r="Y552" s="340"/>
      <c r="Z552" s="340"/>
      <c r="AA552" s="340"/>
      <c r="AB552" s="340"/>
      <c r="AC552" s="340"/>
    </row>
    <row r="553" spans="1:29">
      <c r="A553" s="340"/>
      <c r="B553" s="340"/>
      <c r="C553" s="340"/>
      <c r="D553" s="340"/>
      <c r="E553" s="340"/>
      <c r="F553" s="340"/>
      <c r="G553" s="340"/>
      <c r="H553" s="340"/>
      <c r="I553" s="340"/>
      <c r="J553" s="340"/>
      <c r="K553" s="340"/>
      <c r="L553" s="340"/>
      <c r="M553" s="340"/>
      <c r="N553" s="340"/>
      <c r="O553" s="340"/>
      <c r="P553" s="340"/>
      <c r="Q553" s="340"/>
      <c r="R553" s="340"/>
      <c r="S553" s="340"/>
      <c r="T553" s="340"/>
      <c r="U553" s="340"/>
      <c r="V553" s="340"/>
      <c r="W553" s="340"/>
      <c r="X553" s="340"/>
      <c r="Y553" s="340"/>
      <c r="Z553" s="340"/>
      <c r="AA553" s="340"/>
      <c r="AB553" s="340"/>
      <c r="AC553" s="340"/>
    </row>
    <row r="554" spans="1:29">
      <c r="A554" s="340"/>
      <c r="B554" s="340"/>
      <c r="C554" s="340"/>
      <c r="D554" s="340"/>
      <c r="E554" s="340"/>
      <c r="F554" s="340"/>
      <c r="G554" s="340"/>
      <c r="H554" s="340"/>
      <c r="I554" s="340"/>
      <c r="J554" s="340"/>
      <c r="K554" s="340"/>
      <c r="L554" s="340"/>
      <c r="M554" s="340"/>
      <c r="N554" s="340"/>
      <c r="O554" s="340"/>
      <c r="P554" s="340"/>
      <c r="Q554" s="340"/>
      <c r="R554" s="340"/>
      <c r="S554" s="340"/>
      <c r="T554" s="340"/>
      <c r="U554" s="340"/>
      <c r="V554" s="340"/>
      <c r="W554" s="340"/>
      <c r="X554" s="340"/>
      <c r="Y554" s="340"/>
      <c r="Z554" s="340"/>
      <c r="AA554" s="340"/>
      <c r="AB554" s="340"/>
      <c r="AC554" s="340"/>
    </row>
    <row r="555" spans="1:29">
      <c r="A555" s="340"/>
      <c r="B555" s="340"/>
      <c r="C555" s="340"/>
      <c r="D555" s="340"/>
      <c r="E555" s="340"/>
      <c r="F555" s="340"/>
      <c r="G555" s="340"/>
      <c r="H555" s="340"/>
      <c r="I555" s="340"/>
      <c r="J555" s="340"/>
      <c r="K555" s="340"/>
      <c r="L555" s="340"/>
      <c r="M555" s="340"/>
      <c r="N555" s="340"/>
      <c r="O555" s="340"/>
      <c r="P555" s="340"/>
      <c r="Q555" s="340"/>
      <c r="R555" s="340"/>
      <c r="S555" s="340"/>
      <c r="T555" s="340"/>
      <c r="U555" s="340"/>
      <c r="V555" s="340"/>
      <c r="W555" s="340"/>
      <c r="X555" s="340"/>
      <c r="Y555" s="340"/>
      <c r="Z555" s="340"/>
      <c r="AA555" s="340"/>
      <c r="AB555" s="340"/>
      <c r="AC555" s="340"/>
    </row>
    <row r="556" spans="1:29">
      <c r="A556" s="340"/>
      <c r="B556" s="340"/>
      <c r="C556" s="340"/>
      <c r="D556" s="340"/>
      <c r="E556" s="340"/>
      <c r="F556" s="340"/>
      <c r="G556" s="340"/>
      <c r="H556" s="340"/>
      <c r="I556" s="340"/>
      <c r="J556" s="340"/>
      <c r="K556" s="340"/>
      <c r="L556" s="340"/>
      <c r="M556" s="340"/>
      <c r="N556" s="340"/>
      <c r="O556" s="340"/>
      <c r="P556" s="340"/>
      <c r="Q556" s="340"/>
      <c r="R556" s="340"/>
      <c r="S556" s="340"/>
      <c r="T556" s="340"/>
      <c r="U556" s="340"/>
      <c r="V556" s="340"/>
      <c r="W556" s="340"/>
      <c r="X556" s="340"/>
      <c r="Y556" s="340"/>
      <c r="Z556" s="340"/>
      <c r="AA556" s="340"/>
      <c r="AB556" s="340"/>
      <c r="AC556" s="340"/>
    </row>
    <row r="557" spans="1:29">
      <c r="A557" s="340"/>
      <c r="B557" s="340"/>
      <c r="C557" s="340"/>
      <c r="D557" s="340"/>
      <c r="E557" s="340"/>
      <c r="F557" s="340"/>
      <c r="G557" s="340"/>
      <c r="H557" s="340"/>
      <c r="I557" s="340"/>
      <c r="J557" s="340"/>
      <c r="K557" s="340"/>
      <c r="L557" s="340"/>
      <c r="M557" s="340"/>
      <c r="N557" s="340"/>
      <c r="O557" s="340"/>
      <c r="P557" s="340"/>
      <c r="Q557" s="340"/>
      <c r="R557" s="340"/>
      <c r="S557" s="340"/>
      <c r="T557" s="340"/>
      <c r="U557" s="340"/>
      <c r="V557" s="340"/>
      <c r="W557" s="340"/>
      <c r="X557" s="340"/>
      <c r="Y557" s="340"/>
      <c r="Z557" s="340"/>
      <c r="AA557" s="340"/>
      <c r="AB557" s="340"/>
      <c r="AC557" s="340"/>
    </row>
    <row r="558" spans="1:29">
      <c r="A558" s="340"/>
      <c r="B558" s="340"/>
      <c r="C558" s="340"/>
      <c r="D558" s="340"/>
      <c r="E558" s="340"/>
      <c r="F558" s="340"/>
      <c r="G558" s="340"/>
      <c r="H558" s="340"/>
      <c r="I558" s="340"/>
      <c r="J558" s="340"/>
      <c r="K558" s="340"/>
      <c r="L558" s="340"/>
      <c r="M558" s="340"/>
      <c r="N558" s="340"/>
      <c r="O558" s="340"/>
      <c r="P558" s="340"/>
      <c r="Q558" s="340"/>
      <c r="R558" s="340"/>
      <c r="S558" s="340"/>
      <c r="T558" s="340"/>
      <c r="U558" s="340"/>
      <c r="V558" s="340"/>
      <c r="W558" s="340"/>
      <c r="X558" s="340"/>
      <c r="Y558" s="340"/>
      <c r="Z558" s="340"/>
      <c r="AA558" s="340"/>
      <c r="AB558" s="340"/>
      <c r="AC558" s="340"/>
    </row>
    <row r="559" spans="1:29">
      <c r="A559" s="340"/>
      <c r="B559" s="340"/>
      <c r="C559" s="340"/>
      <c r="D559" s="340"/>
      <c r="E559" s="340"/>
      <c r="F559" s="340"/>
      <c r="G559" s="340"/>
      <c r="H559" s="340"/>
      <c r="I559" s="340"/>
      <c r="J559" s="340"/>
      <c r="K559" s="340"/>
      <c r="L559" s="340"/>
      <c r="M559" s="340"/>
      <c r="N559" s="340"/>
      <c r="O559" s="340"/>
      <c r="P559" s="340"/>
      <c r="Q559" s="340"/>
      <c r="R559" s="340"/>
      <c r="S559" s="340"/>
      <c r="T559" s="340"/>
      <c r="U559" s="340"/>
      <c r="V559" s="340"/>
      <c r="W559" s="340"/>
      <c r="X559" s="340"/>
      <c r="Y559" s="340"/>
      <c r="Z559" s="340"/>
      <c r="AA559" s="340"/>
      <c r="AB559" s="340"/>
      <c r="AC559" s="340"/>
    </row>
    <row r="560" spans="1:29">
      <c r="A560" s="340"/>
      <c r="B560" s="340"/>
      <c r="C560" s="340"/>
      <c r="D560" s="340"/>
      <c r="E560" s="340"/>
      <c r="F560" s="340"/>
      <c r="G560" s="340"/>
      <c r="H560" s="340"/>
      <c r="I560" s="340"/>
      <c r="J560" s="340"/>
      <c r="K560" s="340"/>
      <c r="L560" s="340"/>
      <c r="M560" s="340"/>
      <c r="N560" s="340"/>
      <c r="O560" s="340"/>
      <c r="P560" s="340"/>
      <c r="Q560" s="340"/>
      <c r="R560" s="340"/>
      <c r="S560" s="340"/>
      <c r="T560" s="340"/>
      <c r="U560" s="340"/>
      <c r="V560" s="340"/>
      <c r="W560" s="340"/>
      <c r="X560" s="340"/>
      <c r="Y560" s="340"/>
      <c r="Z560" s="340"/>
      <c r="AA560" s="340"/>
      <c r="AB560" s="340"/>
      <c r="AC560" s="340"/>
    </row>
    <row r="561" spans="1:29">
      <c r="A561" s="340"/>
      <c r="B561" s="340"/>
      <c r="C561" s="340"/>
      <c r="D561" s="340"/>
      <c r="E561" s="340"/>
      <c r="F561" s="340"/>
      <c r="G561" s="340"/>
      <c r="H561" s="340"/>
      <c r="I561" s="340"/>
      <c r="J561" s="340"/>
      <c r="K561" s="340"/>
      <c r="L561" s="340"/>
      <c r="M561" s="340"/>
      <c r="N561" s="340"/>
      <c r="O561" s="340"/>
      <c r="P561" s="340"/>
      <c r="Q561" s="340"/>
      <c r="R561" s="340"/>
      <c r="S561" s="340"/>
      <c r="T561" s="340"/>
      <c r="U561" s="340"/>
      <c r="V561" s="340"/>
      <c r="W561" s="340"/>
      <c r="X561" s="340"/>
      <c r="Y561" s="340"/>
      <c r="Z561" s="340"/>
      <c r="AA561" s="340"/>
      <c r="AB561" s="340"/>
      <c r="AC561" s="340"/>
    </row>
    <row r="562" spans="1:29">
      <c r="A562" s="340"/>
      <c r="B562" s="340"/>
      <c r="C562" s="340"/>
      <c r="D562" s="340"/>
      <c r="E562" s="340"/>
      <c r="F562" s="340"/>
      <c r="G562" s="340"/>
      <c r="H562" s="340"/>
      <c r="I562" s="340"/>
      <c r="J562" s="340"/>
      <c r="K562" s="340"/>
      <c r="L562" s="340"/>
      <c r="M562" s="340"/>
      <c r="N562" s="340"/>
      <c r="O562" s="340"/>
      <c r="P562" s="340"/>
      <c r="Q562" s="340"/>
      <c r="R562" s="340"/>
      <c r="S562" s="340"/>
      <c r="T562" s="340"/>
      <c r="U562" s="340"/>
      <c r="V562" s="340"/>
      <c r="W562" s="340"/>
      <c r="X562" s="340"/>
      <c r="Y562" s="340"/>
      <c r="Z562" s="340"/>
      <c r="AA562" s="340"/>
      <c r="AB562" s="340"/>
      <c r="AC562" s="340"/>
    </row>
    <row r="563" spans="1:29">
      <c r="A563" s="340"/>
      <c r="B563" s="340"/>
      <c r="C563" s="340"/>
      <c r="D563" s="340"/>
      <c r="E563" s="340"/>
      <c r="F563" s="340"/>
      <c r="G563" s="340"/>
      <c r="H563" s="340"/>
      <c r="I563" s="340"/>
      <c r="J563" s="340"/>
      <c r="K563" s="340"/>
      <c r="L563" s="340"/>
      <c r="M563" s="340"/>
      <c r="N563" s="340"/>
      <c r="O563" s="340"/>
      <c r="P563" s="340"/>
      <c r="Q563" s="340"/>
      <c r="R563" s="340"/>
      <c r="S563" s="340"/>
      <c r="T563" s="340"/>
      <c r="U563" s="340"/>
      <c r="V563" s="340"/>
      <c r="W563" s="340"/>
      <c r="X563" s="340"/>
      <c r="Y563" s="340"/>
      <c r="Z563" s="340"/>
      <c r="AA563" s="340"/>
      <c r="AB563" s="340"/>
      <c r="AC563" s="340"/>
    </row>
    <row r="564" spans="1:29">
      <c r="A564" s="340"/>
      <c r="B564" s="340"/>
      <c r="C564" s="340"/>
      <c r="D564" s="340"/>
      <c r="E564" s="340"/>
      <c r="F564" s="340"/>
      <c r="G564" s="340"/>
      <c r="H564" s="340"/>
      <c r="I564" s="340"/>
      <c r="J564" s="340"/>
      <c r="K564" s="340"/>
      <c r="L564" s="340"/>
      <c r="M564" s="340"/>
      <c r="N564" s="340"/>
      <c r="O564" s="340"/>
      <c r="P564" s="340"/>
      <c r="Q564" s="340"/>
      <c r="R564" s="340"/>
      <c r="S564" s="340"/>
      <c r="T564" s="340"/>
      <c r="U564" s="340"/>
      <c r="V564" s="340"/>
      <c r="W564" s="340"/>
      <c r="X564" s="340"/>
      <c r="Y564" s="340"/>
      <c r="Z564" s="340"/>
      <c r="AA564" s="340"/>
      <c r="AB564" s="340"/>
      <c r="AC564" s="340"/>
    </row>
    <row r="565" spans="1:29">
      <c r="A565" s="340"/>
      <c r="B565" s="340"/>
      <c r="C565" s="340"/>
      <c r="D565" s="340"/>
      <c r="E565" s="340"/>
      <c r="F565" s="340"/>
      <c r="G565" s="340"/>
      <c r="H565" s="340"/>
      <c r="I565" s="340"/>
      <c r="J565" s="340"/>
      <c r="K565" s="340"/>
      <c r="L565" s="340"/>
      <c r="M565" s="340"/>
      <c r="N565" s="340"/>
      <c r="O565" s="340"/>
      <c r="P565" s="340"/>
      <c r="Q565" s="340"/>
      <c r="R565" s="340"/>
      <c r="S565" s="340"/>
      <c r="T565" s="340"/>
      <c r="U565" s="340"/>
      <c r="V565" s="340"/>
      <c r="W565" s="340"/>
      <c r="X565" s="340"/>
      <c r="Y565" s="340"/>
      <c r="Z565" s="340"/>
      <c r="AA565" s="340"/>
      <c r="AB565" s="340"/>
      <c r="AC565" s="340"/>
    </row>
    <row r="566" spans="1:29">
      <c r="A566" s="340"/>
      <c r="B566" s="340"/>
      <c r="C566" s="340"/>
      <c r="D566" s="340"/>
      <c r="E566" s="340"/>
      <c r="F566" s="340"/>
      <c r="G566" s="340"/>
      <c r="H566" s="340"/>
      <c r="I566" s="340"/>
      <c r="J566" s="340"/>
      <c r="K566" s="340"/>
      <c r="L566" s="340"/>
      <c r="M566" s="340"/>
      <c r="N566" s="340"/>
      <c r="O566" s="340"/>
      <c r="P566" s="340"/>
      <c r="Q566" s="340"/>
      <c r="R566" s="340"/>
      <c r="S566" s="340"/>
      <c r="T566" s="340"/>
      <c r="U566" s="340"/>
      <c r="V566" s="340"/>
      <c r="W566" s="340"/>
      <c r="X566" s="340"/>
      <c r="Y566" s="340"/>
      <c r="Z566" s="340"/>
      <c r="AA566" s="340"/>
      <c r="AB566" s="340"/>
      <c r="AC566" s="340"/>
    </row>
    <row r="567" spans="1:29">
      <c r="A567" s="340"/>
      <c r="B567" s="340"/>
      <c r="C567" s="340"/>
      <c r="D567" s="340"/>
      <c r="E567" s="340"/>
      <c r="F567" s="340"/>
      <c r="G567" s="340"/>
      <c r="H567" s="340"/>
      <c r="I567" s="340"/>
      <c r="J567" s="340"/>
      <c r="K567" s="340"/>
      <c r="L567" s="340"/>
      <c r="M567" s="340"/>
      <c r="N567" s="340"/>
      <c r="O567" s="340"/>
      <c r="P567" s="340"/>
      <c r="Q567" s="340"/>
      <c r="R567" s="340"/>
      <c r="S567" s="340"/>
      <c r="T567" s="340"/>
      <c r="U567" s="340"/>
      <c r="V567" s="340"/>
      <c r="W567" s="340"/>
      <c r="X567" s="340"/>
      <c r="Y567" s="340"/>
      <c r="Z567" s="340"/>
      <c r="AA567" s="340"/>
      <c r="AB567" s="340"/>
      <c r="AC567" s="340"/>
    </row>
    <row r="568" spans="1:29">
      <c r="A568" s="340"/>
      <c r="B568" s="340"/>
      <c r="C568" s="340"/>
      <c r="D568" s="340"/>
      <c r="E568" s="340"/>
      <c r="F568" s="340"/>
      <c r="G568" s="340"/>
      <c r="H568" s="340"/>
      <c r="I568" s="340"/>
      <c r="J568" s="340"/>
      <c r="K568" s="340"/>
      <c r="L568" s="340"/>
      <c r="M568" s="340"/>
      <c r="N568" s="340"/>
      <c r="O568" s="340"/>
      <c r="P568" s="340"/>
      <c r="Q568" s="340"/>
      <c r="R568" s="340"/>
      <c r="S568" s="340"/>
      <c r="T568" s="340"/>
      <c r="U568" s="340"/>
      <c r="V568" s="340"/>
      <c r="W568" s="340"/>
      <c r="X568" s="340"/>
      <c r="Y568" s="340"/>
      <c r="Z568" s="340"/>
      <c r="AA568" s="340"/>
      <c r="AB568" s="340"/>
      <c r="AC568" s="340"/>
    </row>
    <row r="569" spans="1:29">
      <c r="A569" s="340"/>
      <c r="B569" s="340"/>
      <c r="C569" s="340"/>
      <c r="D569" s="340"/>
      <c r="E569" s="340"/>
      <c r="F569" s="340"/>
      <c r="G569" s="340"/>
      <c r="H569" s="340"/>
      <c r="I569" s="340"/>
      <c r="J569" s="340"/>
      <c r="K569" s="340"/>
      <c r="L569" s="340"/>
      <c r="M569" s="340"/>
      <c r="N569" s="340"/>
      <c r="O569" s="340"/>
      <c r="P569" s="340"/>
      <c r="Q569" s="340"/>
      <c r="R569" s="340"/>
      <c r="S569" s="340"/>
      <c r="T569" s="340"/>
      <c r="U569" s="340"/>
      <c r="V569" s="340"/>
      <c r="W569" s="340"/>
      <c r="X569" s="340"/>
      <c r="Y569" s="340"/>
      <c r="Z569" s="340"/>
      <c r="AA569" s="340"/>
      <c r="AB569" s="340"/>
      <c r="AC569" s="340"/>
    </row>
    <row r="570" spans="1:29">
      <c r="A570" s="340"/>
      <c r="B570" s="340"/>
      <c r="C570" s="340"/>
      <c r="D570" s="340"/>
      <c r="E570" s="340"/>
      <c r="F570" s="340"/>
      <c r="G570" s="340"/>
      <c r="H570" s="340"/>
      <c r="I570" s="340"/>
      <c r="J570" s="340"/>
      <c r="K570" s="340"/>
      <c r="L570" s="340"/>
      <c r="M570" s="340"/>
      <c r="N570" s="340"/>
      <c r="O570" s="340"/>
      <c r="P570" s="340"/>
      <c r="Q570" s="340"/>
      <c r="R570" s="340"/>
      <c r="S570" s="340"/>
      <c r="T570" s="340"/>
      <c r="U570" s="340"/>
      <c r="V570" s="340"/>
      <c r="W570" s="340"/>
      <c r="X570" s="340"/>
      <c r="Y570" s="340"/>
      <c r="Z570" s="340"/>
      <c r="AA570" s="340"/>
      <c r="AB570" s="340"/>
      <c r="AC570" s="340"/>
    </row>
    <row r="571" spans="1:29">
      <c r="A571" s="340"/>
      <c r="B571" s="340"/>
      <c r="C571" s="340"/>
      <c r="D571" s="340"/>
      <c r="E571" s="340"/>
      <c r="F571" s="340"/>
      <c r="G571" s="340"/>
      <c r="H571" s="340"/>
      <c r="I571" s="340"/>
      <c r="J571" s="340"/>
      <c r="K571" s="340"/>
      <c r="L571" s="340"/>
      <c r="M571" s="340"/>
      <c r="N571" s="340"/>
      <c r="O571" s="340"/>
      <c r="P571" s="340"/>
      <c r="Q571" s="340"/>
      <c r="R571" s="340"/>
      <c r="S571" s="340"/>
      <c r="T571" s="340"/>
      <c r="U571" s="340"/>
      <c r="V571" s="340"/>
      <c r="W571" s="340"/>
      <c r="X571" s="340"/>
      <c r="Y571" s="340"/>
      <c r="Z571" s="340"/>
      <c r="AA571" s="340"/>
      <c r="AB571" s="340"/>
      <c r="AC571" s="340"/>
    </row>
    <row r="572" spans="1:29">
      <c r="A572" s="340"/>
      <c r="B572" s="340"/>
      <c r="C572" s="340"/>
      <c r="D572" s="340"/>
      <c r="E572" s="340"/>
      <c r="F572" s="340"/>
      <c r="G572" s="340"/>
      <c r="H572" s="340"/>
      <c r="I572" s="340"/>
      <c r="J572" s="340"/>
      <c r="K572" s="340"/>
      <c r="L572" s="340"/>
      <c r="M572" s="340"/>
      <c r="N572" s="340"/>
      <c r="O572" s="340"/>
      <c r="P572" s="340"/>
      <c r="Q572" s="340"/>
      <c r="R572" s="340"/>
      <c r="S572" s="340"/>
      <c r="T572" s="340"/>
      <c r="U572" s="340"/>
      <c r="V572" s="340"/>
      <c r="W572" s="340"/>
      <c r="X572" s="340"/>
      <c r="Y572" s="340"/>
      <c r="Z572" s="340"/>
      <c r="AA572" s="340"/>
      <c r="AB572" s="340"/>
      <c r="AC572" s="340"/>
    </row>
    <row r="573" spans="1:29">
      <c r="A573" s="340"/>
      <c r="B573" s="340"/>
      <c r="C573" s="340"/>
      <c r="D573" s="340"/>
      <c r="E573" s="340"/>
      <c r="F573" s="340"/>
      <c r="G573" s="340"/>
      <c r="H573" s="340"/>
      <c r="I573" s="340"/>
      <c r="J573" s="340"/>
      <c r="K573" s="340"/>
      <c r="L573" s="340"/>
      <c r="M573" s="340"/>
      <c r="N573" s="340"/>
      <c r="O573" s="340"/>
      <c r="P573" s="340"/>
      <c r="Q573" s="340"/>
      <c r="R573" s="340"/>
      <c r="S573" s="340"/>
      <c r="T573" s="340"/>
      <c r="U573" s="340"/>
      <c r="V573" s="340"/>
      <c r="W573" s="340"/>
      <c r="X573" s="340"/>
      <c r="Y573" s="340"/>
      <c r="Z573" s="340"/>
      <c r="AA573" s="340"/>
      <c r="AB573" s="340"/>
      <c r="AC573" s="340"/>
    </row>
    <row r="574" spans="1:29">
      <c r="A574" s="340"/>
      <c r="B574" s="340"/>
      <c r="C574" s="340"/>
      <c r="D574" s="340"/>
      <c r="E574" s="340"/>
      <c r="F574" s="340"/>
      <c r="G574" s="340"/>
      <c r="H574" s="340"/>
      <c r="I574" s="340"/>
      <c r="J574" s="340"/>
      <c r="K574" s="340"/>
      <c r="L574" s="340"/>
      <c r="M574" s="340"/>
      <c r="N574" s="340"/>
      <c r="O574" s="340"/>
      <c r="P574" s="340"/>
      <c r="Q574" s="340"/>
      <c r="R574" s="340"/>
      <c r="S574" s="340"/>
      <c r="T574" s="340"/>
      <c r="U574" s="340"/>
      <c r="V574" s="340"/>
      <c r="W574" s="340"/>
      <c r="X574" s="340"/>
      <c r="Y574" s="340"/>
      <c r="Z574" s="340"/>
      <c r="AA574" s="340"/>
      <c r="AB574" s="340"/>
      <c r="AC574" s="340"/>
    </row>
    <row r="575" spans="1:29">
      <c r="A575" s="340"/>
      <c r="B575" s="340"/>
      <c r="C575" s="340"/>
      <c r="D575" s="340"/>
      <c r="E575" s="340"/>
      <c r="F575" s="340"/>
      <c r="G575" s="340"/>
      <c r="H575" s="340"/>
      <c r="I575" s="340"/>
      <c r="J575" s="340"/>
      <c r="K575" s="340"/>
      <c r="L575" s="340"/>
      <c r="M575" s="340"/>
      <c r="N575" s="340"/>
      <c r="O575" s="340"/>
      <c r="P575" s="340"/>
      <c r="Q575" s="340"/>
      <c r="R575" s="340"/>
      <c r="S575" s="340"/>
      <c r="T575" s="340"/>
      <c r="U575" s="340"/>
      <c r="V575" s="340"/>
      <c r="W575" s="340"/>
      <c r="X575" s="340"/>
      <c r="Y575" s="340"/>
      <c r="Z575" s="340"/>
      <c r="AA575" s="340"/>
      <c r="AB575" s="340"/>
      <c r="AC575" s="340"/>
    </row>
    <row r="576" spans="1:29">
      <c r="A576" s="340"/>
      <c r="B576" s="340"/>
      <c r="C576" s="340"/>
      <c r="D576" s="340"/>
      <c r="E576" s="340"/>
      <c r="F576" s="340"/>
      <c r="G576" s="340"/>
      <c r="H576" s="340"/>
      <c r="I576" s="340"/>
      <c r="J576" s="340"/>
      <c r="K576" s="340"/>
      <c r="L576" s="340"/>
      <c r="M576" s="340"/>
      <c r="N576" s="340"/>
      <c r="O576" s="340"/>
      <c r="P576" s="340"/>
      <c r="Q576" s="340"/>
      <c r="R576" s="340"/>
      <c r="S576" s="340"/>
      <c r="T576" s="340"/>
      <c r="U576" s="340"/>
      <c r="V576" s="340"/>
      <c r="W576" s="340"/>
      <c r="X576" s="340"/>
      <c r="Y576" s="340"/>
      <c r="Z576" s="340"/>
      <c r="AA576" s="340"/>
      <c r="AB576" s="340"/>
      <c r="AC576" s="340"/>
    </row>
    <row r="577" spans="1:29">
      <c r="A577" s="340"/>
      <c r="B577" s="340"/>
      <c r="C577" s="340"/>
      <c r="D577" s="340"/>
      <c r="E577" s="340"/>
      <c r="F577" s="340"/>
      <c r="G577" s="340"/>
      <c r="H577" s="340"/>
      <c r="I577" s="340"/>
      <c r="J577" s="340"/>
      <c r="K577" s="340"/>
      <c r="L577" s="340"/>
      <c r="M577" s="340"/>
      <c r="N577" s="340"/>
      <c r="O577" s="340"/>
      <c r="P577" s="340"/>
      <c r="Q577" s="340"/>
      <c r="R577" s="340"/>
      <c r="S577" s="340"/>
      <c r="T577" s="340"/>
      <c r="U577" s="340"/>
      <c r="V577" s="340"/>
      <c r="W577" s="340"/>
      <c r="X577" s="340"/>
      <c r="Y577" s="340"/>
      <c r="Z577" s="340"/>
      <c r="AA577" s="340"/>
      <c r="AB577" s="340"/>
      <c r="AC577" s="340"/>
    </row>
    <row r="578" spans="1:29">
      <c r="A578" s="340"/>
      <c r="B578" s="340"/>
      <c r="C578" s="340"/>
      <c r="D578" s="340"/>
      <c r="E578" s="340"/>
      <c r="F578" s="340"/>
      <c r="G578" s="340"/>
      <c r="H578" s="340"/>
      <c r="I578" s="340"/>
      <c r="J578" s="340"/>
      <c r="K578" s="340"/>
      <c r="L578" s="340"/>
      <c r="M578" s="340"/>
      <c r="N578" s="340"/>
      <c r="O578" s="340"/>
      <c r="P578" s="340"/>
      <c r="Q578" s="340"/>
      <c r="R578" s="340"/>
      <c r="S578" s="340"/>
      <c r="T578" s="340"/>
      <c r="U578" s="340"/>
      <c r="V578" s="340"/>
      <c r="W578" s="340"/>
      <c r="X578" s="340"/>
      <c r="Y578" s="340"/>
      <c r="Z578" s="340"/>
      <c r="AA578" s="340"/>
      <c r="AB578" s="340"/>
      <c r="AC578" s="340"/>
    </row>
    <row r="579" spans="1:29">
      <c r="A579" s="340"/>
      <c r="B579" s="340"/>
      <c r="C579" s="340"/>
      <c r="D579" s="340"/>
      <c r="E579" s="340"/>
      <c r="F579" s="340"/>
      <c r="G579" s="340"/>
      <c r="H579" s="340"/>
      <c r="I579" s="340"/>
      <c r="J579" s="340"/>
      <c r="K579" s="340"/>
      <c r="L579" s="340"/>
      <c r="M579" s="340"/>
      <c r="N579" s="340"/>
      <c r="O579" s="340"/>
      <c r="P579" s="340"/>
      <c r="Q579" s="340"/>
      <c r="R579" s="340"/>
      <c r="S579" s="340"/>
      <c r="T579" s="340"/>
      <c r="U579" s="340"/>
      <c r="V579" s="340"/>
      <c r="W579" s="340"/>
      <c r="X579" s="340"/>
      <c r="Y579" s="340"/>
      <c r="Z579" s="340"/>
      <c r="AA579" s="340"/>
      <c r="AB579" s="340"/>
      <c r="AC579" s="340"/>
    </row>
    <row r="580" spans="1:29">
      <c r="A580" s="340"/>
      <c r="B580" s="340"/>
      <c r="C580" s="340"/>
      <c r="D580" s="340"/>
      <c r="E580" s="340"/>
      <c r="F580" s="340"/>
      <c r="G580" s="340"/>
      <c r="H580" s="340"/>
      <c r="I580" s="340"/>
      <c r="J580" s="340"/>
      <c r="K580" s="340"/>
      <c r="L580" s="340"/>
      <c r="M580" s="340"/>
      <c r="N580" s="340"/>
      <c r="O580" s="340"/>
      <c r="P580" s="340"/>
      <c r="Q580" s="340"/>
      <c r="R580" s="340"/>
      <c r="S580" s="340"/>
      <c r="T580" s="340"/>
      <c r="U580" s="340"/>
      <c r="V580" s="340"/>
      <c r="W580" s="340"/>
      <c r="X580" s="340"/>
      <c r="Y580" s="340"/>
      <c r="Z580" s="340"/>
      <c r="AA580" s="340"/>
      <c r="AB580" s="340"/>
      <c r="AC580" s="340"/>
    </row>
    <row r="581" spans="1:29">
      <c r="A581" s="340"/>
      <c r="B581" s="340"/>
      <c r="C581" s="340"/>
      <c r="D581" s="340"/>
      <c r="E581" s="340"/>
      <c r="F581" s="340"/>
      <c r="G581" s="340"/>
      <c r="H581" s="340"/>
      <c r="I581" s="340"/>
      <c r="J581" s="340"/>
      <c r="K581" s="340"/>
      <c r="L581" s="340"/>
      <c r="M581" s="340"/>
      <c r="N581" s="340"/>
      <c r="O581" s="340"/>
      <c r="P581" s="340"/>
      <c r="Q581" s="340"/>
      <c r="R581" s="340"/>
      <c r="S581" s="340"/>
      <c r="T581" s="340"/>
      <c r="U581" s="340"/>
      <c r="V581" s="340"/>
      <c r="W581" s="340"/>
      <c r="X581" s="340"/>
      <c r="Y581" s="340"/>
      <c r="Z581" s="340"/>
      <c r="AA581" s="340"/>
      <c r="AB581" s="340"/>
      <c r="AC581" s="340"/>
    </row>
    <row r="582" spans="1:29">
      <c r="A582" s="340"/>
      <c r="B582" s="340"/>
      <c r="C582" s="340"/>
      <c r="D582" s="340"/>
      <c r="E582" s="340"/>
      <c r="F582" s="340"/>
      <c r="G582" s="340"/>
      <c r="H582" s="340"/>
      <c r="I582" s="340"/>
      <c r="J582" s="340"/>
      <c r="K582" s="340"/>
      <c r="L582" s="340"/>
      <c r="M582" s="340"/>
      <c r="N582" s="340"/>
      <c r="O582" s="340"/>
      <c r="P582" s="340"/>
      <c r="Q582" s="340"/>
      <c r="R582" s="340"/>
      <c r="S582" s="340"/>
      <c r="T582" s="340"/>
      <c r="U582" s="340"/>
      <c r="V582" s="340"/>
      <c r="W582" s="340"/>
      <c r="X582" s="340"/>
      <c r="Y582" s="340"/>
      <c r="Z582" s="340"/>
      <c r="AA582" s="340"/>
      <c r="AB582" s="340"/>
      <c r="AC582" s="340"/>
    </row>
    <row r="583" spans="1:29">
      <c r="A583" s="340"/>
      <c r="B583" s="340"/>
      <c r="C583" s="340"/>
      <c r="D583" s="340"/>
      <c r="E583" s="340"/>
      <c r="F583" s="340"/>
      <c r="G583" s="340"/>
      <c r="H583" s="340"/>
      <c r="I583" s="340"/>
      <c r="J583" s="340"/>
      <c r="K583" s="340"/>
      <c r="L583" s="340"/>
      <c r="M583" s="340"/>
      <c r="N583" s="340"/>
      <c r="O583" s="340"/>
      <c r="P583" s="340"/>
      <c r="Q583" s="340"/>
      <c r="R583" s="340"/>
      <c r="S583" s="340"/>
      <c r="T583" s="340"/>
      <c r="U583" s="340"/>
      <c r="V583" s="340"/>
      <c r="W583" s="340"/>
      <c r="X583" s="340"/>
      <c r="Y583" s="340"/>
      <c r="Z583" s="340"/>
      <c r="AA583" s="340"/>
      <c r="AB583" s="340"/>
      <c r="AC583" s="340"/>
    </row>
    <row r="584" spans="1:29">
      <c r="A584" s="340"/>
      <c r="B584" s="340"/>
      <c r="C584" s="340"/>
      <c r="D584" s="340"/>
      <c r="E584" s="340"/>
      <c r="F584" s="340"/>
      <c r="G584" s="340"/>
      <c r="H584" s="340"/>
      <c r="I584" s="340"/>
      <c r="J584" s="340"/>
      <c r="K584" s="340"/>
      <c r="L584" s="340"/>
      <c r="M584" s="340"/>
      <c r="N584" s="340"/>
      <c r="O584" s="340"/>
      <c r="P584" s="340"/>
      <c r="Q584" s="340"/>
      <c r="R584" s="340"/>
      <c r="S584" s="340"/>
      <c r="T584" s="340"/>
      <c r="U584" s="340"/>
      <c r="V584" s="340"/>
      <c r="W584" s="340"/>
      <c r="X584" s="340"/>
      <c r="Y584" s="340"/>
      <c r="Z584" s="340"/>
      <c r="AA584" s="340"/>
      <c r="AB584" s="340"/>
      <c r="AC584" s="340"/>
    </row>
    <row r="585" spans="1:29">
      <c r="A585" s="340"/>
      <c r="B585" s="340"/>
      <c r="C585" s="340"/>
      <c r="D585" s="340"/>
      <c r="E585" s="340"/>
      <c r="F585" s="340"/>
      <c r="G585" s="340"/>
      <c r="H585" s="340"/>
      <c r="I585" s="340"/>
      <c r="J585" s="340"/>
      <c r="K585" s="340"/>
      <c r="L585" s="340"/>
      <c r="M585" s="340"/>
      <c r="N585" s="340"/>
      <c r="O585" s="340"/>
      <c r="P585" s="340"/>
      <c r="Q585" s="340"/>
      <c r="R585" s="340"/>
      <c r="S585" s="340"/>
      <c r="T585" s="340"/>
      <c r="U585" s="340"/>
      <c r="V585" s="340"/>
      <c r="W585" s="340"/>
      <c r="X585" s="340"/>
      <c r="Y585" s="340"/>
      <c r="Z585" s="340"/>
      <c r="AA585" s="340"/>
      <c r="AB585" s="340"/>
      <c r="AC585" s="340"/>
    </row>
    <row r="586" spans="1:29">
      <c r="A586" s="340"/>
      <c r="B586" s="340"/>
      <c r="C586" s="340"/>
      <c r="D586" s="340"/>
      <c r="E586" s="340"/>
      <c r="F586" s="340"/>
      <c r="G586" s="340"/>
      <c r="H586" s="340"/>
      <c r="I586" s="340"/>
      <c r="J586" s="340"/>
      <c r="K586" s="340"/>
      <c r="L586" s="340"/>
      <c r="M586" s="340"/>
      <c r="N586" s="340"/>
      <c r="O586" s="340"/>
      <c r="P586" s="340"/>
      <c r="Q586" s="340"/>
      <c r="R586" s="340"/>
      <c r="S586" s="340"/>
      <c r="T586" s="340"/>
      <c r="U586" s="340"/>
      <c r="V586" s="340"/>
      <c r="W586" s="340"/>
      <c r="X586" s="340"/>
      <c r="Y586" s="340"/>
      <c r="Z586" s="340"/>
      <c r="AA586" s="340"/>
      <c r="AB586" s="340"/>
      <c r="AC586" s="340"/>
    </row>
    <row r="587" spans="1:29">
      <c r="A587" s="340"/>
      <c r="B587" s="340"/>
      <c r="C587" s="340"/>
      <c r="D587" s="340"/>
      <c r="E587" s="340"/>
      <c r="F587" s="340"/>
      <c r="G587" s="340"/>
      <c r="H587" s="340"/>
      <c r="I587" s="340"/>
      <c r="J587" s="340"/>
      <c r="K587" s="340"/>
      <c r="L587" s="340"/>
      <c r="M587" s="340"/>
      <c r="N587" s="340"/>
      <c r="O587" s="340"/>
      <c r="P587" s="340"/>
      <c r="Q587" s="340"/>
      <c r="R587" s="340"/>
      <c r="S587" s="340"/>
      <c r="T587" s="340"/>
      <c r="U587" s="340"/>
      <c r="V587" s="340"/>
      <c r="W587" s="340"/>
      <c r="X587" s="340"/>
      <c r="Y587" s="340"/>
      <c r="Z587" s="340"/>
      <c r="AA587" s="340"/>
      <c r="AB587" s="340"/>
      <c r="AC587" s="340"/>
    </row>
    <row r="588" spans="1:29">
      <c r="A588" s="340"/>
      <c r="B588" s="340"/>
      <c r="C588" s="340"/>
      <c r="D588" s="340"/>
      <c r="E588" s="340"/>
      <c r="F588" s="340"/>
      <c r="G588" s="340"/>
      <c r="H588" s="340"/>
      <c r="I588" s="340"/>
      <c r="J588" s="340"/>
      <c r="K588" s="340"/>
      <c r="L588" s="340"/>
      <c r="M588" s="340"/>
      <c r="N588" s="340"/>
      <c r="O588" s="340"/>
      <c r="P588" s="340"/>
      <c r="Q588" s="340"/>
      <c r="R588" s="340"/>
      <c r="S588" s="340"/>
      <c r="T588" s="340"/>
      <c r="U588" s="340"/>
      <c r="V588" s="340"/>
      <c r="W588" s="340"/>
      <c r="X588" s="340"/>
      <c r="Y588" s="340"/>
      <c r="Z588" s="340"/>
      <c r="AA588" s="340"/>
      <c r="AB588" s="340"/>
      <c r="AC588" s="340"/>
    </row>
    <row r="589" spans="1:29">
      <c r="A589" s="340"/>
      <c r="B589" s="340"/>
      <c r="C589" s="340"/>
      <c r="D589" s="340"/>
      <c r="E589" s="340"/>
      <c r="F589" s="340"/>
      <c r="G589" s="340"/>
      <c r="H589" s="340"/>
      <c r="I589" s="340"/>
      <c r="J589" s="340"/>
      <c r="K589" s="340"/>
      <c r="L589" s="340"/>
      <c r="M589" s="340"/>
      <c r="N589" s="340"/>
      <c r="O589" s="340"/>
      <c r="P589" s="340"/>
      <c r="Q589" s="340"/>
      <c r="R589" s="340"/>
      <c r="S589" s="340"/>
      <c r="T589" s="340"/>
      <c r="U589" s="340"/>
      <c r="V589" s="340"/>
      <c r="W589" s="340"/>
      <c r="X589" s="340"/>
      <c r="Y589" s="340"/>
      <c r="Z589" s="340"/>
      <c r="AA589" s="340"/>
      <c r="AB589" s="340"/>
      <c r="AC589" s="340"/>
    </row>
    <row r="590" spans="1:29">
      <c r="A590" s="340"/>
      <c r="B590" s="340"/>
      <c r="C590" s="340"/>
      <c r="D590" s="340"/>
      <c r="E590" s="340"/>
      <c r="F590" s="340"/>
      <c r="G590" s="340"/>
      <c r="H590" s="340"/>
      <c r="I590" s="340"/>
      <c r="J590" s="340"/>
      <c r="K590" s="340"/>
      <c r="L590" s="340"/>
      <c r="M590" s="340"/>
      <c r="N590" s="340"/>
      <c r="O590" s="340"/>
      <c r="P590" s="340"/>
      <c r="Q590" s="340"/>
      <c r="R590" s="340"/>
      <c r="S590" s="340"/>
      <c r="T590" s="340"/>
      <c r="U590" s="340"/>
      <c r="V590" s="340"/>
      <c r="W590" s="340"/>
      <c r="X590" s="340"/>
      <c r="Y590" s="340"/>
      <c r="Z590" s="340"/>
      <c r="AA590" s="340"/>
      <c r="AB590" s="340"/>
      <c r="AC590" s="340"/>
    </row>
    <row r="591" spans="1:29">
      <c r="A591" s="340"/>
      <c r="B591" s="340"/>
      <c r="C591" s="340"/>
      <c r="D591" s="340"/>
      <c r="E591" s="340"/>
      <c r="F591" s="340"/>
      <c r="G591" s="340"/>
      <c r="H591" s="340"/>
      <c r="I591" s="340"/>
      <c r="J591" s="340"/>
      <c r="K591" s="340"/>
      <c r="L591" s="340"/>
      <c r="M591" s="340"/>
      <c r="N591" s="340"/>
      <c r="O591" s="340"/>
      <c r="P591" s="340"/>
      <c r="Q591" s="340"/>
      <c r="R591" s="340"/>
      <c r="S591" s="340"/>
      <c r="T591" s="340"/>
      <c r="U591" s="340"/>
      <c r="V591" s="340"/>
      <c r="W591" s="340"/>
      <c r="X591" s="340"/>
      <c r="Y591" s="340"/>
      <c r="Z591" s="340"/>
      <c r="AA591" s="340"/>
      <c r="AB591" s="340"/>
      <c r="AC591" s="340"/>
    </row>
    <row r="592" spans="1:29">
      <c r="A592" s="340"/>
      <c r="B592" s="340"/>
      <c r="C592" s="340"/>
      <c r="D592" s="340"/>
      <c r="E592" s="340"/>
      <c r="F592" s="340"/>
      <c r="G592" s="340"/>
      <c r="H592" s="340"/>
      <c r="I592" s="340"/>
      <c r="J592" s="340"/>
      <c r="K592" s="340"/>
      <c r="L592" s="340"/>
      <c r="M592" s="340"/>
      <c r="N592" s="340"/>
      <c r="O592" s="340"/>
      <c r="P592" s="340"/>
      <c r="Q592" s="340"/>
      <c r="R592" s="340"/>
      <c r="S592" s="340"/>
      <c r="T592" s="340"/>
      <c r="U592" s="340"/>
      <c r="V592" s="340"/>
      <c r="W592" s="340"/>
      <c r="X592" s="340"/>
      <c r="Y592" s="340"/>
      <c r="Z592" s="340"/>
      <c r="AA592" s="340"/>
      <c r="AB592" s="340"/>
      <c r="AC592" s="340"/>
    </row>
    <row r="593" spans="1:29">
      <c r="A593" s="340"/>
      <c r="B593" s="340"/>
      <c r="C593" s="340"/>
      <c r="D593" s="340"/>
      <c r="E593" s="340"/>
      <c r="F593" s="340"/>
      <c r="G593" s="340"/>
      <c r="H593" s="340"/>
      <c r="I593" s="340"/>
      <c r="J593" s="340"/>
      <c r="K593" s="340"/>
      <c r="L593" s="340"/>
      <c r="M593" s="340"/>
      <c r="N593" s="340"/>
      <c r="O593" s="340"/>
      <c r="P593" s="340"/>
      <c r="Q593" s="340"/>
      <c r="R593" s="340"/>
      <c r="S593" s="340"/>
      <c r="T593" s="340"/>
      <c r="U593" s="340"/>
      <c r="V593" s="340"/>
      <c r="W593" s="340"/>
      <c r="X593" s="340"/>
      <c r="Y593" s="340"/>
      <c r="Z593" s="340"/>
      <c r="AA593" s="340"/>
      <c r="AB593" s="340"/>
      <c r="AC593" s="340"/>
    </row>
    <row r="594" spans="1:29">
      <c r="A594" s="340"/>
      <c r="B594" s="340"/>
      <c r="C594" s="340"/>
      <c r="D594" s="340"/>
      <c r="E594" s="340"/>
      <c r="F594" s="340"/>
      <c r="G594" s="340"/>
      <c r="H594" s="340"/>
      <c r="I594" s="340"/>
      <c r="J594" s="340"/>
      <c r="K594" s="340"/>
      <c r="L594" s="340"/>
      <c r="M594" s="340"/>
      <c r="N594" s="340"/>
      <c r="O594" s="340"/>
      <c r="P594" s="340"/>
      <c r="Q594" s="340"/>
      <c r="R594" s="340"/>
      <c r="S594" s="340"/>
      <c r="T594" s="340"/>
      <c r="U594" s="340"/>
      <c r="V594" s="340"/>
      <c r="W594" s="340"/>
      <c r="X594" s="340"/>
      <c r="Y594" s="340"/>
      <c r="Z594" s="340"/>
      <c r="AA594" s="340"/>
      <c r="AB594" s="340"/>
      <c r="AC594" s="340"/>
    </row>
    <row r="595" spans="1:29">
      <c r="A595" s="340"/>
      <c r="B595" s="340"/>
      <c r="C595" s="340"/>
      <c r="D595" s="340"/>
      <c r="E595" s="340"/>
      <c r="F595" s="340"/>
      <c r="G595" s="340"/>
      <c r="H595" s="340"/>
      <c r="I595" s="340"/>
      <c r="J595" s="340"/>
      <c r="K595" s="340"/>
      <c r="L595" s="340"/>
      <c r="M595" s="340"/>
      <c r="N595" s="340"/>
      <c r="O595" s="340"/>
      <c r="P595" s="340"/>
      <c r="Q595" s="340"/>
      <c r="R595" s="340"/>
      <c r="S595" s="340"/>
      <c r="T595" s="340"/>
      <c r="U595" s="340"/>
      <c r="V595" s="340"/>
      <c r="W595" s="340"/>
      <c r="X595" s="340"/>
      <c r="Y595" s="340"/>
      <c r="Z595" s="340"/>
      <c r="AA595" s="340"/>
      <c r="AB595" s="340"/>
      <c r="AC595" s="340"/>
    </row>
    <row r="596" spans="1:29">
      <c r="A596" s="340"/>
      <c r="B596" s="340"/>
      <c r="C596" s="340"/>
      <c r="D596" s="340"/>
      <c r="E596" s="340"/>
      <c r="F596" s="340"/>
      <c r="G596" s="340"/>
      <c r="H596" s="340"/>
      <c r="I596" s="340"/>
      <c r="J596" s="340"/>
      <c r="K596" s="340"/>
      <c r="L596" s="340"/>
      <c r="M596" s="340"/>
      <c r="N596" s="340"/>
      <c r="O596" s="340"/>
      <c r="P596" s="340"/>
      <c r="Q596" s="340"/>
      <c r="R596" s="340"/>
      <c r="S596" s="340"/>
      <c r="T596" s="340"/>
      <c r="U596" s="340"/>
      <c r="V596" s="340"/>
      <c r="W596" s="340"/>
      <c r="X596" s="340"/>
      <c r="Y596" s="340"/>
      <c r="Z596" s="340"/>
      <c r="AA596" s="340"/>
      <c r="AB596" s="340"/>
      <c r="AC596" s="340"/>
    </row>
    <row r="597" spans="1:29">
      <c r="A597" s="340"/>
      <c r="B597" s="340"/>
      <c r="C597" s="340"/>
      <c r="D597" s="340"/>
      <c r="E597" s="340"/>
      <c r="F597" s="340"/>
      <c r="G597" s="340"/>
      <c r="H597" s="340"/>
      <c r="I597" s="340"/>
      <c r="J597" s="340"/>
      <c r="K597" s="340"/>
      <c r="L597" s="340"/>
      <c r="M597" s="340"/>
      <c r="N597" s="340"/>
      <c r="O597" s="340"/>
      <c r="P597" s="340"/>
      <c r="Q597" s="340"/>
      <c r="R597" s="340"/>
      <c r="S597" s="340"/>
      <c r="T597" s="340"/>
      <c r="U597" s="340"/>
      <c r="V597" s="340"/>
      <c r="W597" s="340"/>
      <c r="X597" s="340"/>
      <c r="Y597" s="340"/>
      <c r="Z597" s="340"/>
      <c r="AA597" s="340"/>
      <c r="AB597" s="340"/>
      <c r="AC597" s="340"/>
    </row>
    <row r="598" spans="1:29">
      <c r="A598" s="340"/>
      <c r="B598" s="340"/>
      <c r="C598" s="340"/>
      <c r="D598" s="340"/>
      <c r="E598" s="340"/>
      <c r="F598" s="340"/>
      <c r="G598" s="340"/>
      <c r="H598" s="340"/>
      <c r="I598" s="340"/>
      <c r="J598" s="340"/>
      <c r="K598" s="340"/>
      <c r="L598" s="340"/>
      <c r="M598" s="340"/>
      <c r="N598" s="340"/>
      <c r="O598" s="340"/>
      <c r="P598" s="340"/>
      <c r="Q598" s="340"/>
      <c r="R598" s="340"/>
      <c r="S598" s="340"/>
      <c r="T598" s="340"/>
      <c r="U598" s="340"/>
      <c r="V598" s="340"/>
      <c r="W598" s="340"/>
      <c r="X598" s="340"/>
      <c r="Y598" s="340"/>
      <c r="Z598" s="340"/>
      <c r="AA598" s="340"/>
      <c r="AB598" s="340"/>
      <c r="AC598" s="340"/>
    </row>
    <row r="599" spans="1:29">
      <c r="A599" s="340"/>
      <c r="B599" s="340"/>
      <c r="C599" s="340"/>
      <c r="D599" s="340"/>
      <c r="E599" s="340"/>
      <c r="F599" s="340"/>
      <c r="G599" s="340"/>
      <c r="H599" s="340"/>
      <c r="I599" s="340"/>
      <c r="J599" s="340"/>
      <c r="K599" s="340"/>
      <c r="L599" s="340"/>
      <c r="M599" s="340"/>
      <c r="N599" s="340"/>
      <c r="O599" s="340"/>
      <c r="P599" s="340"/>
      <c r="Q599" s="340"/>
      <c r="R599" s="340"/>
      <c r="S599" s="340"/>
      <c r="T599" s="340"/>
      <c r="U599" s="340"/>
      <c r="V599" s="340"/>
      <c r="W599" s="340"/>
      <c r="X599" s="340"/>
      <c r="Y599" s="340"/>
      <c r="Z599" s="340"/>
      <c r="AA599" s="340"/>
      <c r="AB599" s="340"/>
      <c r="AC599" s="340"/>
    </row>
    <row r="600" spans="1:29">
      <c r="A600" s="340"/>
      <c r="B600" s="340"/>
      <c r="C600" s="340"/>
      <c r="D600" s="340"/>
      <c r="E600" s="340"/>
      <c r="F600" s="340"/>
      <c r="G600" s="340"/>
      <c r="H600" s="340"/>
      <c r="I600" s="340"/>
      <c r="J600" s="340"/>
      <c r="K600" s="340"/>
      <c r="L600" s="340"/>
      <c r="M600" s="340"/>
      <c r="N600" s="340"/>
      <c r="O600" s="340"/>
      <c r="P600" s="340"/>
      <c r="Q600" s="340"/>
      <c r="R600" s="340"/>
      <c r="S600" s="340"/>
      <c r="T600" s="340"/>
      <c r="U600" s="340"/>
      <c r="V600" s="340"/>
      <c r="W600" s="340"/>
      <c r="X600" s="340"/>
      <c r="Y600" s="340"/>
      <c r="Z600" s="340"/>
      <c r="AA600" s="340"/>
      <c r="AB600" s="340"/>
      <c r="AC600" s="340"/>
    </row>
    <row r="601" spans="1:29">
      <c r="A601" s="340"/>
      <c r="B601" s="340"/>
      <c r="C601" s="340"/>
      <c r="D601" s="340"/>
      <c r="E601" s="340"/>
      <c r="F601" s="340"/>
      <c r="G601" s="340"/>
      <c r="H601" s="340"/>
      <c r="I601" s="340"/>
      <c r="J601" s="340"/>
      <c r="K601" s="340"/>
      <c r="L601" s="340"/>
      <c r="M601" s="340"/>
      <c r="N601" s="340"/>
      <c r="O601" s="340"/>
      <c r="P601" s="340"/>
      <c r="Q601" s="340"/>
      <c r="R601" s="340"/>
      <c r="S601" s="340"/>
      <c r="T601" s="340"/>
      <c r="U601" s="340"/>
      <c r="V601" s="340"/>
      <c r="W601" s="340"/>
      <c r="X601" s="340"/>
      <c r="Y601" s="340"/>
      <c r="Z601" s="340"/>
      <c r="AA601" s="340"/>
      <c r="AB601" s="340"/>
      <c r="AC601" s="340"/>
    </row>
    <row r="602" spans="1:29">
      <c r="A602" s="340"/>
      <c r="B602" s="340"/>
      <c r="C602" s="340"/>
      <c r="D602" s="340"/>
      <c r="E602" s="340"/>
      <c r="F602" s="340"/>
      <c r="G602" s="340"/>
      <c r="H602" s="340"/>
      <c r="I602" s="340"/>
      <c r="J602" s="340"/>
      <c r="K602" s="340"/>
      <c r="L602" s="340"/>
      <c r="M602" s="340"/>
      <c r="N602" s="340"/>
      <c r="O602" s="340"/>
      <c r="P602" s="340"/>
      <c r="Q602" s="340"/>
      <c r="R602" s="340"/>
      <c r="S602" s="340"/>
      <c r="T602" s="340"/>
      <c r="U602" s="340"/>
      <c r="V602" s="340"/>
      <c r="W602" s="340"/>
      <c r="X602" s="340"/>
      <c r="Y602" s="340"/>
      <c r="Z602" s="340"/>
      <c r="AA602" s="340"/>
      <c r="AB602" s="340"/>
      <c r="AC602" s="340"/>
    </row>
    <row r="603" spans="1:29">
      <c r="A603" s="340"/>
      <c r="B603" s="340"/>
      <c r="C603" s="340"/>
      <c r="D603" s="340"/>
      <c r="E603" s="340"/>
      <c r="F603" s="340"/>
      <c r="G603" s="340"/>
      <c r="H603" s="340"/>
      <c r="I603" s="340"/>
      <c r="J603" s="340"/>
      <c r="K603" s="340"/>
      <c r="L603" s="340"/>
      <c r="M603" s="340"/>
      <c r="N603" s="340"/>
      <c r="O603" s="340"/>
      <c r="P603" s="340"/>
      <c r="Q603" s="340"/>
      <c r="R603" s="340"/>
      <c r="S603" s="340"/>
      <c r="T603" s="340"/>
      <c r="U603" s="340"/>
      <c r="V603" s="340"/>
      <c r="W603" s="340"/>
      <c r="X603" s="340"/>
      <c r="Y603" s="340"/>
      <c r="Z603" s="340"/>
      <c r="AA603" s="340"/>
      <c r="AB603" s="340"/>
      <c r="AC603" s="340"/>
    </row>
    <row r="604" spans="1:29">
      <c r="A604" s="340"/>
      <c r="B604" s="340"/>
      <c r="C604" s="340"/>
      <c r="D604" s="340"/>
      <c r="E604" s="340"/>
      <c r="F604" s="340"/>
      <c r="G604" s="340"/>
      <c r="H604" s="340"/>
      <c r="I604" s="340"/>
      <c r="J604" s="340"/>
      <c r="K604" s="340"/>
      <c r="L604" s="340"/>
      <c r="M604" s="340"/>
      <c r="N604" s="340"/>
      <c r="O604" s="340"/>
      <c r="P604" s="340"/>
      <c r="Q604" s="340"/>
      <c r="R604" s="340"/>
      <c r="S604" s="340"/>
      <c r="T604" s="340"/>
      <c r="U604" s="340"/>
      <c r="V604" s="340"/>
      <c r="W604" s="340"/>
      <c r="X604" s="340"/>
      <c r="Y604" s="340"/>
      <c r="Z604" s="340"/>
      <c r="AA604" s="340"/>
      <c r="AB604" s="340"/>
      <c r="AC604" s="340"/>
    </row>
    <row r="605" spans="1:29">
      <c r="A605" s="340"/>
      <c r="B605" s="340"/>
      <c r="C605" s="340"/>
      <c r="D605" s="340"/>
      <c r="E605" s="340"/>
      <c r="F605" s="340"/>
      <c r="G605" s="340"/>
      <c r="H605" s="340"/>
      <c r="I605" s="340"/>
      <c r="J605" s="340"/>
      <c r="K605" s="340"/>
      <c r="L605" s="340"/>
      <c r="M605" s="340"/>
      <c r="N605" s="340"/>
      <c r="O605" s="340"/>
      <c r="P605" s="340"/>
      <c r="Q605" s="340"/>
      <c r="R605" s="340"/>
      <c r="S605" s="340"/>
      <c r="T605" s="340"/>
      <c r="U605" s="340"/>
      <c r="V605" s="340"/>
      <c r="W605" s="340"/>
      <c r="X605" s="340"/>
      <c r="Y605" s="340"/>
      <c r="Z605" s="340"/>
      <c r="AA605" s="340"/>
      <c r="AB605" s="340"/>
      <c r="AC605" s="340"/>
    </row>
    <row r="606" spans="1:29">
      <c r="A606" s="340"/>
      <c r="B606" s="340"/>
      <c r="C606" s="340"/>
      <c r="D606" s="340"/>
      <c r="E606" s="340"/>
      <c r="F606" s="340"/>
      <c r="G606" s="340"/>
      <c r="H606" s="340"/>
      <c r="I606" s="340"/>
      <c r="J606" s="340"/>
      <c r="K606" s="340"/>
      <c r="L606" s="340"/>
      <c r="M606" s="340"/>
      <c r="N606" s="340"/>
      <c r="O606" s="340"/>
      <c r="P606" s="340"/>
      <c r="Q606" s="340"/>
      <c r="R606" s="340"/>
      <c r="S606" s="340"/>
      <c r="T606" s="340"/>
      <c r="U606" s="340"/>
      <c r="V606" s="340"/>
      <c r="W606" s="340"/>
      <c r="X606" s="340"/>
      <c r="Y606" s="340"/>
      <c r="Z606" s="340"/>
      <c r="AA606" s="340"/>
      <c r="AB606" s="340"/>
      <c r="AC606" s="340"/>
    </row>
    <row r="607" spans="1:29">
      <c r="A607" s="340"/>
      <c r="B607" s="340"/>
      <c r="C607" s="340"/>
      <c r="D607" s="340"/>
      <c r="E607" s="340"/>
      <c r="F607" s="340"/>
      <c r="G607" s="340"/>
      <c r="H607" s="340"/>
      <c r="I607" s="340"/>
      <c r="J607" s="340"/>
      <c r="K607" s="340"/>
      <c r="L607" s="340"/>
      <c r="M607" s="340"/>
      <c r="N607" s="340"/>
      <c r="O607" s="340"/>
      <c r="P607" s="340"/>
      <c r="Q607" s="340"/>
      <c r="R607" s="340"/>
      <c r="S607" s="340"/>
      <c r="T607" s="340"/>
      <c r="U607" s="340"/>
      <c r="V607" s="340"/>
      <c r="W607" s="340"/>
      <c r="X607" s="340"/>
      <c r="Y607" s="340"/>
      <c r="Z607" s="340"/>
      <c r="AA607" s="340"/>
      <c r="AB607" s="340"/>
      <c r="AC607" s="340"/>
    </row>
    <row r="608" spans="1:29">
      <c r="A608" s="340"/>
      <c r="B608" s="340"/>
      <c r="C608" s="340"/>
      <c r="D608" s="340"/>
      <c r="E608" s="340"/>
      <c r="F608" s="340"/>
      <c r="G608" s="340"/>
      <c r="H608" s="340"/>
      <c r="I608" s="340"/>
      <c r="J608" s="340"/>
      <c r="K608" s="340"/>
      <c r="L608" s="340"/>
      <c r="M608" s="340"/>
      <c r="N608" s="340"/>
      <c r="O608" s="340"/>
      <c r="P608" s="340"/>
      <c r="Q608" s="340"/>
      <c r="R608" s="340"/>
      <c r="S608" s="340"/>
      <c r="T608" s="340"/>
      <c r="U608" s="340"/>
      <c r="V608" s="340"/>
      <c r="W608" s="340"/>
      <c r="X608" s="340"/>
      <c r="Y608" s="340"/>
      <c r="Z608" s="340"/>
      <c r="AA608" s="340"/>
      <c r="AB608" s="340"/>
      <c r="AC608" s="340"/>
    </row>
    <row r="609" spans="1:29">
      <c r="A609" s="340"/>
      <c r="B609" s="340"/>
      <c r="C609" s="340"/>
      <c r="D609" s="340"/>
      <c r="E609" s="340"/>
      <c r="F609" s="340"/>
      <c r="G609" s="340"/>
      <c r="H609" s="340"/>
      <c r="I609" s="340"/>
      <c r="J609" s="340"/>
      <c r="K609" s="340"/>
      <c r="L609" s="340"/>
      <c r="M609" s="340"/>
      <c r="N609" s="340"/>
      <c r="O609" s="340"/>
      <c r="P609" s="340"/>
      <c r="Q609" s="340"/>
      <c r="R609" s="340"/>
      <c r="S609" s="340"/>
      <c r="T609" s="340"/>
      <c r="U609" s="340"/>
      <c r="V609" s="340"/>
      <c r="W609" s="340"/>
      <c r="X609" s="340"/>
      <c r="Y609" s="340"/>
      <c r="Z609" s="340"/>
      <c r="AA609" s="340"/>
      <c r="AB609" s="340"/>
      <c r="AC609" s="340"/>
    </row>
    <row r="610" spans="1:29">
      <c r="A610" s="340"/>
      <c r="B610" s="340"/>
      <c r="C610" s="340"/>
      <c r="D610" s="340"/>
      <c r="E610" s="340"/>
      <c r="F610" s="340"/>
      <c r="G610" s="340"/>
      <c r="H610" s="340"/>
      <c r="I610" s="340"/>
      <c r="J610" s="340"/>
      <c r="K610" s="340"/>
      <c r="L610" s="340"/>
      <c r="M610" s="340"/>
      <c r="N610" s="340"/>
      <c r="O610" s="340"/>
      <c r="P610" s="340"/>
      <c r="Q610" s="340"/>
      <c r="R610" s="340"/>
      <c r="S610" s="340"/>
      <c r="T610" s="340"/>
      <c r="U610" s="340"/>
      <c r="V610" s="340"/>
      <c r="W610" s="340"/>
      <c r="X610" s="340"/>
      <c r="Y610" s="340"/>
      <c r="Z610" s="340"/>
      <c r="AA610" s="340"/>
      <c r="AB610" s="340"/>
      <c r="AC610" s="340"/>
    </row>
    <row r="611" spans="1:29">
      <c r="A611" s="340"/>
      <c r="B611" s="340"/>
      <c r="C611" s="340"/>
      <c r="D611" s="340"/>
      <c r="E611" s="340"/>
      <c r="F611" s="340"/>
      <c r="G611" s="340"/>
      <c r="H611" s="340"/>
      <c r="I611" s="340"/>
      <c r="J611" s="340"/>
      <c r="K611" s="340"/>
      <c r="L611" s="340"/>
      <c r="M611" s="340"/>
      <c r="N611" s="340"/>
      <c r="O611" s="340"/>
      <c r="P611" s="340"/>
      <c r="Q611" s="340"/>
      <c r="R611" s="340"/>
      <c r="S611" s="340"/>
      <c r="T611" s="340"/>
      <c r="U611" s="340"/>
      <c r="V611" s="340"/>
      <c r="W611" s="340"/>
      <c r="X611" s="340"/>
      <c r="Y611" s="340"/>
      <c r="Z611" s="340"/>
      <c r="AA611" s="340"/>
      <c r="AB611" s="340"/>
      <c r="AC611" s="340"/>
    </row>
    <row r="612" spans="1:29">
      <c r="A612" s="340"/>
      <c r="B612" s="340"/>
      <c r="C612" s="340"/>
      <c r="D612" s="340"/>
      <c r="E612" s="340"/>
      <c r="F612" s="340"/>
      <c r="G612" s="340"/>
      <c r="H612" s="340"/>
      <c r="I612" s="340"/>
      <c r="J612" s="340"/>
      <c r="K612" s="340"/>
      <c r="L612" s="340"/>
      <c r="M612" s="340"/>
      <c r="N612" s="340"/>
      <c r="O612" s="340"/>
      <c r="P612" s="340"/>
      <c r="Q612" s="340"/>
      <c r="R612" s="340"/>
      <c r="S612" s="340"/>
      <c r="T612" s="340"/>
      <c r="U612" s="340"/>
      <c r="V612" s="340"/>
      <c r="W612" s="340"/>
      <c r="X612" s="340"/>
      <c r="Y612" s="340"/>
      <c r="Z612" s="340"/>
      <c r="AA612" s="340"/>
      <c r="AB612" s="340"/>
      <c r="AC612" s="340"/>
    </row>
    <row r="613" spans="1:29">
      <c r="A613" s="340"/>
      <c r="B613" s="340"/>
      <c r="C613" s="340"/>
      <c r="D613" s="340"/>
      <c r="E613" s="340"/>
      <c r="F613" s="340"/>
      <c r="G613" s="340"/>
      <c r="H613" s="340"/>
      <c r="I613" s="340"/>
      <c r="J613" s="340"/>
      <c r="K613" s="340"/>
      <c r="L613" s="340"/>
      <c r="M613" s="340"/>
      <c r="N613" s="340"/>
      <c r="O613" s="340"/>
      <c r="P613" s="340"/>
      <c r="Q613" s="340"/>
      <c r="R613" s="340"/>
      <c r="S613" s="340"/>
      <c r="T613" s="340"/>
      <c r="U613" s="340"/>
      <c r="V613" s="340"/>
      <c r="W613" s="340"/>
      <c r="X613" s="340"/>
      <c r="Y613" s="340"/>
      <c r="Z613" s="340"/>
      <c r="AA613" s="340"/>
      <c r="AB613" s="340"/>
      <c r="AC613" s="340"/>
    </row>
    <row r="614" spans="1:29">
      <c r="A614" s="340"/>
      <c r="B614" s="340"/>
      <c r="C614" s="340"/>
      <c r="D614" s="340"/>
      <c r="E614" s="340"/>
      <c r="F614" s="340"/>
      <c r="G614" s="340"/>
      <c r="H614" s="340"/>
      <c r="I614" s="340"/>
      <c r="J614" s="340"/>
      <c r="K614" s="340"/>
      <c r="L614" s="340"/>
      <c r="M614" s="340"/>
      <c r="N614" s="340"/>
      <c r="O614" s="340"/>
      <c r="P614" s="340"/>
      <c r="Q614" s="340"/>
      <c r="R614" s="340"/>
      <c r="S614" s="340"/>
      <c r="T614" s="340"/>
      <c r="U614" s="340"/>
      <c r="V614" s="340"/>
      <c r="W614" s="340"/>
      <c r="X614" s="340"/>
      <c r="Y614" s="340"/>
      <c r="Z614" s="340"/>
      <c r="AA614" s="340"/>
      <c r="AB614" s="340"/>
      <c r="AC614" s="340"/>
    </row>
    <row r="615" spans="1:29">
      <c r="A615" s="340"/>
      <c r="B615" s="340"/>
      <c r="C615" s="340"/>
      <c r="D615" s="340"/>
      <c r="E615" s="340"/>
      <c r="F615" s="340"/>
      <c r="G615" s="340"/>
      <c r="H615" s="340"/>
      <c r="I615" s="340"/>
      <c r="J615" s="340"/>
      <c r="K615" s="340"/>
      <c r="L615" s="340"/>
      <c r="M615" s="340"/>
      <c r="N615" s="340"/>
      <c r="O615" s="340"/>
      <c r="P615" s="340"/>
      <c r="Q615" s="340"/>
      <c r="R615" s="340"/>
      <c r="S615" s="340"/>
      <c r="T615" s="340"/>
      <c r="U615" s="340"/>
      <c r="V615" s="340"/>
      <c r="W615" s="340"/>
      <c r="X615" s="340"/>
      <c r="Y615" s="340"/>
      <c r="Z615" s="340"/>
      <c r="AA615" s="340"/>
      <c r="AB615" s="340"/>
      <c r="AC615" s="340"/>
    </row>
    <row r="616" spans="1:29">
      <c r="A616" s="340"/>
      <c r="B616" s="340"/>
      <c r="C616" s="340"/>
      <c r="D616" s="340"/>
      <c r="E616" s="340"/>
      <c r="F616" s="340"/>
      <c r="G616" s="340"/>
      <c r="H616" s="340"/>
      <c r="I616" s="340"/>
      <c r="J616" s="340"/>
      <c r="K616" s="340"/>
      <c r="L616" s="340"/>
      <c r="M616" s="340"/>
      <c r="N616" s="340"/>
      <c r="O616" s="340"/>
      <c r="P616" s="340"/>
      <c r="Q616" s="340"/>
      <c r="R616" s="340"/>
      <c r="S616" s="340"/>
      <c r="T616" s="340"/>
      <c r="U616" s="340"/>
      <c r="V616" s="340"/>
      <c r="W616" s="340"/>
      <c r="X616" s="340"/>
      <c r="Y616" s="340"/>
      <c r="Z616" s="340"/>
      <c r="AA616" s="340"/>
      <c r="AB616" s="340"/>
      <c r="AC616" s="340"/>
    </row>
    <row r="617" spans="1:29">
      <c r="A617" s="340"/>
      <c r="B617" s="340"/>
      <c r="C617" s="340"/>
      <c r="D617" s="340"/>
      <c r="E617" s="340"/>
      <c r="F617" s="340"/>
      <c r="G617" s="340"/>
      <c r="H617" s="340"/>
      <c r="I617" s="340"/>
      <c r="J617" s="340"/>
      <c r="K617" s="340"/>
      <c r="L617" s="340"/>
      <c r="M617" s="340"/>
      <c r="N617" s="340"/>
      <c r="O617" s="340"/>
      <c r="P617" s="340"/>
      <c r="Q617" s="340"/>
      <c r="R617" s="340"/>
      <c r="S617" s="340"/>
      <c r="T617" s="340"/>
      <c r="U617" s="340"/>
      <c r="V617" s="340"/>
      <c r="W617" s="340"/>
      <c r="X617" s="340"/>
      <c r="Y617" s="340"/>
      <c r="Z617" s="340"/>
      <c r="AA617" s="340"/>
      <c r="AB617" s="340"/>
      <c r="AC617" s="340"/>
    </row>
    <row r="618" spans="1:29">
      <c r="A618" s="340"/>
      <c r="B618" s="340"/>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c r="AA618" s="340"/>
      <c r="AB618" s="340"/>
      <c r="AC618" s="340"/>
    </row>
    <row r="619" spans="1:29">
      <c r="A619" s="340"/>
      <c r="B619" s="340"/>
      <c r="C619" s="340"/>
      <c r="D619" s="340"/>
      <c r="E619" s="340"/>
      <c r="F619" s="340"/>
      <c r="G619" s="340"/>
      <c r="H619" s="340"/>
      <c r="I619" s="340"/>
      <c r="J619" s="340"/>
      <c r="K619" s="340"/>
      <c r="L619" s="340"/>
      <c r="M619" s="340"/>
      <c r="N619" s="340"/>
      <c r="O619" s="340"/>
      <c r="P619" s="340"/>
      <c r="Q619" s="340"/>
      <c r="R619" s="340"/>
      <c r="S619" s="340"/>
      <c r="T619" s="340"/>
      <c r="U619" s="340"/>
      <c r="V619" s="340"/>
      <c r="W619" s="340"/>
      <c r="X619" s="340"/>
      <c r="Y619" s="340"/>
      <c r="Z619" s="340"/>
      <c r="AA619" s="340"/>
      <c r="AB619" s="340"/>
      <c r="AC619" s="340"/>
    </row>
    <row r="620" spans="1:29">
      <c r="A620" s="340"/>
      <c r="B620" s="340"/>
      <c r="C620" s="340"/>
      <c r="D620" s="340"/>
      <c r="E620" s="340"/>
      <c r="F620" s="340"/>
      <c r="G620" s="340"/>
      <c r="H620" s="340"/>
      <c r="I620" s="340"/>
      <c r="J620" s="340"/>
      <c r="K620" s="340"/>
      <c r="L620" s="340"/>
      <c r="M620" s="340"/>
      <c r="N620" s="340"/>
      <c r="O620" s="340"/>
      <c r="P620" s="340"/>
      <c r="Q620" s="340"/>
      <c r="R620" s="340"/>
      <c r="S620" s="340"/>
      <c r="T620" s="340"/>
      <c r="U620" s="340"/>
      <c r="V620" s="340"/>
      <c r="W620" s="340"/>
      <c r="X620" s="340"/>
      <c r="Y620" s="340"/>
      <c r="Z620" s="340"/>
      <c r="AA620" s="340"/>
      <c r="AB620" s="340"/>
      <c r="AC620" s="340"/>
    </row>
    <row r="621" spans="1:29">
      <c r="A621" s="340"/>
      <c r="B621" s="340"/>
      <c r="C621" s="340"/>
      <c r="D621" s="340"/>
      <c r="E621" s="340"/>
      <c r="F621" s="340"/>
      <c r="G621" s="340"/>
      <c r="H621" s="340"/>
      <c r="I621" s="340"/>
      <c r="J621" s="340"/>
      <c r="K621" s="340"/>
      <c r="L621" s="340"/>
      <c r="M621" s="340"/>
      <c r="N621" s="340"/>
      <c r="O621" s="340"/>
      <c r="P621" s="340"/>
      <c r="Q621" s="340"/>
      <c r="R621" s="340"/>
      <c r="S621" s="340"/>
      <c r="T621" s="340"/>
      <c r="U621" s="340"/>
      <c r="V621" s="340"/>
      <c r="W621" s="340"/>
      <c r="X621" s="340"/>
      <c r="Y621" s="340"/>
      <c r="Z621" s="340"/>
      <c r="AA621" s="340"/>
      <c r="AB621" s="340"/>
      <c r="AC621" s="340"/>
    </row>
    <row r="622" spans="1:29">
      <c r="A622" s="340"/>
      <c r="B622" s="340"/>
      <c r="C622" s="340"/>
      <c r="D622" s="340"/>
      <c r="E622" s="340"/>
      <c r="F622" s="340"/>
      <c r="G622" s="340"/>
      <c r="H622" s="340"/>
      <c r="I622" s="340"/>
      <c r="J622" s="340"/>
      <c r="K622" s="340"/>
      <c r="L622" s="340"/>
      <c r="M622" s="340"/>
      <c r="N622" s="340"/>
      <c r="O622" s="340"/>
      <c r="P622" s="340"/>
      <c r="Q622" s="340"/>
      <c r="R622" s="340"/>
      <c r="S622" s="340"/>
      <c r="T622" s="340"/>
      <c r="U622" s="340"/>
      <c r="V622" s="340"/>
      <c r="W622" s="340"/>
      <c r="X622" s="340"/>
      <c r="Y622" s="340"/>
      <c r="Z622" s="340"/>
      <c r="AA622" s="340"/>
      <c r="AB622" s="340"/>
      <c r="AC622" s="340"/>
    </row>
    <row r="623" spans="1:29">
      <c r="A623" s="340"/>
      <c r="B623" s="340"/>
      <c r="C623" s="340"/>
      <c r="D623" s="340"/>
      <c r="E623" s="340"/>
      <c r="F623" s="340"/>
      <c r="G623" s="340"/>
      <c r="H623" s="340"/>
      <c r="I623" s="340"/>
      <c r="J623" s="340"/>
      <c r="K623" s="340"/>
      <c r="L623" s="340"/>
      <c r="M623" s="340"/>
      <c r="N623" s="340"/>
      <c r="O623" s="340"/>
      <c r="P623" s="340"/>
      <c r="Q623" s="340"/>
      <c r="R623" s="340"/>
      <c r="S623" s="340"/>
      <c r="T623" s="340"/>
      <c r="U623" s="340"/>
      <c r="V623" s="340"/>
      <c r="W623" s="340"/>
      <c r="X623" s="340"/>
      <c r="Y623" s="340"/>
      <c r="Z623" s="340"/>
      <c r="AA623" s="340"/>
      <c r="AB623" s="340"/>
      <c r="AC623" s="340"/>
    </row>
    <row r="624" spans="1:29">
      <c r="A624" s="340"/>
      <c r="B624" s="340"/>
      <c r="C624" s="340"/>
      <c r="D624" s="340"/>
      <c r="E624" s="340"/>
      <c r="F624" s="340"/>
      <c r="G624" s="340"/>
      <c r="H624" s="340"/>
      <c r="I624" s="340"/>
      <c r="J624" s="340"/>
      <c r="K624" s="340"/>
      <c r="L624" s="340"/>
      <c r="M624" s="340"/>
      <c r="N624" s="340"/>
      <c r="O624" s="340"/>
      <c r="P624" s="340"/>
      <c r="Q624" s="340"/>
      <c r="R624" s="340"/>
      <c r="S624" s="340"/>
      <c r="T624" s="340"/>
      <c r="U624" s="340"/>
      <c r="V624" s="340"/>
      <c r="W624" s="340"/>
      <c r="X624" s="340"/>
      <c r="Y624" s="340"/>
      <c r="Z624" s="340"/>
      <c r="AA624" s="340"/>
      <c r="AB624" s="340"/>
      <c r="AC624" s="340"/>
    </row>
    <row r="625" spans="1:29">
      <c r="A625" s="340"/>
      <c r="B625" s="340"/>
      <c r="C625" s="340"/>
      <c r="D625" s="340"/>
      <c r="E625" s="340"/>
      <c r="F625" s="340"/>
      <c r="G625" s="340"/>
      <c r="H625" s="340"/>
      <c r="I625" s="340"/>
      <c r="J625" s="340"/>
      <c r="K625" s="340"/>
      <c r="L625" s="340"/>
      <c r="M625" s="340"/>
      <c r="N625" s="340"/>
      <c r="O625" s="340"/>
      <c r="P625" s="340"/>
      <c r="Q625" s="340"/>
      <c r="R625" s="340"/>
      <c r="S625" s="340"/>
      <c r="T625" s="340"/>
      <c r="U625" s="340"/>
      <c r="V625" s="340"/>
      <c r="W625" s="340"/>
      <c r="X625" s="340"/>
      <c r="Y625" s="340"/>
      <c r="Z625" s="340"/>
      <c r="AA625" s="340"/>
      <c r="AB625" s="340"/>
      <c r="AC625" s="340"/>
    </row>
    <row r="626" spans="1:29">
      <c r="A626" s="340"/>
      <c r="B626" s="340"/>
      <c r="C626" s="340"/>
      <c r="D626" s="340"/>
      <c r="E626" s="340"/>
      <c r="F626" s="340"/>
      <c r="G626" s="340"/>
      <c r="H626" s="340"/>
      <c r="I626" s="340"/>
      <c r="J626" s="340"/>
      <c r="K626" s="340"/>
      <c r="L626" s="340"/>
      <c r="M626" s="340"/>
      <c r="N626" s="340"/>
      <c r="O626" s="340"/>
      <c r="P626" s="340"/>
      <c r="Q626" s="340"/>
      <c r="R626" s="340"/>
      <c r="S626" s="340"/>
      <c r="T626" s="340"/>
      <c r="U626" s="340"/>
      <c r="V626" s="340"/>
      <c r="W626" s="340"/>
      <c r="X626" s="340"/>
      <c r="Y626" s="340"/>
      <c r="Z626" s="340"/>
      <c r="AA626" s="340"/>
      <c r="AB626" s="340"/>
      <c r="AC626" s="340"/>
    </row>
    <row r="627" spans="1:29">
      <c r="A627" s="340"/>
      <c r="B627" s="340"/>
      <c r="C627" s="340"/>
      <c r="D627" s="340"/>
      <c r="E627" s="340"/>
      <c r="F627" s="340"/>
      <c r="G627" s="340"/>
      <c r="H627" s="340"/>
      <c r="I627" s="340"/>
      <c r="J627" s="340"/>
      <c r="K627" s="340"/>
      <c r="L627" s="340"/>
      <c r="M627" s="340"/>
      <c r="N627" s="340"/>
      <c r="O627" s="340"/>
      <c r="P627" s="340"/>
      <c r="Q627" s="340"/>
      <c r="R627" s="340"/>
      <c r="S627" s="340"/>
      <c r="T627" s="340"/>
      <c r="U627" s="340"/>
      <c r="V627" s="340"/>
      <c r="W627" s="340"/>
      <c r="X627" s="340"/>
      <c r="Y627" s="340"/>
      <c r="Z627" s="340"/>
      <c r="AA627" s="340"/>
      <c r="AB627" s="340"/>
      <c r="AC627" s="340"/>
    </row>
    <row r="628" spans="1:29">
      <c r="A628" s="340"/>
      <c r="B628" s="340"/>
      <c r="C628" s="340"/>
      <c r="D628" s="340"/>
      <c r="E628" s="340"/>
      <c r="F628" s="340"/>
      <c r="G628" s="340"/>
      <c r="H628" s="340"/>
      <c r="I628" s="340"/>
      <c r="J628" s="340"/>
      <c r="K628" s="340"/>
      <c r="L628" s="340"/>
      <c r="M628" s="340"/>
      <c r="N628" s="340"/>
      <c r="O628" s="340"/>
      <c r="P628" s="340"/>
      <c r="Q628" s="340"/>
      <c r="R628" s="340"/>
      <c r="S628" s="340"/>
      <c r="T628" s="340"/>
      <c r="U628" s="340"/>
      <c r="V628" s="340"/>
      <c r="W628" s="340"/>
      <c r="X628" s="340"/>
      <c r="Y628" s="340"/>
      <c r="Z628" s="340"/>
      <c r="AA628" s="340"/>
      <c r="AB628" s="340"/>
      <c r="AC628" s="340"/>
    </row>
    <row r="629" spans="1:29">
      <c r="A629" s="340"/>
      <c r="B629" s="340"/>
      <c r="C629" s="340"/>
      <c r="D629" s="340"/>
      <c r="E629" s="340"/>
      <c r="F629" s="340"/>
      <c r="G629" s="340"/>
      <c r="H629" s="340"/>
      <c r="I629" s="340"/>
      <c r="J629" s="340"/>
      <c r="K629" s="340"/>
      <c r="L629" s="340"/>
      <c r="M629" s="340"/>
      <c r="N629" s="340"/>
      <c r="O629" s="340"/>
      <c r="P629" s="340"/>
      <c r="Q629" s="340"/>
      <c r="R629" s="340"/>
      <c r="S629" s="340"/>
      <c r="T629" s="340"/>
      <c r="U629" s="340"/>
      <c r="V629" s="340"/>
      <c r="W629" s="340"/>
      <c r="X629" s="340"/>
      <c r="Y629" s="340"/>
      <c r="Z629" s="340"/>
      <c r="AA629" s="340"/>
      <c r="AB629" s="340"/>
      <c r="AC629" s="340"/>
    </row>
    <row r="630" spans="1:29">
      <c r="A630" s="340"/>
      <c r="B630" s="340"/>
      <c r="C630" s="340"/>
      <c r="D630" s="340"/>
      <c r="E630" s="340"/>
      <c r="F630" s="340"/>
      <c r="G630" s="340"/>
      <c r="H630" s="340"/>
      <c r="I630" s="340"/>
      <c r="J630" s="340"/>
      <c r="K630" s="340"/>
      <c r="L630" s="340"/>
      <c r="M630" s="340"/>
      <c r="N630" s="340"/>
      <c r="O630" s="340"/>
      <c r="P630" s="340"/>
      <c r="Q630" s="340"/>
      <c r="R630" s="340"/>
      <c r="S630" s="340"/>
      <c r="T630" s="340"/>
      <c r="U630" s="340"/>
      <c r="V630" s="340"/>
      <c r="W630" s="340"/>
      <c r="X630" s="340"/>
      <c r="Y630" s="340"/>
      <c r="Z630" s="340"/>
      <c r="AA630" s="340"/>
      <c r="AB630" s="340"/>
      <c r="AC630" s="340"/>
    </row>
    <row r="631" spans="1:29">
      <c r="A631" s="340"/>
      <c r="B631" s="340"/>
      <c r="C631" s="340"/>
      <c r="D631" s="340"/>
      <c r="E631" s="340"/>
      <c r="F631" s="340"/>
      <c r="G631" s="340"/>
      <c r="H631" s="340"/>
      <c r="I631" s="340"/>
      <c r="J631" s="340"/>
      <c r="K631" s="340"/>
      <c r="L631" s="340"/>
      <c r="M631" s="340"/>
      <c r="N631" s="340"/>
      <c r="O631" s="340"/>
      <c r="P631" s="340"/>
      <c r="Q631" s="340"/>
      <c r="R631" s="340"/>
      <c r="S631" s="340"/>
      <c r="T631" s="340"/>
      <c r="U631" s="340"/>
      <c r="V631" s="340"/>
      <c r="W631" s="340"/>
      <c r="X631" s="340"/>
      <c r="Y631" s="340"/>
      <c r="Z631" s="340"/>
      <c r="AA631" s="340"/>
      <c r="AB631" s="340"/>
      <c r="AC631" s="340"/>
    </row>
    <row r="632" spans="1:29">
      <c r="A632" s="340"/>
      <c r="B632" s="340"/>
      <c r="C632" s="340"/>
      <c r="D632" s="340"/>
      <c r="E632" s="340"/>
      <c r="F632" s="340"/>
      <c r="G632" s="340"/>
      <c r="H632" s="340"/>
      <c r="I632" s="340"/>
      <c r="J632" s="340"/>
      <c r="K632" s="340"/>
      <c r="L632" s="340"/>
      <c r="M632" s="340"/>
      <c r="N632" s="340"/>
      <c r="O632" s="340"/>
      <c r="P632" s="340"/>
      <c r="Q632" s="340"/>
      <c r="R632" s="340"/>
      <c r="S632" s="340"/>
      <c r="T632" s="340"/>
      <c r="U632" s="340"/>
      <c r="V632" s="340"/>
      <c r="W632" s="340"/>
      <c r="X632" s="340"/>
      <c r="Y632" s="340"/>
      <c r="Z632" s="340"/>
      <c r="AA632" s="340"/>
      <c r="AB632" s="340"/>
      <c r="AC632" s="340"/>
    </row>
    <row r="633" spans="1:29">
      <c r="A633" s="340"/>
      <c r="B633" s="340"/>
      <c r="C633" s="340"/>
      <c r="D633" s="340"/>
      <c r="E633" s="340"/>
      <c r="F633" s="340"/>
      <c r="G633" s="340"/>
      <c r="H633" s="340"/>
      <c r="I633" s="340"/>
      <c r="J633" s="340"/>
      <c r="K633" s="340"/>
      <c r="L633" s="340"/>
      <c r="M633" s="340"/>
      <c r="N633" s="340"/>
      <c r="O633" s="340"/>
      <c r="P633" s="340"/>
      <c r="Q633" s="340"/>
      <c r="R633" s="340"/>
      <c r="S633" s="340"/>
      <c r="T633" s="340"/>
      <c r="U633" s="340"/>
      <c r="V633" s="340"/>
      <c r="W633" s="340"/>
      <c r="X633" s="340"/>
      <c r="Y633" s="340"/>
      <c r="Z633" s="340"/>
      <c r="AA633" s="340"/>
      <c r="AB633" s="340"/>
      <c r="AC633" s="340"/>
    </row>
    <row r="634" spans="1:29">
      <c r="A634" s="340"/>
      <c r="B634" s="340"/>
      <c r="C634" s="340"/>
      <c r="D634" s="340"/>
      <c r="E634" s="340"/>
      <c r="F634" s="340"/>
      <c r="G634" s="340"/>
      <c r="H634" s="340"/>
      <c r="I634" s="340"/>
      <c r="J634" s="340"/>
      <c r="K634" s="340"/>
      <c r="L634" s="340"/>
      <c r="M634" s="340"/>
      <c r="N634" s="340"/>
      <c r="O634" s="340"/>
      <c r="P634" s="340"/>
      <c r="Q634" s="340"/>
      <c r="R634" s="340"/>
      <c r="S634" s="340"/>
      <c r="T634" s="340"/>
      <c r="U634" s="340"/>
      <c r="V634" s="340"/>
      <c r="W634" s="340"/>
      <c r="X634" s="340"/>
      <c r="Y634" s="340"/>
      <c r="Z634" s="340"/>
      <c r="AA634" s="340"/>
      <c r="AB634" s="340"/>
      <c r="AC634" s="340"/>
    </row>
    <row r="635" spans="1:29">
      <c r="A635" s="340"/>
      <c r="B635" s="340"/>
      <c r="C635" s="340"/>
      <c r="D635" s="340"/>
      <c r="E635" s="340"/>
      <c r="F635" s="340"/>
      <c r="G635" s="340"/>
      <c r="H635" s="340"/>
      <c r="I635" s="340"/>
      <c r="J635" s="340"/>
      <c r="K635" s="340"/>
      <c r="L635" s="340"/>
      <c r="M635" s="340"/>
      <c r="N635" s="340"/>
      <c r="O635" s="340"/>
      <c r="P635" s="340"/>
      <c r="Q635" s="340"/>
      <c r="R635" s="340"/>
      <c r="S635" s="340"/>
      <c r="T635" s="340"/>
      <c r="U635" s="340"/>
      <c r="V635" s="340"/>
      <c r="W635" s="340"/>
      <c r="X635" s="340"/>
      <c r="Y635" s="340"/>
      <c r="Z635" s="340"/>
      <c r="AA635" s="340"/>
      <c r="AB635" s="340"/>
      <c r="AC635" s="340"/>
    </row>
    <row r="636" spans="1:29">
      <c r="A636" s="340"/>
      <c r="B636" s="340"/>
      <c r="C636" s="340"/>
      <c r="D636" s="340"/>
      <c r="E636" s="340"/>
      <c r="F636" s="340"/>
      <c r="G636" s="340"/>
      <c r="H636" s="340"/>
      <c r="I636" s="340"/>
      <c r="J636" s="340"/>
      <c r="K636" s="340"/>
      <c r="L636" s="340"/>
      <c r="M636" s="340"/>
      <c r="N636" s="340"/>
      <c r="O636" s="340"/>
      <c r="P636" s="340"/>
      <c r="Q636" s="340"/>
      <c r="R636" s="340"/>
      <c r="S636" s="340"/>
      <c r="T636" s="340"/>
      <c r="U636" s="340"/>
      <c r="V636" s="340"/>
      <c r="W636" s="340"/>
      <c r="X636" s="340"/>
      <c r="Y636" s="340"/>
      <c r="Z636" s="340"/>
      <c r="AA636" s="340"/>
      <c r="AB636" s="340"/>
      <c r="AC636" s="340"/>
    </row>
    <row r="637" spans="1:29">
      <c r="A637" s="340"/>
      <c r="B637" s="340"/>
      <c r="C637" s="340"/>
      <c r="D637" s="340"/>
      <c r="E637" s="340"/>
      <c r="F637" s="340"/>
      <c r="G637" s="340"/>
      <c r="H637" s="340"/>
      <c r="I637" s="340"/>
      <c r="J637" s="340"/>
      <c r="K637" s="340"/>
      <c r="L637" s="340"/>
      <c r="M637" s="340"/>
      <c r="N637" s="340"/>
      <c r="O637" s="340"/>
      <c r="P637" s="340"/>
      <c r="Q637" s="340"/>
      <c r="R637" s="340"/>
      <c r="S637" s="340"/>
      <c r="T637" s="340"/>
      <c r="U637" s="340"/>
      <c r="V637" s="340"/>
      <c r="W637" s="340"/>
      <c r="X637" s="340"/>
      <c r="Y637" s="340"/>
      <c r="Z637" s="340"/>
      <c r="AA637" s="340"/>
      <c r="AB637" s="340"/>
      <c r="AC637" s="340"/>
    </row>
    <row r="638" spans="1:29">
      <c r="A638" s="340"/>
      <c r="B638" s="340"/>
      <c r="C638" s="340"/>
      <c r="D638" s="340"/>
      <c r="E638" s="340"/>
      <c r="F638" s="340"/>
      <c r="G638" s="340"/>
      <c r="H638" s="340"/>
      <c r="I638" s="340"/>
      <c r="J638" s="340"/>
      <c r="K638" s="340"/>
      <c r="L638" s="340"/>
      <c r="M638" s="340"/>
      <c r="N638" s="340"/>
      <c r="O638" s="340"/>
      <c r="P638" s="340"/>
      <c r="Q638" s="340"/>
      <c r="R638" s="340"/>
      <c r="S638" s="340"/>
      <c r="T638" s="340"/>
      <c r="U638" s="340"/>
      <c r="V638" s="340"/>
      <c r="W638" s="340"/>
      <c r="X638" s="340"/>
      <c r="Y638" s="340"/>
      <c r="Z638" s="340"/>
      <c r="AA638" s="340"/>
      <c r="AB638" s="340"/>
      <c r="AC638" s="340"/>
    </row>
    <row r="639" spans="1:29">
      <c r="A639" s="340"/>
      <c r="B639" s="340"/>
      <c r="C639" s="340"/>
      <c r="D639" s="340"/>
      <c r="E639" s="340"/>
      <c r="F639" s="340"/>
      <c r="G639" s="340"/>
      <c r="H639" s="340"/>
      <c r="I639" s="340"/>
      <c r="J639" s="340"/>
      <c r="K639" s="340"/>
      <c r="L639" s="340"/>
      <c r="M639" s="340"/>
      <c r="N639" s="340"/>
      <c r="O639" s="340"/>
      <c r="P639" s="340"/>
      <c r="Q639" s="340"/>
      <c r="R639" s="340"/>
      <c r="S639" s="340"/>
      <c r="T639" s="340"/>
      <c r="U639" s="340"/>
      <c r="V639" s="340"/>
      <c r="W639" s="340"/>
      <c r="X639" s="340"/>
      <c r="Y639" s="340"/>
      <c r="Z639" s="340"/>
      <c r="AA639" s="340"/>
      <c r="AB639" s="340"/>
      <c r="AC639" s="340"/>
    </row>
    <row r="640" spans="1:29">
      <c r="A640" s="340"/>
      <c r="B640" s="340"/>
      <c r="C640" s="340"/>
      <c r="D640" s="340"/>
      <c r="E640" s="340"/>
      <c r="F640" s="340"/>
      <c r="G640" s="340"/>
      <c r="H640" s="340"/>
      <c r="I640" s="340"/>
      <c r="J640" s="340"/>
      <c r="K640" s="340"/>
      <c r="L640" s="340"/>
      <c r="M640" s="340"/>
      <c r="N640" s="340"/>
      <c r="O640" s="340"/>
      <c r="P640" s="340"/>
      <c r="Q640" s="340"/>
      <c r="R640" s="340"/>
      <c r="S640" s="340"/>
      <c r="T640" s="340"/>
      <c r="U640" s="340"/>
      <c r="V640" s="340"/>
      <c r="W640" s="340"/>
      <c r="X640" s="340"/>
      <c r="Y640" s="340"/>
      <c r="Z640" s="340"/>
      <c r="AA640" s="340"/>
      <c r="AB640" s="340"/>
      <c r="AC640" s="340"/>
    </row>
    <row r="641" spans="1:29">
      <c r="A641" s="340"/>
      <c r="B641" s="340"/>
      <c r="C641" s="340"/>
      <c r="D641" s="340"/>
      <c r="E641" s="340"/>
      <c r="F641" s="340"/>
      <c r="G641" s="340"/>
      <c r="H641" s="340"/>
      <c r="I641" s="340"/>
      <c r="J641" s="340"/>
      <c r="K641" s="340"/>
      <c r="L641" s="340"/>
      <c r="M641" s="340"/>
      <c r="N641" s="340"/>
      <c r="O641" s="340"/>
      <c r="P641" s="340"/>
      <c r="Q641" s="340"/>
      <c r="R641" s="340"/>
      <c r="S641" s="340"/>
      <c r="T641" s="340"/>
      <c r="U641" s="340"/>
      <c r="V641" s="340"/>
      <c r="W641" s="340"/>
      <c r="X641" s="340"/>
      <c r="Y641" s="340"/>
      <c r="Z641" s="340"/>
      <c r="AA641" s="340"/>
      <c r="AB641" s="340"/>
      <c r="AC641" s="340"/>
    </row>
    <row r="642" spans="1:29">
      <c r="A642" s="340"/>
      <c r="B642" s="340"/>
      <c r="C642" s="340"/>
      <c r="D642" s="340"/>
      <c r="E642" s="340"/>
      <c r="F642" s="340"/>
      <c r="G642" s="340"/>
      <c r="H642" s="340"/>
      <c r="I642" s="340"/>
      <c r="J642" s="340"/>
      <c r="K642" s="340"/>
      <c r="L642" s="340"/>
      <c r="M642" s="340"/>
      <c r="N642" s="340"/>
      <c r="O642" s="340"/>
      <c r="P642" s="340"/>
      <c r="Q642" s="340"/>
      <c r="R642" s="340"/>
      <c r="S642" s="340"/>
      <c r="T642" s="340"/>
      <c r="U642" s="340"/>
      <c r="V642" s="340"/>
      <c r="W642" s="340"/>
      <c r="X642" s="340"/>
      <c r="Y642" s="340"/>
      <c r="Z642" s="340"/>
      <c r="AA642" s="340"/>
      <c r="AB642" s="340"/>
      <c r="AC642" s="340"/>
    </row>
    <row r="643" spans="1:29">
      <c r="A643" s="340"/>
      <c r="B643" s="340"/>
      <c r="C643" s="340"/>
      <c r="D643" s="340"/>
      <c r="E643" s="340"/>
      <c r="F643" s="340"/>
      <c r="G643" s="340"/>
      <c r="H643" s="340"/>
      <c r="I643" s="340"/>
      <c r="J643" s="340"/>
      <c r="K643" s="340"/>
      <c r="L643" s="340"/>
      <c r="M643" s="340"/>
      <c r="N643" s="340"/>
      <c r="O643" s="340"/>
      <c r="P643" s="340"/>
      <c r="Q643" s="340"/>
      <c r="R643" s="340"/>
      <c r="S643" s="340"/>
      <c r="T643" s="340"/>
      <c r="U643" s="340"/>
      <c r="V643" s="340"/>
      <c r="W643" s="340"/>
      <c r="X643" s="340"/>
      <c r="Y643" s="340"/>
      <c r="Z643" s="340"/>
      <c r="AA643" s="340"/>
      <c r="AB643" s="340"/>
      <c r="AC643" s="340"/>
    </row>
    <row r="644" spans="1:29">
      <c r="A644" s="340"/>
      <c r="B644" s="340"/>
      <c r="C644" s="340"/>
      <c r="D644" s="340"/>
      <c r="E644" s="340"/>
      <c r="F644" s="340"/>
      <c r="G644" s="340"/>
      <c r="H644" s="340"/>
      <c r="I644" s="340"/>
      <c r="J644" s="340"/>
      <c r="K644" s="340"/>
      <c r="L644" s="340"/>
      <c r="M644" s="340"/>
      <c r="N644" s="340"/>
      <c r="O644" s="340"/>
      <c r="P644" s="340"/>
      <c r="Q644" s="340"/>
      <c r="R644" s="340"/>
      <c r="S644" s="340"/>
      <c r="T644" s="340"/>
      <c r="U644" s="340"/>
      <c r="V644" s="340"/>
      <c r="W644" s="340"/>
      <c r="X644" s="340"/>
      <c r="Y644" s="340"/>
      <c r="Z644" s="340"/>
      <c r="AA644" s="340"/>
      <c r="AB644" s="340"/>
      <c r="AC644" s="340"/>
    </row>
    <row r="645" spans="1:29">
      <c r="A645" s="340"/>
      <c r="B645" s="340"/>
      <c r="C645" s="340"/>
      <c r="D645" s="340"/>
      <c r="E645" s="340"/>
      <c r="F645" s="340"/>
      <c r="G645" s="340"/>
      <c r="H645" s="340"/>
      <c r="I645" s="340"/>
      <c r="J645" s="340"/>
      <c r="K645" s="340"/>
      <c r="L645" s="340"/>
      <c r="M645" s="340"/>
      <c r="N645" s="340"/>
      <c r="O645" s="340"/>
      <c r="P645" s="340"/>
      <c r="Q645" s="340"/>
      <c r="R645" s="340"/>
      <c r="S645" s="340"/>
      <c r="T645" s="340"/>
      <c r="U645" s="340"/>
      <c r="V645" s="340"/>
      <c r="W645" s="340"/>
      <c r="X645" s="340"/>
      <c r="Y645" s="340"/>
      <c r="Z645" s="340"/>
      <c r="AA645" s="340"/>
      <c r="AB645" s="340"/>
      <c r="AC645" s="340"/>
    </row>
    <row r="646" spans="1:29">
      <c r="A646" s="340"/>
      <c r="B646" s="340"/>
      <c r="C646" s="340"/>
      <c r="D646" s="340"/>
      <c r="E646" s="340"/>
      <c r="F646" s="340"/>
      <c r="G646" s="340"/>
      <c r="H646" s="340"/>
      <c r="I646" s="340"/>
      <c r="J646" s="340"/>
      <c r="K646" s="340"/>
      <c r="L646" s="340"/>
      <c r="M646" s="340"/>
      <c r="N646" s="340"/>
      <c r="O646" s="340"/>
      <c r="P646" s="340"/>
      <c r="Q646" s="340"/>
      <c r="R646" s="340"/>
      <c r="S646" s="340"/>
      <c r="T646" s="340"/>
      <c r="U646" s="340"/>
      <c r="V646" s="340"/>
      <c r="W646" s="340"/>
      <c r="X646" s="340"/>
      <c r="Y646" s="340"/>
      <c r="Z646" s="340"/>
      <c r="AA646" s="340"/>
      <c r="AB646" s="340"/>
      <c r="AC646" s="340"/>
    </row>
    <row r="647" spans="1:29">
      <c r="A647" s="340"/>
      <c r="B647" s="340"/>
      <c r="C647" s="340"/>
      <c r="D647" s="340"/>
      <c r="E647" s="340"/>
      <c r="F647" s="340"/>
      <c r="G647" s="340"/>
      <c r="H647" s="340"/>
      <c r="I647" s="340"/>
      <c r="J647" s="340"/>
      <c r="K647" s="340"/>
      <c r="L647" s="340"/>
      <c r="M647" s="340"/>
      <c r="N647" s="340"/>
      <c r="O647" s="340"/>
      <c r="P647" s="340"/>
      <c r="Q647" s="340"/>
      <c r="R647" s="340"/>
      <c r="S647" s="340"/>
      <c r="T647" s="340"/>
      <c r="U647" s="340"/>
      <c r="V647" s="340"/>
      <c r="W647" s="340"/>
      <c r="X647" s="340"/>
      <c r="Y647" s="340"/>
      <c r="Z647" s="340"/>
      <c r="AA647" s="340"/>
      <c r="AB647" s="340"/>
      <c r="AC647" s="340"/>
    </row>
    <row r="648" spans="1:29">
      <c r="A648" s="340"/>
      <c r="B648" s="340"/>
      <c r="C648" s="340"/>
      <c r="D648" s="340"/>
      <c r="E648" s="340"/>
      <c r="F648" s="340"/>
      <c r="G648" s="340"/>
      <c r="H648" s="340"/>
      <c r="I648" s="340"/>
      <c r="J648" s="340"/>
      <c r="K648" s="340"/>
      <c r="L648" s="340"/>
      <c r="M648" s="340"/>
      <c r="N648" s="340"/>
      <c r="O648" s="340"/>
      <c r="P648" s="340"/>
      <c r="Q648" s="340"/>
      <c r="R648" s="340"/>
      <c r="S648" s="340"/>
      <c r="T648" s="340"/>
      <c r="U648" s="340"/>
      <c r="V648" s="340"/>
      <c r="W648" s="340"/>
      <c r="X648" s="340"/>
      <c r="Y648" s="340"/>
      <c r="Z648" s="340"/>
      <c r="AA648" s="340"/>
      <c r="AB648" s="340"/>
      <c r="AC648" s="340"/>
    </row>
    <row r="649" spans="1:29">
      <c r="A649" s="340"/>
      <c r="B649" s="340"/>
      <c r="C649" s="340"/>
      <c r="D649" s="340"/>
      <c r="E649" s="340"/>
      <c r="F649" s="340"/>
      <c r="G649" s="340"/>
      <c r="H649" s="340"/>
      <c r="I649" s="340"/>
      <c r="J649" s="340"/>
      <c r="K649" s="340"/>
      <c r="L649" s="340"/>
      <c r="M649" s="340"/>
      <c r="N649" s="340"/>
      <c r="O649" s="340"/>
      <c r="P649" s="340"/>
      <c r="Q649" s="340"/>
      <c r="R649" s="340"/>
      <c r="S649" s="340"/>
      <c r="T649" s="340"/>
      <c r="U649" s="340"/>
      <c r="V649" s="340"/>
      <c r="W649" s="340"/>
      <c r="X649" s="340"/>
      <c r="Y649" s="340"/>
      <c r="Z649" s="340"/>
      <c r="AA649" s="340"/>
      <c r="AB649" s="340"/>
      <c r="AC649" s="340"/>
    </row>
    <row r="650" spans="1:29">
      <c r="A650" s="340"/>
      <c r="B650" s="340"/>
      <c r="C650" s="340"/>
      <c r="D650" s="340"/>
      <c r="E650" s="340"/>
      <c r="F650" s="340"/>
      <c r="G650" s="340"/>
      <c r="H650" s="340"/>
      <c r="I650" s="340"/>
      <c r="J650" s="340"/>
      <c r="K650" s="340"/>
      <c r="L650" s="340"/>
      <c r="M650" s="340"/>
      <c r="N650" s="340"/>
      <c r="O650" s="340"/>
      <c r="P650" s="340"/>
      <c r="Q650" s="340"/>
      <c r="R650" s="340"/>
      <c r="S650" s="340"/>
      <c r="T650" s="340"/>
      <c r="U650" s="340"/>
      <c r="V650" s="340"/>
      <c r="W650" s="340"/>
      <c r="X650" s="340"/>
      <c r="Y650" s="340"/>
      <c r="Z650" s="340"/>
      <c r="AA650" s="340"/>
      <c r="AB650" s="340"/>
      <c r="AC650" s="340"/>
    </row>
    <row r="651" spans="1:29">
      <c r="A651" s="340"/>
      <c r="B651" s="340"/>
      <c r="C651" s="340"/>
      <c r="D651" s="340"/>
      <c r="E651" s="340"/>
      <c r="F651" s="340"/>
      <c r="G651" s="340"/>
      <c r="H651" s="340"/>
      <c r="I651" s="340"/>
      <c r="J651" s="340"/>
      <c r="K651" s="340"/>
      <c r="L651" s="340"/>
      <c r="M651" s="340"/>
      <c r="N651" s="340"/>
      <c r="O651" s="340"/>
      <c r="P651" s="340"/>
      <c r="Q651" s="340"/>
      <c r="R651" s="340"/>
      <c r="S651" s="340"/>
      <c r="T651" s="340"/>
      <c r="U651" s="340"/>
      <c r="V651" s="340"/>
      <c r="W651" s="340"/>
      <c r="X651" s="340"/>
      <c r="Y651" s="340"/>
      <c r="Z651" s="340"/>
      <c r="AA651" s="340"/>
      <c r="AB651" s="340"/>
      <c r="AC651" s="340"/>
    </row>
    <row r="652" spans="1:29">
      <c r="A652" s="340"/>
      <c r="B652" s="340"/>
      <c r="C652" s="340"/>
      <c r="D652" s="340"/>
      <c r="E652" s="340"/>
      <c r="F652" s="340"/>
      <c r="G652" s="340"/>
      <c r="H652" s="340"/>
      <c r="I652" s="340"/>
      <c r="J652" s="340"/>
      <c r="K652" s="340"/>
      <c r="L652" s="340"/>
      <c r="M652" s="340"/>
      <c r="N652" s="340"/>
      <c r="O652" s="340"/>
      <c r="P652" s="340"/>
      <c r="Q652" s="340"/>
      <c r="R652" s="340"/>
      <c r="S652" s="340"/>
      <c r="T652" s="340"/>
      <c r="U652" s="340"/>
      <c r="V652" s="340"/>
      <c r="W652" s="340"/>
      <c r="X652" s="340"/>
      <c r="Y652" s="340"/>
      <c r="Z652" s="340"/>
      <c r="AA652" s="340"/>
      <c r="AB652" s="340"/>
      <c r="AC652" s="340"/>
    </row>
    <row r="653" spans="1:29">
      <c r="A653" s="340"/>
      <c r="B653" s="340"/>
      <c r="C653" s="340"/>
      <c r="D653" s="340"/>
      <c r="E653" s="340"/>
      <c r="F653" s="340"/>
      <c r="G653" s="340"/>
      <c r="H653" s="340"/>
      <c r="I653" s="340"/>
      <c r="J653" s="340"/>
      <c r="K653" s="340"/>
      <c r="L653" s="340"/>
      <c r="M653" s="340"/>
      <c r="N653" s="340"/>
      <c r="O653" s="340"/>
      <c r="P653" s="340"/>
      <c r="Q653" s="340"/>
      <c r="R653" s="340"/>
      <c r="S653" s="340"/>
      <c r="T653" s="340"/>
      <c r="U653" s="340"/>
      <c r="V653" s="340"/>
      <c r="W653" s="340"/>
      <c r="X653" s="340"/>
      <c r="Y653" s="340"/>
      <c r="Z653" s="340"/>
      <c r="AA653" s="340"/>
      <c r="AB653" s="340"/>
      <c r="AC653" s="340"/>
    </row>
    <row r="654" spans="1:29">
      <c r="A654" s="340"/>
      <c r="B654" s="340"/>
      <c r="C654" s="340"/>
      <c r="D654" s="340"/>
      <c r="E654" s="340"/>
      <c r="F654" s="340"/>
      <c r="G654" s="340"/>
      <c r="H654" s="340"/>
      <c r="I654" s="340"/>
      <c r="J654" s="340"/>
      <c r="K654" s="340"/>
      <c r="L654" s="340"/>
      <c r="M654" s="340"/>
      <c r="N654" s="340"/>
      <c r="O654" s="340"/>
      <c r="P654" s="340"/>
      <c r="Q654" s="340"/>
      <c r="R654" s="340"/>
      <c r="S654" s="340"/>
      <c r="T654" s="340"/>
      <c r="U654" s="340"/>
      <c r="V654" s="340"/>
      <c r="W654" s="340"/>
      <c r="X654" s="340"/>
      <c r="Y654" s="340"/>
      <c r="Z654" s="340"/>
      <c r="AA654" s="340"/>
      <c r="AB654" s="340"/>
      <c r="AC654" s="340"/>
    </row>
    <row r="655" spans="1:29">
      <c r="A655" s="340"/>
      <c r="B655" s="340"/>
      <c r="C655" s="340"/>
      <c r="D655" s="340"/>
      <c r="E655" s="340"/>
      <c r="F655" s="340"/>
      <c r="G655" s="340"/>
      <c r="H655" s="340"/>
      <c r="I655" s="340"/>
      <c r="J655" s="340"/>
      <c r="K655" s="340"/>
      <c r="L655" s="340"/>
      <c r="M655" s="340"/>
      <c r="N655" s="340"/>
      <c r="O655" s="340"/>
      <c r="P655" s="340"/>
      <c r="Q655" s="340"/>
      <c r="R655" s="340"/>
      <c r="S655" s="340"/>
      <c r="T655" s="340"/>
      <c r="U655" s="340"/>
      <c r="V655" s="340"/>
      <c r="W655" s="340"/>
      <c r="X655" s="340"/>
      <c r="Y655" s="340"/>
      <c r="Z655" s="340"/>
      <c r="AA655" s="340"/>
      <c r="AB655" s="340"/>
      <c r="AC655" s="340"/>
    </row>
    <row r="656" spans="1:29">
      <c r="A656" s="340"/>
      <c r="B656" s="340"/>
      <c r="C656" s="340"/>
      <c r="D656" s="340"/>
      <c r="E656" s="340"/>
      <c r="F656" s="340"/>
      <c r="G656" s="340"/>
      <c r="H656" s="340"/>
      <c r="I656" s="340"/>
      <c r="J656" s="340"/>
      <c r="K656" s="340"/>
      <c r="L656" s="340"/>
      <c r="M656" s="340"/>
      <c r="N656" s="340"/>
      <c r="O656" s="340"/>
      <c r="P656" s="340"/>
      <c r="Q656" s="340"/>
      <c r="R656" s="340"/>
      <c r="S656" s="340"/>
      <c r="T656" s="340"/>
      <c r="U656" s="340"/>
      <c r="V656" s="340"/>
      <c r="W656" s="340"/>
      <c r="X656" s="340"/>
      <c r="Y656" s="340"/>
      <c r="Z656" s="340"/>
      <c r="AA656" s="340"/>
      <c r="AB656" s="340"/>
      <c r="AC656" s="340"/>
    </row>
    <row r="657" spans="1:29">
      <c r="A657" s="340"/>
      <c r="B657" s="340"/>
      <c r="C657" s="340"/>
      <c r="D657" s="340"/>
      <c r="E657" s="340"/>
      <c r="F657" s="340"/>
      <c r="G657" s="340"/>
      <c r="H657" s="340"/>
      <c r="I657" s="340"/>
      <c r="J657" s="340"/>
      <c r="K657" s="340"/>
      <c r="L657" s="340"/>
      <c r="M657" s="340"/>
      <c r="N657" s="340"/>
      <c r="O657" s="340"/>
      <c r="P657" s="340"/>
      <c r="Q657" s="340"/>
      <c r="R657" s="340"/>
      <c r="S657" s="340"/>
      <c r="T657" s="340"/>
      <c r="U657" s="340"/>
      <c r="V657" s="340"/>
      <c r="W657" s="340"/>
      <c r="X657" s="340"/>
      <c r="Y657" s="340"/>
      <c r="Z657" s="340"/>
      <c r="AA657" s="340"/>
      <c r="AB657" s="340"/>
      <c r="AC657" s="340"/>
    </row>
    <row r="658" spans="1:29">
      <c r="A658" s="340"/>
      <c r="B658" s="340"/>
      <c r="C658" s="340"/>
      <c r="D658" s="340"/>
      <c r="E658" s="340"/>
      <c r="F658" s="340"/>
      <c r="G658" s="340"/>
      <c r="H658" s="340"/>
      <c r="I658" s="340"/>
      <c r="J658" s="340"/>
      <c r="K658" s="340"/>
      <c r="L658" s="340"/>
      <c r="M658" s="340"/>
      <c r="N658" s="340"/>
      <c r="O658" s="340"/>
      <c r="P658" s="340"/>
      <c r="Q658" s="340"/>
      <c r="R658" s="340"/>
      <c r="S658" s="340"/>
      <c r="T658" s="340"/>
      <c r="U658" s="340"/>
      <c r="V658" s="340"/>
      <c r="W658" s="340"/>
      <c r="X658" s="340"/>
      <c r="Y658" s="340"/>
      <c r="Z658" s="340"/>
      <c r="AA658" s="340"/>
      <c r="AB658" s="340"/>
      <c r="AC658" s="340"/>
    </row>
    <row r="659" spans="1:29">
      <c r="A659" s="340"/>
      <c r="B659" s="340"/>
      <c r="C659" s="340"/>
      <c r="D659" s="340"/>
      <c r="E659" s="340"/>
      <c r="F659" s="340"/>
      <c r="G659" s="340"/>
      <c r="H659" s="340"/>
      <c r="I659" s="340"/>
      <c r="J659" s="340"/>
      <c r="K659" s="340"/>
      <c r="L659" s="340"/>
      <c r="M659" s="340"/>
      <c r="N659" s="340"/>
      <c r="O659" s="340"/>
      <c r="P659" s="340"/>
      <c r="Q659" s="340"/>
      <c r="R659" s="340"/>
      <c r="S659" s="340"/>
      <c r="T659" s="340"/>
      <c r="U659" s="340"/>
      <c r="V659" s="340"/>
      <c r="W659" s="340"/>
      <c r="X659" s="340"/>
      <c r="Y659" s="340"/>
      <c r="Z659" s="340"/>
      <c r="AA659" s="340"/>
      <c r="AB659" s="340"/>
      <c r="AC659" s="340"/>
    </row>
    <row r="660" spans="1:29">
      <c r="A660" s="340"/>
      <c r="B660" s="340"/>
      <c r="C660" s="340"/>
      <c r="D660" s="340"/>
      <c r="E660" s="340"/>
      <c r="F660" s="340"/>
      <c r="G660" s="340"/>
      <c r="H660" s="340"/>
      <c r="I660" s="340"/>
      <c r="J660" s="340"/>
      <c r="K660" s="340"/>
      <c r="L660" s="340"/>
      <c r="M660" s="340"/>
      <c r="N660" s="340"/>
      <c r="O660" s="340"/>
      <c r="P660" s="340"/>
      <c r="Q660" s="340"/>
      <c r="R660" s="340"/>
      <c r="S660" s="340"/>
      <c r="T660" s="340"/>
      <c r="U660" s="340"/>
      <c r="V660" s="340"/>
      <c r="W660" s="340"/>
      <c r="X660" s="340"/>
      <c r="Y660" s="340"/>
      <c r="Z660" s="340"/>
      <c r="AA660" s="340"/>
      <c r="AB660" s="340"/>
      <c r="AC660" s="340"/>
    </row>
    <row r="661" spans="1:29">
      <c r="A661" s="340"/>
      <c r="B661" s="340"/>
      <c r="C661" s="340"/>
      <c r="D661" s="340"/>
      <c r="E661" s="340"/>
      <c r="F661" s="340"/>
      <c r="G661" s="340"/>
      <c r="H661" s="340"/>
      <c r="I661" s="340"/>
      <c r="J661" s="340"/>
      <c r="K661" s="340"/>
      <c r="L661" s="340"/>
      <c r="M661" s="340"/>
      <c r="N661" s="340"/>
      <c r="O661" s="340"/>
      <c r="P661" s="340"/>
      <c r="Q661" s="340"/>
      <c r="R661" s="340"/>
      <c r="S661" s="340"/>
      <c r="T661" s="340"/>
      <c r="U661" s="340"/>
      <c r="V661" s="340"/>
      <c r="W661" s="340"/>
      <c r="X661" s="340"/>
      <c r="Y661" s="340"/>
      <c r="Z661" s="340"/>
      <c r="AA661" s="340"/>
      <c r="AB661" s="340"/>
      <c r="AC661" s="340"/>
    </row>
    <row r="662" spans="1:29">
      <c r="A662" s="340"/>
      <c r="B662" s="340"/>
      <c r="C662" s="340"/>
      <c r="D662" s="340"/>
      <c r="E662" s="340"/>
      <c r="F662" s="340"/>
      <c r="G662" s="340"/>
      <c r="H662" s="340"/>
      <c r="I662" s="340"/>
      <c r="J662" s="340"/>
      <c r="K662" s="340"/>
      <c r="L662" s="340"/>
      <c r="M662" s="340"/>
      <c r="N662" s="340"/>
      <c r="O662" s="340"/>
      <c r="P662" s="340"/>
      <c r="Q662" s="340"/>
      <c r="R662" s="340"/>
      <c r="S662" s="340"/>
      <c r="T662" s="340"/>
      <c r="U662" s="340"/>
      <c r="V662" s="340"/>
      <c r="W662" s="340"/>
      <c r="X662" s="340"/>
      <c r="Y662" s="340"/>
      <c r="Z662" s="340"/>
      <c r="AA662" s="340"/>
      <c r="AB662" s="340"/>
      <c r="AC662" s="340"/>
    </row>
    <row r="663" spans="1:29">
      <c r="A663" s="340"/>
      <c r="B663" s="340"/>
      <c r="C663" s="340"/>
      <c r="D663" s="340"/>
      <c r="E663" s="340"/>
      <c r="F663" s="340"/>
      <c r="G663" s="340"/>
      <c r="H663" s="340"/>
      <c r="I663" s="340"/>
      <c r="J663" s="340"/>
      <c r="K663" s="340"/>
      <c r="L663" s="340"/>
      <c r="M663" s="340"/>
      <c r="N663" s="340"/>
      <c r="O663" s="340"/>
      <c r="P663" s="340"/>
      <c r="Q663" s="340"/>
      <c r="R663" s="340"/>
      <c r="S663" s="340"/>
      <c r="T663" s="340"/>
      <c r="U663" s="340"/>
      <c r="V663" s="340"/>
      <c r="W663" s="340"/>
      <c r="X663" s="340"/>
      <c r="Y663" s="340"/>
      <c r="Z663" s="340"/>
      <c r="AA663" s="340"/>
      <c r="AB663" s="340"/>
      <c r="AC663" s="340"/>
    </row>
    <row r="664" spans="1:29">
      <c r="A664" s="340"/>
      <c r="B664" s="340"/>
      <c r="C664" s="340"/>
      <c r="D664" s="340"/>
      <c r="E664" s="340"/>
      <c r="F664" s="340"/>
      <c r="G664" s="340"/>
      <c r="H664" s="340"/>
      <c r="I664" s="340"/>
      <c r="J664" s="340"/>
      <c r="K664" s="340"/>
      <c r="L664" s="340"/>
      <c r="M664" s="340"/>
      <c r="N664" s="340"/>
      <c r="O664" s="340"/>
      <c r="P664" s="340"/>
      <c r="Q664" s="340"/>
      <c r="R664" s="340"/>
      <c r="S664" s="340"/>
      <c r="T664" s="340"/>
      <c r="U664" s="340"/>
      <c r="V664" s="340"/>
      <c r="W664" s="340"/>
      <c r="X664" s="340"/>
      <c r="Y664" s="340"/>
      <c r="Z664" s="340"/>
      <c r="AA664" s="340"/>
      <c r="AB664" s="340"/>
      <c r="AC664" s="340"/>
    </row>
    <row r="665" spans="1:29">
      <c r="A665" s="340"/>
      <c r="B665" s="340"/>
      <c r="C665" s="340"/>
      <c r="D665" s="340"/>
      <c r="E665" s="340"/>
      <c r="F665" s="340"/>
      <c r="G665" s="340"/>
      <c r="H665" s="340"/>
      <c r="I665" s="340"/>
      <c r="J665" s="340"/>
      <c r="K665" s="340"/>
      <c r="L665" s="340"/>
      <c r="M665" s="340"/>
      <c r="N665" s="340"/>
      <c r="O665" s="340"/>
      <c r="P665" s="340"/>
      <c r="Q665" s="340"/>
      <c r="R665" s="340"/>
      <c r="S665" s="340"/>
      <c r="T665" s="340"/>
      <c r="U665" s="340"/>
      <c r="V665" s="340"/>
      <c r="W665" s="340"/>
      <c r="X665" s="340"/>
      <c r="Y665" s="340"/>
      <c r="Z665" s="340"/>
      <c r="AA665" s="340"/>
      <c r="AB665" s="340"/>
      <c r="AC665" s="340"/>
    </row>
    <row r="666" spans="1:29">
      <c r="A666" s="340"/>
      <c r="B666" s="340"/>
      <c r="C666" s="340"/>
      <c r="D666" s="340"/>
      <c r="E666" s="340"/>
      <c r="F666" s="340"/>
      <c r="G666" s="340"/>
      <c r="H666" s="340"/>
      <c r="I666" s="340"/>
      <c r="J666" s="340"/>
      <c r="K666" s="340"/>
      <c r="L666" s="340"/>
      <c r="M666" s="340"/>
      <c r="N666" s="340"/>
      <c r="O666" s="340"/>
      <c r="P666" s="340"/>
      <c r="Q666" s="340"/>
      <c r="R666" s="340"/>
      <c r="S666" s="340"/>
      <c r="T666" s="340"/>
      <c r="U666" s="340"/>
      <c r="V666" s="340"/>
      <c r="W666" s="340"/>
      <c r="X666" s="340"/>
      <c r="Y666" s="340"/>
      <c r="Z666" s="340"/>
      <c r="AA666" s="340"/>
      <c r="AB666" s="340"/>
      <c r="AC666" s="340"/>
    </row>
    <row r="667" spans="1:29">
      <c r="A667" s="340"/>
      <c r="B667" s="340"/>
      <c r="C667" s="340"/>
      <c r="D667" s="340"/>
      <c r="E667" s="340"/>
      <c r="F667" s="340"/>
      <c r="G667" s="340"/>
      <c r="H667" s="340"/>
      <c r="I667" s="340"/>
      <c r="J667" s="340"/>
      <c r="K667" s="340"/>
      <c r="L667" s="340"/>
      <c r="M667" s="340"/>
      <c r="N667" s="340"/>
      <c r="O667" s="340"/>
      <c r="P667" s="340"/>
      <c r="Q667" s="340"/>
      <c r="R667" s="340"/>
      <c r="S667" s="340"/>
      <c r="T667" s="340"/>
      <c r="U667" s="340"/>
      <c r="V667" s="340"/>
      <c r="W667" s="340"/>
      <c r="X667" s="340"/>
      <c r="Y667" s="340"/>
      <c r="Z667" s="340"/>
      <c r="AA667" s="340"/>
      <c r="AB667" s="340"/>
      <c r="AC667" s="340"/>
    </row>
    <row r="668" spans="1:29">
      <c r="A668" s="340"/>
      <c r="B668" s="340"/>
      <c r="C668" s="340"/>
      <c r="D668" s="340"/>
      <c r="E668" s="340"/>
      <c r="F668" s="340"/>
      <c r="G668" s="340"/>
      <c r="H668" s="340"/>
      <c r="I668" s="340"/>
      <c r="J668" s="340"/>
      <c r="K668" s="340"/>
      <c r="L668" s="340"/>
      <c r="M668" s="340"/>
      <c r="N668" s="340"/>
      <c r="O668" s="340"/>
      <c r="P668" s="340"/>
      <c r="Q668" s="340"/>
      <c r="R668" s="340"/>
      <c r="S668" s="340"/>
      <c r="T668" s="340"/>
      <c r="U668" s="340"/>
      <c r="V668" s="340"/>
      <c r="W668" s="340"/>
      <c r="X668" s="340"/>
      <c r="Y668" s="340"/>
      <c r="Z668" s="340"/>
      <c r="AA668" s="340"/>
      <c r="AB668" s="340"/>
      <c r="AC668" s="340"/>
    </row>
    <row r="669" spans="1:29">
      <c r="A669" s="340"/>
      <c r="B669" s="340"/>
      <c r="C669" s="340"/>
      <c r="D669" s="340"/>
      <c r="E669" s="340"/>
      <c r="F669" s="340"/>
      <c r="G669" s="340"/>
      <c r="H669" s="340"/>
      <c r="I669" s="340"/>
      <c r="J669" s="340"/>
      <c r="K669" s="340"/>
      <c r="L669" s="340"/>
      <c r="M669" s="340"/>
      <c r="N669" s="340"/>
      <c r="O669" s="340"/>
      <c r="P669" s="340"/>
      <c r="Q669" s="340"/>
      <c r="R669" s="340"/>
      <c r="S669" s="340"/>
      <c r="T669" s="340"/>
      <c r="U669" s="340"/>
      <c r="V669" s="340"/>
      <c r="W669" s="340"/>
      <c r="X669" s="340"/>
      <c r="Y669" s="340"/>
      <c r="Z669" s="340"/>
      <c r="AA669" s="340"/>
      <c r="AB669" s="340"/>
      <c r="AC669" s="340"/>
    </row>
    <row r="670" spans="1:29">
      <c r="A670" s="340"/>
      <c r="B670" s="340"/>
      <c r="C670" s="340"/>
      <c r="D670" s="340"/>
      <c r="E670" s="340"/>
      <c r="F670" s="340"/>
      <c r="G670" s="340"/>
      <c r="H670" s="340"/>
      <c r="I670" s="340"/>
      <c r="J670" s="340"/>
      <c r="K670" s="340"/>
      <c r="L670" s="340"/>
      <c r="M670" s="340"/>
      <c r="N670" s="340"/>
      <c r="O670" s="340"/>
      <c r="P670" s="340"/>
      <c r="Q670" s="340"/>
      <c r="R670" s="340"/>
      <c r="S670" s="340"/>
      <c r="T670" s="340"/>
      <c r="U670" s="340"/>
      <c r="V670" s="340"/>
      <c r="W670" s="340"/>
      <c r="X670" s="340"/>
      <c r="Y670" s="340"/>
      <c r="Z670" s="340"/>
      <c r="AA670" s="340"/>
      <c r="AB670" s="340"/>
      <c r="AC670" s="340"/>
    </row>
    <row r="671" spans="1:29">
      <c r="A671" s="340"/>
      <c r="B671" s="340"/>
      <c r="C671" s="340"/>
      <c r="D671" s="340"/>
      <c r="E671" s="340"/>
      <c r="F671" s="340"/>
      <c r="G671" s="340"/>
      <c r="H671" s="340"/>
      <c r="I671" s="340"/>
      <c r="J671" s="340"/>
      <c r="K671" s="340"/>
      <c r="L671" s="340"/>
      <c r="M671" s="340"/>
      <c r="N671" s="340"/>
      <c r="O671" s="340"/>
      <c r="P671" s="340"/>
      <c r="Q671" s="340"/>
      <c r="R671" s="340"/>
      <c r="S671" s="340"/>
      <c r="T671" s="340"/>
      <c r="U671" s="340"/>
      <c r="V671" s="340"/>
      <c r="W671" s="340"/>
      <c r="X671" s="340"/>
      <c r="Y671" s="340"/>
      <c r="Z671" s="340"/>
      <c r="AA671" s="340"/>
      <c r="AB671" s="340"/>
      <c r="AC671" s="340"/>
    </row>
    <row r="672" spans="1:29">
      <c r="A672" s="340"/>
      <c r="B672" s="340"/>
      <c r="C672" s="340"/>
      <c r="D672" s="340"/>
      <c r="E672" s="340"/>
      <c r="F672" s="340"/>
      <c r="G672" s="340"/>
      <c r="H672" s="340"/>
      <c r="I672" s="340"/>
      <c r="J672" s="340"/>
      <c r="K672" s="340"/>
      <c r="L672" s="340"/>
      <c r="M672" s="340"/>
      <c r="N672" s="340"/>
      <c r="O672" s="340"/>
      <c r="P672" s="340"/>
      <c r="Q672" s="340"/>
      <c r="R672" s="340"/>
      <c r="S672" s="340"/>
      <c r="T672" s="340"/>
      <c r="U672" s="340"/>
      <c r="V672" s="340"/>
      <c r="W672" s="340"/>
      <c r="X672" s="340"/>
      <c r="Y672" s="340"/>
      <c r="Z672" s="340"/>
      <c r="AA672" s="340"/>
      <c r="AB672" s="340"/>
      <c r="AC672" s="340"/>
    </row>
    <row r="673" spans="1:29">
      <c r="A673" s="340"/>
      <c r="B673" s="340"/>
      <c r="C673" s="340"/>
      <c r="D673" s="340"/>
      <c r="E673" s="340"/>
      <c r="F673" s="340"/>
      <c r="G673" s="340"/>
      <c r="H673" s="340"/>
      <c r="I673" s="340"/>
      <c r="J673" s="340"/>
      <c r="K673" s="340"/>
      <c r="L673" s="340"/>
      <c r="M673" s="340"/>
      <c r="N673" s="340"/>
      <c r="O673" s="340"/>
      <c r="P673" s="340"/>
      <c r="Q673" s="340"/>
      <c r="R673" s="340"/>
      <c r="S673" s="340"/>
      <c r="T673" s="340"/>
      <c r="U673" s="340"/>
      <c r="V673" s="340"/>
      <c r="W673" s="340"/>
      <c r="X673" s="340"/>
      <c r="Y673" s="340"/>
      <c r="Z673" s="340"/>
      <c r="AA673" s="340"/>
      <c r="AB673" s="340"/>
      <c r="AC673" s="340"/>
    </row>
    <row r="674" spans="1:29">
      <c r="A674" s="340"/>
      <c r="B674" s="340"/>
      <c r="C674" s="340"/>
      <c r="D674" s="340"/>
      <c r="E674" s="340"/>
      <c r="F674" s="340"/>
      <c r="G674" s="340"/>
      <c r="H674" s="340"/>
      <c r="I674" s="340"/>
      <c r="J674" s="340"/>
      <c r="K674" s="340"/>
      <c r="L674" s="340"/>
      <c r="M674" s="340"/>
      <c r="N674" s="340"/>
      <c r="O674" s="340"/>
      <c r="P674" s="340"/>
      <c r="Q674" s="340"/>
      <c r="R674" s="340"/>
      <c r="S674" s="340"/>
      <c r="T674" s="340"/>
      <c r="U674" s="340"/>
      <c r="V674" s="340"/>
      <c r="W674" s="340"/>
      <c r="X674" s="340"/>
      <c r="Y674" s="340"/>
      <c r="Z674" s="340"/>
      <c r="AA674" s="340"/>
      <c r="AB674" s="340"/>
      <c r="AC674" s="340"/>
    </row>
    <row r="675" spans="1:29">
      <c r="A675" s="340"/>
      <c r="B675" s="340"/>
      <c r="C675" s="340"/>
      <c r="D675" s="340"/>
      <c r="E675" s="340"/>
      <c r="F675" s="340"/>
      <c r="G675" s="340"/>
      <c r="H675" s="340"/>
      <c r="I675" s="340"/>
      <c r="J675" s="340"/>
      <c r="K675" s="340"/>
      <c r="L675" s="340"/>
      <c r="M675" s="340"/>
      <c r="N675" s="340"/>
      <c r="O675" s="340"/>
      <c r="P675" s="340"/>
      <c r="Q675" s="340"/>
      <c r="R675" s="340"/>
      <c r="S675" s="340"/>
      <c r="T675" s="340"/>
      <c r="U675" s="340"/>
      <c r="V675" s="340"/>
      <c r="W675" s="340"/>
      <c r="X675" s="340"/>
      <c r="Y675" s="340"/>
      <c r="Z675" s="340"/>
      <c r="AA675" s="340"/>
      <c r="AB675" s="340"/>
      <c r="AC675" s="340"/>
    </row>
    <row r="676" spans="1:29">
      <c r="A676" s="340"/>
      <c r="B676" s="340"/>
      <c r="C676" s="340"/>
      <c r="D676" s="340"/>
      <c r="E676" s="340"/>
      <c r="F676" s="340"/>
      <c r="G676" s="340"/>
      <c r="H676" s="340"/>
      <c r="I676" s="340"/>
      <c r="J676" s="340"/>
      <c r="K676" s="340"/>
      <c r="L676" s="340"/>
      <c r="M676" s="340"/>
      <c r="N676" s="340"/>
      <c r="O676" s="340"/>
      <c r="P676" s="340"/>
      <c r="Q676" s="340"/>
      <c r="R676" s="340"/>
      <c r="S676" s="340"/>
      <c r="T676" s="340"/>
      <c r="U676" s="340"/>
      <c r="V676" s="340"/>
      <c r="W676" s="340"/>
      <c r="X676" s="340"/>
      <c r="Y676" s="340"/>
      <c r="Z676" s="340"/>
      <c r="AA676" s="340"/>
      <c r="AB676" s="340"/>
      <c r="AC676" s="340"/>
    </row>
    <row r="677" spans="1:29">
      <c r="A677" s="340"/>
      <c r="B677" s="340"/>
      <c r="C677" s="340"/>
      <c r="D677" s="340"/>
      <c r="E677" s="340"/>
      <c r="F677" s="340"/>
      <c r="G677" s="340"/>
      <c r="H677" s="340"/>
      <c r="I677" s="340"/>
      <c r="J677" s="340"/>
      <c r="K677" s="340"/>
      <c r="L677" s="340"/>
      <c r="M677" s="340"/>
      <c r="N677" s="340"/>
      <c r="O677" s="340"/>
      <c r="P677" s="340"/>
      <c r="Q677" s="340"/>
      <c r="R677" s="340"/>
      <c r="S677" s="340"/>
      <c r="T677" s="340"/>
      <c r="U677" s="340"/>
      <c r="V677" s="340"/>
      <c r="W677" s="340"/>
      <c r="X677" s="340"/>
      <c r="Y677" s="340"/>
      <c r="Z677" s="340"/>
      <c r="AA677" s="340"/>
      <c r="AB677" s="340"/>
      <c r="AC677" s="340"/>
    </row>
    <row r="678" spans="1:29">
      <c r="A678" s="340"/>
      <c r="B678" s="340"/>
      <c r="C678" s="340"/>
      <c r="D678" s="340"/>
      <c r="E678" s="340"/>
      <c r="F678" s="340"/>
      <c r="G678" s="340"/>
      <c r="H678" s="340"/>
      <c r="I678" s="340"/>
      <c r="J678" s="340"/>
      <c r="K678" s="340"/>
      <c r="L678" s="340"/>
      <c r="M678" s="340"/>
      <c r="N678" s="340"/>
      <c r="O678" s="340"/>
      <c r="P678" s="340"/>
      <c r="Q678" s="340"/>
      <c r="R678" s="340"/>
      <c r="S678" s="340"/>
      <c r="T678" s="340"/>
      <c r="U678" s="340"/>
      <c r="V678" s="340"/>
      <c r="W678" s="340"/>
      <c r="X678" s="340"/>
      <c r="Y678" s="340"/>
      <c r="Z678" s="340"/>
      <c r="AA678" s="340"/>
      <c r="AB678" s="340"/>
      <c r="AC678" s="340"/>
    </row>
    <row r="679" spans="1:29">
      <c r="A679" s="340"/>
      <c r="B679" s="340"/>
      <c r="C679" s="340"/>
      <c r="D679" s="340"/>
      <c r="E679" s="340"/>
      <c r="F679" s="340"/>
      <c r="G679" s="340"/>
      <c r="H679" s="340"/>
      <c r="I679" s="340"/>
      <c r="J679" s="340"/>
      <c r="K679" s="340"/>
      <c r="L679" s="340"/>
      <c r="M679" s="340"/>
      <c r="N679" s="340"/>
      <c r="O679" s="340"/>
      <c r="P679" s="340"/>
      <c r="Q679" s="340"/>
      <c r="R679" s="340"/>
      <c r="S679" s="340"/>
      <c r="T679" s="340"/>
      <c r="U679" s="340"/>
      <c r="V679" s="340"/>
      <c r="W679" s="340"/>
      <c r="X679" s="340"/>
      <c r="Y679" s="340"/>
      <c r="Z679" s="340"/>
      <c r="AA679" s="340"/>
      <c r="AB679" s="340"/>
      <c r="AC679" s="340"/>
    </row>
    <row r="680" spans="1:29">
      <c r="A680" s="340"/>
      <c r="B680" s="340"/>
      <c r="C680" s="340"/>
      <c r="D680" s="340"/>
      <c r="E680" s="340"/>
      <c r="F680" s="340"/>
      <c r="G680" s="340"/>
      <c r="H680" s="340"/>
      <c r="I680" s="340"/>
      <c r="J680" s="340"/>
      <c r="K680" s="340"/>
      <c r="L680" s="340"/>
      <c r="M680" s="340"/>
      <c r="N680" s="340"/>
      <c r="O680" s="340"/>
      <c r="P680" s="340"/>
      <c r="Q680" s="340"/>
      <c r="R680" s="340"/>
      <c r="S680" s="340"/>
      <c r="T680" s="340"/>
      <c r="U680" s="340"/>
      <c r="V680" s="340"/>
      <c r="W680" s="340"/>
      <c r="X680" s="340"/>
      <c r="Y680" s="340"/>
      <c r="Z680" s="340"/>
      <c r="AA680" s="340"/>
      <c r="AB680" s="340"/>
      <c r="AC680" s="340"/>
    </row>
    <row r="681" spans="1:29">
      <c r="A681" s="340"/>
      <c r="B681" s="340"/>
      <c r="C681" s="340"/>
      <c r="D681" s="340"/>
      <c r="E681" s="340"/>
      <c r="F681" s="340"/>
      <c r="G681" s="340"/>
      <c r="H681" s="340"/>
      <c r="I681" s="340"/>
      <c r="J681" s="340"/>
      <c r="K681" s="340"/>
      <c r="L681" s="340"/>
      <c r="M681" s="340"/>
      <c r="N681" s="340"/>
      <c r="O681" s="340"/>
      <c r="P681" s="340"/>
      <c r="Q681" s="340"/>
      <c r="R681" s="340"/>
      <c r="S681" s="340"/>
      <c r="T681" s="340"/>
      <c r="U681" s="340"/>
      <c r="V681" s="340"/>
      <c r="W681" s="340"/>
      <c r="X681" s="340"/>
      <c r="Y681" s="340"/>
      <c r="Z681" s="340"/>
      <c r="AA681" s="340"/>
      <c r="AB681" s="340"/>
      <c r="AC681" s="340"/>
    </row>
    <row r="682" spans="1:29">
      <c r="A682" s="340"/>
      <c r="B682" s="340"/>
      <c r="C682" s="340"/>
      <c r="D682" s="340"/>
      <c r="E682" s="340"/>
      <c r="F682" s="340"/>
      <c r="G682" s="340"/>
      <c r="H682" s="340"/>
      <c r="I682" s="340"/>
      <c r="J682" s="340"/>
      <c r="K682" s="340"/>
      <c r="L682" s="340"/>
      <c r="M682" s="340"/>
      <c r="N682" s="340"/>
      <c r="O682" s="340"/>
      <c r="P682" s="340"/>
      <c r="Q682" s="340"/>
      <c r="R682" s="340"/>
      <c r="S682" s="340"/>
      <c r="T682" s="340"/>
      <c r="U682" s="340"/>
      <c r="V682" s="340"/>
      <c r="W682" s="340"/>
      <c r="X682" s="340"/>
      <c r="Y682" s="340"/>
      <c r="Z682" s="340"/>
      <c r="AA682" s="340"/>
      <c r="AB682" s="340"/>
      <c r="AC682" s="340"/>
    </row>
    <row r="683" spans="1:29">
      <c r="A683" s="340"/>
      <c r="B683" s="340"/>
      <c r="C683" s="340"/>
      <c r="D683" s="340"/>
      <c r="E683" s="340"/>
      <c r="F683" s="340"/>
      <c r="G683" s="340"/>
      <c r="H683" s="340"/>
      <c r="I683" s="340"/>
      <c r="J683" s="340"/>
      <c r="K683" s="340"/>
      <c r="L683" s="340"/>
      <c r="M683" s="340"/>
      <c r="N683" s="340"/>
      <c r="O683" s="340"/>
      <c r="P683" s="340"/>
      <c r="Q683" s="340"/>
      <c r="R683" s="340"/>
      <c r="S683" s="340"/>
      <c r="T683" s="340"/>
      <c r="U683" s="340"/>
      <c r="V683" s="340"/>
      <c r="W683" s="340"/>
      <c r="X683" s="340"/>
      <c r="Y683" s="340"/>
      <c r="Z683" s="340"/>
      <c r="AA683" s="340"/>
      <c r="AB683" s="340"/>
      <c r="AC683" s="340"/>
    </row>
    <row r="684" spans="1:29">
      <c r="A684" s="340"/>
      <c r="B684" s="340"/>
      <c r="C684" s="340"/>
      <c r="D684" s="340"/>
      <c r="E684" s="340"/>
      <c r="F684" s="340"/>
      <c r="G684" s="340"/>
      <c r="H684" s="340"/>
      <c r="I684" s="340"/>
      <c r="J684" s="340"/>
      <c r="K684" s="340"/>
      <c r="L684" s="340"/>
      <c r="M684" s="340"/>
      <c r="N684" s="340"/>
      <c r="O684" s="340"/>
      <c r="P684" s="340"/>
      <c r="Q684" s="340"/>
      <c r="R684" s="340"/>
      <c r="S684" s="340"/>
      <c r="T684" s="340"/>
      <c r="U684" s="340"/>
      <c r="V684" s="340"/>
      <c r="W684" s="340"/>
      <c r="X684" s="340"/>
      <c r="Y684" s="340"/>
      <c r="Z684" s="340"/>
      <c r="AA684" s="340"/>
      <c r="AB684" s="340"/>
      <c r="AC684" s="340"/>
    </row>
    <row r="685" spans="1:29">
      <c r="A685" s="340"/>
      <c r="B685" s="340"/>
      <c r="C685" s="340"/>
      <c r="D685" s="340"/>
      <c r="E685" s="340"/>
      <c r="F685" s="340"/>
      <c r="G685" s="340"/>
      <c r="H685" s="340"/>
      <c r="I685" s="340"/>
      <c r="J685" s="340"/>
      <c r="K685" s="340"/>
      <c r="L685" s="340"/>
      <c r="M685" s="340"/>
      <c r="N685" s="340"/>
      <c r="O685" s="340"/>
      <c r="P685" s="340"/>
      <c r="Q685" s="340"/>
      <c r="R685" s="340"/>
      <c r="S685" s="340"/>
      <c r="T685" s="340"/>
      <c r="U685" s="340"/>
      <c r="V685" s="340"/>
      <c r="W685" s="340"/>
      <c r="X685" s="340"/>
      <c r="Y685" s="340"/>
      <c r="Z685" s="340"/>
      <c r="AA685" s="340"/>
      <c r="AB685" s="340"/>
      <c r="AC685" s="340"/>
    </row>
    <row r="686" spans="1:29">
      <c r="A686" s="340"/>
      <c r="B686" s="340"/>
      <c r="C686" s="340"/>
      <c r="D686" s="340"/>
      <c r="E686" s="340"/>
      <c r="F686" s="340"/>
      <c r="G686" s="340"/>
      <c r="H686" s="340"/>
      <c r="I686" s="340"/>
      <c r="J686" s="340"/>
      <c r="K686" s="340"/>
      <c r="L686" s="340"/>
      <c r="M686" s="340"/>
      <c r="N686" s="340"/>
      <c r="O686" s="340"/>
      <c r="P686" s="340"/>
      <c r="Q686" s="340"/>
      <c r="R686" s="340"/>
      <c r="S686" s="340"/>
      <c r="T686" s="340"/>
      <c r="U686" s="340"/>
      <c r="V686" s="340"/>
      <c r="W686" s="340"/>
      <c r="X686" s="340"/>
      <c r="Y686" s="340"/>
      <c r="Z686" s="340"/>
      <c r="AA686" s="340"/>
      <c r="AB686" s="340"/>
      <c r="AC686" s="340"/>
    </row>
    <row r="687" spans="1:29">
      <c r="A687" s="340"/>
      <c r="B687" s="340"/>
      <c r="C687" s="340"/>
      <c r="D687" s="340"/>
      <c r="E687" s="340"/>
      <c r="F687" s="340"/>
      <c r="G687" s="340"/>
      <c r="H687" s="340"/>
      <c r="I687" s="340"/>
      <c r="J687" s="340"/>
      <c r="K687" s="340"/>
      <c r="L687" s="340"/>
      <c r="M687" s="340"/>
      <c r="N687" s="340"/>
      <c r="O687" s="340"/>
      <c r="P687" s="340"/>
      <c r="Q687" s="340"/>
      <c r="R687" s="340"/>
      <c r="S687" s="340"/>
      <c r="T687" s="340"/>
      <c r="U687" s="340"/>
      <c r="V687" s="340"/>
      <c r="W687" s="340"/>
      <c r="X687" s="340"/>
      <c r="Y687" s="340"/>
      <c r="Z687" s="340"/>
      <c r="AA687" s="340"/>
      <c r="AB687" s="340"/>
      <c r="AC687" s="340"/>
    </row>
    <row r="688" spans="1:29">
      <c r="A688" s="340"/>
      <c r="B688" s="340"/>
      <c r="C688" s="340"/>
      <c r="D688" s="340"/>
      <c r="E688" s="340"/>
      <c r="F688" s="340"/>
      <c r="G688" s="340"/>
      <c r="H688" s="340"/>
      <c r="I688" s="340"/>
      <c r="J688" s="340"/>
      <c r="K688" s="340"/>
      <c r="L688" s="340"/>
      <c r="M688" s="340"/>
      <c r="N688" s="340"/>
      <c r="O688" s="340"/>
      <c r="P688" s="340"/>
      <c r="Q688" s="340"/>
      <c r="R688" s="340"/>
      <c r="S688" s="340"/>
      <c r="T688" s="340"/>
      <c r="U688" s="340"/>
      <c r="V688" s="340"/>
      <c r="W688" s="340"/>
      <c r="X688" s="340"/>
      <c r="Y688" s="340"/>
      <c r="Z688" s="340"/>
      <c r="AA688" s="340"/>
      <c r="AB688" s="340"/>
      <c r="AC688" s="340"/>
    </row>
    <row r="689" spans="1:29">
      <c r="A689" s="340"/>
      <c r="B689" s="340"/>
      <c r="C689" s="340"/>
      <c r="D689" s="340"/>
      <c r="E689" s="340"/>
      <c r="F689" s="340"/>
      <c r="G689" s="340"/>
      <c r="H689" s="340"/>
      <c r="I689" s="340"/>
      <c r="J689" s="340"/>
      <c r="K689" s="340"/>
      <c r="L689" s="340"/>
      <c r="M689" s="340"/>
      <c r="N689" s="340"/>
      <c r="O689" s="340"/>
      <c r="P689" s="340"/>
      <c r="Q689" s="340"/>
      <c r="R689" s="340"/>
      <c r="S689" s="340"/>
      <c r="T689" s="340"/>
      <c r="U689" s="340"/>
      <c r="V689" s="340"/>
      <c r="W689" s="340"/>
      <c r="X689" s="340"/>
      <c r="Y689" s="340"/>
      <c r="Z689" s="340"/>
      <c r="AA689" s="340"/>
      <c r="AB689" s="340"/>
      <c r="AC689" s="340"/>
    </row>
    <row r="690" spans="1:29">
      <c r="A690" s="340"/>
      <c r="B690" s="340"/>
      <c r="C690" s="340"/>
      <c r="D690" s="340"/>
      <c r="E690" s="340"/>
      <c r="F690" s="340"/>
      <c r="G690" s="340"/>
      <c r="H690" s="340"/>
      <c r="I690" s="340"/>
      <c r="J690" s="340"/>
      <c r="K690" s="340"/>
      <c r="L690" s="340"/>
      <c r="M690" s="340"/>
      <c r="N690" s="340"/>
      <c r="O690" s="340"/>
      <c r="P690" s="340"/>
      <c r="Q690" s="340"/>
      <c r="R690" s="340"/>
      <c r="S690" s="340"/>
      <c r="T690" s="340"/>
      <c r="U690" s="340"/>
      <c r="V690" s="340"/>
      <c r="W690" s="340"/>
      <c r="X690" s="340"/>
      <c r="Y690" s="340"/>
      <c r="Z690" s="340"/>
      <c r="AA690" s="340"/>
      <c r="AB690" s="340"/>
      <c r="AC690" s="340"/>
    </row>
    <row r="691" spans="1:29">
      <c r="A691" s="340"/>
      <c r="B691" s="340"/>
      <c r="C691" s="340"/>
      <c r="D691" s="340"/>
      <c r="E691" s="340"/>
      <c r="F691" s="340"/>
      <c r="G691" s="340"/>
      <c r="H691" s="340"/>
      <c r="I691" s="340"/>
      <c r="J691" s="340"/>
      <c r="K691" s="340"/>
      <c r="L691" s="340"/>
      <c r="M691" s="340"/>
      <c r="N691" s="340"/>
      <c r="O691" s="340"/>
      <c r="P691" s="340"/>
      <c r="Q691" s="340"/>
      <c r="R691" s="340"/>
      <c r="S691" s="340"/>
      <c r="T691" s="340"/>
      <c r="U691" s="340"/>
      <c r="V691" s="340"/>
      <c r="W691" s="340"/>
      <c r="X691" s="340"/>
      <c r="Y691" s="340"/>
      <c r="Z691" s="340"/>
      <c r="AA691" s="340"/>
      <c r="AB691" s="340"/>
      <c r="AC691" s="340"/>
    </row>
    <row r="692" spans="1:29">
      <c r="A692" s="340"/>
      <c r="B692" s="340"/>
      <c r="C692" s="340"/>
      <c r="D692" s="340"/>
      <c r="E692" s="340"/>
      <c r="F692" s="340"/>
      <c r="G692" s="340"/>
      <c r="H692" s="340"/>
      <c r="I692" s="340"/>
      <c r="J692" s="340"/>
      <c r="K692" s="340"/>
      <c r="L692" s="340"/>
      <c r="M692" s="340"/>
      <c r="N692" s="340"/>
      <c r="O692" s="340"/>
      <c r="P692" s="340"/>
      <c r="Q692" s="340"/>
      <c r="R692" s="340"/>
      <c r="S692" s="340"/>
      <c r="T692" s="340"/>
      <c r="U692" s="340"/>
      <c r="V692" s="340"/>
      <c r="W692" s="340"/>
      <c r="X692" s="340"/>
      <c r="Y692" s="340"/>
      <c r="Z692" s="340"/>
      <c r="AA692" s="340"/>
      <c r="AB692" s="340"/>
      <c r="AC692" s="340"/>
    </row>
    <row r="693" spans="1:29">
      <c r="A693" s="340"/>
      <c r="B693" s="340"/>
      <c r="C693" s="340"/>
      <c r="D693" s="340"/>
      <c r="E693" s="340"/>
      <c r="F693" s="340"/>
      <c r="G693" s="340"/>
      <c r="H693" s="340"/>
      <c r="I693" s="340"/>
      <c r="J693" s="340"/>
      <c r="K693" s="340"/>
      <c r="L693" s="340"/>
      <c r="M693" s="340"/>
      <c r="N693" s="340"/>
      <c r="O693" s="340"/>
      <c r="P693" s="340"/>
      <c r="Q693" s="340"/>
      <c r="R693" s="340"/>
      <c r="S693" s="340"/>
      <c r="T693" s="340"/>
      <c r="U693" s="340"/>
      <c r="V693" s="340"/>
      <c r="W693" s="340"/>
      <c r="X693" s="340"/>
      <c r="Y693" s="340"/>
      <c r="Z693" s="340"/>
      <c r="AA693" s="340"/>
      <c r="AB693" s="340"/>
      <c r="AC693" s="340"/>
    </row>
    <row r="694" spans="1:29">
      <c r="A694" s="340"/>
      <c r="B694" s="340"/>
      <c r="C694" s="340"/>
      <c r="D694" s="340"/>
      <c r="E694" s="340"/>
      <c r="F694" s="340"/>
      <c r="G694" s="340"/>
      <c r="H694" s="340"/>
      <c r="I694" s="340"/>
      <c r="J694" s="340"/>
      <c r="K694" s="340"/>
      <c r="L694" s="340"/>
      <c r="M694" s="340"/>
      <c r="N694" s="340"/>
      <c r="O694" s="340"/>
      <c r="P694" s="340"/>
      <c r="Q694" s="340"/>
      <c r="R694" s="340"/>
      <c r="S694" s="340"/>
      <c r="T694" s="340"/>
      <c r="U694" s="340"/>
      <c r="V694" s="340"/>
      <c r="W694" s="340"/>
      <c r="X694" s="340"/>
      <c r="Y694" s="340"/>
      <c r="Z694" s="340"/>
      <c r="AA694" s="340"/>
      <c r="AB694" s="340"/>
      <c r="AC694" s="340"/>
    </row>
    <row r="695" spans="1:29">
      <c r="A695" s="340"/>
      <c r="B695" s="340"/>
      <c r="C695" s="340"/>
      <c r="D695" s="340"/>
      <c r="E695" s="340"/>
      <c r="F695" s="340"/>
      <c r="G695" s="340"/>
      <c r="H695" s="340"/>
      <c r="I695" s="340"/>
      <c r="J695" s="340"/>
      <c r="K695" s="340"/>
      <c r="L695" s="340"/>
      <c r="M695" s="340"/>
      <c r="N695" s="340"/>
      <c r="O695" s="340"/>
      <c r="P695" s="340"/>
      <c r="Q695" s="340"/>
      <c r="R695" s="340"/>
      <c r="S695" s="340"/>
      <c r="T695" s="340"/>
      <c r="U695" s="340"/>
      <c r="V695" s="340"/>
      <c r="W695" s="340"/>
      <c r="X695" s="340"/>
      <c r="Y695" s="340"/>
      <c r="Z695" s="340"/>
      <c r="AA695" s="340"/>
      <c r="AB695" s="340"/>
      <c r="AC695" s="340"/>
    </row>
    <row r="696" spans="1:29">
      <c r="A696" s="340"/>
      <c r="B696" s="340"/>
      <c r="C696" s="340"/>
      <c r="D696" s="340"/>
      <c r="E696" s="340"/>
      <c r="F696" s="340"/>
      <c r="G696" s="340"/>
      <c r="H696" s="340"/>
      <c r="I696" s="340"/>
      <c r="J696" s="340"/>
      <c r="K696" s="340"/>
      <c r="L696" s="340"/>
      <c r="M696" s="340"/>
      <c r="N696" s="340"/>
      <c r="O696" s="340"/>
      <c r="P696" s="340"/>
      <c r="Q696" s="340"/>
      <c r="R696" s="340"/>
      <c r="S696" s="340"/>
      <c r="T696" s="340"/>
      <c r="U696" s="340"/>
      <c r="V696" s="340"/>
      <c r="W696" s="340"/>
      <c r="X696" s="340"/>
      <c r="Y696" s="340"/>
      <c r="Z696" s="340"/>
      <c r="AA696" s="340"/>
      <c r="AB696" s="340"/>
      <c r="AC696" s="340"/>
    </row>
    <row r="697" spans="1:29">
      <c r="A697" s="340"/>
      <c r="B697" s="340"/>
      <c r="C697" s="340"/>
      <c r="D697" s="340"/>
      <c r="E697" s="340"/>
      <c r="F697" s="340"/>
      <c r="G697" s="340"/>
      <c r="H697" s="340"/>
      <c r="I697" s="340"/>
      <c r="J697" s="340"/>
      <c r="K697" s="340"/>
      <c r="L697" s="340"/>
      <c r="M697" s="340"/>
      <c r="N697" s="340"/>
      <c r="O697" s="340"/>
      <c r="P697" s="340"/>
      <c r="Q697" s="340"/>
      <c r="R697" s="340"/>
      <c r="S697" s="340"/>
      <c r="T697" s="340"/>
      <c r="U697" s="340"/>
      <c r="V697" s="340"/>
      <c r="W697" s="340"/>
      <c r="X697" s="340"/>
      <c r="Y697" s="340"/>
      <c r="Z697" s="340"/>
      <c r="AA697" s="340"/>
      <c r="AB697" s="340"/>
      <c r="AC697" s="340"/>
    </row>
    <row r="698" spans="1:29">
      <c r="A698" s="340"/>
      <c r="B698" s="340"/>
      <c r="C698" s="340"/>
      <c r="D698" s="340"/>
      <c r="E698" s="340"/>
      <c r="F698" s="340"/>
      <c r="G698" s="340"/>
      <c r="H698" s="340"/>
      <c r="I698" s="340"/>
      <c r="J698" s="340"/>
      <c r="K698" s="340"/>
      <c r="L698" s="340"/>
      <c r="M698" s="340"/>
      <c r="N698" s="340"/>
      <c r="O698" s="340"/>
      <c r="P698" s="340"/>
      <c r="Q698" s="340"/>
      <c r="R698" s="340"/>
      <c r="S698" s="340"/>
      <c r="T698" s="340"/>
      <c r="U698" s="340"/>
      <c r="V698" s="340"/>
      <c r="W698" s="340"/>
      <c r="X698" s="340"/>
      <c r="Y698" s="340"/>
      <c r="Z698" s="340"/>
      <c r="AA698" s="340"/>
      <c r="AB698" s="340"/>
      <c r="AC698" s="340"/>
    </row>
    <row r="699" spans="1:29">
      <c r="A699" s="340"/>
      <c r="B699" s="340"/>
      <c r="C699" s="340"/>
      <c r="D699" s="340"/>
      <c r="E699" s="340"/>
      <c r="F699" s="340"/>
      <c r="G699" s="340"/>
      <c r="H699" s="340"/>
      <c r="I699" s="340"/>
      <c r="J699" s="340"/>
      <c r="K699" s="340"/>
      <c r="L699" s="340"/>
      <c r="M699" s="340"/>
      <c r="N699" s="340"/>
      <c r="O699" s="340"/>
      <c r="P699" s="340"/>
      <c r="Q699" s="340"/>
      <c r="R699" s="340"/>
      <c r="S699" s="340"/>
      <c r="T699" s="340"/>
      <c r="U699" s="340"/>
      <c r="V699" s="340"/>
      <c r="W699" s="340"/>
      <c r="X699" s="340"/>
      <c r="Y699" s="340"/>
      <c r="Z699" s="340"/>
      <c r="AA699" s="340"/>
      <c r="AB699" s="340"/>
      <c r="AC699" s="340"/>
    </row>
    <row r="700" spans="1:29">
      <c r="A700" s="340"/>
      <c r="B700" s="340"/>
      <c r="C700" s="340"/>
      <c r="D700" s="340"/>
      <c r="E700" s="340"/>
      <c r="F700" s="340"/>
      <c r="G700" s="340"/>
      <c r="H700" s="340"/>
      <c r="I700" s="340"/>
      <c r="J700" s="340"/>
      <c r="K700" s="340"/>
      <c r="L700" s="340"/>
      <c r="M700" s="340"/>
      <c r="N700" s="340"/>
      <c r="O700" s="340"/>
      <c r="P700" s="340"/>
      <c r="Q700" s="340"/>
      <c r="R700" s="340"/>
      <c r="S700" s="340"/>
      <c r="T700" s="340"/>
      <c r="U700" s="340"/>
      <c r="V700" s="340"/>
      <c r="W700" s="340"/>
      <c r="X700" s="340"/>
      <c r="Y700" s="340"/>
      <c r="Z700" s="340"/>
      <c r="AA700" s="340"/>
      <c r="AB700" s="340"/>
      <c r="AC700" s="340"/>
    </row>
    <row r="701" spans="1:29">
      <c r="A701" s="340"/>
      <c r="B701" s="340"/>
      <c r="C701" s="340"/>
      <c r="D701" s="340"/>
      <c r="E701" s="340"/>
      <c r="F701" s="340"/>
      <c r="G701" s="340"/>
      <c r="H701" s="340"/>
      <c r="I701" s="340"/>
      <c r="J701" s="340"/>
      <c r="K701" s="340"/>
      <c r="L701" s="340"/>
      <c r="M701" s="340"/>
      <c r="N701" s="340"/>
      <c r="O701" s="340"/>
      <c r="P701" s="340"/>
      <c r="Q701" s="340"/>
      <c r="R701" s="340"/>
      <c r="S701" s="340"/>
      <c r="T701" s="340"/>
      <c r="U701" s="340"/>
      <c r="V701" s="340"/>
      <c r="W701" s="340"/>
      <c r="X701" s="340"/>
      <c r="Y701" s="340"/>
      <c r="Z701" s="340"/>
      <c r="AA701" s="340"/>
      <c r="AB701" s="340"/>
      <c r="AC701" s="340"/>
    </row>
    <row r="702" spans="1:29">
      <c r="A702" s="340"/>
      <c r="B702" s="340"/>
      <c r="C702" s="340"/>
      <c r="D702" s="340"/>
      <c r="E702" s="340"/>
      <c r="F702" s="340"/>
      <c r="G702" s="340"/>
      <c r="H702" s="340"/>
      <c r="I702" s="340"/>
      <c r="J702" s="340"/>
      <c r="K702" s="340"/>
      <c r="L702" s="340"/>
      <c r="M702" s="340"/>
      <c r="N702" s="340"/>
      <c r="O702" s="340"/>
      <c r="P702" s="340"/>
      <c r="Q702" s="340"/>
      <c r="R702" s="340"/>
      <c r="S702" s="340"/>
      <c r="T702" s="340"/>
      <c r="U702" s="340"/>
      <c r="V702" s="340"/>
      <c r="W702" s="340"/>
      <c r="X702" s="340"/>
      <c r="Y702" s="340"/>
      <c r="Z702" s="340"/>
      <c r="AA702" s="340"/>
      <c r="AB702" s="340"/>
      <c r="AC702" s="340"/>
    </row>
    <row r="703" spans="1:29">
      <c r="A703" s="340"/>
      <c r="B703" s="340"/>
      <c r="C703" s="340"/>
      <c r="D703" s="340"/>
      <c r="E703" s="340"/>
      <c r="F703" s="340"/>
      <c r="G703" s="340"/>
      <c r="H703" s="340"/>
      <c r="I703" s="340"/>
      <c r="J703" s="340"/>
      <c r="K703" s="340"/>
      <c r="L703" s="340"/>
      <c r="M703" s="340"/>
      <c r="N703" s="340"/>
      <c r="O703" s="340"/>
      <c r="P703" s="340"/>
      <c r="Q703" s="340"/>
      <c r="R703" s="340"/>
      <c r="S703" s="340"/>
      <c r="T703" s="340"/>
      <c r="U703" s="340"/>
      <c r="V703" s="340"/>
      <c r="W703" s="340"/>
      <c r="X703" s="340"/>
      <c r="Y703" s="340"/>
      <c r="Z703" s="340"/>
      <c r="AA703" s="340"/>
      <c r="AB703" s="340"/>
      <c r="AC703" s="340"/>
    </row>
    <row r="704" spans="1:29">
      <c r="A704" s="340"/>
      <c r="B704" s="340"/>
      <c r="C704" s="340"/>
      <c r="D704" s="340"/>
      <c r="E704" s="340"/>
      <c r="F704" s="340"/>
      <c r="G704" s="340"/>
      <c r="H704" s="340"/>
      <c r="I704" s="340"/>
      <c r="J704" s="340"/>
      <c r="K704" s="340"/>
      <c r="L704" s="340"/>
      <c r="M704" s="340"/>
      <c r="N704" s="340"/>
      <c r="O704" s="340"/>
      <c r="P704" s="340"/>
      <c r="Q704" s="340"/>
      <c r="R704" s="340"/>
      <c r="S704" s="340"/>
      <c r="T704" s="340"/>
      <c r="U704" s="340"/>
      <c r="V704" s="340"/>
      <c r="W704" s="340"/>
      <c r="X704" s="340"/>
      <c r="Y704" s="340"/>
      <c r="Z704" s="340"/>
      <c r="AA704" s="340"/>
      <c r="AB704" s="340"/>
      <c r="AC704" s="340"/>
    </row>
    <row r="705" spans="1:29">
      <c r="A705" s="340"/>
      <c r="B705" s="340"/>
      <c r="C705" s="340"/>
      <c r="D705" s="340"/>
      <c r="E705" s="340"/>
      <c r="F705" s="340"/>
      <c r="G705" s="340"/>
      <c r="H705" s="340"/>
      <c r="I705" s="340"/>
      <c r="J705" s="340"/>
      <c r="K705" s="340"/>
      <c r="L705" s="340"/>
      <c r="M705" s="340"/>
      <c r="N705" s="340"/>
      <c r="O705" s="340"/>
      <c r="P705" s="340"/>
      <c r="Q705" s="340"/>
      <c r="R705" s="340"/>
      <c r="S705" s="340"/>
      <c r="T705" s="340"/>
      <c r="U705" s="340"/>
      <c r="V705" s="340"/>
      <c r="W705" s="340"/>
      <c r="X705" s="340"/>
      <c r="Y705" s="340"/>
      <c r="Z705" s="340"/>
      <c r="AA705" s="340"/>
      <c r="AB705" s="340"/>
      <c r="AC705" s="340"/>
    </row>
    <row r="706" spans="1:29">
      <c r="A706" s="340"/>
      <c r="B706" s="340"/>
      <c r="C706" s="340"/>
      <c r="D706" s="340"/>
      <c r="E706" s="340"/>
      <c r="F706" s="340"/>
      <c r="G706" s="340"/>
      <c r="H706" s="340"/>
      <c r="I706" s="340"/>
      <c r="J706" s="340"/>
      <c r="K706" s="340"/>
      <c r="L706" s="340"/>
      <c r="M706" s="340"/>
      <c r="N706" s="340"/>
      <c r="O706" s="340"/>
      <c r="P706" s="340"/>
      <c r="Q706" s="340"/>
      <c r="R706" s="340"/>
      <c r="S706" s="340"/>
      <c r="T706" s="340"/>
      <c r="U706" s="340"/>
      <c r="V706" s="340"/>
      <c r="W706" s="340"/>
      <c r="X706" s="340"/>
      <c r="Y706" s="340"/>
      <c r="Z706" s="340"/>
      <c r="AA706" s="340"/>
      <c r="AB706" s="340"/>
      <c r="AC706" s="340"/>
    </row>
    <row r="707" spans="1:29">
      <c r="A707" s="340"/>
      <c r="B707" s="340"/>
      <c r="C707" s="340"/>
      <c r="D707" s="340"/>
      <c r="E707" s="340"/>
      <c r="F707" s="340"/>
      <c r="G707" s="340"/>
      <c r="H707" s="340"/>
      <c r="I707" s="340"/>
      <c r="J707" s="340"/>
      <c r="K707" s="340"/>
      <c r="L707" s="340"/>
      <c r="M707" s="340"/>
      <c r="N707" s="340"/>
      <c r="O707" s="340"/>
      <c r="P707" s="340"/>
      <c r="Q707" s="340"/>
      <c r="R707" s="340"/>
      <c r="S707" s="340"/>
      <c r="T707" s="340"/>
      <c r="U707" s="340"/>
      <c r="V707" s="340"/>
      <c r="W707" s="340"/>
      <c r="X707" s="340"/>
      <c r="Y707" s="340"/>
      <c r="Z707" s="340"/>
      <c r="AA707" s="340"/>
      <c r="AB707" s="340"/>
      <c r="AC707" s="340"/>
    </row>
    <row r="708" spans="1:29">
      <c r="A708" s="340"/>
      <c r="B708" s="340"/>
      <c r="C708" s="340"/>
      <c r="D708" s="340"/>
      <c r="E708" s="340"/>
      <c r="F708" s="340"/>
      <c r="G708" s="340"/>
      <c r="H708" s="340"/>
      <c r="I708" s="340"/>
      <c r="J708" s="340"/>
      <c r="K708" s="340"/>
      <c r="L708" s="340"/>
      <c r="M708" s="340"/>
      <c r="N708" s="340"/>
      <c r="O708" s="340"/>
      <c r="P708" s="340"/>
      <c r="Q708" s="340"/>
      <c r="R708" s="340"/>
      <c r="S708" s="340"/>
      <c r="T708" s="340"/>
      <c r="U708" s="340"/>
      <c r="V708" s="340"/>
      <c r="W708" s="340"/>
      <c r="X708" s="340"/>
      <c r="Y708" s="340"/>
      <c r="Z708" s="340"/>
      <c r="AA708" s="340"/>
      <c r="AB708" s="340"/>
      <c r="AC708" s="340"/>
    </row>
    <row r="709" spans="1:29">
      <c r="A709" s="340"/>
      <c r="B709" s="340"/>
      <c r="C709" s="340"/>
      <c r="D709" s="340"/>
      <c r="E709" s="340"/>
      <c r="F709" s="340"/>
      <c r="G709" s="340"/>
      <c r="H709" s="340"/>
      <c r="I709" s="340"/>
      <c r="J709" s="340"/>
      <c r="K709" s="340"/>
      <c r="L709" s="340"/>
      <c r="M709" s="340"/>
      <c r="N709" s="340"/>
      <c r="O709" s="340"/>
      <c r="P709" s="340"/>
      <c r="Q709" s="340"/>
      <c r="R709" s="340"/>
      <c r="S709" s="340"/>
      <c r="T709" s="340"/>
      <c r="U709" s="340"/>
      <c r="V709" s="340"/>
      <c r="W709" s="340"/>
      <c r="X709" s="340"/>
      <c r="Y709" s="340"/>
      <c r="Z709" s="340"/>
      <c r="AA709" s="340"/>
      <c r="AB709" s="340"/>
      <c r="AC709" s="340"/>
    </row>
    <row r="710" spans="1:29">
      <c r="A710" s="340"/>
      <c r="B710" s="340"/>
      <c r="C710" s="340"/>
      <c r="D710" s="340"/>
      <c r="E710" s="340"/>
      <c r="F710" s="340"/>
      <c r="G710" s="340"/>
      <c r="H710" s="340"/>
      <c r="I710" s="340"/>
      <c r="J710" s="340"/>
      <c r="K710" s="340"/>
      <c r="L710" s="340"/>
      <c r="M710" s="340"/>
      <c r="N710" s="340"/>
      <c r="O710" s="340"/>
      <c r="P710" s="340"/>
      <c r="Q710" s="340"/>
      <c r="R710" s="340"/>
      <c r="S710" s="340"/>
      <c r="T710" s="340"/>
      <c r="U710" s="340"/>
      <c r="V710" s="340"/>
      <c r="W710" s="340"/>
      <c r="X710" s="340"/>
      <c r="Y710" s="340"/>
      <c r="Z710" s="340"/>
      <c r="AA710" s="340"/>
      <c r="AB710" s="340"/>
      <c r="AC710" s="340"/>
    </row>
    <row r="711" spans="1:29">
      <c r="A711" s="340"/>
      <c r="B711" s="340"/>
      <c r="C711" s="340"/>
      <c r="D711" s="340"/>
      <c r="E711" s="340"/>
      <c r="F711" s="340"/>
      <c r="G711" s="340"/>
      <c r="H711" s="340"/>
      <c r="I711" s="340"/>
      <c r="J711" s="340"/>
      <c r="K711" s="340"/>
      <c r="L711" s="340"/>
      <c r="M711" s="340"/>
      <c r="N711" s="340"/>
      <c r="O711" s="340"/>
      <c r="P711" s="340"/>
      <c r="Q711" s="340"/>
      <c r="R711" s="340"/>
      <c r="S711" s="340"/>
      <c r="T711" s="340"/>
      <c r="U711" s="340"/>
      <c r="V711" s="340"/>
      <c r="W711" s="340"/>
      <c r="X711" s="340"/>
      <c r="Y711" s="340"/>
      <c r="Z711" s="340"/>
      <c r="AA711" s="340"/>
      <c r="AB711" s="340"/>
      <c r="AC711" s="340"/>
    </row>
    <row r="712" spans="1:29">
      <c r="A712" s="340"/>
      <c r="B712" s="340"/>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c r="AA712" s="340"/>
      <c r="AB712" s="340"/>
      <c r="AC712" s="340"/>
    </row>
    <row r="713" spans="1:29">
      <c r="A713" s="340"/>
      <c r="B713" s="340"/>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c r="AA713" s="340"/>
      <c r="AB713" s="340"/>
      <c r="AC713" s="340"/>
    </row>
    <row r="714" spans="1:29">
      <c r="A714" s="340"/>
      <c r="B714" s="340"/>
      <c r="C714" s="340"/>
      <c r="D714" s="340"/>
      <c r="E714" s="340"/>
      <c r="F714" s="340"/>
      <c r="G714" s="340"/>
      <c r="H714" s="340"/>
      <c r="I714" s="340"/>
      <c r="J714" s="340"/>
      <c r="K714" s="340"/>
      <c r="L714" s="340"/>
      <c r="M714" s="340"/>
      <c r="N714" s="340"/>
      <c r="O714" s="340"/>
      <c r="P714" s="340"/>
      <c r="Q714" s="340"/>
      <c r="R714" s="340"/>
      <c r="S714" s="340"/>
      <c r="T714" s="340"/>
      <c r="U714" s="340"/>
      <c r="V714" s="340"/>
      <c r="W714" s="340"/>
      <c r="X714" s="340"/>
      <c r="Y714" s="340"/>
      <c r="Z714" s="340"/>
      <c r="AA714" s="340"/>
      <c r="AB714" s="340"/>
      <c r="AC714" s="340"/>
    </row>
    <row r="715" spans="1:29">
      <c r="A715" s="340"/>
      <c r="B715" s="340"/>
      <c r="C715" s="340"/>
      <c r="D715" s="340"/>
      <c r="E715" s="340"/>
      <c r="F715" s="340"/>
      <c r="G715" s="340"/>
      <c r="H715" s="340"/>
      <c r="I715" s="340"/>
      <c r="J715" s="340"/>
      <c r="K715" s="340"/>
      <c r="L715" s="340"/>
      <c r="M715" s="340"/>
      <c r="N715" s="340"/>
      <c r="O715" s="340"/>
      <c r="P715" s="340"/>
      <c r="Q715" s="340"/>
      <c r="R715" s="340"/>
      <c r="S715" s="340"/>
      <c r="T715" s="340"/>
      <c r="U715" s="340"/>
      <c r="V715" s="340"/>
      <c r="W715" s="340"/>
      <c r="X715" s="340"/>
      <c r="Y715" s="340"/>
      <c r="Z715" s="340"/>
      <c r="AA715" s="340"/>
      <c r="AB715" s="340"/>
      <c r="AC715" s="340"/>
    </row>
    <row r="716" spans="1:29">
      <c r="A716" s="340"/>
      <c r="B716" s="340"/>
      <c r="C716" s="340"/>
      <c r="D716" s="340"/>
      <c r="E716" s="340"/>
      <c r="F716" s="340"/>
      <c r="G716" s="340"/>
      <c r="H716" s="340"/>
      <c r="I716" s="340"/>
      <c r="J716" s="340"/>
      <c r="K716" s="340"/>
      <c r="L716" s="340"/>
      <c r="M716" s="340"/>
      <c r="N716" s="340"/>
      <c r="O716" s="340"/>
      <c r="P716" s="340"/>
      <c r="Q716" s="340"/>
      <c r="R716" s="340"/>
      <c r="S716" s="340"/>
      <c r="T716" s="340"/>
      <c r="U716" s="340"/>
      <c r="V716" s="340"/>
      <c r="W716" s="340"/>
      <c r="X716" s="340"/>
      <c r="Y716" s="340"/>
      <c r="Z716" s="340"/>
      <c r="AA716" s="340"/>
      <c r="AB716" s="340"/>
      <c r="AC716" s="340"/>
    </row>
    <row r="717" spans="1:29">
      <c r="A717" s="340"/>
      <c r="B717" s="340"/>
      <c r="C717" s="340"/>
      <c r="D717" s="340"/>
      <c r="E717" s="340"/>
      <c r="F717" s="340"/>
      <c r="G717" s="340"/>
      <c r="H717" s="340"/>
      <c r="I717" s="340"/>
      <c r="J717" s="340"/>
      <c r="K717" s="340"/>
      <c r="L717" s="340"/>
      <c r="M717" s="340"/>
      <c r="N717" s="340"/>
      <c r="O717" s="340"/>
      <c r="P717" s="340"/>
      <c r="Q717" s="340"/>
      <c r="R717" s="340"/>
      <c r="S717" s="340"/>
      <c r="T717" s="340"/>
      <c r="U717" s="340"/>
      <c r="V717" s="340"/>
      <c r="W717" s="340"/>
      <c r="X717" s="340"/>
      <c r="Y717" s="340"/>
      <c r="Z717" s="340"/>
      <c r="AA717" s="340"/>
      <c r="AB717" s="340"/>
      <c r="AC717" s="340"/>
    </row>
    <row r="718" spans="1:29">
      <c r="A718" s="340"/>
      <c r="B718" s="340"/>
      <c r="C718" s="340"/>
      <c r="D718" s="340"/>
      <c r="E718" s="340"/>
      <c r="F718" s="340"/>
      <c r="G718" s="340"/>
      <c r="H718" s="340"/>
      <c r="I718" s="340"/>
      <c r="J718" s="340"/>
      <c r="K718" s="340"/>
      <c r="L718" s="340"/>
      <c r="M718" s="340"/>
      <c r="N718" s="340"/>
      <c r="O718" s="340"/>
      <c r="P718" s="340"/>
      <c r="Q718" s="340"/>
      <c r="R718" s="340"/>
      <c r="S718" s="340"/>
      <c r="T718" s="340"/>
      <c r="U718" s="340"/>
      <c r="V718" s="340"/>
      <c r="W718" s="340"/>
      <c r="X718" s="340"/>
      <c r="Y718" s="340"/>
      <c r="Z718" s="340"/>
      <c r="AA718" s="340"/>
      <c r="AB718" s="340"/>
      <c r="AC718" s="340"/>
    </row>
    <row r="719" spans="1:29">
      <c r="A719" s="340"/>
      <c r="B719" s="340"/>
      <c r="C719" s="340"/>
      <c r="D719" s="340"/>
      <c r="E719" s="340"/>
      <c r="F719" s="340"/>
      <c r="G719" s="340"/>
      <c r="H719" s="340"/>
      <c r="I719" s="340"/>
      <c r="J719" s="340"/>
      <c r="K719" s="340"/>
      <c r="L719" s="340"/>
      <c r="M719" s="340"/>
      <c r="N719" s="340"/>
      <c r="O719" s="340"/>
      <c r="P719" s="340"/>
      <c r="Q719" s="340"/>
      <c r="R719" s="340"/>
      <c r="S719" s="340"/>
      <c r="T719" s="340"/>
      <c r="U719" s="340"/>
      <c r="V719" s="340"/>
      <c r="W719" s="340"/>
      <c r="X719" s="340"/>
      <c r="Y719" s="340"/>
      <c r="Z719" s="340"/>
      <c r="AA719" s="340"/>
      <c r="AB719" s="340"/>
      <c r="AC719" s="340"/>
    </row>
    <row r="720" spans="1:29">
      <c r="A720" s="340"/>
      <c r="B720" s="340"/>
      <c r="C720" s="340"/>
      <c r="D720" s="340"/>
      <c r="E720" s="340"/>
      <c r="F720" s="340"/>
      <c r="G720" s="340"/>
      <c r="H720" s="340"/>
      <c r="I720" s="340"/>
      <c r="J720" s="340"/>
      <c r="K720" s="340"/>
      <c r="L720" s="340"/>
      <c r="M720" s="340"/>
      <c r="N720" s="340"/>
      <c r="O720" s="340"/>
      <c r="P720" s="340"/>
      <c r="Q720" s="340"/>
      <c r="R720" s="340"/>
      <c r="S720" s="340"/>
      <c r="T720" s="340"/>
      <c r="U720" s="340"/>
      <c r="V720" s="340"/>
      <c r="W720" s="340"/>
      <c r="X720" s="340"/>
      <c r="Y720" s="340"/>
      <c r="Z720" s="340"/>
      <c r="AA720" s="340"/>
      <c r="AB720" s="340"/>
      <c r="AC720" s="340"/>
    </row>
    <row r="721" spans="1:29">
      <c r="A721" s="340"/>
      <c r="B721" s="340"/>
      <c r="C721" s="340"/>
      <c r="D721" s="340"/>
      <c r="E721" s="340"/>
      <c r="F721" s="340"/>
      <c r="G721" s="340"/>
      <c r="H721" s="340"/>
      <c r="I721" s="340"/>
      <c r="J721" s="340"/>
      <c r="K721" s="340"/>
      <c r="L721" s="340"/>
      <c r="M721" s="340"/>
      <c r="N721" s="340"/>
      <c r="O721" s="340"/>
      <c r="P721" s="340"/>
      <c r="Q721" s="340"/>
      <c r="R721" s="340"/>
      <c r="S721" s="340"/>
      <c r="T721" s="340"/>
      <c r="U721" s="340"/>
      <c r="V721" s="340"/>
      <c r="W721" s="340"/>
      <c r="X721" s="340"/>
      <c r="Y721" s="340"/>
      <c r="Z721" s="340"/>
      <c r="AA721" s="340"/>
      <c r="AB721" s="340"/>
      <c r="AC721" s="340"/>
    </row>
    <row r="722" spans="1:29">
      <c r="A722" s="340"/>
      <c r="B722" s="340"/>
      <c r="C722" s="340"/>
      <c r="D722" s="340"/>
      <c r="E722" s="340"/>
      <c r="F722" s="340"/>
      <c r="G722" s="340"/>
      <c r="H722" s="340"/>
      <c r="I722" s="340"/>
      <c r="J722" s="340"/>
      <c r="K722" s="340"/>
      <c r="L722" s="340"/>
      <c r="M722" s="340"/>
      <c r="N722" s="340"/>
      <c r="O722" s="340"/>
      <c r="P722" s="340"/>
      <c r="Q722" s="340"/>
      <c r="R722" s="340"/>
      <c r="S722" s="340"/>
      <c r="T722" s="340"/>
      <c r="U722" s="340"/>
      <c r="V722" s="340"/>
      <c r="W722" s="340"/>
      <c r="X722" s="340"/>
      <c r="Y722" s="340"/>
      <c r="Z722" s="340"/>
      <c r="AA722" s="340"/>
      <c r="AB722" s="340"/>
      <c r="AC722" s="340"/>
    </row>
    <row r="723" spans="1:29">
      <c r="A723" s="340"/>
      <c r="B723" s="340"/>
      <c r="C723" s="340"/>
      <c r="D723" s="340"/>
      <c r="E723" s="340"/>
      <c r="F723" s="340"/>
      <c r="G723" s="340"/>
      <c r="H723" s="340"/>
      <c r="I723" s="340"/>
      <c r="J723" s="340"/>
      <c r="K723" s="340"/>
      <c r="L723" s="340"/>
      <c r="M723" s="340"/>
      <c r="N723" s="340"/>
      <c r="O723" s="340"/>
      <c r="P723" s="340"/>
      <c r="Q723" s="340"/>
      <c r="R723" s="340"/>
      <c r="S723" s="340"/>
      <c r="T723" s="340"/>
      <c r="U723" s="340"/>
      <c r="V723" s="340"/>
      <c r="W723" s="340"/>
      <c r="X723" s="340"/>
      <c r="Y723" s="340"/>
      <c r="Z723" s="340"/>
      <c r="AA723" s="340"/>
      <c r="AB723" s="340"/>
      <c r="AC723" s="340"/>
    </row>
    <row r="724" spans="1:29">
      <c r="A724" s="340"/>
      <c r="B724" s="340"/>
      <c r="C724" s="340"/>
      <c r="D724" s="340"/>
      <c r="E724" s="340"/>
      <c r="F724" s="340"/>
      <c r="G724" s="340"/>
      <c r="H724" s="340"/>
      <c r="I724" s="340"/>
      <c r="J724" s="340"/>
      <c r="K724" s="340"/>
      <c r="L724" s="340"/>
      <c r="M724" s="340"/>
      <c r="N724" s="340"/>
      <c r="O724" s="340"/>
      <c r="P724" s="340"/>
      <c r="Q724" s="340"/>
      <c r="R724" s="340"/>
      <c r="S724" s="340"/>
      <c r="T724" s="340"/>
      <c r="U724" s="340"/>
      <c r="V724" s="340"/>
      <c r="W724" s="340"/>
      <c r="X724" s="340"/>
      <c r="Y724" s="340"/>
      <c r="Z724" s="340"/>
      <c r="AA724" s="340"/>
      <c r="AB724" s="340"/>
      <c r="AC724" s="340"/>
    </row>
    <row r="725" spans="1:29">
      <c r="A725" s="340"/>
      <c r="B725" s="340"/>
      <c r="C725" s="340"/>
      <c r="D725" s="340"/>
      <c r="E725" s="340"/>
      <c r="F725" s="340"/>
      <c r="G725" s="340"/>
      <c r="H725" s="340"/>
      <c r="I725" s="340"/>
      <c r="J725" s="340"/>
      <c r="K725" s="340"/>
      <c r="L725" s="340"/>
      <c r="M725" s="340"/>
      <c r="N725" s="340"/>
      <c r="O725" s="340"/>
      <c r="P725" s="340"/>
      <c r="Q725" s="340"/>
      <c r="R725" s="340"/>
      <c r="S725" s="340"/>
      <c r="T725" s="340"/>
      <c r="U725" s="340"/>
      <c r="V725" s="340"/>
      <c r="W725" s="340"/>
      <c r="X725" s="340"/>
      <c r="Y725" s="340"/>
      <c r="Z725" s="340"/>
      <c r="AA725" s="340"/>
      <c r="AB725" s="340"/>
      <c r="AC725" s="340"/>
    </row>
    <row r="726" spans="1:29">
      <c r="A726" s="340"/>
      <c r="B726" s="340"/>
      <c r="C726" s="340"/>
      <c r="D726" s="340"/>
      <c r="E726" s="340"/>
      <c r="F726" s="340"/>
      <c r="G726" s="340"/>
      <c r="H726" s="340"/>
      <c r="I726" s="340"/>
      <c r="J726" s="340"/>
      <c r="K726" s="340"/>
      <c r="L726" s="340"/>
      <c r="M726" s="340"/>
      <c r="N726" s="340"/>
      <c r="O726" s="340"/>
      <c r="P726" s="340"/>
      <c r="Q726" s="340"/>
      <c r="R726" s="340"/>
      <c r="S726" s="340"/>
      <c r="T726" s="340"/>
      <c r="U726" s="340"/>
      <c r="V726" s="340"/>
      <c r="W726" s="340"/>
      <c r="X726" s="340"/>
      <c r="Y726" s="340"/>
      <c r="Z726" s="340"/>
      <c r="AA726" s="340"/>
      <c r="AB726" s="340"/>
      <c r="AC726" s="340"/>
    </row>
    <row r="727" spans="1:29">
      <c r="A727" s="340"/>
      <c r="B727" s="340"/>
      <c r="C727" s="340"/>
      <c r="D727" s="340"/>
      <c r="E727" s="340"/>
      <c r="F727" s="340"/>
      <c r="G727" s="340"/>
      <c r="H727" s="340"/>
      <c r="I727" s="340"/>
      <c r="J727" s="340"/>
      <c r="K727" s="340"/>
      <c r="L727" s="340"/>
      <c r="M727" s="340"/>
      <c r="N727" s="340"/>
      <c r="O727" s="340"/>
      <c r="P727" s="340"/>
      <c r="Q727" s="340"/>
      <c r="R727" s="340"/>
      <c r="S727" s="340"/>
      <c r="T727" s="340"/>
      <c r="U727" s="340"/>
      <c r="V727" s="340"/>
      <c r="W727" s="340"/>
      <c r="X727" s="340"/>
      <c r="Y727" s="340"/>
      <c r="Z727" s="340"/>
      <c r="AA727" s="340"/>
      <c r="AB727" s="340"/>
      <c r="AC727" s="340"/>
    </row>
    <row r="728" spans="1:29">
      <c r="A728" s="340"/>
      <c r="B728" s="340"/>
      <c r="C728" s="340"/>
      <c r="D728" s="340"/>
      <c r="E728" s="340"/>
      <c r="F728" s="340"/>
      <c r="G728" s="340"/>
      <c r="H728" s="340"/>
      <c r="I728" s="340"/>
      <c r="J728" s="340"/>
      <c r="K728" s="340"/>
      <c r="L728" s="340"/>
      <c r="M728" s="340"/>
      <c r="N728" s="340"/>
      <c r="O728" s="340"/>
      <c r="P728" s="340"/>
      <c r="Q728" s="340"/>
      <c r="R728" s="340"/>
      <c r="S728" s="340"/>
      <c r="T728" s="340"/>
      <c r="U728" s="340"/>
      <c r="V728" s="340"/>
      <c r="W728" s="340"/>
      <c r="X728" s="340"/>
      <c r="Y728" s="340"/>
      <c r="Z728" s="340"/>
      <c r="AA728" s="340"/>
      <c r="AB728" s="340"/>
      <c r="AC728" s="340"/>
    </row>
    <row r="729" spans="1:29">
      <c r="A729" s="340"/>
      <c r="B729" s="340"/>
      <c r="C729" s="340"/>
      <c r="D729" s="340"/>
      <c r="E729" s="340"/>
      <c r="F729" s="340"/>
      <c r="G729" s="340"/>
      <c r="H729" s="340"/>
      <c r="I729" s="340"/>
      <c r="J729" s="340"/>
      <c r="K729" s="340"/>
      <c r="L729" s="340"/>
      <c r="M729" s="340"/>
      <c r="N729" s="340"/>
      <c r="O729" s="340"/>
      <c r="P729" s="340"/>
      <c r="Q729" s="340"/>
      <c r="R729" s="340"/>
      <c r="S729" s="340"/>
      <c r="T729" s="340"/>
      <c r="U729" s="340"/>
      <c r="V729" s="340"/>
      <c r="W729" s="340"/>
      <c r="X729" s="340"/>
      <c r="Y729" s="340"/>
      <c r="Z729" s="340"/>
      <c r="AA729" s="340"/>
      <c r="AB729" s="340"/>
      <c r="AC729" s="340"/>
    </row>
    <row r="730" spans="1:29">
      <c r="A730" s="340"/>
      <c r="B730" s="340"/>
      <c r="C730" s="340"/>
      <c r="D730" s="340"/>
      <c r="E730" s="340"/>
      <c r="F730" s="340"/>
      <c r="G730" s="340"/>
      <c r="H730" s="340"/>
      <c r="I730" s="340"/>
      <c r="J730" s="340"/>
      <c r="K730" s="340"/>
      <c r="L730" s="340"/>
      <c r="M730" s="340"/>
      <c r="N730" s="340"/>
      <c r="O730" s="340"/>
      <c r="P730" s="340"/>
      <c r="Q730" s="340"/>
      <c r="R730" s="340"/>
      <c r="S730" s="340"/>
      <c r="T730" s="340"/>
      <c r="U730" s="340"/>
      <c r="V730" s="340"/>
      <c r="W730" s="340"/>
      <c r="X730" s="340"/>
      <c r="Y730" s="340"/>
      <c r="Z730" s="340"/>
      <c r="AA730" s="340"/>
      <c r="AB730" s="340"/>
      <c r="AC730" s="340"/>
    </row>
    <row r="731" spans="1:29">
      <c r="A731" s="340"/>
      <c r="B731" s="340"/>
      <c r="C731" s="340"/>
      <c r="D731" s="340"/>
      <c r="E731" s="340"/>
      <c r="F731" s="340"/>
      <c r="G731" s="340"/>
      <c r="H731" s="340"/>
      <c r="I731" s="340"/>
      <c r="J731" s="340"/>
      <c r="K731" s="340"/>
      <c r="L731" s="340"/>
      <c r="M731" s="340"/>
      <c r="N731" s="340"/>
      <c r="O731" s="340"/>
      <c r="P731" s="340"/>
      <c r="Q731" s="340"/>
      <c r="R731" s="340"/>
      <c r="S731" s="340"/>
      <c r="T731" s="340"/>
      <c r="U731" s="340"/>
      <c r="V731" s="340"/>
      <c r="W731" s="340"/>
      <c r="X731" s="340"/>
      <c r="Y731" s="340"/>
      <c r="Z731" s="340"/>
      <c r="AA731" s="340"/>
      <c r="AB731" s="340"/>
      <c r="AC731" s="340"/>
    </row>
    <row r="732" spans="1:29">
      <c r="A732" s="340"/>
      <c r="B732" s="340"/>
      <c r="C732" s="340"/>
      <c r="D732" s="340"/>
      <c r="E732" s="340"/>
      <c r="F732" s="340"/>
      <c r="G732" s="340"/>
      <c r="H732" s="340"/>
      <c r="I732" s="340"/>
      <c r="J732" s="340"/>
      <c r="K732" s="340"/>
      <c r="L732" s="340"/>
      <c r="M732" s="340"/>
      <c r="N732" s="340"/>
      <c r="O732" s="340"/>
      <c r="P732" s="340"/>
      <c r="Q732" s="340"/>
      <c r="R732" s="340"/>
      <c r="S732" s="340"/>
      <c r="T732" s="340"/>
      <c r="U732" s="340"/>
      <c r="V732" s="340"/>
      <c r="W732" s="340"/>
      <c r="X732" s="340"/>
      <c r="Y732" s="340"/>
      <c r="Z732" s="340"/>
      <c r="AA732" s="340"/>
      <c r="AB732" s="340"/>
      <c r="AC732" s="340"/>
    </row>
    <row r="733" spans="1:29">
      <c r="A733" s="340"/>
      <c r="B733" s="340"/>
      <c r="C733" s="340"/>
      <c r="D733" s="340"/>
      <c r="E733" s="340"/>
      <c r="F733" s="340"/>
      <c r="G733" s="340"/>
      <c r="H733" s="340"/>
      <c r="I733" s="340"/>
      <c r="J733" s="340"/>
      <c r="K733" s="340"/>
      <c r="L733" s="340"/>
      <c r="M733" s="340"/>
      <c r="N733" s="340"/>
      <c r="O733" s="340"/>
      <c r="P733" s="340"/>
      <c r="Q733" s="340"/>
      <c r="R733" s="340"/>
      <c r="S733" s="340"/>
      <c r="T733" s="340"/>
      <c r="U733" s="340"/>
      <c r="V733" s="340"/>
      <c r="W733" s="340"/>
      <c r="X733" s="340"/>
      <c r="Y733" s="340"/>
      <c r="Z733" s="340"/>
      <c r="AA733" s="340"/>
      <c r="AB733" s="340"/>
      <c r="AC733" s="340"/>
    </row>
    <row r="734" spans="1:29">
      <c r="A734" s="340"/>
      <c r="B734" s="340"/>
      <c r="C734" s="340"/>
      <c r="D734" s="340"/>
      <c r="E734" s="340"/>
      <c r="F734" s="340"/>
      <c r="G734" s="340"/>
      <c r="H734" s="340"/>
      <c r="I734" s="340"/>
      <c r="J734" s="340"/>
      <c r="K734" s="340"/>
      <c r="L734" s="340"/>
      <c r="M734" s="340"/>
      <c r="N734" s="340"/>
      <c r="O734" s="340"/>
      <c r="P734" s="340"/>
      <c r="Q734" s="340"/>
      <c r="R734" s="340"/>
      <c r="S734" s="340"/>
      <c r="T734" s="340"/>
      <c r="U734" s="340"/>
      <c r="V734" s="340"/>
      <c r="W734" s="340"/>
      <c r="X734" s="340"/>
      <c r="Y734" s="340"/>
      <c r="Z734" s="340"/>
      <c r="AA734" s="340"/>
      <c r="AB734" s="340"/>
      <c r="AC734" s="340"/>
    </row>
    <row r="735" spans="1:29">
      <c r="A735" s="340"/>
      <c r="B735" s="340"/>
      <c r="C735" s="340"/>
      <c r="D735" s="340"/>
      <c r="E735" s="340"/>
      <c r="F735" s="340"/>
      <c r="G735" s="340"/>
      <c r="H735" s="340"/>
      <c r="I735" s="340"/>
      <c r="J735" s="340"/>
      <c r="K735" s="340"/>
      <c r="L735" s="340"/>
      <c r="M735" s="340"/>
      <c r="N735" s="340"/>
      <c r="O735" s="340"/>
      <c r="P735" s="340"/>
      <c r="Q735" s="340"/>
      <c r="R735" s="340"/>
      <c r="S735" s="340"/>
      <c r="T735" s="340"/>
      <c r="U735" s="340"/>
      <c r="V735" s="340"/>
      <c r="W735" s="340"/>
      <c r="X735" s="340"/>
      <c r="Y735" s="340"/>
      <c r="Z735" s="340"/>
      <c r="AA735" s="340"/>
      <c r="AB735" s="340"/>
      <c r="AC735" s="340"/>
    </row>
    <row r="736" spans="1:29">
      <c r="A736" s="340"/>
      <c r="B736" s="340"/>
      <c r="C736" s="340"/>
      <c r="D736" s="340"/>
      <c r="E736" s="340"/>
      <c r="F736" s="340"/>
      <c r="G736" s="340"/>
      <c r="H736" s="340"/>
      <c r="I736" s="340"/>
      <c r="J736" s="340"/>
      <c r="K736" s="340"/>
      <c r="L736" s="340"/>
      <c r="M736" s="340"/>
      <c r="N736" s="340"/>
      <c r="O736" s="340"/>
      <c r="P736" s="340"/>
      <c r="Q736" s="340"/>
      <c r="R736" s="340"/>
      <c r="S736" s="340"/>
      <c r="T736" s="340"/>
      <c r="U736" s="340"/>
      <c r="V736" s="340"/>
      <c r="W736" s="340"/>
      <c r="X736" s="340"/>
      <c r="Y736" s="340"/>
      <c r="Z736" s="340"/>
      <c r="AA736" s="340"/>
      <c r="AB736" s="340"/>
      <c r="AC736" s="340"/>
    </row>
    <row r="737" spans="1:29">
      <c r="A737" s="340"/>
      <c r="B737" s="340"/>
      <c r="C737" s="340"/>
      <c r="D737" s="340"/>
      <c r="E737" s="340"/>
      <c r="F737" s="340"/>
      <c r="G737" s="340"/>
      <c r="H737" s="340"/>
      <c r="I737" s="340"/>
      <c r="J737" s="340"/>
      <c r="K737" s="340"/>
      <c r="L737" s="340"/>
      <c r="M737" s="340"/>
      <c r="N737" s="340"/>
      <c r="O737" s="340"/>
      <c r="P737" s="340"/>
      <c r="Q737" s="340"/>
      <c r="R737" s="340"/>
      <c r="S737" s="340"/>
      <c r="T737" s="340"/>
      <c r="U737" s="340"/>
      <c r="V737" s="340"/>
      <c r="W737" s="340"/>
      <c r="X737" s="340"/>
      <c r="Y737" s="340"/>
      <c r="Z737" s="340"/>
      <c r="AA737" s="340"/>
      <c r="AB737" s="340"/>
      <c r="AC737" s="340"/>
    </row>
    <row r="738" spans="1:29">
      <c r="A738" s="340"/>
      <c r="B738" s="340"/>
      <c r="C738" s="340"/>
      <c r="D738" s="340"/>
      <c r="E738" s="340"/>
      <c r="F738" s="340"/>
      <c r="G738" s="340"/>
      <c r="H738" s="340"/>
      <c r="I738" s="340"/>
      <c r="J738" s="340"/>
      <c r="K738" s="340"/>
      <c r="L738" s="340"/>
      <c r="M738" s="340"/>
      <c r="N738" s="340"/>
      <c r="O738" s="340"/>
      <c r="P738" s="340"/>
      <c r="Q738" s="340"/>
      <c r="R738" s="340"/>
      <c r="S738" s="340"/>
      <c r="T738" s="340"/>
      <c r="U738" s="340"/>
      <c r="V738" s="340"/>
      <c r="W738" s="340"/>
      <c r="X738" s="340"/>
      <c r="Y738" s="340"/>
      <c r="Z738" s="340"/>
      <c r="AA738" s="340"/>
      <c r="AB738" s="340"/>
      <c r="AC738" s="340"/>
    </row>
    <row r="739" spans="1:29">
      <c r="A739" s="340"/>
      <c r="B739" s="340"/>
      <c r="C739" s="340"/>
      <c r="D739" s="340"/>
      <c r="E739" s="340"/>
      <c r="F739" s="340"/>
      <c r="G739" s="340"/>
      <c r="H739" s="340"/>
      <c r="I739" s="340"/>
      <c r="J739" s="340"/>
      <c r="K739" s="340"/>
      <c r="L739" s="340"/>
      <c r="M739" s="340"/>
      <c r="N739" s="340"/>
      <c r="O739" s="340"/>
      <c r="P739" s="340"/>
      <c r="Q739" s="340"/>
      <c r="R739" s="340"/>
      <c r="S739" s="340"/>
      <c r="T739" s="340"/>
      <c r="U739" s="340"/>
      <c r="V739" s="340"/>
      <c r="W739" s="340"/>
      <c r="X739" s="340"/>
      <c r="Y739" s="340"/>
      <c r="Z739" s="340"/>
      <c r="AA739" s="340"/>
      <c r="AB739" s="340"/>
      <c r="AC739" s="340"/>
    </row>
    <row r="740" spans="1:29">
      <c r="A740" s="340"/>
      <c r="B740" s="340"/>
      <c r="C740" s="340"/>
      <c r="D740" s="340"/>
      <c r="E740" s="340"/>
      <c r="F740" s="340"/>
      <c r="G740" s="340"/>
      <c r="H740" s="340"/>
      <c r="I740" s="340"/>
      <c r="J740" s="340"/>
      <c r="K740" s="340"/>
      <c r="L740" s="340"/>
      <c r="M740" s="340"/>
      <c r="N740" s="340"/>
      <c r="O740" s="340"/>
      <c r="P740" s="340"/>
      <c r="Q740" s="340"/>
      <c r="R740" s="340"/>
      <c r="S740" s="340"/>
      <c r="T740" s="340"/>
      <c r="U740" s="340"/>
      <c r="V740" s="340"/>
      <c r="W740" s="340"/>
      <c r="X740" s="340"/>
      <c r="Y740" s="340"/>
      <c r="Z740" s="340"/>
      <c r="AA740" s="340"/>
      <c r="AB740" s="340"/>
      <c r="AC740" s="340"/>
    </row>
    <row r="741" spans="1:29">
      <c r="A741" s="340"/>
      <c r="B741" s="340"/>
      <c r="C741" s="340"/>
      <c r="D741" s="340"/>
      <c r="E741" s="340"/>
      <c r="F741" s="340"/>
      <c r="G741" s="340"/>
      <c r="H741" s="340"/>
      <c r="I741" s="340"/>
      <c r="J741" s="340"/>
      <c r="K741" s="340"/>
      <c r="L741" s="340"/>
      <c r="M741" s="340"/>
      <c r="N741" s="340"/>
      <c r="O741" s="340"/>
      <c r="P741" s="340"/>
      <c r="Q741" s="340"/>
      <c r="R741" s="340"/>
      <c r="S741" s="340"/>
      <c r="T741" s="340"/>
      <c r="U741" s="340"/>
      <c r="V741" s="340"/>
      <c r="W741" s="340"/>
      <c r="X741" s="340"/>
      <c r="Y741" s="340"/>
      <c r="Z741" s="340"/>
      <c r="AA741" s="340"/>
      <c r="AB741" s="340"/>
      <c r="AC741" s="340"/>
    </row>
    <row r="742" spans="1:29">
      <c r="A742" s="340"/>
      <c r="B742" s="340"/>
      <c r="C742" s="340"/>
      <c r="D742" s="340"/>
      <c r="E742" s="340"/>
      <c r="F742" s="340"/>
      <c r="G742" s="340"/>
      <c r="H742" s="340"/>
      <c r="I742" s="340"/>
      <c r="J742" s="340"/>
      <c r="K742" s="340"/>
      <c r="L742" s="340"/>
      <c r="M742" s="340"/>
      <c r="N742" s="340"/>
      <c r="O742" s="340"/>
      <c r="P742" s="340"/>
      <c r="Q742" s="340"/>
      <c r="R742" s="340"/>
      <c r="S742" s="340"/>
      <c r="T742" s="340"/>
      <c r="U742" s="340"/>
      <c r="V742" s="340"/>
      <c r="W742" s="340"/>
      <c r="X742" s="340"/>
      <c r="Y742" s="340"/>
      <c r="Z742" s="340"/>
      <c r="AA742" s="340"/>
      <c r="AB742" s="340"/>
      <c r="AC742" s="340"/>
    </row>
    <row r="743" spans="1:29">
      <c r="A743" s="340"/>
      <c r="B743" s="340"/>
      <c r="C743" s="340"/>
      <c r="D743" s="340"/>
      <c r="E743" s="340"/>
      <c r="F743" s="340"/>
      <c r="G743" s="340"/>
      <c r="H743" s="340"/>
      <c r="I743" s="340"/>
      <c r="J743" s="340"/>
      <c r="K743" s="340"/>
      <c r="L743" s="340"/>
      <c r="M743" s="340"/>
      <c r="N743" s="340"/>
      <c r="O743" s="340"/>
      <c r="P743" s="340"/>
      <c r="Q743" s="340"/>
      <c r="R743" s="340"/>
      <c r="S743" s="340"/>
      <c r="T743" s="340"/>
      <c r="U743" s="340"/>
      <c r="V743" s="340"/>
      <c r="W743" s="340"/>
      <c r="X743" s="340"/>
      <c r="Y743" s="340"/>
      <c r="Z743" s="340"/>
      <c r="AA743" s="340"/>
      <c r="AB743" s="340"/>
      <c r="AC743" s="340"/>
    </row>
    <row r="744" spans="1:29">
      <c r="A744" s="340"/>
      <c r="B744" s="340"/>
      <c r="C744" s="340"/>
      <c r="D744" s="340"/>
      <c r="E744" s="340"/>
      <c r="F744" s="340"/>
      <c r="G744" s="340"/>
      <c r="H744" s="340"/>
      <c r="I744" s="340"/>
      <c r="J744" s="340"/>
      <c r="K744" s="340"/>
      <c r="L744" s="340"/>
      <c r="M744" s="340"/>
      <c r="N744" s="340"/>
      <c r="O744" s="340"/>
      <c r="P744" s="340"/>
      <c r="Q744" s="340"/>
      <c r="R744" s="340"/>
      <c r="S744" s="340"/>
      <c r="T744" s="340"/>
      <c r="U744" s="340"/>
      <c r="V744" s="340"/>
      <c r="W744" s="340"/>
      <c r="X744" s="340"/>
      <c r="Y744" s="340"/>
      <c r="Z744" s="340"/>
      <c r="AA744" s="340"/>
      <c r="AB744" s="340"/>
      <c r="AC744" s="340"/>
    </row>
    <row r="745" spans="1:29">
      <c r="A745" s="340"/>
      <c r="B745" s="340"/>
      <c r="C745" s="340"/>
      <c r="D745" s="340"/>
      <c r="E745" s="340"/>
      <c r="F745" s="340"/>
      <c r="G745" s="340"/>
      <c r="H745" s="340"/>
      <c r="I745" s="340"/>
      <c r="J745" s="340"/>
      <c r="K745" s="340"/>
      <c r="L745" s="340"/>
      <c r="M745" s="340"/>
      <c r="N745" s="340"/>
      <c r="O745" s="340"/>
      <c r="P745" s="340"/>
      <c r="Q745" s="340"/>
      <c r="R745" s="340"/>
      <c r="S745" s="340"/>
      <c r="T745" s="340"/>
      <c r="U745" s="340"/>
      <c r="V745" s="340"/>
      <c r="W745" s="340"/>
      <c r="X745" s="340"/>
      <c r="Y745" s="340"/>
      <c r="Z745" s="340"/>
      <c r="AA745" s="340"/>
      <c r="AB745" s="340"/>
      <c r="AC745" s="340"/>
    </row>
    <row r="746" spans="1:29">
      <c r="A746" s="340"/>
      <c r="B746" s="340"/>
      <c r="C746" s="340"/>
      <c r="D746" s="340"/>
      <c r="E746" s="340"/>
      <c r="F746" s="340"/>
      <c r="G746" s="340"/>
      <c r="H746" s="340"/>
      <c r="I746" s="340"/>
      <c r="J746" s="340"/>
      <c r="K746" s="340"/>
      <c r="L746" s="340"/>
      <c r="M746" s="340"/>
      <c r="N746" s="340"/>
      <c r="O746" s="340"/>
      <c r="P746" s="340"/>
      <c r="Q746" s="340"/>
      <c r="R746" s="340"/>
      <c r="S746" s="340"/>
      <c r="T746" s="340"/>
      <c r="U746" s="340"/>
      <c r="V746" s="340"/>
      <c r="W746" s="340"/>
      <c r="X746" s="340"/>
      <c r="Y746" s="340"/>
      <c r="Z746" s="340"/>
      <c r="AA746" s="340"/>
      <c r="AB746" s="340"/>
      <c r="AC746" s="340"/>
    </row>
    <row r="747" spans="1:29">
      <c r="A747" s="340"/>
      <c r="B747" s="340"/>
      <c r="C747" s="340"/>
      <c r="D747" s="340"/>
      <c r="E747" s="340"/>
      <c r="F747" s="340"/>
      <c r="G747" s="340"/>
      <c r="H747" s="340"/>
      <c r="I747" s="340"/>
      <c r="J747" s="340"/>
      <c r="K747" s="340"/>
      <c r="L747" s="340"/>
      <c r="M747" s="340"/>
      <c r="N747" s="340"/>
      <c r="O747" s="340"/>
      <c r="P747" s="340"/>
      <c r="Q747" s="340"/>
      <c r="R747" s="340"/>
      <c r="S747" s="340"/>
      <c r="T747" s="340"/>
      <c r="U747" s="340"/>
      <c r="V747" s="340"/>
      <c r="W747" s="340"/>
      <c r="X747" s="340"/>
      <c r="Y747" s="340"/>
      <c r="Z747" s="340"/>
      <c r="AA747" s="340"/>
      <c r="AB747" s="340"/>
      <c r="AC747" s="340"/>
    </row>
    <row r="748" spans="1:29">
      <c r="A748" s="340"/>
      <c r="B748" s="340"/>
      <c r="C748" s="340"/>
      <c r="D748" s="340"/>
      <c r="E748" s="340"/>
      <c r="F748" s="340"/>
      <c r="G748" s="340"/>
      <c r="H748" s="340"/>
      <c r="I748" s="340"/>
      <c r="J748" s="340"/>
      <c r="K748" s="340"/>
      <c r="L748" s="340"/>
      <c r="M748" s="340"/>
      <c r="N748" s="340"/>
      <c r="O748" s="340"/>
      <c r="P748" s="340"/>
      <c r="Q748" s="340"/>
      <c r="R748" s="340"/>
      <c r="S748" s="340"/>
      <c r="T748" s="340"/>
      <c r="U748" s="340"/>
      <c r="V748" s="340"/>
      <c r="W748" s="340"/>
      <c r="X748" s="340"/>
      <c r="Y748" s="340"/>
      <c r="Z748" s="340"/>
      <c r="AA748" s="340"/>
      <c r="AB748" s="340"/>
      <c r="AC748" s="340"/>
    </row>
    <row r="749" spans="1:29">
      <c r="A749" s="340"/>
      <c r="B749" s="340"/>
      <c r="C749" s="340"/>
      <c r="D749" s="340"/>
      <c r="E749" s="340"/>
      <c r="F749" s="340"/>
      <c r="G749" s="340"/>
      <c r="H749" s="340"/>
      <c r="I749" s="340"/>
      <c r="J749" s="340"/>
      <c r="K749" s="340"/>
      <c r="L749" s="340"/>
      <c r="M749" s="340"/>
      <c r="N749" s="340"/>
      <c r="O749" s="340"/>
      <c r="P749" s="340"/>
      <c r="Q749" s="340"/>
      <c r="R749" s="340"/>
      <c r="S749" s="340"/>
      <c r="T749" s="340"/>
      <c r="U749" s="340"/>
      <c r="V749" s="340"/>
      <c r="W749" s="340"/>
      <c r="X749" s="340"/>
      <c r="Y749" s="340"/>
      <c r="Z749" s="340"/>
      <c r="AA749" s="340"/>
      <c r="AB749" s="340"/>
      <c r="AC749" s="340"/>
    </row>
    <row r="750" spans="1:29">
      <c r="A750" s="340"/>
      <c r="B750" s="340"/>
      <c r="C750" s="340"/>
      <c r="D750" s="340"/>
      <c r="E750" s="340"/>
      <c r="F750" s="340"/>
      <c r="G750" s="340"/>
      <c r="H750" s="340"/>
      <c r="I750" s="340"/>
      <c r="J750" s="340"/>
      <c r="K750" s="340"/>
      <c r="L750" s="340"/>
      <c r="M750" s="340"/>
      <c r="N750" s="340"/>
      <c r="O750" s="340"/>
      <c r="P750" s="340"/>
      <c r="Q750" s="340"/>
      <c r="R750" s="340"/>
      <c r="S750" s="340"/>
      <c r="T750" s="340"/>
      <c r="U750" s="340"/>
      <c r="V750" s="340"/>
      <c r="W750" s="340"/>
      <c r="X750" s="340"/>
      <c r="Y750" s="340"/>
      <c r="Z750" s="340"/>
      <c r="AA750" s="340"/>
      <c r="AB750" s="340"/>
      <c r="AC750" s="340"/>
    </row>
    <row r="751" spans="1:29">
      <c r="A751" s="340"/>
      <c r="B751" s="340"/>
      <c r="C751" s="340"/>
      <c r="D751" s="340"/>
      <c r="E751" s="340"/>
      <c r="F751" s="340"/>
      <c r="G751" s="340"/>
      <c r="H751" s="340"/>
      <c r="I751" s="340"/>
      <c r="J751" s="340"/>
      <c r="K751" s="340"/>
      <c r="L751" s="340"/>
      <c r="M751" s="340"/>
      <c r="N751" s="340"/>
      <c r="O751" s="340"/>
      <c r="P751" s="340"/>
      <c r="Q751" s="340"/>
      <c r="R751" s="340"/>
      <c r="S751" s="340"/>
      <c r="T751" s="340"/>
      <c r="U751" s="340"/>
      <c r="V751" s="340"/>
      <c r="W751" s="340"/>
      <c r="X751" s="340"/>
      <c r="Y751" s="340"/>
      <c r="Z751" s="340"/>
      <c r="AA751" s="340"/>
      <c r="AB751" s="340"/>
      <c r="AC751" s="340"/>
    </row>
    <row r="752" spans="1:29">
      <c r="A752" s="340"/>
      <c r="B752" s="340"/>
      <c r="C752" s="340"/>
      <c r="D752" s="340"/>
      <c r="E752" s="340"/>
      <c r="F752" s="340"/>
      <c r="G752" s="340"/>
      <c r="H752" s="340"/>
      <c r="I752" s="340"/>
      <c r="J752" s="340"/>
      <c r="K752" s="340"/>
      <c r="L752" s="340"/>
      <c r="M752" s="340"/>
      <c r="N752" s="340"/>
      <c r="O752" s="340"/>
      <c r="P752" s="340"/>
      <c r="Q752" s="340"/>
      <c r="R752" s="340"/>
      <c r="S752" s="340"/>
      <c r="T752" s="340"/>
      <c r="U752" s="340"/>
      <c r="V752" s="340"/>
      <c r="W752" s="340"/>
      <c r="X752" s="340"/>
      <c r="Y752" s="340"/>
      <c r="Z752" s="340"/>
      <c r="AA752" s="340"/>
      <c r="AB752" s="340"/>
      <c r="AC752" s="340"/>
    </row>
    <row r="753" spans="1:29">
      <c r="A753" s="340"/>
      <c r="B753" s="340"/>
      <c r="C753" s="340"/>
      <c r="D753" s="340"/>
      <c r="E753" s="340"/>
      <c r="F753" s="340"/>
      <c r="G753" s="340"/>
      <c r="H753" s="340"/>
      <c r="I753" s="340"/>
      <c r="J753" s="340"/>
      <c r="K753" s="340"/>
      <c r="L753" s="340"/>
      <c r="M753" s="340"/>
      <c r="N753" s="340"/>
      <c r="O753" s="340"/>
      <c r="P753" s="340"/>
      <c r="Q753" s="340"/>
      <c r="R753" s="340"/>
      <c r="S753" s="340"/>
      <c r="T753" s="340"/>
      <c r="U753" s="340"/>
      <c r="V753" s="340"/>
      <c r="W753" s="340"/>
      <c r="X753" s="340"/>
      <c r="Y753" s="340"/>
      <c r="Z753" s="340"/>
      <c r="AA753" s="340"/>
      <c r="AB753" s="340"/>
      <c r="AC753" s="340"/>
    </row>
    <row r="754" spans="1:29">
      <c r="A754" s="340"/>
      <c r="B754" s="340"/>
      <c r="C754" s="340"/>
      <c r="D754" s="340"/>
      <c r="E754" s="340"/>
      <c r="F754" s="340"/>
      <c r="G754" s="340"/>
      <c r="H754" s="340"/>
      <c r="I754" s="340"/>
      <c r="J754" s="340"/>
      <c r="K754" s="340"/>
      <c r="L754" s="340"/>
      <c r="M754" s="340"/>
      <c r="N754" s="340"/>
      <c r="O754" s="340"/>
      <c r="P754" s="340"/>
      <c r="Q754" s="340"/>
      <c r="R754" s="340"/>
      <c r="S754" s="340"/>
      <c r="T754" s="340"/>
      <c r="U754" s="340"/>
      <c r="V754" s="340"/>
      <c r="W754" s="340"/>
      <c r="X754" s="340"/>
      <c r="Y754" s="340"/>
      <c r="Z754" s="340"/>
      <c r="AA754" s="340"/>
      <c r="AB754" s="340"/>
      <c r="AC754" s="340"/>
    </row>
    <row r="755" spans="1:29">
      <c r="A755" s="340"/>
      <c r="B755" s="340"/>
      <c r="C755" s="340"/>
      <c r="D755" s="340"/>
      <c r="E755" s="340"/>
      <c r="F755" s="340"/>
      <c r="G755" s="340"/>
      <c r="H755" s="340"/>
      <c r="I755" s="340"/>
      <c r="J755" s="340"/>
      <c r="K755" s="340"/>
      <c r="L755" s="340"/>
      <c r="M755" s="340"/>
      <c r="N755" s="340"/>
      <c r="O755" s="340"/>
      <c r="P755" s="340"/>
      <c r="Q755" s="340"/>
      <c r="R755" s="340"/>
      <c r="S755" s="340"/>
      <c r="T755" s="340"/>
      <c r="U755" s="340"/>
      <c r="V755" s="340"/>
      <c r="W755" s="340"/>
      <c r="X755" s="340"/>
      <c r="Y755" s="340"/>
      <c r="Z755" s="340"/>
      <c r="AA755" s="340"/>
      <c r="AB755" s="340"/>
      <c r="AC755" s="340"/>
    </row>
    <row r="756" spans="1:29">
      <c r="A756" s="340"/>
      <c r="B756" s="340"/>
      <c r="C756" s="340"/>
      <c r="D756" s="340"/>
      <c r="E756" s="340"/>
      <c r="F756" s="340"/>
      <c r="G756" s="340"/>
      <c r="H756" s="340"/>
      <c r="I756" s="340"/>
      <c r="J756" s="340"/>
      <c r="K756" s="340"/>
      <c r="L756" s="340"/>
      <c r="M756" s="340"/>
      <c r="N756" s="340"/>
      <c r="O756" s="340"/>
      <c r="P756" s="340"/>
      <c r="Q756" s="340"/>
      <c r="R756" s="340"/>
      <c r="S756" s="340"/>
      <c r="T756" s="340"/>
      <c r="U756" s="340"/>
      <c r="V756" s="340"/>
      <c r="W756" s="340"/>
      <c r="X756" s="340"/>
      <c r="Y756" s="340"/>
      <c r="Z756" s="340"/>
      <c r="AA756" s="340"/>
      <c r="AB756" s="340"/>
      <c r="AC756" s="340"/>
    </row>
    <row r="757" spans="1:29">
      <c r="A757" s="340"/>
      <c r="B757" s="340"/>
      <c r="C757" s="340"/>
      <c r="D757" s="340"/>
      <c r="E757" s="340"/>
      <c r="F757" s="340"/>
      <c r="G757" s="340"/>
      <c r="H757" s="340"/>
      <c r="I757" s="340"/>
      <c r="J757" s="340"/>
      <c r="K757" s="340"/>
      <c r="L757" s="340"/>
      <c r="M757" s="340"/>
      <c r="N757" s="340"/>
      <c r="O757" s="340"/>
      <c r="P757" s="340"/>
      <c r="Q757" s="340"/>
      <c r="R757" s="340"/>
      <c r="S757" s="340"/>
      <c r="T757" s="340"/>
      <c r="U757" s="340"/>
      <c r="V757" s="340"/>
      <c r="W757" s="340"/>
      <c r="X757" s="340"/>
      <c r="Y757" s="340"/>
      <c r="Z757" s="340"/>
      <c r="AA757" s="340"/>
      <c r="AB757" s="340"/>
      <c r="AC757" s="340"/>
    </row>
    <row r="758" spans="1:29">
      <c r="A758" s="340"/>
      <c r="B758" s="340"/>
      <c r="C758" s="340"/>
      <c r="D758" s="340"/>
      <c r="E758" s="340"/>
      <c r="F758" s="340"/>
      <c r="G758" s="340"/>
      <c r="H758" s="340"/>
      <c r="I758" s="340"/>
      <c r="J758" s="340"/>
      <c r="K758" s="340"/>
      <c r="L758" s="340"/>
      <c r="M758" s="340"/>
      <c r="N758" s="340"/>
      <c r="O758" s="340"/>
      <c r="P758" s="340"/>
      <c r="Q758" s="340"/>
      <c r="R758" s="340"/>
      <c r="S758" s="340"/>
      <c r="T758" s="340"/>
      <c r="U758" s="340"/>
      <c r="V758" s="340"/>
      <c r="W758" s="340"/>
      <c r="X758" s="340"/>
      <c r="Y758" s="340"/>
      <c r="Z758" s="340"/>
      <c r="AA758" s="340"/>
      <c r="AB758" s="340"/>
      <c r="AC758" s="340"/>
    </row>
    <row r="759" spans="1:29">
      <c r="A759" s="340"/>
      <c r="B759" s="340"/>
      <c r="C759" s="340"/>
      <c r="D759" s="340"/>
      <c r="E759" s="340"/>
      <c r="F759" s="340"/>
      <c r="G759" s="340"/>
      <c r="H759" s="340"/>
      <c r="I759" s="340"/>
      <c r="J759" s="340"/>
      <c r="K759" s="340"/>
      <c r="L759" s="340"/>
      <c r="M759" s="340"/>
      <c r="N759" s="340"/>
      <c r="O759" s="340"/>
      <c r="P759" s="340"/>
      <c r="Q759" s="340"/>
      <c r="R759" s="340"/>
      <c r="S759" s="340"/>
      <c r="T759" s="340"/>
      <c r="U759" s="340"/>
      <c r="V759" s="340"/>
      <c r="W759" s="340"/>
      <c r="X759" s="340"/>
      <c r="Y759" s="340"/>
      <c r="Z759" s="340"/>
      <c r="AA759" s="340"/>
      <c r="AB759" s="340"/>
      <c r="AC759" s="340"/>
    </row>
    <row r="760" spans="1:29">
      <c r="A760" s="340"/>
      <c r="B760" s="340"/>
      <c r="C760" s="340"/>
      <c r="D760" s="340"/>
      <c r="E760" s="340"/>
      <c r="F760" s="340"/>
      <c r="G760" s="340"/>
      <c r="H760" s="340"/>
      <c r="I760" s="340"/>
      <c r="J760" s="340"/>
      <c r="K760" s="340"/>
      <c r="L760" s="340"/>
      <c r="M760" s="340"/>
      <c r="N760" s="340"/>
      <c r="O760" s="340"/>
      <c r="P760" s="340"/>
      <c r="Q760" s="340"/>
      <c r="R760" s="340"/>
      <c r="S760" s="340"/>
      <c r="T760" s="340"/>
      <c r="U760" s="340"/>
      <c r="V760" s="340"/>
      <c r="W760" s="340"/>
      <c r="X760" s="340"/>
      <c r="Y760" s="340"/>
      <c r="Z760" s="340"/>
      <c r="AA760" s="340"/>
      <c r="AB760" s="340"/>
      <c r="AC760" s="340"/>
    </row>
    <row r="761" spans="1:29">
      <c r="A761" s="340"/>
      <c r="B761" s="340"/>
      <c r="C761" s="340"/>
      <c r="D761" s="340"/>
      <c r="E761" s="340"/>
      <c r="F761" s="340"/>
      <c r="G761" s="340"/>
      <c r="H761" s="340"/>
      <c r="I761" s="340"/>
      <c r="J761" s="340"/>
      <c r="K761" s="340"/>
      <c r="L761" s="340"/>
      <c r="M761" s="340"/>
      <c r="N761" s="340"/>
      <c r="O761" s="340"/>
      <c r="P761" s="340"/>
      <c r="Q761" s="340"/>
      <c r="R761" s="340"/>
      <c r="S761" s="340"/>
      <c r="T761" s="340"/>
      <c r="U761" s="340"/>
      <c r="V761" s="340"/>
      <c r="W761" s="340"/>
      <c r="X761" s="340"/>
      <c r="Y761" s="340"/>
      <c r="Z761" s="340"/>
      <c r="AA761" s="340"/>
      <c r="AB761" s="340"/>
      <c r="AC761" s="340"/>
    </row>
    <row r="762" spans="1:29">
      <c r="A762" s="340"/>
      <c r="B762" s="340"/>
      <c r="C762" s="340"/>
      <c r="D762" s="340"/>
      <c r="E762" s="340"/>
      <c r="F762" s="340"/>
      <c r="G762" s="340"/>
      <c r="H762" s="340"/>
      <c r="I762" s="340"/>
      <c r="J762" s="340"/>
      <c r="K762" s="340"/>
      <c r="L762" s="340"/>
      <c r="M762" s="340"/>
      <c r="N762" s="340"/>
      <c r="O762" s="340"/>
      <c r="P762" s="340"/>
      <c r="Q762" s="340"/>
      <c r="R762" s="340"/>
      <c r="S762" s="340"/>
      <c r="T762" s="340"/>
      <c r="U762" s="340"/>
      <c r="V762" s="340"/>
      <c r="W762" s="340"/>
      <c r="X762" s="340"/>
      <c r="Y762" s="340"/>
      <c r="Z762" s="340"/>
      <c r="AA762" s="340"/>
      <c r="AB762" s="340"/>
      <c r="AC762" s="340"/>
    </row>
    <row r="763" spans="1:29">
      <c r="A763" s="340"/>
      <c r="B763" s="340"/>
      <c r="C763" s="340"/>
      <c r="D763" s="340"/>
      <c r="E763" s="340"/>
      <c r="F763" s="340"/>
      <c r="G763" s="340"/>
      <c r="H763" s="340"/>
      <c r="I763" s="340"/>
      <c r="J763" s="340"/>
      <c r="K763" s="340"/>
      <c r="L763" s="340"/>
      <c r="M763" s="340"/>
      <c r="N763" s="340"/>
      <c r="O763" s="340"/>
      <c r="P763" s="340"/>
      <c r="Q763" s="340"/>
      <c r="R763" s="340"/>
      <c r="S763" s="340"/>
      <c r="T763" s="340"/>
      <c r="U763" s="340"/>
      <c r="V763" s="340"/>
      <c r="W763" s="340"/>
      <c r="X763" s="340"/>
      <c r="Y763" s="340"/>
      <c r="Z763" s="340"/>
      <c r="AA763" s="340"/>
      <c r="AB763" s="340"/>
      <c r="AC763" s="340"/>
    </row>
    <row r="764" spans="1:29">
      <c r="A764" s="340"/>
      <c r="B764" s="340"/>
      <c r="C764" s="340"/>
      <c r="D764" s="340"/>
      <c r="E764" s="340"/>
      <c r="F764" s="340"/>
      <c r="G764" s="340"/>
      <c r="H764" s="340"/>
      <c r="I764" s="340"/>
      <c r="J764" s="340"/>
      <c r="K764" s="340"/>
      <c r="L764" s="340"/>
      <c r="M764" s="340"/>
      <c r="N764" s="340"/>
      <c r="O764" s="340"/>
      <c r="P764" s="340"/>
      <c r="Q764" s="340"/>
      <c r="R764" s="340"/>
      <c r="S764" s="340"/>
      <c r="T764" s="340"/>
      <c r="U764" s="340"/>
      <c r="V764" s="340"/>
      <c r="W764" s="340"/>
      <c r="X764" s="340"/>
      <c r="Y764" s="340"/>
      <c r="Z764" s="340"/>
      <c r="AA764" s="340"/>
      <c r="AB764" s="340"/>
      <c r="AC764" s="340"/>
    </row>
    <row r="765" spans="1:29">
      <c r="A765" s="340"/>
      <c r="B765" s="340"/>
      <c r="C765" s="340"/>
      <c r="D765" s="340"/>
      <c r="E765" s="340"/>
      <c r="F765" s="340"/>
      <c r="G765" s="340"/>
      <c r="H765" s="340"/>
      <c r="I765" s="340"/>
      <c r="J765" s="340"/>
      <c r="K765" s="340"/>
      <c r="L765" s="340"/>
      <c r="M765" s="340"/>
      <c r="N765" s="340"/>
      <c r="O765" s="340"/>
      <c r="P765" s="340"/>
      <c r="Q765" s="340"/>
      <c r="R765" s="340"/>
      <c r="S765" s="340"/>
      <c r="T765" s="340"/>
      <c r="U765" s="340"/>
      <c r="V765" s="340"/>
      <c r="W765" s="340"/>
      <c r="X765" s="340"/>
      <c r="Y765" s="340"/>
      <c r="Z765" s="340"/>
      <c r="AA765" s="340"/>
      <c r="AB765" s="340"/>
      <c r="AC765" s="340"/>
    </row>
    <row r="766" spans="1:29">
      <c r="A766" s="340"/>
      <c r="B766" s="340"/>
      <c r="C766" s="340"/>
      <c r="D766" s="340"/>
      <c r="E766" s="340"/>
      <c r="F766" s="340"/>
      <c r="G766" s="340"/>
      <c r="H766" s="340"/>
      <c r="I766" s="340"/>
      <c r="J766" s="340"/>
      <c r="K766" s="340"/>
      <c r="L766" s="340"/>
      <c r="M766" s="340"/>
      <c r="N766" s="340"/>
      <c r="O766" s="340"/>
      <c r="P766" s="340"/>
      <c r="Q766" s="340"/>
      <c r="R766" s="340"/>
      <c r="S766" s="340"/>
      <c r="T766" s="340"/>
      <c r="U766" s="340"/>
      <c r="V766" s="340"/>
      <c r="W766" s="340"/>
      <c r="X766" s="340"/>
      <c r="Y766" s="340"/>
      <c r="Z766" s="340"/>
      <c r="AA766" s="340"/>
      <c r="AB766" s="340"/>
      <c r="AC766" s="340"/>
    </row>
    <row r="767" spans="1:29">
      <c r="A767" s="340"/>
      <c r="B767" s="340"/>
      <c r="C767" s="340"/>
      <c r="D767" s="340"/>
      <c r="E767" s="340"/>
      <c r="F767" s="340"/>
      <c r="G767" s="340"/>
      <c r="H767" s="340"/>
      <c r="I767" s="340"/>
      <c r="J767" s="340"/>
      <c r="K767" s="340"/>
      <c r="L767" s="340"/>
      <c r="M767" s="340"/>
      <c r="N767" s="340"/>
      <c r="O767" s="340"/>
      <c r="P767" s="340"/>
      <c r="Q767" s="340"/>
      <c r="R767" s="340"/>
      <c r="S767" s="340"/>
      <c r="T767" s="340"/>
      <c r="U767" s="340"/>
      <c r="V767" s="340"/>
      <c r="W767" s="340"/>
      <c r="X767" s="340"/>
      <c r="Y767" s="340"/>
      <c r="Z767" s="340"/>
      <c r="AA767" s="340"/>
      <c r="AB767" s="340"/>
      <c r="AC767" s="340"/>
    </row>
    <row r="768" spans="1:29">
      <c r="A768" s="340"/>
      <c r="B768" s="340"/>
      <c r="C768" s="340"/>
      <c r="D768" s="340"/>
      <c r="E768" s="340"/>
      <c r="F768" s="340"/>
      <c r="G768" s="340"/>
      <c r="H768" s="340"/>
      <c r="I768" s="340"/>
      <c r="J768" s="340"/>
      <c r="K768" s="340"/>
      <c r="L768" s="340"/>
      <c r="M768" s="340"/>
      <c r="N768" s="340"/>
      <c r="O768" s="340"/>
      <c r="P768" s="340"/>
      <c r="Q768" s="340"/>
      <c r="R768" s="340"/>
      <c r="S768" s="340"/>
      <c r="T768" s="340"/>
      <c r="U768" s="340"/>
      <c r="V768" s="340"/>
      <c r="W768" s="340"/>
      <c r="X768" s="340"/>
      <c r="Y768" s="340"/>
      <c r="Z768" s="340"/>
      <c r="AA768" s="340"/>
      <c r="AB768" s="340"/>
      <c r="AC768" s="340"/>
    </row>
    <row r="769" spans="1:29">
      <c r="A769" s="340"/>
      <c r="B769" s="340"/>
      <c r="C769" s="340"/>
      <c r="D769" s="340"/>
      <c r="E769" s="340"/>
      <c r="F769" s="340"/>
      <c r="G769" s="340"/>
      <c r="H769" s="340"/>
      <c r="I769" s="340"/>
      <c r="J769" s="340"/>
      <c r="K769" s="340"/>
      <c r="L769" s="340"/>
      <c r="M769" s="340"/>
      <c r="N769" s="340"/>
      <c r="O769" s="340"/>
      <c r="P769" s="340"/>
      <c r="Q769" s="340"/>
      <c r="R769" s="340"/>
      <c r="S769" s="340"/>
      <c r="T769" s="340"/>
      <c r="U769" s="340"/>
      <c r="V769" s="340"/>
      <c r="W769" s="340"/>
      <c r="X769" s="340"/>
      <c r="Y769" s="340"/>
      <c r="Z769" s="340"/>
      <c r="AA769" s="340"/>
      <c r="AB769" s="340"/>
      <c r="AC769" s="340"/>
    </row>
    <row r="770" spans="1:29">
      <c r="A770" s="340"/>
      <c r="B770" s="340"/>
      <c r="C770" s="340"/>
      <c r="D770" s="340"/>
      <c r="E770" s="340"/>
      <c r="F770" s="340"/>
      <c r="G770" s="340"/>
      <c r="H770" s="340"/>
      <c r="I770" s="340"/>
      <c r="J770" s="340"/>
      <c r="K770" s="340"/>
      <c r="L770" s="340"/>
      <c r="M770" s="340"/>
      <c r="N770" s="340"/>
      <c r="O770" s="340"/>
      <c r="P770" s="340"/>
      <c r="Q770" s="340"/>
      <c r="R770" s="340"/>
      <c r="S770" s="340"/>
      <c r="T770" s="340"/>
      <c r="U770" s="340"/>
      <c r="V770" s="340"/>
      <c r="W770" s="340"/>
      <c r="X770" s="340"/>
      <c r="Y770" s="340"/>
      <c r="Z770" s="340"/>
      <c r="AA770" s="340"/>
      <c r="AB770" s="340"/>
      <c r="AC770" s="340"/>
    </row>
    <row r="771" spans="1:29">
      <c r="A771" s="340"/>
      <c r="B771" s="340"/>
      <c r="C771" s="340"/>
      <c r="D771" s="340"/>
      <c r="E771" s="340"/>
      <c r="F771" s="340"/>
      <c r="G771" s="340"/>
      <c r="H771" s="340"/>
      <c r="I771" s="340"/>
      <c r="J771" s="340"/>
      <c r="K771" s="340"/>
      <c r="L771" s="340"/>
      <c r="M771" s="340"/>
      <c r="N771" s="340"/>
      <c r="O771" s="340"/>
      <c r="P771" s="340"/>
      <c r="Q771" s="340"/>
      <c r="R771" s="340"/>
      <c r="S771" s="340"/>
      <c r="T771" s="340"/>
      <c r="U771" s="340"/>
      <c r="V771" s="340"/>
      <c r="W771" s="340"/>
      <c r="X771" s="340"/>
      <c r="Y771" s="340"/>
      <c r="Z771" s="340"/>
      <c r="AA771" s="340"/>
      <c r="AB771" s="340"/>
      <c r="AC771" s="340"/>
    </row>
    <row r="772" spans="1:29">
      <c r="A772" s="340"/>
      <c r="B772" s="340"/>
      <c r="C772" s="340"/>
      <c r="D772" s="340"/>
      <c r="E772" s="340"/>
      <c r="F772" s="340"/>
      <c r="G772" s="340"/>
      <c r="H772" s="340"/>
      <c r="I772" s="340"/>
      <c r="J772" s="340"/>
      <c r="K772" s="340"/>
      <c r="L772" s="340"/>
      <c r="M772" s="340"/>
      <c r="N772" s="340"/>
      <c r="O772" s="340"/>
      <c r="P772" s="340"/>
      <c r="Q772" s="340"/>
      <c r="R772" s="340"/>
      <c r="S772" s="340"/>
      <c r="T772" s="340"/>
      <c r="U772" s="340"/>
      <c r="V772" s="340"/>
      <c r="W772" s="340"/>
      <c r="X772" s="340"/>
      <c r="Y772" s="340"/>
      <c r="Z772" s="340"/>
      <c r="AA772" s="340"/>
      <c r="AB772" s="340"/>
      <c r="AC772" s="340"/>
    </row>
    <row r="773" spans="1:29">
      <c r="A773" s="340"/>
      <c r="B773" s="340"/>
      <c r="C773" s="340"/>
      <c r="D773" s="340"/>
      <c r="E773" s="340"/>
      <c r="F773" s="340"/>
      <c r="G773" s="340"/>
      <c r="H773" s="340"/>
      <c r="I773" s="340"/>
      <c r="J773" s="340"/>
      <c r="K773" s="340"/>
      <c r="L773" s="340"/>
      <c r="M773" s="340"/>
      <c r="N773" s="340"/>
      <c r="O773" s="340"/>
      <c r="P773" s="340"/>
      <c r="Q773" s="340"/>
      <c r="R773" s="340"/>
      <c r="S773" s="340"/>
      <c r="T773" s="340"/>
      <c r="U773" s="340"/>
      <c r="V773" s="340"/>
      <c r="W773" s="340"/>
      <c r="X773" s="340"/>
      <c r="Y773" s="340"/>
      <c r="Z773" s="340"/>
      <c r="AA773" s="340"/>
      <c r="AB773" s="340"/>
      <c r="AC773" s="340"/>
    </row>
    <row r="774" spans="1:29">
      <c r="A774" s="340"/>
      <c r="B774" s="340"/>
      <c r="C774" s="340"/>
      <c r="D774" s="340"/>
      <c r="E774" s="340"/>
      <c r="F774" s="340"/>
      <c r="G774" s="340"/>
      <c r="H774" s="340"/>
      <c r="I774" s="340"/>
      <c r="J774" s="340"/>
      <c r="K774" s="340"/>
      <c r="L774" s="340"/>
      <c r="M774" s="340"/>
      <c r="N774" s="340"/>
      <c r="O774" s="340"/>
      <c r="P774" s="340"/>
      <c r="Q774" s="340"/>
      <c r="R774" s="340"/>
      <c r="S774" s="340"/>
      <c r="T774" s="340"/>
      <c r="U774" s="340"/>
      <c r="V774" s="340"/>
      <c r="W774" s="340"/>
      <c r="X774" s="340"/>
      <c r="Y774" s="340"/>
      <c r="Z774" s="340"/>
      <c r="AA774" s="340"/>
      <c r="AB774" s="340"/>
      <c r="AC774" s="340"/>
    </row>
    <row r="775" spans="1:29">
      <c r="A775" s="340"/>
      <c r="B775" s="340"/>
      <c r="C775" s="340"/>
      <c r="D775" s="340"/>
      <c r="E775" s="340"/>
      <c r="F775" s="340"/>
      <c r="G775" s="340"/>
      <c r="H775" s="340"/>
      <c r="I775" s="340"/>
      <c r="J775" s="340"/>
      <c r="K775" s="340"/>
      <c r="L775" s="340"/>
      <c r="M775" s="340"/>
      <c r="N775" s="340"/>
      <c r="O775" s="340"/>
      <c r="P775" s="340"/>
      <c r="Q775" s="340"/>
      <c r="R775" s="340"/>
      <c r="S775" s="340"/>
      <c r="T775" s="340"/>
      <c r="U775" s="340"/>
      <c r="V775" s="340"/>
      <c r="W775" s="340"/>
      <c r="X775" s="340"/>
      <c r="Y775" s="340"/>
      <c r="Z775" s="340"/>
      <c r="AA775" s="340"/>
      <c r="AB775" s="340"/>
      <c r="AC775" s="340"/>
    </row>
    <row r="776" spans="1:29">
      <c r="A776" s="340"/>
      <c r="B776" s="340"/>
      <c r="C776" s="340"/>
      <c r="D776" s="340"/>
      <c r="E776" s="340"/>
      <c r="F776" s="340"/>
      <c r="G776" s="340"/>
      <c r="H776" s="340"/>
      <c r="I776" s="340"/>
      <c r="J776" s="340"/>
      <c r="K776" s="340"/>
      <c r="L776" s="340"/>
      <c r="M776" s="340"/>
      <c r="N776" s="340"/>
      <c r="O776" s="340"/>
      <c r="P776" s="340"/>
      <c r="Q776" s="340"/>
      <c r="R776" s="340"/>
      <c r="S776" s="340"/>
      <c r="T776" s="340"/>
      <c r="U776" s="340"/>
      <c r="V776" s="340"/>
      <c r="W776" s="340"/>
      <c r="X776" s="340"/>
      <c r="Y776" s="340"/>
      <c r="Z776" s="340"/>
      <c r="AA776" s="340"/>
      <c r="AB776" s="340"/>
      <c r="AC776" s="340"/>
    </row>
    <row r="777" spans="1:29">
      <c r="A777" s="340"/>
      <c r="B777" s="340"/>
      <c r="C777" s="340"/>
      <c r="D777" s="340"/>
      <c r="E777" s="340"/>
      <c r="F777" s="340"/>
      <c r="G777" s="340"/>
      <c r="H777" s="340"/>
      <c r="I777" s="340"/>
      <c r="J777" s="340"/>
      <c r="K777" s="340"/>
      <c r="L777" s="340"/>
      <c r="M777" s="340"/>
      <c r="N777" s="340"/>
      <c r="O777" s="340"/>
      <c r="P777" s="340"/>
      <c r="Q777" s="340"/>
      <c r="R777" s="340"/>
      <c r="S777" s="340"/>
      <c r="T777" s="340"/>
      <c r="U777" s="340"/>
      <c r="V777" s="340"/>
      <c r="W777" s="340"/>
      <c r="X777" s="340"/>
      <c r="Y777" s="340"/>
      <c r="Z777" s="340"/>
      <c r="AA777" s="340"/>
      <c r="AB777" s="340"/>
      <c r="AC777" s="340"/>
    </row>
    <row r="778" spans="1:29">
      <c r="A778" s="340"/>
      <c r="B778" s="340"/>
      <c r="C778" s="340"/>
      <c r="D778" s="340"/>
      <c r="E778" s="340"/>
      <c r="F778" s="340"/>
      <c r="G778" s="340"/>
      <c r="H778" s="340"/>
      <c r="I778" s="340"/>
      <c r="J778" s="340"/>
      <c r="K778" s="340"/>
      <c r="L778" s="340"/>
      <c r="M778" s="340"/>
      <c r="N778" s="340"/>
      <c r="O778" s="340"/>
      <c r="P778" s="340"/>
      <c r="Q778" s="340"/>
      <c r="R778" s="340"/>
      <c r="S778" s="340"/>
      <c r="T778" s="340"/>
      <c r="U778" s="340"/>
      <c r="V778" s="340"/>
      <c r="W778" s="340"/>
      <c r="X778" s="340"/>
      <c r="Y778" s="340"/>
      <c r="Z778" s="340"/>
      <c r="AA778" s="340"/>
      <c r="AB778" s="340"/>
      <c r="AC778" s="340"/>
    </row>
    <row r="779" spans="1:29">
      <c r="A779" s="340"/>
      <c r="B779" s="340"/>
      <c r="C779" s="340"/>
      <c r="D779" s="340"/>
      <c r="E779" s="340"/>
      <c r="F779" s="340"/>
      <c r="G779" s="340"/>
      <c r="H779" s="340"/>
      <c r="I779" s="340"/>
      <c r="J779" s="340"/>
      <c r="K779" s="340"/>
      <c r="L779" s="340"/>
      <c r="M779" s="340"/>
      <c r="N779" s="340"/>
      <c r="O779" s="340"/>
      <c r="P779" s="340"/>
      <c r="Q779" s="340"/>
      <c r="R779" s="340"/>
      <c r="S779" s="340"/>
      <c r="T779" s="340"/>
      <c r="U779" s="340"/>
      <c r="V779" s="340"/>
      <c r="W779" s="340"/>
      <c r="X779" s="340"/>
      <c r="Y779" s="340"/>
      <c r="Z779" s="340"/>
      <c r="AA779" s="340"/>
      <c r="AB779" s="340"/>
      <c r="AC779" s="340"/>
    </row>
    <row r="780" spans="1:29">
      <c r="A780" s="340"/>
      <c r="B780" s="340"/>
      <c r="C780" s="340"/>
      <c r="D780" s="340"/>
      <c r="E780" s="340"/>
      <c r="F780" s="340"/>
      <c r="G780" s="340"/>
      <c r="H780" s="340"/>
      <c r="I780" s="340"/>
      <c r="J780" s="340"/>
      <c r="K780" s="340"/>
      <c r="L780" s="340"/>
      <c r="M780" s="340"/>
      <c r="N780" s="340"/>
      <c r="O780" s="340"/>
      <c r="P780" s="340"/>
      <c r="Q780" s="340"/>
      <c r="R780" s="340"/>
      <c r="S780" s="340"/>
      <c r="T780" s="340"/>
      <c r="U780" s="340"/>
      <c r="V780" s="340"/>
      <c r="W780" s="340"/>
      <c r="X780" s="340"/>
      <c r="Y780" s="340"/>
      <c r="Z780" s="340"/>
      <c r="AA780" s="340"/>
      <c r="AB780" s="340"/>
      <c r="AC780" s="340"/>
    </row>
    <row r="781" spans="1:29">
      <c r="A781" s="340"/>
      <c r="B781" s="340"/>
      <c r="C781" s="340"/>
      <c r="D781" s="340"/>
      <c r="E781" s="340"/>
      <c r="F781" s="340"/>
      <c r="G781" s="340"/>
      <c r="H781" s="340"/>
      <c r="I781" s="340"/>
      <c r="J781" s="340"/>
      <c r="K781" s="340"/>
      <c r="L781" s="340"/>
      <c r="M781" s="340"/>
      <c r="N781" s="340"/>
      <c r="O781" s="340"/>
      <c r="P781" s="340"/>
      <c r="Q781" s="340"/>
      <c r="R781" s="340"/>
      <c r="S781" s="340"/>
      <c r="T781" s="340"/>
      <c r="U781" s="340"/>
      <c r="V781" s="340"/>
      <c r="W781" s="340"/>
      <c r="X781" s="340"/>
      <c r="Y781" s="340"/>
      <c r="Z781" s="340"/>
      <c r="AA781" s="340"/>
      <c r="AB781" s="340"/>
      <c r="AC781" s="340"/>
    </row>
    <row r="782" spans="1:29">
      <c r="A782" s="340"/>
      <c r="B782" s="340"/>
      <c r="C782" s="340"/>
      <c r="D782" s="340"/>
      <c r="E782" s="340"/>
      <c r="F782" s="340"/>
      <c r="G782" s="340"/>
      <c r="H782" s="340"/>
      <c r="I782" s="340"/>
      <c r="J782" s="340"/>
      <c r="K782" s="340"/>
      <c r="L782" s="340"/>
      <c r="M782" s="340"/>
      <c r="N782" s="340"/>
      <c r="O782" s="340"/>
      <c r="P782" s="340"/>
      <c r="Q782" s="340"/>
      <c r="R782" s="340"/>
      <c r="S782" s="340"/>
      <c r="T782" s="340"/>
      <c r="U782" s="340"/>
      <c r="V782" s="340"/>
      <c r="W782" s="340"/>
      <c r="X782" s="340"/>
      <c r="Y782" s="340"/>
      <c r="Z782" s="340"/>
      <c r="AA782" s="340"/>
      <c r="AB782" s="340"/>
      <c r="AC782" s="340"/>
    </row>
    <row r="783" spans="1:29">
      <c r="A783" s="340"/>
      <c r="B783" s="340"/>
      <c r="C783" s="340"/>
      <c r="D783" s="340"/>
      <c r="E783" s="340"/>
      <c r="F783" s="340"/>
      <c r="G783" s="340"/>
      <c r="H783" s="340"/>
      <c r="I783" s="340"/>
      <c r="J783" s="340"/>
      <c r="K783" s="340"/>
      <c r="L783" s="340"/>
      <c r="M783" s="340"/>
      <c r="N783" s="340"/>
      <c r="O783" s="340"/>
      <c r="P783" s="340"/>
      <c r="Q783" s="340"/>
      <c r="R783" s="340"/>
      <c r="S783" s="340"/>
      <c r="T783" s="340"/>
      <c r="U783" s="340"/>
      <c r="V783" s="340"/>
      <c r="W783" s="340"/>
      <c r="X783" s="340"/>
      <c r="Y783" s="340"/>
      <c r="Z783" s="340"/>
      <c r="AA783" s="340"/>
      <c r="AB783" s="340"/>
      <c r="AC783" s="340"/>
    </row>
    <row r="784" spans="1:29">
      <c r="A784" s="340"/>
      <c r="B784" s="340"/>
      <c r="C784" s="340"/>
      <c r="D784" s="340"/>
      <c r="E784" s="340"/>
      <c r="F784" s="340"/>
      <c r="G784" s="340"/>
      <c r="H784" s="340"/>
      <c r="I784" s="340"/>
      <c r="J784" s="340"/>
      <c r="K784" s="340"/>
      <c r="L784" s="340"/>
      <c r="M784" s="340"/>
      <c r="N784" s="340"/>
      <c r="O784" s="340"/>
      <c r="P784" s="340"/>
      <c r="Q784" s="340"/>
      <c r="R784" s="340"/>
      <c r="S784" s="340"/>
      <c r="T784" s="340"/>
      <c r="U784" s="340"/>
      <c r="V784" s="340"/>
      <c r="W784" s="340"/>
      <c r="X784" s="340"/>
      <c r="Y784" s="340"/>
      <c r="Z784" s="340"/>
      <c r="AA784" s="340"/>
      <c r="AB784" s="340"/>
      <c r="AC784" s="340"/>
    </row>
    <row r="785" spans="1:29">
      <c r="A785" s="340"/>
      <c r="B785" s="340"/>
      <c r="C785" s="340"/>
      <c r="D785" s="340"/>
      <c r="E785" s="340"/>
      <c r="F785" s="340"/>
      <c r="G785" s="340"/>
      <c r="H785" s="340"/>
      <c r="I785" s="340"/>
      <c r="J785" s="340"/>
      <c r="K785" s="340"/>
      <c r="L785" s="340"/>
      <c r="M785" s="340"/>
      <c r="N785" s="340"/>
      <c r="O785" s="340"/>
      <c r="P785" s="340"/>
      <c r="Q785" s="340"/>
      <c r="R785" s="340"/>
      <c r="S785" s="340"/>
      <c r="T785" s="340"/>
      <c r="U785" s="340"/>
      <c r="V785" s="340"/>
      <c r="W785" s="340"/>
      <c r="X785" s="340"/>
      <c r="Y785" s="340"/>
      <c r="Z785" s="340"/>
      <c r="AA785" s="340"/>
      <c r="AB785" s="340"/>
      <c r="AC785" s="340"/>
    </row>
    <row r="786" spans="1:29">
      <c r="A786" s="340"/>
      <c r="B786" s="340"/>
      <c r="C786" s="340"/>
      <c r="D786" s="340"/>
      <c r="E786" s="340"/>
      <c r="F786" s="340"/>
      <c r="G786" s="340"/>
      <c r="H786" s="340"/>
      <c r="I786" s="340"/>
      <c r="J786" s="340"/>
      <c r="K786" s="340"/>
      <c r="L786" s="340"/>
      <c r="M786" s="340"/>
      <c r="N786" s="340"/>
      <c r="O786" s="340"/>
      <c r="P786" s="340"/>
      <c r="Q786" s="340"/>
      <c r="R786" s="340"/>
      <c r="S786" s="340"/>
      <c r="T786" s="340"/>
      <c r="U786" s="340"/>
      <c r="V786" s="340"/>
      <c r="W786" s="340"/>
      <c r="X786" s="340"/>
      <c r="Y786" s="340"/>
      <c r="Z786" s="340"/>
      <c r="AA786" s="340"/>
      <c r="AB786" s="340"/>
      <c r="AC786" s="340"/>
    </row>
    <row r="787" spans="1:29">
      <c r="A787" s="340"/>
      <c r="B787" s="340"/>
      <c r="C787" s="340"/>
      <c r="D787" s="340"/>
      <c r="E787" s="340"/>
      <c r="F787" s="340"/>
      <c r="G787" s="340"/>
      <c r="H787" s="340"/>
      <c r="I787" s="340"/>
      <c r="J787" s="340"/>
      <c r="K787" s="340"/>
      <c r="L787" s="340"/>
      <c r="M787" s="340"/>
      <c r="N787" s="340"/>
      <c r="O787" s="340"/>
      <c r="P787" s="340"/>
      <c r="Q787" s="340"/>
      <c r="R787" s="340"/>
      <c r="S787" s="340"/>
      <c r="T787" s="340"/>
      <c r="U787" s="340"/>
      <c r="V787" s="340"/>
      <c r="W787" s="340"/>
      <c r="X787" s="340"/>
      <c r="Y787" s="340"/>
      <c r="Z787" s="340"/>
      <c r="AA787" s="340"/>
      <c r="AB787" s="340"/>
      <c r="AC787" s="340"/>
    </row>
    <row r="788" spans="1:29">
      <c r="A788" s="340"/>
      <c r="B788" s="340"/>
      <c r="C788" s="340"/>
      <c r="D788" s="340"/>
      <c r="E788" s="340"/>
      <c r="F788" s="340"/>
      <c r="G788" s="340"/>
      <c r="H788" s="340"/>
      <c r="I788" s="340"/>
      <c r="J788" s="340"/>
      <c r="K788" s="340"/>
      <c r="L788" s="340"/>
      <c r="M788" s="340"/>
      <c r="N788" s="340"/>
      <c r="O788" s="340"/>
      <c r="P788" s="340"/>
      <c r="Q788" s="340"/>
      <c r="R788" s="340"/>
      <c r="S788" s="340"/>
      <c r="T788" s="340"/>
      <c r="U788" s="340"/>
      <c r="V788" s="340"/>
      <c r="W788" s="340"/>
      <c r="X788" s="340"/>
      <c r="Y788" s="340"/>
      <c r="Z788" s="340"/>
      <c r="AA788" s="340"/>
      <c r="AB788" s="340"/>
      <c r="AC788" s="340"/>
    </row>
    <row r="789" spans="1:29">
      <c r="A789" s="340"/>
      <c r="B789" s="340"/>
      <c r="C789" s="340"/>
      <c r="D789" s="340"/>
      <c r="E789" s="340"/>
      <c r="F789" s="340"/>
      <c r="G789" s="340"/>
      <c r="H789" s="340"/>
      <c r="I789" s="340"/>
      <c r="J789" s="340"/>
      <c r="K789" s="340"/>
      <c r="L789" s="340"/>
      <c r="M789" s="340"/>
      <c r="N789" s="340"/>
      <c r="O789" s="340"/>
      <c r="P789" s="340"/>
      <c r="Q789" s="340"/>
      <c r="R789" s="340"/>
      <c r="S789" s="340"/>
      <c r="T789" s="340"/>
      <c r="U789" s="340"/>
      <c r="V789" s="340"/>
      <c r="W789" s="340"/>
      <c r="X789" s="340"/>
      <c r="Y789" s="340"/>
      <c r="Z789" s="340"/>
      <c r="AA789" s="340"/>
      <c r="AB789" s="340"/>
      <c r="AC789" s="340"/>
    </row>
    <row r="790" spans="1:29">
      <c r="A790" s="340"/>
      <c r="B790" s="340"/>
      <c r="C790" s="340"/>
      <c r="D790" s="340"/>
      <c r="E790" s="340"/>
      <c r="F790" s="340"/>
      <c r="G790" s="340"/>
      <c r="H790" s="340"/>
      <c r="I790" s="340"/>
      <c r="J790" s="340"/>
      <c r="K790" s="340"/>
      <c r="L790" s="340"/>
      <c r="M790" s="340"/>
      <c r="N790" s="340"/>
      <c r="O790" s="340"/>
      <c r="P790" s="340"/>
      <c r="Q790" s="340"/>
      <c r="R790" s="340"/>
      <c r="S790" s="340"/>
      <c r="T790" s="340"/>
      <c r="U790" s="340"/>
      <c r="V790" s="340"/>
      <c r="W790" s="340"/>
      <c r="X790" s="340"/>
      <c r="Y790" s="340"/>
      <c r="Z790" s="340"/>
      <c r="AA790" s="340"/>
      <c r="AB790" s="340"/>
      <c r="AC790" s="340"/>
    </row>
    <row r="791" spans="1:29">
      <c r="A791" s="340"/>
      <c r="B791" s="340"/>
      <c r="C791" s="340"/>
      <c r="D791" s="340"/>
      <c r="E791" s="340"/>
      <c r="F791" s="340"/>
      <c r="G791" s="340"/>
      <c r="H791" s="340"/>
      <c r="I791" s="340"/>
      <c r="J791" s="340"/>
      <c r="K791" s="340"/>
      <c r="L791" s="340"/>
      <c r="M791" s="340"/>
      <c r="N791" s="340"/>
      <c r="O791" s="340"/>
      <c r="P791" s="340"/>
      <c r="Q791" s="340"/>
      <c r="R791" s="340"/>
      <c r="S791" s="340"/>
      <c r="T791" s="340"/>
      <c r="U791" s="340"/>
      <c r="V791" s="340"/>
      <c r="W791" s="340"/>
      <c r="X791" s="340"/>
      <c r="Y791" s="340"/>
      <c r="Z791" s="340"/>
      <c r="AA791" s="340"/>
      <c r="AB791" s="340"/>
      <c r="AC791" s="340"/>
    </row>
    <row r="792" spans="1:29">
      <c r="A792" s="340"/>
      <c r="B792" s="340"/>
      <c r="C792" s="340"/>
      <c r="D792" s="340"/>
      <c r="E792" s="340"/>
      <c r="F792" s="340"/>
      <c r="G792" s="340"/>
      <c r="H792" s="340"/>
      <c r="I792" s="340"/>
      <c r="J792" s="340"/>
      <c r="K792" s="340"/>
      <c r="L792" s="340"/>
      <c r="M792" s="340"/>
      <c r="N792" s="340"/>
      <c r="O792" s="340"/>
      <c r="P792" s="340"/>
      <c r="Q792" s="340"/>
      <c r="R792" s="340"/>
      <c r="S792" s="340"/>
      <c r="T792" s="340"/>
      <c r="U792" s="340"/>
      <c r="V792" s="340"/>
      <c r="W792" s="340"/>
      <c r="X792" s="340"/>
      <c r="Y792" s="340"/>
      <c r="Z792" s="340"/>
      <c r="AA792" s="340"/>
      <c r="AB792" s="340"/>
      <c r="AC792" s="340"/>
    </row>
    <row r="793" spans="1:29">
      <c r="A793" s="340"/>
      <c r="B793" s="340"/>
      <c r="C793" s="340"/>
      <c r="D793" s="340"/>
      <c r="E793" s="340"/>
      <c r="F793" s="340"/>
      <c r="G793" s="340"/>
      <c r="H793" s="340"/>
      <c r="I793" s="340"/>
      <c r="J793" s="340"/>
      <c r="K793" s="340"/>
      <c r="L793" s="340"/>
      <c r="M793" s="340"/>
      <c r="N793" s="340"/>
      <c r="O793" s="340"/>
      <c r="P793" s="340"/>
      <c r="Q793" s="340"/>
      <c r="R793" s="340"/>
      <c r="S793" s="340"/>
      <c r="T793" s="340"/>
      <c r="U793" s="340"/>
      <c r="V793" s="340"/>
      <c r="W793" s="340"/>
      <c r="X793" s="340"/>
      <c r="Y793" s="340"/>
      <c r="Z793" s="340"/>
      <c r="AA793" s="340"/>
      <c r="AB793" s="340"/>
      <c r="AC793" s="340"/>
    </row>
    <row r="794" spans="1:29">
      <c r="A794" s="340"/>
      <c r="B794" s="340"/>
      <c r="C794" s="340"/>
      <c r="D794" s="340"/>
      <c r="E794" s="340"/>
      <c r="F794" s="340"/>
      <c r="G794" s="340"/>
      <c r="H794" s="340"/>
      <c r="I794" s="340"/>
      <c r="J794" s="340"/>
      <c r="K794" s="340"/>
      <c r="L794" s="340"/>
      <c r="M794" s="340"/>
      <c r="N794" s="340"/>
      <c r="O794" s="340"/>
      <c r="P794" s="340"/>
      <c r="Q794" s="340"/>
      <c r="R794" s="340"/>
      <c r="S794" s="340"/>
      <c r="T794" s="340"/>
      <c r="U794" s="340"/>
      <c r="V794" s="340"/>
      <c r="W794" s="340"/>
      <c r="X794" s="340"/>
      <c r="Y794" s="340"/>
      <c r="Z794" s="340"/>
      <c r="AA794" s="340"/>
      <c r="AB794" s="340"/>
      <c r="AC794" s="340"/>
    </row>
    <row r="795" spans="1:29">
      <c r="A795" s="340"/>
      <c r="B795" s="340"/>
      <c r="C795" s="340"/>
      <c r="D795" s="340"/>
      <c r="E795" s="340"/>
      <c r="F795" s="340"/>
      <c r="G795" s="340"/>
      <c r="H795" s="340"/>
      <c r="I795" s="340"/>
      <c r="J795" s="340"/>
      <c r="K795" s="340"/>
      <c r="L795" s="340"/>
      <c r="M795" s="340"/>
      <c r="N795" s="340"/>
      <c r="O795" s="340"/>
      <c r="P795" s="340"/>
      <c r="Q795" s="340"/>
      <c r="R795" s="340"/>
      <c r="S795" s="340"/>
      <c r="T795" s="340"/>
      <c r="U795" s="340"/>
      <c r="V795" s="340"/>
      <c r="W795" s="340"/>
      <c r="X795" s="340"/>
      <c r="Y795" s="340"/>
      <c r="Z795" s="340"/>
      <c r="AA795" s="340"/>
      <c r="AB795" s="340"/>
      <c r="AC795" s="340"/>
    </row>
    <row r="796" spans="1:29">
      <c r="A796" s="340"/>
      <c r="B796" s="340"/>
      <c r="C796" s="340"/>
      <c r="D796" s="340"/>
      <c r="E796" s="340"/>
      <c r="F796" s="340"/>
      <c r="G796" s="340"/>
      <c r="H796" s="340"/>
      <c r="I796" s="340"/>
      <c r="J796" s="340"/>
      <c r="K796" s="340"/>
      <c r="L796" s="340"/>
      <c r="M796" s="340"/>
      <c r="N796" s="340"/>
      <c r="O796" s="340"/>
      <c r="P796" s="340"/>
      <c r="Q796" s="340"/>
      <c r="R796" s="340"/>
      <c r="S796" s="340"/>
      <c r="T796" s="340"/>
      <c r="U796" s="340"/>
      <c r="V796" s="340"/>
      <c r="W796" s="340"/>
      <c r="X796" s="340"/>
      <c r="Y796" s="340"/>
      <c r="Z796" s="340"/>
      <c r="AA796" s="340"/>
      <c r="AB796" s="340"/>
      <c r="AC796" s="340"/>
    </row>
    <row r="797" spans="1:29">
      <c r="A797" s="340"/>
      <c r="B797" s="340"/>
      <c r="C797" s="340"/>
      <c r="D797" s="340"/>
      <c r="E797" s="340"/>
      <c r="F797" s="340"/>
      <c r="G797" s="340"/>
      <c r="H797" s="340"/>
      <c r="I797" s="340"/>
      <c r="J797" s="340"/>
      <c r="K797" s="340"/>
      <c r="L797" s="340"/>
      <c r="M797" s="340"/>
      <c r="N797" s="340"/>
      <c r="O797" s="340"/>
      <c r="P797" s="340"/>
      <c r="Q797" s="340"/>
      <c r="R797" s="340"/>
      <c r="S797" s="340"/>
      <c r="T797" s="340"/>
      <c r="U797" s="340"/>
      <c r="V797" s="340"/>
      <c r="W797" s="340"/>
      <c r="X797" s="340"/>
      <c r="Y797" s="340"/>
      <c r="Z797" s="340"/>
      <c r="AA797" s="340"/>
      <c r="AB797" s="340"/>
      <c r="AC797" s="340"/>
    </row>
    <row r="798" spans="1:29">
      <c r="A798" s="340"/>
      <c r="B798" s="340"/>
      <c r="C798" s="340"/>
      <c r="D798" s="340"/>
      <c r="E798" s="340"/>
      <c r="F798" s="340"/>
      <c r="G798" s="340"/>
      <c r="H798" s="340"/>
      <c r="I798" s="340"/>
      <c r="J798" s="340"/>
      <c r="K798" s="340"/>
      <c r="L798" s="340"/>
      <c r="M798" s="340"/>
      <c r="N798" s="340"/>
      <c r="O798" s="340"/>
      <c r="P798" s="340"/>
      <c r="Q798" s="340"/>
      <c r="R798" s="340"/>
      <c r="S798" s="340"/>
      <c r="T798" s="340"/>
      <c r="U798" s="340"/>
      <c r="V798" s="340"/>
      <c r="W798" s="340"/>
      <c r="X798" s="340"/>
      <c r="Y798" s="340"/>
      <c r="Z798" s="340"/>
      <c r="AA798" s="340"/>
      <c r="AB798" s="340"/>
      <c r="AC798" s="340"/>
    </row>
    <row r="799" spans="1:29">
      <c r="A799" s="340"/>
      <c r="B799" s="340"/>
      <c r="C799" s="340"/>
      <c r="D799" s="340"/>
      <c r="E799" s="340"/>
      <c r="F799" s="340"/>
      <c r="G799" s="340"/>
      <c r="H799" s="340"/>
      <c r="I799" s="340"/>
      <c r="J799" s="340"/>
      <c r="K799" s="340"/>
      <c r="L799" s="340"/>
      <c r="M799" s="340"/>
      <c r="N799" s="340"/>
      <c r="O799" s="340"/>
      <c r="P799" s="340"/>
      <c r="Q799" s="340"/>
      <c r="R799" s="340"/>
      <c r="S799" s="340"/>
      <c r="T799" s="340"/>
      <c r="U799" s="340"/>
      <c r="V799" s="340"/>
      <c r="W799" s="340"/>
      <c r="X799" s="340"/>
      <c r="Y799" s="340"/>
      <c r="Z799" s="340"/>
      <c r="AA799" s="340"/>
      <c r="AB799" s="340"/>
      <c r="AC799" s="340"/>
    </row>
    <row r="800" spans="1:29">
      <c r="A800" s="340"/>
      <c r="B800" s="340"/>
      <c r="C800" s="340"/>
      <c r="D800" s="340"/>
      <c r="E800" s="340"/>
      <c r="F800" s="340"/>
      <c r="G800" s="340"/>
      <c r="H800" s="340"/>
      <c r="I800" s="340"/>
      <c r="J800" s="340"/>
      <c r="K800" s="340"/>
      <c r="L800" s="340"/>
      <c r="M800" s="340"/>
      <c r="N800" s="340"/>
      <c r="O800" s="340"/>
      <c r="P800" s="340"/>
      <c r="Q800" s="340"/>
      <c r="R800" s="340"/>
      <c r="S800" s="340"/>
      <c r="T800" s="340"/>
      <c r="U800" s="340"/>
      <c r="V800" s="340"/>
      <c r="W800" s="340"/>
      <c r="X800" s="340"/>
      <c r="Y800" s="340"/>
      <c r="Z800" s="340"/>
      <c r="AA800" s="340"/>
      <c r="AB800" s="340"/>
      <c r="AC800" s="340"/>
    </row>
    <row r="801" spans="1:29">
      <c r="A801" s="340"/>
      <c r="B801" s="340"/>
      <c r="C801" s="340"/>
      <c r="D801" s="340"/>
      <c r="E801" s="340"/>
      <c r="F801" s="340"/>
      <c r="G801" s="340"/>
      <c r="H801" s="340"/>
      <c r="I801" s="340"/>
      <c r="J801" s="340"/>
      <c r="K801" s="340"/>
      <c r="L801" s="340"/>
      <c r="M801" s="340"/>
      <c r="N801" s="340"/>
      <c r="O801" s="340"/>
      <c r="P801" s="340"/>
      <c r="Q801" s="340"/>
      <c r="R801" s="340"/>
      <c r="S801" s="340"/>
      <c r="T801" s="340"/>
      <c r="U801" s="340"/>
      <c r="V801" s="340"/>
      <c r="W801" s="340"/>
      <c r="X801" s="340"/>
      <c r="Y801" s="340"/>
      <c r="Z801" s="340"/>
      <c r="AA801" s="340"/>
      <c r="AB801" s="340"/>
      <c r="AC801" s="340"/>
    </row>
    <row r="802" spans="1:29">
      <c r="A802" s="340"/>
      <c r="B802" s="340"/>
      <c r="C802" s="340"/>
      <c r="D802" s="340"/>
      <c r="E802" s="340"/>
      <c r="F802" s="340"/>
      <c r="G802" s="340"/>
      <c r="H802" s="340"/>
      <c r="I802" s="340"/>
      <c r="J802" s="340"/>
      <c r="K802" s="340"/>
      <c r="L802" s="340"/>
      <c r="M802" s="340"/>
      <c r="N802" s="340"/>
      <c r="O802" s="340"/>
      <c r="P802" s="340"/>
      <c r="Q802" s="340"/>
      <c r="R802" s="340"/>
      <c r="S802" s="340"/>
      <c r="T802" s="340"/>
      <c r="U802" s="340"/>
      <c r="V802" s="340"/>
      <c r="W802" s="340"/>
      <c r="X802" s="340"/>
      <c r="Y802" s="340"/>
      <c r="Z802" s="340"/>
      <c r="AA802" s="340"/>
      <c r="AB802" s="340"/>
      <c r="AC802" s="340"/>
    </row>
    <row r="803" spans="1:29">
      <c r="A803" s="340"/>
      <c r="B803" s="340"/>
      <c r="C803" s="340"/>
      <c r="D803" s="340"/>
      <c r="E803" s="340"/>
      <c r="F803" s="340"/>
      <c r="G803" s="340"/>
      <c r="H803" s="340"/>
      <c r="I803" s="340"/>
      <c r="J803" s="340"/>
      <c r="K803" s="340"/>
      <c r="L803" s="340"/>
      <c r="M803" s="340"/>
      <c r="N803" s="340"/>
      <c r="O803" s="340"/>
      <c r="P803" s="340"/>
      <c r="Q803" s="340"/>
      <c r="R803" s="340"/>
      <c r="S803" s="340"/>
      <c r="T803" s="340"/>
      <c r="U803" s="340"/>
      <c r="V803" s="340"/>
      <c r="W803" s="340"/>
      <c r="X803" s="340"/>
      <c r="Y803" s="340"/>
      <c r="Z803" s="340"/>
      <c r="AA803" s="340"/>
      <c r="AB803" s="340"/>
      <c r="AC803" s="340"/>
    </row>
    <row r="804" spans="1:29">
      <c r="A804" s="340"/>
      <c r="B804" s="340"/>
      <c r="C804" s="340"/>
      <c r="D804" s="340"/>
      <c r="E804" s="340"/>
      <c r="F804" s="340"/>
      <c r="G804" s="340"/>
      <c r="H804" s="340"/>
      <c r="I804" s="340"/>
      <c r="J804" s="340"/>
      <c r="K804" s="340"/>
      <c r="L804" s="340"/>
      <c r="M804" s="340"/>
      <c r="N804" s="340"/>
      <c r="O804" s="340"/>
      <c r="P804" s="340"/>
      <c r="Q804" s="340"/>
      <c r="R804" s="340"/>
      <c r="S804" s="340"/>
      <c r="T804" s="340"/>
      <c r="U804" s="340"/>
      <c r="V804" s="340"/>
      <c r="W804" s="340"/>
      <c r="X804" s="340"/>
      <c r="Y804" s="340"/>
      <c r="Z804" s="340"/>
      <c r="AA804" s="340"/>
      <c r="AB804" s="340"/>
      <c r="AC804" s="340"/>
    </row>
    <row r="805" spans="1:29">
      <c r="A805" s="340"/>
      <c r="B805" s="340"/>
      <c r="C805" s="340"/>
      <c r="D805" s="340"/>
      <c r="E805" s="340"/>
      <c r="F805" s="340"/>
      <c r="G805" s="340"/>
      <c r="H805" s="340"/>
      <c r="I805" s="340"/>
      <c r="J805" s="340"/>
      <c r="K805" s="340"/>
      <c r="L805" s="340"/>
      <c r="M805" s="340"/>
      <c r="N805" s="340"/>
      <c r="O805" s="340"/>
      <c r="P805" s="340"/>
      <c r="Q805" s="340"/>
      <c r="R805" s="340"/>
      <c r="S805" s="340"/>
      <c r="T805" s="340"/>
      <c r="U805" s="340"/>
      <c r="V805" s="340"/>
      <c r="W805" s="340"/>
      <c r="X805" s="340"/>
      <c r="Y805" s="340"/>
      <c r="Z805" s="340"/>
      <c r="AA805" s="340"/>
      <c r="AB805" s="340"/>
      <c r="AC805" s="340"/>
    </row>
    <row r="806" spans="1:29">
      <c r="A806" s="340"/>
      <c r="B806" s="340"/>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c r="AA806" s="340"/>
      <c r="AB806" s="340"/>
      <c r="AC806" s="340"/>
    </row>
    <row r="807" spans="1:29">
      <c r="A807" s="340"/>
      <c r="B807" s="340"/>
      <c r="C807" s="340"/>
      <c r="D807" s="340"/>
      <c r="E807" s="340"/>
      <c r="F807" s="340"/>
      <c r="G807" s="340"/>
      <c r="H807" s="340"/>
      <c r="I807" s="340"/>
      <c r="J807" s="340"/>
      <c r="K807" s="340"/>
      <c r="L807" s="340"/>
      <c r="M807" s="340"/>
      <c r="N807" s="340"/>
      <c r="O807" s="340"/>
      <c r="P807" s="340"/>
      <c r="Q807" s="340"/>
      <c r="R807" s="340"/>
      <c r="S807" s="340"/>
      <c r="T807" s="340"/>
      <c r="U807" s="340"/>
      <c r="V807" s="340"/>
      <c r="W807" s="340"/>
      <c r="X807" s="340"/>
      <c r="Y807" s="340"/>
      <c r="Z807" s="340"/>
      <c r="AA807" s="340"/>
      <c r="AB807" s="340"/>
      <c r="AC807" s="340"/>
    </row>
    <row r="808" spans="1:29">
      <c r="A808" s="340"/>
      <c r="B808" s="340"/>
      <c r="C808" s="340"/>
      <c r="D808" s="340"/>
      <c r="E808" s="340"/>
      <c r="F808" s="340"/>
      <c r="G808" s="340"/>
      <c r="H808" s="340"/>
      <c r="I808" s="340"/>
      <c r="J808" s="340"/>
      <c r="K808" s="340"/>
      <c r="L808" s="340"/>
      <c r="M808" s="340"/>
      <c r="N808" s="340"/>
      <c r="O808" s="340"/>
      <c r="P808" s="340"/>
      <c r="Q808" s="340"/>
      <c r="R808" s="340"/>
      <c r="S808" s="340"/>
      <c r="T808" s="340"/>
      <c r="U808" s="340"/>
      <c r="V808" s="340"/>
      <c r="W808" s="340"/>
      <c r="X808" s="340"/>
      <c r="Y808" s="340"/>
      <c r="Z808" s="340"/>
      <c r="AA808" s="340"/>
      <c r="AB808" s="340"/>
      <c r="AC808" s="340"/>
    </row>
    <row r="809" spans="1:29">
      <c r="A809" s="340"/>
      <c r="B809" s="340"/>
      <c r="C809" s="340"/>
      <c r="D809" s="340"/>
      <c r="E809" s="340"/>
      <c r="F809" s="340"/>
      <c r="G809" s="340"/>
      <c r="H809" s="340"/>
      <c r="I809" s="340"/>
      <c r="J809" s="340"/>
      <c r="K809" s="340"/>
      <c r="L809" s="340"/>
      <c r="M809" s="340"/>
      <c r="N809" s="340"/>
      <c r="O809" s="340"/>
      <c r="P809" s="340"/>
      <c r="Q809" s="340"/>
      <c r="R809" s="340"/>
      <c r="S809" s="340"/>
      <c r="T809" s="340"/>
      <c r="U809" s="340"/>
      <c r="V809" s="340"/>
      <c r="W809" s="340"/>
      <c r="X809" s="340"/>
      <c r="Y809" s="340"/>
      <c r="Z809" s="340"/>
      <c r="AA809" s="340"/>
      <c r="AB809" s="340"/>
      <c r="AC809" s="340"/>
    </row>
    <row r="810" spans="1:29">
      <c r="A810" s="340"/>
      <c r="B810" s="340"/>
      <c r="C810" s="340"/>
      <c r="D810" s="340"/>
      <c r="E810" s="340"/>
      <c r="F810" s="340"/>
      <c r="G810" s="340"/>
      <c r="H810" s="340"/>
      <c r="I810" s="340"/>
      <c r="J810" s="340"/>
      <c r="K810" s="340"/>
      <c r="L810" s="340"/>
      <c r="M810" s="340"/>
      <c r="N810" s="340"/>
      <c r="O810" s="340"/>
      <c r="P810" s="340"/>
      <c r="Q810" s="340"/>
      <c r="R810" s="340"/>
      <c r="S810" s="340"/>
      <c r="T810" s="340"/>
      <c r="U810" s="340"/>
      <c r="V810" s="340"/>
      <c r="W810" s="340"/>
      <c r="X810" s="340"/>
      <c r="Y810" s="340"/>
      <c r="Z810" s="340"/>
      <c r="AA810" s="340"/>
      <c r="AB810" s="340"/>
      <c r="AC810" s="340"/>
    </row>
    <row r="811" spans="1:29">
      <c r="A811" s="340"/>
      <c r="B811" s="340"/>
      <c r="C811" s="340"/>
      <c r="D811" s="340"/>
      <c r="E811" s="340"/>
      <c r="F811" s="340"/>
      <c r="G811" s="340"/>
      <c r="H811" s="340"/>
      <c r="I811" s="340"/>
      <c r="J811" s="340"/>
      <c r="K811" s="340"/>
      <c r="L811" s="340"/>
      <c r="M811" s="340"/>
      <c r="N811" s="340"/>
      <c r="O811" s="340"/>
      <c r="P811" s="340"/>
      <c r="Q811" s="340"/>
      <c r="R811" s="340"/>
      <c r="S811" s="340"/>
      <c r="T811" s="340"/>
      <c r="U811" s="340"/>
      <c r="V811" s="340"/>
      <c r="W811" s="340"/>
      <c r="X811" s="340"/>
      <c r="Y811" s="340"/>
      <c r="Z811" s="340"/>
      <c r="AA811" s="340"/>
      <c r="AB811" s="340"/>
      <c r="AC811" s="340"/>
    </row>
    <row r="812" spans="1:29">
      <c r="A812" s="340"/>
      <c r="B812" s="340"/>
      <c r="C812" s="340"/>
      <c r="D812" s="340"/>
      <c r="E812" s="340"/>
      <c r="F812" s="340"/>
      <c r="G812" s="340"/>
      <c r="H812" s="340"/>
      <c r="I812" s="340"/>
      <c r="J812" s="340"/>
      <c r="K812" s="340"/>
      <c r="L812" s="340"/>
      <c r="M812" s="340"/>
      <c r="N812" s="340"/>
      <c r="O812" s="340"/>
      <c r="P812" s="340"/>
      <c r="Q812" s="340"/>
      <c r="R812" s="340"/>
      <c r="S812" s="340"/>
      <c r="T812" s="340"/>
      <c r="U812" s="340"/>
      <c r="V812" s="340"/>
      <c r="W812" s="340"/>
      <c r="X812" s="340"/>
      <c r="Y812" s="340"/>
      <c r="Z812" s="340"/>
      <c r="AA812" s="340"/>
      <c r="AB812" s="340"/>
      <c r="AC812" s="340"/>
    </row>
    <row r="813" spans="1:29">
      <c r="A813" s="340"/>
      <c r="B813" s="340"/>
      <c r="C813" s="340"/>
      <c r="D813" s="340"/>
      <c r="E813" s="340"/>
      <c r="F813" s="340"/>
      <c r="G813" s="340"/>
      <c r="H813" s="340"/>
      <c r="I813" s="340"/>
      <c r="J813" s="340"/>
      <c r="K813" s="340"/>
      <c r="L813" s="340"/>
      <c r="M813" s="340"/>
      <c r="N813" s="340"/>
      <c r="O813" s="340"/>
      <c r="P813" s="340"/>
      <c r="Q813" s="340"/>
      <c r="R813" s="340"/>
      <c r="S813" s="340"/>
      <c r="T813" s="340"/>
      <c r="U813" s="340"/>
      <c r="V813" s="340"/>
      <c r="W813" s="340"/>
      <c r="X813" s="340"/>
      <c r="Y813" s="340"/>
      <c r="Z813" s="340"/>
      <c r="AA813" s="340"/>
      <c r="AB813" s="340"/>
      <c r="AC813" s="340"/>
    </row>
    <row r="814" spans="1:29">
      <c r="A814" s="340"/>
      <c r="B814" s="340"/>
      <c r="C814" s="340"/>
      <c r="D814" s="340"/>
      <c r="E814" s="340"/>
      <c r="F814" s="340"/>
      <c r="G814" s="340"/>
      <c r="H814" s="340"/>
      <c r="I814" s="340"/>
      <c r="J814" s="340"/>
      <c r="K814" s="340"/>
      <c r="L814" s="340"/>
      <c r="M814" s="340"/>
      <c r="N814" s="340"/>
      <c r="O814" s="340"/>
      <c r="P814" s="340"/>
      <c r="Q814" s="340"/>
      <c r="R814" s="340"/>
      <c r="S814" s="340"/>
      <c r="T814" s="340"/>
      <c r="U814" s="340"/>
      <c r="V814" s="340"/>
      <c r="W814" s="340"/>
      <c r="X814" s="340"/>
      <c r="Y814" s="340"/>
      <c r="Z814" s="340"/>
      <c r="AA814" s="340"/>
      <c r="AB814" s="340"/>
      <c r="AC814" s="340"/>
    </row>
    <row r="815" spans="1:29">
      <c r="A815" s="340"/>
      <c r="B815" s="340"/>
      <c r="C815" s="340"/>
      <c r="D815" s="340"/>
      <c r="E815" s="340"/>
      <c r="F815" s="340"/>
      <c r="G815" s="340"/>
      <c r="H815" s="340"/>
      <c r="I815" s="340"/>
      <c r="J815" s="340"/>
      <c r="K815" s="340"/>
      <c r="L815" s="340"/>
      <c r="M815" s="340"/>
      <c r="N815" s="340"/>
      <c r="O815" s="340"/>
      <c r="P815" s="340"/>
      <c r="Q815" s="340"/>
      <c r="R815" s="340"/>
      <c r="S815" s="340"/>
      <c r="T815" s="340"/>
      <c r="U815" s="340"/>
      <c r="V815" s="340"/>
      <c r="W815" s="340"/>
      <c r="X815" s="340"/>
      <c r="Y815" s="340"/>
      <c r="Z815" s="340"/>
      <c r="AA815" s="340"/>
      <c r="AB815" s="340"/>
      <c r="AC815" s="340"/>
    </row>
    <row r="816" spans="1:29">
      <c r="A816" s="340"/>
      <c r="B816" s="340"/>
      <c r="C816" s="340"/>
      <c r="D816" s="340"/>
      <c r="E816" s="340"/>
      <c r="F816" s="340"/>
      <c r="G816" s="340"/>
      <c r="H816" s="340"/>
      <c r="I816" s="340"/>
      <c r="J816" s="340"/>
      <c r="K816" s="340"/>
      <c r="L816" s="340"/>
      <c r="M816" s="340"/>
      <c r="N816" s="340"/>
      <c r="O816" s="340"/>
      <c r="P816" s="340"/>
      <c r="Q816" s="340"/>
      <c r="R816" s="340"/>
      <c r="S816" s="340"/>
      <c r="T816" s="340"/>
      <c r="U816" s="340"/>
      <c r="V816" s="340"/>
      <c r="W816" s="340"/>
      <c r="X816" s="340"/>
      <c r="Y816" s="340"/>
      <c r="Z816" s="340"/>
      <c r="AA816" s="340"/>
      <c r="AB816" s="340"/>
      <c r="AC816" s="340"/>
    </row>
    <row r="817" spans="1:29">
      <c r="A817" s="340"/>
      <c r="B817" s="340"/>
      <c r="C817" s="340"/>
      <c r="D817" s="340"/>
      <c r="E817" s="340"/>
      <c r="F817" s="340"/>
      <c r="G817" s="340"/>
      <c r="H817" s="340"/>
      <c r="I817" s="340"/>
      <c r="J817" s="340"/>
      <c r="K817" s="340"/>
      <c r="L817" s="340"/>
      <c r="M817" s="340"/>
      <c r="N817" s="340"/>
      <c r="O817" s="340"/>
      <c r="P817" s="340"/>
      <c r="Q817" s="340"/>
      <c r="R817" s="340"/>
      <c r="S817" s="340"/>
      <c r="T817" s="340"/>
      <c r="U817" s="340"/>
      <c r="V817" s="340"/>
      <c r="W817" s="340"/>
      <c r="X817" s="340"/>
      <c r="Y817" s="340"/>
      <c r="Z817" s="340"/>
      <c r="AA817" s="340"/>
      <c r="AB817" s="340"/>
      <c r="AC817" s="340"/>
    </row>
    <row r="818" spans="1:29">
      <c r="A818" s="340"/>
      <c r="B818" s="340"/>
      <c r="C818" s="340"/>
      <c r="D818" s="340"/>
      <c r="E818" s="340"/>
      <c r="F818" s="340"/>
      <c r="G818" s="340"/>
      <c r="H818" s="340"/>
      <c r="I818" s="340"/>
      <c r="J818" s="340"/>
      <c r="K818" s="340"/>
      <c r="L818" s="340"/>
      <c r="M818" s="340"/>
      <c r="N818" s="340"/>
      <c r="O818" s="340"/>
      <c r="P818" s="340"/>
      <c r="Q818" s="340"/>
      <c r="R818" s="340"/>
      <c r="S818" s="340"/>
      <c r="T818" s="340"/>
      <c r="U818" s="340"/>
      <c r="V818" s="340"/>
      <c r="W818" s="340"/>
      <c r="X818" s="340"/>
      <c r="Y818" s="340"/>
      <c r="Z818" s="340"/>
      <c r="AA818" s="340"/>
      <c r="AB818" s="340"/>
      <c r="AC818" s="340"/>
    </row>
    <row r="819" spans="1:29">
      <c r="A819" s="340"/>
      <c r="B819" s="340"/>
      <c r="C819" s="340"/>
      <c r="D819" s="340"/>
      <c r="E819" s="340"/>
      <c r="F819" s="340"/>
      <c r="G819" s="340"/>
      <c r="H819" s="340"/>
      <c r="I819" s="340"/>
      <c r="J819" s="340"/>
      <c r="K819" s="340"/>
      <c r="L819" s="340"/>
      <c r="M819" s="340"/>
      <c r="N819" s="340"/>
      <c r="O819" s="340"/>
      <c r="P819" s="340"/>
      <c r="Q819" s="340"/>
      <c r="R819" s="340"/>
      <c r="S819" s="340"/>
      <c r="T819" s="340"/>
      <c r="U819" s="340"/>
      <c r="V819" s="340"/>
      <c r="W819" s="340"/>
      <c r="X819" s="340"/>
      <c r="Y819" s="340"/>
      <c r="Z819" s="340"/>
      <c r="AA819" s="340"/>
      <c r="AB819" s="340"/>
      <c r="AC819" s="340"/>
    </row>
    <row r="820" spans="1:29">
      <c r="A820" s="340"/>
      <c r="B820" s="340"/>
      <c r="C820" s="340"/>
      <c r="D820" s="340"/>
      <c r="E820" s="340"/>
      <c r="F820" s="340"/>
      <c r="G820" s="340"/>
      <c r="H820" s="340"/>
      <c r="I820" s="340"/>
      <c r="J820" s="340"/>
      <c r="K820" s="340"/>
      <c r="L820" s="340"/>
      <c r="M820" s="340"/>
      <c r="N820" s="340"/>
      <c r="O820" s="340"/>
      <c r="P820" s="340"/>
      <c r="Q820" s="340"/>
      <c r="R820" s="340"/>
      <c r="S820" s="340"/>
      <c r="T820" s="340"/>
      <c r="U820" s="340"/>
      <c r="V820" s="340"/>
      <c r="W820" s="340"/>
      <c r="X820" s="340"/>
      <c r="Y820" s="340"/>
      <c r="Z820" s="340"/>
      <c r="AA820" s="340"/>
      <c r="AB820" s="340"/>
      <c r="AC820" s="340"/>
    </row>
    <row r="821" spans="1:29">
      <c r="A821" s="340"/>
      <c r="B821" s="340"/>
      <c r="C821" s="340"/>
      <c r="D821" s="340"/>
      <c r="E821" s="340"/>
      <c r="F821" s="340"/>
      <c r="G821" s="340"/>
      <c r="H821" s="340"/>
      <c r="I821" s="340"/>
      <c r="J821" s="340"/>
      <c r="K821" s="340"/>
      <c r="L821" s="340"/>
      <c r="M821" s="340"/>
      <c r="N821" s="340"/>
      <c r="O821" s="340"/>
      <c r="P821" s="340"/>
      <c r="Q821" s="340"/>
      <c r="R821" s="340"/>
      <c r="S821" s="340"/>
      <c r="T821" s="340"/>
      <c r="U821" s="340"/>
      <c r="V821" s="340"/>
      <c r="W821" s="340"/>
      <c r="X821" s="340"/>
      <c r="Y821" s="340"/>
      <c r="Z821" s="340"/>
      <c r="AA821" s="340"/>
      <c r="AB821" s="340"/>
      <c r="AC821" s="340"/>
    </row>
    <row r="822" spans="1:29">
      <c r="A822" s="340"/>
      <c r="B822" s="340"/>
      <c r="C822" s="340"/>
      <c r="D822" s="340"/>
      <c r="E822" s="340"/>
      <c r="F822" s="340"/>
      <c r="G822" s="340"/>
      <c r="H822" s="340"/>
      <c r="I822" s="340"/>
      <c r="J822" s="340"/>
      <c r="K822" s="340"/>
      <c r="L822" s="340"/>
      <c r="M822" s="340"/>
      <c r="N822" s="340"/>
      <c r="O822" s="340"/>
      <c r="P822" s="340"/>
      <c r="Q822" s="340"/>
      <c r="R822" s="340"/>
      <c r="S822" s="340"/>
      <c r="T822" s="340"/>
      <c r="U822" s="340"/>
      <c r="V822" s="340"/>
      <c r="W822" s="340"/>
      <c r="X822" s="340"/>
      <c r="Y822" s="340"/>
      <c r="Z822" s="340"/>
      <c r="AA822" s="340"/>
      <c r="AB822" s="340"/>
      <c r="AC822" s="340"/>
    </row>
    <row r="823" spans="1:29">
      <c r="A823" s="340"/>
      <c r="B823" s="340"/>
      <c r="C823" s="340"/>
      <c r="D823" s="340"/>
      <c r="E823" s="340"/>
      <c r="F823" s="340"/>
      <c r="G823" s="340"/>
      <c r="H823" s="340"/>
      <c r="I823" s="340"/>
      <c r="J823" s="340"/>
      <c r="K823" s="340"/>
      <c r="L823" s="340"/>
      <c r="M823" s="340"/>
      <c r="N823" s="340"/>
      <c r="O823" s="340"/>
      <c r="P823" s="340"/>
      <c r="Q823" s="340"/>
      <c r="R823" s="340"/>
      <c r="S823" s="340"/>
      <c r="T823" s="340"/>
      <c r="U823" s="340"/>
      <c r="V823" s="340"/>
      <c r="W823" s="340"/>
      <c r="X823" s="340"/>
      <c r="Y823" s="340"/>
      <c r="Z823" s="340"/>
      <c r="AA823" s="340"/>
      <c r="AB823" s="340"/>
      <c r="AC823" s="340"/>
    </row>
    <row r="824" spans="1:29">
      <c r="A824" s="340"/>
      <c r="B824" s="340"/>
      <c r="C824" s="340"/>
      <c r="D824" s="340"/>
      <c r="E824" s="340"/>
      <c r="F824" s="340"/>
      <c r="G824" s="340"/>
      <c r="H824" s="340"/>
      <c r="I824" s="340"/>
      <c r="J824" s="340"/>
      <c r="K824" s="340"/>
      <c r="L824" s="340"/>
      <c r="M824" s="340"/>
      <c r="N824" s="340"/>
      <c r="O824" s="340"/>
      <c r="P824" s="340"/>
      <c r="Q824" s="340"/>
      <c r="R824" s="340"/>
      <c r="S824" s="340"/>
      <c r="T824" s="340"/>
      <c r="U824" s="340"/>
      <c r="V824" s="340"/>
      <c r="W824" s="340"/>
      <c r="X824" s="340"/>
      <c r="Y824" s="340"/>
      <c r="Z824" s="340"/>
      <c r="AA824" s="340"/>
      <c r="AB824" s="340"/>
      <c r="AC824" s="340"/>
    </row>
    <row r="825" spans="1:29">
      <c r="A825" s="340"/>
      <c r="B825" s="340"/>
      <c r="C825" s="340"/>
      <c r="D825" s="340"/>
      <c r="E825" s="340"/>
      <c r="F825" s="340"/>
      <c r="G825" s="340"/>
      <c r="H825" s="340"/>
      <c r="I825" s="340"/>
      <c r="J825" s="340"/>
      <c r="K825" s="340"/>
      <c r="L825" s="340"/>
      <c r="M825" s="340"/>
      <c r="N825" s="340"/>
      <c r="O825" s="340"/>
      <c r="P825" s="340"/>
      <c r="Q825" s="340"/>
      <c r="R825" s="340"/>
      <c r="S825" s="340"/>
      <c r="T825" s="340"/>
      <c r="U825" s="340"/>
      <c r="V825" s="340"/>
      <c r="W825" s="340"/>
      <c r="X825" s="340"/>
      <c r="Y825" s="340"/>
      <c r="Z825" s="340"/>
      <c r="AA825" s="340"/>
      <c r="AB825" s="340"/>
      <c r="AC825" s="340"/>
    </row>
    <row r="826" spans="1:29">
      <c r="A826" s="340"/>
      <c r="B826" s="340"/>
      <c r="C826" s="340"/>
      <c r="D826" s="340"/>
      <c r="E826" s="340"/>
      <c r="F826" s="340"/>
      <c r="G826" s="340"/>
      <c r="H826" s="340"/>
      <c r="I826" s="340"/>
      <c r="J826" s="340"/>
      <c r="K826" s="340"/>
      <c r="L826" s="340"/>
      <c r="M826" s="340"/>
      <c r="N826" s="340"/>
      <c r="O826" s="340"/>
      <c r="P826" s="340"/>
      <c r="Q826" s="340"/>
      <c r="R826" s="340"/>
      <c r="S826" s="340"/>
      <c r="T826" s="340"/>
      <c r="U826" s="340"/>
      <c r="V826" s="340"/>
      <c r="W826" s="340"/>
      <c r="X826" s="340"/>
      <c r="Y826" s="340"/>
      <c r="Z826" s="340"/>
      <c r="AA826" s="340"/>
      <c r="AB826" s="340"/>
      <c r="AC826" s="340"/>
    </row>
    <row r="827" spans="1:29">
      <c r="A827" s="340"/>
      <c r="B827" s="340"/>
      <c r="C827" s="340"/>
      <c r="D827" s="340"/>
      <c r="E827" s="340"/>
      <c r="F827" s="340"/>
      <c r="G827" s="340"/>
      <c r="H827" s="340"/>
      <c r="I827" s="340"/>
      <c r="J827" s="340"/>
      <c r="K827" s="340"/>
      <c r="L827" s="340"/>
      <c r="M827" s="340"/>
      <c r="N827" s="340"/>
      <c r="O827" s="340"/>
      <c r="P827" s="340"/>
      <c r="Q827" s="340"/>
      <c r="R827" s="340"/>
      <c r="S827" s="340"/>
      <c r="T827" s="340"/>
      <c r="U827" s="340"/>
      <c r="V827" s="340"/>
      <c r="W827" s="340"/>
      <c r="X827" s="340"/>
      <c r="Y827" s="340"/>
      <c r="Z827" s="340"/>
      <c r="AA827" s="340"/>
      <c r="AB827" s="340"/>
      <c r="AC827" s="340"/>
    </row>
    <row r="828" spans="1:29">
      <c r="A828" s="340"/>
      <c r="B828" s="340"/>
      <c r="C828" s="340"/>
      <c r="D828" s="340"/>
      <c r="E828" s="340"/>
      <c r="F828" s="340"/>
      <c r="G828" s="340"/>
      <c r="H828" s="340"/>
      <c r="I828" s="340"/>
      <c r="J828" s="340"/>
      <c r="K828" s="340"/>
      <c r="L828" s="340"/>
      <c r="M828" s="340"/>
      <c r="N828" s="340"/>
      <c r="O828" s="340"/>
      <c r="P828" s="340"/>
      <c r="Q828" s="340"/>
      <c r="R828" s="340"/>
      <c r="S828" s="340"/>
      <c r="T828" s="340"/>
      <c r="U828" s="340"/>
      <c r="V828" s="340"/>
      <c r="W828" s="340"/>
      <c r="X828" s="340"/>
      <c r="Y828" s="340"/>
      <c r="Z828" s="340"/>
      <c r="AA828" s="340"/>
      <c r="AB828" s="340"/>
      <c r="AC828" s="340"/>
    </row>
    <row r="829" spans="1:29">
      <c r="A829" s="340"/>
      <c r="B829" s="340"/>
      <c r="C829" s="340"/>
      <c r="D829" s="340"/>
      <c r="E829" s="340"/>
      <c r="F829" s="340"/>
      <c r="G829" s="340"/>
      <c r="H829" s="340"/>
      <c r="I829" s="340"/>
      <c r="J829" s="340"/>
      <c r="K829" s="340"/>
      <c r="L829" s="340"/>
      <c r="M829" s="340"/>
      <c r="N829" s="340"/>
      <c r="O829" s="340"/>
      <c r="P829" s="340"/>
      <c r="Q829" s="340"/>
      <c r="R829" s="340"/>
      <c r="S829" s="340"/>
      <c r="T829" s="340"/>
      <c r="U829" s="340"/>
      <c r="V829" s="340"/>
      <c r="W829" s="340"/>
      <c r="X829" s="340"/>
      <c r="Y829" s="340"/>
      <c r="Z829" s="340"/>
      <c r="AA829" s="340"/>
      <c r="AB829" s="340"/>
      <c r="AC829" s="340"/>
    </row>
    <row r="830" spans="1:29">
      <c r="A830" s="340"/>
      <c r="B830" s="340"/>
      <c r="C830" s="340"/>
      <c r="D830" s="340"/>
      <c r="E830" s="340"/>
      <c r="F830" s="340"/>
      <c r="G830" s="340"/>
      <c r="H830" s="340"/>
      <c r="I830" s="340"/>
      <c r="J830" s="340"/>
      <c r="K830" s="340"/>
      <c r="L830" s="340"/>
      <c r="M830" s="340"/>
      <c r="N830" s="340"/>
      <c r="O830" s="340"/>
      <c r="P830" s="340"/>
      <c r="Q830" s="340"/>
      <c r="R830" s="340"/>
      <c r="S830" s="340"/>
      <c r="T830" s="340"/>
      <c r="U830" s="340"/>
      <c r="V830" s="340"/>
      <c r="W830" s="340"/>
      <c r="X830" s="340"/>
      <c r="Y830" s="340"/>
      <c r="Z830" s="340"/>
      <c r="AA830" s="340"/>
      <c r="AB830" s="340"/>
      <c r="AC830" s="340"/>
    </row>
    <row r="831" spans="1:29">
      <c r="A831" s="340"/>
      <c r="B831" s="340"/>
      <c r="C831" s="340"/>
      <c r="D831" s="340"/>
      <c r="E831" s="340"/>
      <c r="F831" s="340"/>
      <c r="G831" s="340"/>
      <c r="H831" s="340"/>
      <c r="I831" s="340"/>
      <c r="J831" s="340"/>
      <c r="K831" s="340"/>
      <c r="L831" s="340"/>
      <c r="M831" s="340"/>
      <c r="N831" s="340"/>
      <c r="O831" s="340"/>
      <c r="P831" s="340"/>
      <c r="Q831" s="340"/>
      <c r="R831" s="340"/>
      <c r="S831" s="340"/>
      <c r="T831" s="340"/>
      <c r="U831" s="340"/>
      <c r="V831" s="340"/>
      <c r="W831" s="340"/>
      <c r="X831" s="340"/>
      <c r="Y831" s="340"/>
      <c r="Z831" s="340"/>
      <c r="AA831" s="340"/>
      <c r="AB831" s="340"/>
      <c r="AC831" s="340"/>
    </row>
    <row r="832" spans="1:29">
      <c r="A832" s="340"/>
      <c r="B832" s="340"/>
      <c r="C832" s="340"/>
      <c r="D832" s="340"/>
      <c r="E832" s="340"/>
      <c r="F832" s="340"/>
      <c r="G832" s="340"/>
      <c r="H832" s="340"/>
      <c r="I832" s="340"/>
      <c r="J832" s="340"/>
      <c r="K832" s="340"/>
      <c r="L832" s="340"/>
      <c r="M832" s="340"/>
      <c r="N832" s="340"/>
      <c r="O832" s="340"/>
      <c r="P832" s="340"/>
      <c r="Q832" s="340"/>
      <c r="R832" s="340"/>
      <c r="S832" s="340"/>
      <c r="T832" s="340"/>
      <c r="U832" s="340"/>
      <c r="V832" s="340"/>
      <c r="W832" s="340"/>
      <c r="X832" s="340"/>
      <c r="Y832" s="340"/>
      <c r="Z832" s="340"/>
      <c r="AA832" s="340"/>
      <c r="AB832" s="340"/>
      <c r="AC832" s="340"/>
    </row>
    <row r="833" spans="1:29">
      <c r="A833" s="340"/>
      <c r="B833" s="340"/>
      <c r="C833" s="340"/>
      <c r="D833" s="340"/>
      <c r="E833" s="340"/>
      <c r="F833" s="340"/>
      <c r="G833" s="340"/>
      <c r="H833" s="340"/>
      <c r="I833" s="340"/>
      <c r="J833" s="340"/>
      <c r="K833" s="340"/>
      <c r="L833" s="340"/>
      <c r="M833" s="340"/>
      <c r="N833" s="340"/>
      <c r="O833" s="340"/>
      <c r="P833" s="340"/>
      <c r="Q833" s="340"/>
      <c r="R833" s="340"/>
      <c r="S833" s="340"/>
      <c r="T833" s="340"/>
      <c r="U833" s="340"/>
      <c r="V833" s="340"/>
      <c r="W833" s="340"/>
      <c r="X833" s="340"/>
      <c r="Y833" s="340"/>
      <c r="Z833" s="340"/>
      <c r="AA833" s="340"/>
      <c r="AB833" s="340"/>
      <c r="AC833" s="340"/>
    </row>
    <row r="834" spans="1:29">
      <c r="A834" s="340"/>
      <c r="B834" s="340"/>
      <c r="C834" s="340"/>
      <c r="D834" s="340"/>
      <c r="E834" s="340"/>
      <c r="F834" s="340"/>
      <c r="G834" s="340"/>
      <c r="H834" s="340"/>
      <c r="I834" s="340"/>
      <c r="J834" s="340"/>
      <c r="K834" s="340"/>
      <c r="L834" s="340"/>
      <c r="M834" s="340"/>
      <c r="N834" s="340"/>
      <c r="O834" s="340"/>
      <c r="P834" s="340"/>
      <c r="Q834" s="340"/>
      <c r="R834" s="340"/>
      <c r="S834" s="340"/>
      <c r="T834" s="340"/>
      <c r="U834" s="340"/>
      <c r="V834" s="340"/>
      <c r="W834" s="340"/>
      <c r="X834" s="340"/>
      <c r="Y834" s="340"/>
      <c r="Z834" s="340"/>
      <c r="AA834" s="340"/>
      <c r="AB834" s="340"/>
      <c r="AC834" s="340"/>
    </row>
    <row r="835" spans="1:29">
      <c r="A835" s="340"/>
      <c r="B835" s="340"/>
      <c r="C835" s="340"/>
      <c r="D835" s="340"/>
      <c r="E835" s="340"/>
      <c r="F835" s="340"/>
      <c r="G835" s="340"/>
      <c r="H835" s="340"/>
      <c r="I835" s="340"/>
      <c r="J835" s="340"/>
      <c r="K835" s="340"/>
      <c r="L835" s="340"/>
      <c r="M835" s="340"/>
      <c r="N835" s="340"/>
      <c r="O835" s="340"/>
      <c r="P835" s="340"/>
      <c r="Q835" s="340"/>
      <c r="R835" s="340"/>
      <c r="S835" s="340"/>
      <c r="T835" s="340"/>
      <c r="U835" s="340"/>
      <c r="V835" s="340"/>
      <c r="W835" s="340"/>
      <c r="X835" s="340"/>
      <c r="Y835" s="340"/>
      <c r="Z835" s="340"/>
      <c r="AA835" s="340"/>
      <c r="AB835" s="340"/>
      <c r="AC835" s="340"/>
    </row>
    <row r="836" spans="1:29">
      <c r="A836" s="340"/>
      <c r="B836" s="340"/>
      <c r="C836" s="340"/>
      <c r="D836" s="340"/>
      <c r="E836" s="340"/>
      <c r="F836" s="340"/>
      <c r="G836" s="340"/>
      <c r="H836" s="340"/>
      <c r="I836" s="340"/>
      <c r="J836" s="340"/>
      <c r="K836" s="340"/>
      <c r="L836" s="340"/>
      <c r="M836" s="340"/>
      <c r="N836" s="340"/>
      <c r="O836" s="340"/>
      <c r="P836" s="340"/>
      <c r="Q836" s="340"/>
      <c r="R836" s="340"/>
      <c r="S836" s="340"/>
      <c r="T836" s="340"/>
      <c r="U836" s="340"/>
      <c r="V836" s="340"/>
      <c r="W836" s="340"/>
      <c r="X836" s="340"/>
      <c r="Y836" s="340"/>
      <c r="Z836" s="340"/>
      <c r="AA836" s="340"/>
      <c r="AB836" s="340"/>
      <c r="AC836" s="340"/>
    </row>
    <row r="837" spans="1:29">
      <c r="A837" s="340"/>
      <c r="B837" s="340"/>
      <c r="C837" s="340"/>
      <c r="D837" s="340"/>
      <c r="E837" s="340"/>
      <c r="F837" s="340"/>
      <c r="G837" s="340"/>
      <c r="H837" s="340"/>
      <c r="I837" s="340"/>
      <c r="J837" s="340"/>
      <c r="K837" s="340"/>
      <c r="L837" s="340"/>
      <c r="M837" s="340"/>
      <c r="N837" s="340"/>
      <c r="O837" s="340"/>
      <c r="P837" s="340"/>
      <c r="Q837" s="340"/>
      <c r="R837" s="340"/>
      <c r="S837" s="340"/>
      <c r="T837" s="340"/>
      <c r="U837" s="340"/>
      <c r="V837" s="340"/>
      <c r="W837" s="340"/>
      <c r="X837" s="340"/>
      <c r="Y837" s="340"/>
      <c r="Z837" s="340"/>
      <c r="AA837" s="340"/>
      <c r="AB837" s="340"/>
      <c r="AC837" s="340"/>
    </row>
    <row r="838" spans="1:29">
      <c r="A838" s="340"/>
      <c r="B838" s="340"/>
      <c r="C838" s="340"/>
      <c r="D838" s="340"/>
      <c r="E838" s="340"/>
      <c r="F838" s="340"/>
      <c r="G838" s="340"/>
      <c r="H838" s="340"/>
      <c r="I838" s="340"/>
      <c r="J838" s="340"/>
      <c r="K838" s="340"/>
      <c r="L838" s="340"/>
      <c r="M838" s="340"/>
      <c r="N838" s="340"/>
      <c r="O838" s="340"/>
      <c r="P838" s="340"/>
      <c r="Q838" s="340"/>
      <c r="R838" s="340"/>
      <c r="S838" s="340"/>
      <c r="T838" s="340"/>
      <c r="U838" s="340"/>
      <c r="V838" s="340"/>
      <c r="W838" s="340"/>
      <c r="X838" s="340"/>
      <c r="Y838" s="340"/>
      <c r="Z838" s="340"/>
      <c r="AA838" s="340"/>
      <c r="AB838" s="340"/>
      <c r="AC838" s="340"/>
    </row>
    <row r="839" spans="1:29">
      <c r="A839" s="340"/>
      <c r="B839" s="340"/>
      <c r="C839" s="340"/>
      <c r="D839" s="340"/>
      <c r="E839" s="340"/>
      <c r="F839" s="340"/>
      <c r="G839" s="340"/>
      <c r="H839" s="340"/>
      <c r="I839" s="340"/>
      <c r="J839" s="340"/>
      <c r="K839" s="340"/>
      <c r="L839" s="340"/>
      <c r="M839" s="340"/>
      <c r="N839" s="340"/>
      <c r="O839" s="340"/>
      <c r="P839" s="340"/>
      <c r="Q839" s="340"/>
      <c r="R839" s="340"/>
      <c r="S839" s="340"/>
      <c r="T839" s="340"/>
      <c r="U839" s="340"/>
      <c r="V839" s="340"/>
      <c r="W839" s="340"/>
      <c r="X839" s="340"/>
      <c r="Y839" s="340"/>
      <c r="Z839" s="340"/>
      <c r="AA839" s="340"/>
      <c r="AB839" s="340"/>
      <c r="AC839" s="340"/>
    </row>
    <row r="840" spans="1:29">
      <c r="A840" s="340"/>
      <c r="B840" s="340"/>
      <c r="C840" s="340"/>
      <c r="D840" s="340"/>
      <c r="E840" s="340"/>
      <c r="F840" s="340"/>
      <c r="G840" s="340"/>
      <c r="H840" s="340"/>
      <c r="I840" s="340"/>
      <c r="J840" s="340"/>
      <c r="K840" s="340"/>
      <c r="L840" s="340"/>
      <c r="M840" s="340"/>
      <c r="N840" s="340"/>
      <c r="O840" s="340"/>
      <c r="P840" s="340"/>
      <c r="Q840" s="340"/>
      <c r="R840" s="340"/>
      <c r="S840" s="340"/>
      <c r="T840" s="340"/>
      <c r="U840" s="340"/>
      <c r="V840" s="340"/>
      <c r="W840" s="340"/>
      <c r="X840" s="340"/>
      <c r="Y840" s="340"/>
      <c r="Z840" s="340"/>
      <c r="AA840" s="340"/>
      <c r="AB840" s="340"/>
      <c r="AC840" s="340"/>
    </row>
    <row r="841" spans="1:29">
      <c r="A841" s="340"/>
      <c r="B841" s="340"/>
      <c r="C841" s="340"/>
      <c r="D841" s="340"/>
      <c r="E841" s="340"/>
      <c r="F841" s="340"/>
      <c r="G841" s="340"/>
      <c r="H841" s="340"/>
      <c r="I841" s="340"/>
      <c r="J841" s="340"/>
      <c r="K841" s="340"/>
      <c r="L841" s="340"/>
      <c r="M841" s="340"/>
      <c r="N841" s="340"/>
      <c r="O841" s="340"/>
      <c r="P841" s="340"/>
      <c r="Q841" s="340"/>
      <c r="R841" s="340"/>
      <c r="S841" s="340"/>
      <c r="T841" s="340"/>
      <c r="U841" s="340"/>
      <c r="V841" s="340"/>
      <c r="W841" s="340"/>
      <c r="X841" s="340"/>
      <c r="Y841" s="340"/>
      <c r="Z841" s="340"/>
      <c r="AA841" s="340"/>
      <c r="AB841" s="340"/>
      <c r="AC841" s="340"/>
    </row>
    <row r="842" spans="1:29">
      <c r="A842" s="340"/>
      <c r="B842" s="340"/>
      <c r="C842" s="340"/>
      <c r="D842" s="340"/>
      <c r="E842" s="340"/>
      <c r="F842" s="340"/>
      <c r="G842" s="340"/>
      <c r="H842" s="340"/>
      <c r="I842" s="340"/>
      <c r="J842" s="340"/>
      <c r="K842" s="340"/>
      <c r="L842" s="340"/>
      <c r="M842" s="340"/>
      <c r="N842" s="340"/>
      <c r="O842" s="340"/>
      <c r="P842" s="340"/>
      <c r="Q842" s="340"/>
      <c r="R842" s="340"/>
      <c r="S842" s="340"/>
      <c r="T842" s="340"/>
      <c r="U842" s="340"/>
      <c r="V842" s="340"/>
      <c r="W842" s="340"/>
      <c r="X842" s="340"/>
      <c r="Y842" s="340"/>
      <c r="Z842" s="340"/>
      <c r="AA842" s="340"/>
      <c r="AB842" s="340"/>
      <c r="AC842" s="340"/>
    </row>
    <row r="843" spans="1:29">
      <c r="A843" s="340"/>
      <c r="B843" s="340"/>
      <c r="C843" s="340"/>
      <c r="D843" s="340"/>
      <c r="E843" s="340"/>
      <c r="F843" s="340"/>
      <c r="G843" s="340"/>
      <c r="H843" s="340"/>
      <c r="I843" s="340"/>
      <c r="J843" s="340"/>
      <c r="K843" s="340"/>
      <c r="L843" s="340"/>
      <c r="M843" s="340"/>
      <c r="N843" s="340"/>
      <c r="O843" s="340"/>
      <c r="P843" s="340"/>
      <c r="Q843" s="340"/>
      <c r="R843" s="340"/>
      <c r="S843" s="340"/>
      <c r="T843" s="340"/>
      <c r="U843" s="340"/>
      <c r="V843" s="340"/>
      <c r="W843" s="340"/>
      <c r="X843" s="340"/>
      <c r="Y843" s="340"/>
      <c r="Z843" s="340"/>
      <c r="AA843" s="340"/>
      <c r="AB843" s="340"/>
      <c r="AC843" s="340"/>
    </row>
    <row r="844" spans="1:29">
      <c r="A844" s="340"/>
      <c r="B844" s="340"/>
      <c r="C844" s="340"/>
      <c r="D844" s="340"/>
      <c r="E844" s="340"/>
      <c r="F844" s="340"/>
      <c r="G844" s="340"/>
      <c r="H844" s="340"/>
      <c r="I844" s="340"/>
      <c r="J844" s="340"/>
      <c r="K844" s="340"/>
      <c r="L844" s="340"/>
      <c r="M844" s="340"/>
      <c r="N844" s="340"/>
      <c r="O844" s="340"/>
      <c r="P844" s="340"/>
      <c r="Q844" s="340"/>
      <c r="R844" s="340"/>
      <c r="S844" s="340"/>
      <c r="T844" s="340"/>
      <c r="U844" s="340"/>
      <c r="V844" s="340"/>
      <c r="W844" s="340"/>
      <c r="X844" s="340"/>
      <c r="Y844" s="340"/>
      <c r="Z844" s="340"/>
      <c r="AA844" s="340"/>
      <c r="AB844" s="340"/>
      <c r="AC844" s="340"/>
    </row>
    <row r="845" spans="1:29">
      <c r="A845" s="340"/>
      <c r="B845" s="340"/>
      <c r="C845" s="340"/>
      <c r="D845" s="340"/>
      <c r="E845" s="340"/>
      <c r="F845" s="340"/>
      <c r="G845" s="340"/>
      <c r="H845" s="340"/>
      <c r="I845" s="340"/>
      <c r="J845" s="340"/>
      <c r="K845" s="340"/>
      <c r="L845" s="340"/>
      <c r="M845" s="340"/>
      <c r="N845" s="340"/>
      <c r="O845" s="340"/>
      <c r="P845" s="340"/>
      <c r="Q845" s="340"/>
      <c r="R845" s="340"/>
      <c r="S845" s="340"/>
      <c r="T845" s="340"/>
      <c r="U845" s="340"/>
      <c r="V845" s="340"/>
      <c r="W845" s="340"/>
      <c r="X845" s="340"/>
      <c r="Y845" s="340"/>
      <c r="Z845" s="340"/>
      <c r="AA845" s="340"/>
      <c r="AB845" s="340"/>
      <c r="AC845" s="340"/>
    </row>
    <row r="846" spans="1:29">
      <c r="A846" s="340"/>
      <c r="B846" s="340"/>
      <c r="C846" s="340"/>
      <c r="D846" s="340"/>
      <c r="E846" s="340"/>
      <c r="F846" s="340"/>
      <c r="G846" s="340"/>
      <c r="H846" s="340"/>
      <c r="I846" s="340"/>
      <c r="J846" s="340"/>
      <c r="K846" s="340"/>
      <c r="L846" s="340"/>
      <c r="M846" s="340"/>
      <c r="N846" s="340"/>
      <c r="O846" s="340"/>
      <c r="P846" s="340"/>
      <c r="Q846" s="340"/>
      <c r="R846" s="340"/>
      <c r="S846" s="340"/>
      <c r="T846" s="340"/>
      <c r="U846" s="340"/>
      <c r="V846" s="340"/>
      <c r="W846" s="340"/>
      <c r="X846" s="340"/>
      <c r="Y846" s="340"/>
      <c r="Z846" s="340"/>
      <c r="AA846" s="340"/>
      <c r="AB846" s="340"/>
      <c r="AC846" s="340"/>
    </row>
    <row r="847" spans="1:29">
      <c r="A847" s="340"/>
      <c r="B847" s="340"/>
      <c r="C847" s="340"/>
      <c r="D847" s="340"/>
      <c r="E847" s="340"/>
      <c r="F847" s="340"/>
      <c r="G847" s="340"/>
      <c r="H847" s="340"/>
      <c r="I847" s="340"/>
      <c r="J847" s="340"/>
      <c r="K847" s="340"/>
      <c r="L847" s="340"/>
      <c r="M847" s="340"/>
      <c r="N847" s="340"/>
      <c r="O847" s="340"/>
      <c r="P847" s="340"/>
      <c r="Q847" s="340"/>
      <c r="R847" s="340"/>
      <c r="S847" s="340"/>
      <c r="T847" s="340"/>
      <c r="U847" s="340"/>
      <c r="V847" s="340"/>
      <c r="W847" s="340"/>
      <c r="X847" s="340"/>
      <c r="Y847" s="340"/>
      <c r="Z847" s="340"/>
      <c r="AA847" s="340"/>
      <c r="AB847" s="340"/>
      <c r="AC847" s="340"/>
    </row>
    <row r="848" spans="1:29">
      <c r="A848" s="340"/>
      <c r="B848" s="340"/>
      <c r="C848" s="340"/>
      <c r="D848" s="340"/>
      <c r="E848" s="340"/>
      <c r="F848" s="340"/>
      <c r="G848" s="340"/>
      <c r="H848" s="340"/>
      <c r="I848" s="340"/>
      <c r="J848" s="340"/>
      <c r="K848" s="340"/>
      <c r="L848" s="340"/>
      <c r="M848" s="340"/>
      <c r="N848" s="340"/>
      <c r="O848" s="340"/>
      <c r="P848" s="340"/>
      <c r="Q848" s="340"/>
      <c r="R848" s="340"/>
      <c r="S848" s="340"/>
      <c r="T848" s="340"/>
      <c r="U848" s="340"/>
      <c r="V848" s="340"/>
      <c r="W848" s="340"/>
      <c r="X848" s="340"/>
      <c r="Y848" s="340"/>
      <c r="Z848" s="340"/>
      <c r="AA848" s="340"/>
      <c r="AB848" s="340"/>
      <c r="AC848" s="340"/>
    </row>
    <row r="849" spans="1:29">
      <c r="A849" s="340"/>
      <c r="B849" s="340"/>
      <c r="C849" s="340"/>
      <c r="D849" s="340"/>
      <c r="E849" s="340"/>
      <c r="F849" s="340"/>
      <c r="G849" s="340"/>
      <c r="H849" s="340"/>
      <c r="I849" s="340"/>
      <c r="J849" s="340"/>
      <c r="K849" s="340"/>
      <c r="L849" s="340"/>
      <c r="M849" s="340"/>
      <c r="N849" s="340"/>
      <c r="O849" s="340"/>
      <c r="P849" s="340"/>
      <c r="Q849" s="340"/>
      <c r="R849" s="340"/>
      <c r="S849" s="340"/>
      <c r="T849" s="340"/>
      <c r="U849" s="340"/>
      <c r="V849" s="340"/>
      <c r="W849" s="340"/>
      <c r="X849" s="340"/>
      <c r="Y849" s="340"/>
      <c r="Z849" s="340"/>
      <c r="AA849" s="340"/>
      <c r="AB849" s="340"/>
      <c r="AC849" s="340"/>
    </row>
    <row r="850" spans="1:29">
      <c r="A850" s="340"/>
      <c r="B850" s="340"/>
      <c r="C850" s="340"/>
      <c r="D850" s="340"/>
      <c r="E850" s="340"/>
      <c r="F850" s="340"/>
      <c r="G850" s="340"/>
      <c r="H850" s="340"/>
      <c r="I850" s="340"/>
      <c r="J850" s="340"/>
      <c r="K850" s="340"/>
      <c r="L850" s="340"/>
      <c r="M850" s="340"/>
      <c r="N850" s="340"/>
      <c r="O850" s="340"/>
      <c r="P850" s="340"/>
      <c r="Q850" s="340"/>
      <c r="R850" s="340"/>
      <c r="S850" s="340"/>
      <c r="T850" s="340"/>
      <c r="U850" s="340"/>
      <c r="V850" s="340"/>
      <c r="W850" s="340"/>
      <c r="X850" s="340"/>
      <c r="Y850" s="340"/>
      <c r="Z850" s="340"/>
      <c r="AA850" s="340"/>
      <c r="AB850" s="340"/>
      <c r="AC850" s="340"/>
    </row>
    <row r="851" spans="1:29">
      <c r="A851" s="340"/>
      <c r="B851" s="340"/>
      <c r="C851" s="340"/>
      <c r="D851" s="340"/>
      <c r="E851" s="340"/>
      <c r="F851" s="340"/>
      <c r="G851" s="340"/>
      <c r="H851" s="340"/>
      <c r="I851" s="340"/>
      <c r="J851" s="340"/>
      <c r="K851" s="340"/>
      <c r="L851" s="340"/>
      <c r="M851" s="340"/>
      <c r="N851" s="340"/>
      <c r="O851" s="340"/>
      <c r="P851" s="340"/>
      <c r="Q851" s="340"/>
      <c r="R851" s="340"/>
      <c r="S851" s="340"/>
      <c r="T851" s="340"/>
      <c r="U851" s="340"/>
      <c r="V851" s="340"/>
      <c r="W851" s="340"/>
      <c r="X851" s="340"/>
      <c r="Y851" s="340"/>
      <c r="Z851" s="340"/>
      <c r="AA851" s="340"/>
      <c r="AB851" s="340"/>
      <c r="AC851" s="340"/>
    </row>
    <row r="852" spans="1:29">
      <c r="A852" s="340"/>
      <c r="B852" s="340"/>
      <c r="C852" s="340"/>
      <c r="D852" s="340"/>
      <c r="E852" s="340"/>
      <c r="F852" s="340"/>
      <c r="G852" s="340"/>
      <c r="H852" s="340"/>
      <c r="I852" s="340"/>
      <c r="J852" s="340"/>
      <c r="K852" s="340"/>
      <c r="L852" s="340"/>
      <c r="M852" s="340"/>
      <c r="N852" s="340"/>
      <c r="O852" s="340"/>
      <c r="P852" s="340"/>
      <c r="Q852" s="340"/>
      <c r="R852" s="340"/>
      <c r="S852" s="340"/>
      <c r="T852" s="340"/>
      <c r="U852" s="340"/>
      <c r="V852" s="340"/>
      <c r="W852" s="340"/>
      <c r="X852" s="340"/>
      <c r="Y852" s="340"/>
      <c r="Z852" s="340"/>
      <c r="AA852" s="340"/>
      <c r="AB852" s="340"/>
      <c r="AC852" s="340"/>
    </row>
    <row r="853" spans="1:29">
      <c r="A853" s="340"/>
      <c r="B853" s="340"/>
      <c r="C853" s="340"/>
      <c r="D853" s="340"/>
      <c r="E853" s="340"/>
      <c r="F853" s="340"/>
      <c r="G853" s="340"/>
      <c r="H853" s="340"/>
      <c r="I853" s="340"/>
      <c r="J853" s="340"/>
      <c r="K853" s="340"/>
      <c r="L853" s="340"/>
      <c r="M853" s="340"/>
      <c r="N853" s="340"/>
      <c r="O853" s="340"/>
      <c r="P853" s="340"/>
      <c r="Q853" s="340"/>
      <c r="R853" s="340"/>
      <c r="S853" s="340"/>
      <c r="T853" s="340"/>
      <c r="U853" s="340"/>
      <c r="V853" s="340"/>
      <c r="W853" s="340"/>
      <c r="X853" s="340"/>
      <c r="Y853" s="340"/>
      <c r="Z853" s="340"/>
      <c r="AA853" s="340"/>
      <c r="AB853" s="340"/>
      <c r="AC853" s="340"/>
    </row>
    <row r="854" spans="1:29">
      <c r="A854" s="340"/>
      <c r="B854" s="340"/>
      <c r="C854" s="340"/>
      <c r="D854" s="340"/>
      <c r="E854" s="340"/>
      <c r="F854" s="340"/>
      <c r="G854" s="340"/>
      <c r="H854" s="340"/>
      <c r="I854" s="340"/>
      <c r="J854" s="340"/>
      <c r="K854" s="340"/>
      <c r="L854" s="340"/>
      <c r="M854" s="340"/>
      <c r="N854" s="340"/>
      <c r="O854" s="340"/>
      <c r="P854" s="340"/>
      <c r="Q854" s="340"/>
      <c r="R854" s="340"/>
      <c r="S854" s="340"/>
      <c r="T854" s="340"/>
      <c r="U854" s="340"/>
      <c r="V854" s="340"/>
      <c r="W854" s="340"/>
      <c r="X854" s="340"/>
      <c r="Y854" s="340"/>
      <c r="Z854" s="340"/>
      <c r="AA854" s="340"/>
      <c r="AB854" s="340"/>
      <c r="AC854" s="340"/>
    </row>
    <row r="855" spans="1:29">
      <c r="A855" s="340"/>
      <c r="B855" s="340"/>
      <c r="C855" s="340"/>
      <c r="D855" s="340"/>
      <c r="E855" s="340"/>
      <c r="F855" s="340"/>
      <c r="G855" s="340"/>
      <c r="H855" s="340"/>
      <c r="I855" s="340"/>
      <c r="J855" s="340"/>
      <c r="K855" s="340"/>
      <c r="L855" s="340"/>
      <c r="M855" s="340"/>
      <c r="N855" s="340"/>
      <c r="O855" s="340"/>
      <c r="P855" s="340"/>
      <c r="Q855" s="340"/>
      <c r="R855" s="340"/>
      <c r="S855" s="340"/>
      <c r="T855" s="340"/>
      <c r="U855" s="340"/>
      <c r="V855" s="340"/>
      <c r="W855" s="340"/>
      <c r="X855" s="340"/>
      <c r="Y855" s="340"/>
      <c r="Z855" s="340"/>
      <c r="AA855" s="340"/>
      <c r="AB855" s="340"/>
      <c r="AC855" s="340"/>
    </row>
    <row r="856" spans="1:29">
      <c r="A856" s="340"/>
      <c r="B856" s="340"/>
      <c r="C856" s="340"/>
      <c r="D856" s="340"/>
      <c r="E856" s="340"/>
      <c r="F856" s="340"/>
      <c r="G856" s="340"/>
      <c r="H856" s="340"/>
      <c r="I856" s="340"/>
      <c r="J856" s="340"/>
      <c r="K856" s="340"/>
      <c r="L856" s="340"/>
      <c r="M856" s="340"/>
      <c r="N856" s="340"/>
      <c r="O856" s="340"/>
      <c r="P856" s="340"/>
      <c r="Q856" s="340"/>
      <c r="R856" s="340"/>
      <c r="S856" s="340"/>
      <c r="T856" s="340"/>
      <c r="U856" s="340"/>
      <c r="V856" s="340"/>
      <c r="W856" s="340"/>
      <c r="X856" s="340"/>
      <c r="Y856" s="340"/>
      <c r="Z856" s="340"/>
      <c r="AA856" s="340"/>
      <c r="AB856" s="340"/>
      <c r="AC856" s="340"/>
    </row>
    <row r="857" spans="1:29">
      <c r="A857" s="340"/>
      <c r="B857" s="340"/>
      <c r="C857" s="340"/>
      <c r="D857" s="340"/>
      <c r="E857" s="340"/>
      <c r="F857" s="340"/>
      <c r="G857" s="340"/>
      <c r="H857" s="340"/>
      <c r="I857" s="340"/>
      <c r="J857" s="340"/>
      <c r="K857" s="340"/>
      <c r="L857" s="340"/>
      <c r="M857" s="340"/>
      <c r="N857" s="340"/>
      <c r="O857" s="340"/>
      <c r="P857" s="340"/>
      <c r="Q857" s="340"/>
      <c r="R857" s="340"/>
      <c r="S857" s="340"/>
      <c r="T857" s="340"/>
      <c r="U857" s="340"/>
      <c r="V857" s="340"/>
      <c r="W857" s="340"/>
      <c r="X857" s="340"/>
      <c r="Y857" s="340"/>
      <c r="Z857" s="340"/>
      <c r="AA857" s="340"/>
      <c r="AB857" s="340"/>
      <c r="AC857" s="340"/>
    </row>
    <row r="858" spans="1:29">
      <c r="A858" s="340"/>
      <c r="B858" s="340"/>
      <c r="C858" s="340"/>
      <c r="D858" s="340"/>
      <c r="E858" s="340"/>
      <c r="F858" s="340"/>
      <c r="G858" s="340"/>
      <c r="H858" s="340"/>
      <c r="I858" s="340"/>
      <c r="J858" s="340"/>
      <c r="K858" s="340"/>
      <c r="L858" s="340"/>
      <c r="M858" s="340"/>
      <c r="N858" s="340"/>
      <c r="O858" s="340"/>
      <c r="P858" s="340"/>
      <c r="Q858" s="340"/>
      <c r="R858" s="340"/>
      <c r="S858" s="340"/>
      <c r="T858" s="340"/>
      <c r="U858" s="340"/>
      <c r="V858" s="340"/>
      <c r="W858" s="340"/>
      <c r="X858" s="340"/>
      <c r="Y858" s="340"/>
      <c r="Z858" s="340"/>
      <c r="AA858" s="340"/>
      <c r="AB858" s="340"/>
      <c r="AC858" s="340"/>
    </row>
    <row r="859" spans="1:29">
      <c r="A859" s="340"/>
      <c r="B859" s="340"/>
      <c r="C859" s="340"/>
      <c r="D859" s="340"/>
      <c r="E859" s="340"/>
      <c r="F859" s="340"/>
      <c r="G859" s="340"/>
      <c r="H859" s="340"/>
      <c r="I859" s="340"/>
      <c r="J859" s="340"/>
      <c r="K859" s="340"/>
      <c r="L859" s="340"/>
      <c r="M859" s="340"/>
      <c r="N859" s="340"/>
      <c r="O859" s="340"/>
      <c r="P859" s="340"/>
      <c r="Q859" s="340"/>
      <c r="R859" s="340"/>
      <c r="S859" s="340"/>
      <c r="T859" s="340"/>
      <c r="U859" s="340"/>
      <c r="V859" s="340"/>
      <c r="W859" s="340"/>
      <c r="X859" s="340"/>
      <c r="Y859" s="340"/>
      <c r="Z859" s="340"/>
      <c r="AA859" s="340"/>
      <c r="AB859" s="340"/>
      <c r="AC859" s="340"/>
    </row>
    <row r="860" spans="1:29">
      <c r="A860" s="340"/>
      <c r="B860" s="340"/>
      <c r="C860" s="340"/>
      <c r="D860" s="340"/>
      <c r="E860" s="340"/>
      <c r="F860" s="340"/>
      <c r="G860" s="340"/>
      <c r="H860" s="340"/>
      <c r="I860" s="340"/>
      <c r="J860" s="340"/>
      <c r="K860" s="340"/>
      <c r="L860" s="340"/>
      <c r="M860" s="340"/>
      <c r="N860" s="340"/>
      <c r="O860" s="340"/>
      <c r="P860" s="340"/>
      <c r="Q860" s="340"/>
      <c r="R860" s="340"/>
      <c r="S860" s="340"/>
      <c r="T860" s="340"/>
      <c r="U860" s="340"/>
      <c r="V860" s="340"/>
      <c r="W860" s="340"/>
      <c r="X860" s="340"/>
      <c r="Y860" s="340"/>
      <c r="Z860" s="340"/>
      <c r="AA860" s="340"/>
      <c r="AB860" s="340"/>
      <c r="AC860" s="340"/>
    </row>
    <row r="861" spans="1:29">
      <c r="A861" s="340"/>
      <c r="B861" s="340"/>
      <c r="C861" s="340"/>
      <c r="D861" s="340"/>
      <c r="E861" s="340"/>
      <c r="F861" s="340"/>
      <c r="G861" s="340"/>
      <c r="H861" s="340"/>
      <c r="I861" s="340"/>
      <c r="J861" s="340"/>
      <c r="K861" s="340"/>
      <c r="L861" s="340"/>
      <c r="M861" s="340"/>
      <c r="N861" s="340"/>
      <c r="O861" s="340"/>
      <c r="P861" s="340"/>
      <c r="Q861" s="340"/>
      <c r="R861" s="340"/>
      <c r="S861" s="340"/>
      <c r="T861" s="340"/>
      <c r="U861" s="340"/>
      <c r="V861" s="340"/>
      <c r="W861" s="340"/>
      <c r="X861" s="340"/>
      <c r="Y861" s="340"/>
      <c r="Z861" s="340"/>
      <c r="AA861" s="340"/>
      <c r="AB861" s="340"/>
      <c r="AC861" s="340"/>
    </row>
    <row r="862" spans="1:29">
      <c r="A862" s="340"/>
      <c r="B862" s="340"/>
      <c r="C862" s="340"/>
      <c r="D862" s="340"/>
      <c r="E862" s="340"/>
      <c r="F862" s="340"/>
      <c r="G862" s="340"/>
      <c r="H862" s="340"/>
      <c r="I862" s="340"/>
      <c r="J862" s="340"/>
      <c r="K862" s="340"/>
      <c r="L862" s="340"/>
      <c r="M862" s="340"/>
      <c r="N862" s="340"/>
      <c r="O862" s="340"/>
      <c r="P862" s="340"/>
      <c r="Q862" s="340"/>
      <c r="R862" s="340"/>
      <c r="S862" s="340"/>
      <c r="T862" s="340"/>
      <c r="U862" s="340"/>
      <c r="V862" s="340"/>
      <c r="W862" s="340"/>
      <c r="X862" s="340"/>
      <c r="Y862" s="340"/>
      <c r="Z862" s="340"/>
      <c r="AA862" s="340"/>
      <c r="AB862" s="340"/>
      <c r="AC862" s="340"/>
    </row>
    <row r="863" spans="1:29">
      <c r="A863" s="340"/>
      <c r="B863" s="340"/>
      <c r="C863" s="340"/>
      <c r="D863" s="340"/>
      <c r="E863" s="340"/>
      <c r="F863" s="340"/>
      <c r="G863" s="340"/>
      <c r="H863" s="340"/>
      <c r="I863" s="340"/>
      <c r="J863" s="340"/>
      <c r="K863" s="340"/>
      <c r="L863" s="340"/>
      <c r="M863" s="340"/>
      <c r="N863" s="340"/>
      <c r="O863" s="340"/>
      <c r="P863" s="340"/>
      <c r="Q863" s="340"/>
      <c r="R863" s="340"/>
      <c r="S863" s="340"/>
      <c r="T863" s="340"/>
      <c r="U863" s="340"/>
      <c r="V863" s="340"/>
      <c r="W863" s="340"/>
      <c r="X863" s="340"/>
      <c r="Y863" s="340"/>
      <c r="Z863" s="340"/>
      <c r="AA863" s="340"/>
      <c r="AB863" s="340"/>
      <c r="AC863" s="340"/>
    </row>
    <row r="864" spans="1:29">
      <c r="A864" s="340"/>
      <c r="B864" s="340"/>
      <c r="C864" s="340"/>
      <c r="D864" s="340"/>
      <c r="E864" s="340"/>
      <c r="F864" s="340"/>
      <c r="G864" s="340"/>
      <c r="H864" s="340"/>
      <c r="I864" s="340"/>
      <c r="J864" s="340"/>
      <c r="K864" s="340"/>
      <c r="L864" s="340"/>
      <c r="M864" s="340"/>
      <c r="N864" s="340"/>
      <c r="O864" s="340"/>
      <c r="P864" s="340"/>
      <c r="Q864" s="340"/>
      <c r="R864" s="340"/>
      <c r="S864" s="340"/>
      <c r="T864" s="340"/>
      <c r="U864" s="340"/>
      <c r="V864" s="340"/>
      <c r="W864" s="340"/>
      <c r="X864" s="340"/>
      <c r="Y864" s="340"/>
      <c r="Z864" s="340"/>
      <c r="AA864" s="340"/>
      <c r="AB864" s="340"/>
      <c r="AC864" s="340"/>
    </row>
    <row r="865" spans="1:29">
      <c r="A865" s="340"/>
      <c r="B865" s="340"/>
      <c r="C865" s="340"/>
      <c r="D865" s="340"/>
      <c r="E865" s="340"/>
      <c r="F865" s="340"/>
      <c r="G865" s="340"/>
      <c r="H865" s="340"/>
      <c r="I865" s="340"/>
      <c r="J865" s="340"/>
      <c r="K865" s="340"/>
      <c r="L865" s="340"/>
      <c r="M865" s="340"/>
      <c r="N865" s="340"/>
      <c r="O865" s="340"/>
      <c r="P865" s="340"/>
      <c r="Q865" s="340"/>
      <c r="R865" s="340"/>
      <c r="S865" s="340"/>
      <c r="T865" s="340"/>
      <c r="U865" s="340"/>
      <c r="V865" s="340"/>
      <c r="W865" s="340"/>
      <c r="X865" s="340"/>
      <c r="Y865" s="340"/>
      <c r="Z865" s="340"/>
      <c r="AA865" s="340"/>
      <c r="AB865" s="340"/>
      <c r="AC865" s="340"/>
    </row>
    <row r="866" spans="1:29">
      <c r="A866" s="340"/>
      <c r="B866" s="340"/>
      <c r="C866" s="340"/>
      <c r="D866" s="340"/>
      <c r="E866" s="340"/>
      <c r="F866" s="340"/>
      <c r="G866" s="340"/>
      <c r="H866" s="340"/>
      <c r="I866" s="340"/>
      <c r="J866" s="340"/>
      <c r="K866" s="340"/>
      <c r="L866" s="340"/>
      <c r="M866" s="340"/>
      <c r="N866" s="340"/>
      <c r="O866" s="340"/>
      <c r="P866" s="340"/>
      <c r="Q866" s="340"/>
      <c r="R866" s="340"/>
      <c r="S866" s="340"/>
      <c r="T866" s="340"/>
      <c r="U866" s="340"/>
      <c r="V866" s="340"/>
      <c r="W866" s="340"/>
      <c r="X866" s="340"/>
      <c r="Y866" s="340"/>
      <c r="Z866" s="340"/>
      <c r="AA866" s="340"/>
      <c r="AB866" s="340"/>
      <c r="AC866" s="340"/>
    </row>
    <row r="867" spans="1:29">
      <c r="A867" s="340"/>
      <c r="B867" s="340"/>
      <c r="C867" s="340"/>
      <c r="D867" s="340"/>
      <c r="E867" s="340"/>
      <c r="F867" s="340"/>
      <c r="G867" s="340"/>
      <c r="H867" s="340"/>
      <c r="I867" s="340"/>
      <c r="J867" s="340"/>
      <c r="K867" s="340"/>
      <c r="L867" s="340"/>
      <c r="M867" s="340"/>
      <c r="N867" s="340"/>
      <c r="O867" s="340"/>
      <c r="P867" s="340"/>
      <c r="Q867" s="340"/>
      <c r="R867" s="340"/>
      <c r="S867" s="340"/>
      <c r="T867" s="340"/>
      <c r="U867" s="340"/>
      <c r="V867" s="340"/>
      <c r="W867" s="340"/>
      <c r="X867" s="340"/>
      <c r="Y867" s="340"/>
      <c r="Z867" s="340"/>
      <c r="AA867" s="340"/>
      <c r="AB867" s="340"/>
      <c r="AC867" s="340"/>
    </row>
    <row r="868" spans="1:29">
      <c r="A868" s="340"/>
      <c r="B868" s="340"/>
      <c r="C868" s="340"/>
      <c r="D868" s="340"/>
      <c r="E868" s="340"/>
      <c r="F868" s="340"/>
      <c r="G868" s="340"/>
      <c r="H868" s="340"/>
      <c r="I868" s="340"/>
      <c r="J868" s="340"/>
      <c r="K868" s="340"/>
      <c r="L868" s="340"/>
      <c r="M868" s="340"/>
      <c r="N868" s="340"/>
      <c r="O868" s="340"/>
      <c r="P868" s="340"/>
      <c r="Q868" s="340"/>
      <c r="R868" s="340"/>
      <c r="S868" s="340"/>
      <c r="T868" s="340"/>
      <c r="U868" s="340"/>
      <c r="V868" s="340"/>
      <c r="W868" s="340"/>
      <c r="X868" s="340"/>
      <c r="Y868" s="340"/>
      <c r="Z868" s="340"/>
      <c r="AA868" s="340"/>
      <c r="AB868" s="340"/>
      <c r="AC868" s="340"/>
    </row>
    <row r="869" spans="1:29">
      <c r="A869" s="340"/>
      <c r="B869" s="340"/>
      <c r="C869" s="340"/>
      <c r="D869" s="340"/>
      <c r="E869" s="340"/>
      <c r="F869" s="340"/>
      <c r="G869" s="340"/>
      <c r="H869" s="340"/>
      <c r="I869" s="340"/>
      <c r="J869" s="340"/>
      <c r="K869" s="340"/>
      <c r="L869" s="340"/>
      <c r="M869" s="340"/>
      <c r="N869" s="340"/>
      <c r="O869" s="340"/>
      <c r="P869" s="340"/>
      <c r="Q869" s="340"/>
      <c r="R869" s="340"/>
      <c r="S869" s="340"/>
      <c r="T869" s="340"/>
      <c r="U869" s="340"/>
      <c r="V869" s="340"/>
      <c r="W869" s="340"/>
      <c r="X869" s="340"/>
      <c r="Y869" s="340"/>
      <c r="Z869" s="340"/>
      <c r="AA869" s="340"/>
      <c r="AB869" s="340"/>
      <c r="AC869" s="340"/>
    </row>
    <row r="870" spans="1:29">
      <c r="A870" s="340"/>
      <c r="B870" s="340"/>
      <c r="C870" s="340"/>
      <c r="D870" s="340"/>
      <c r="E870" s="340"/>
      <c r="F870" s="340"/>
      <c r="G870" s="340"/>
      <c r="H870" s="340"/>
      <c r="I870" s="340"/>
      <c r="J870" s="340"/>
      <c r="K870" s="340"/>
      <c r="L870" s="340"/>
      <c r="M870" s="340"/>
      <c r="N870" s="340"/>
      <c r="O870" s="340"/>
      <c r="P870" s="340"/>
      <c r="Q870" s="340"/>
      <c r="R870" s="340"/>
      <c r="S870" s="340"/>
      <c r="T870" s="340"/>
      <c r="U870" s="340"/>
      <c r="V870" s="340"/>
      <c r="W870" s="340"/>
      <c r="X870" s="340"/>
      <c r="Y870" s="340"/>
      <c r="Z870" s="340"/>
      <c r="AA870" s="340"/>
      <c r="AB870" s="340"/>
      <c r="AC870" s="340"/>
    </row>
    <row r="871" spans="1:29">
      <c r="A871" s="340"/>
      <c r="B871" s="340"/>
      <c r="C871" s="340"/>
      <c r="D871" s="340"/>
      <c r="E871" s="340"/>
      <c r="F871" s="340"/>
      <c r="G871" s="340"/>
      <c r="H871" s="340"/>
      <c r="I871" s="340"/>
      <c r="J871" s="340"/>
      <c r="K871" s="340"/>
      <c r="L871" s="340"/>
      <c r="M871" s="340"/>
      <c r="N871" s="340"/>
      <c r="O871" s="340"/>
      <c r="P871" s="340"/>
      <c r="Q871" s="340"/>
      <c r="R871" s="340"/>
      <c r="S871" s="340"/>
      <c r="T871" s="340"/>
      <c r="U871" s="340"/>
      <c r="V871" s="340"/>
      <c r="W871" s="340"/>
      <c r="X871" s="340"/>
      <c r="Y871" s="340"/>
      <c r="Z871" s="340"/>
      <c r="AA871" s="340"/>
      <c r="AB871" s="340"/>
      <c r="AC871" s="340"/>
    </row>
    <row r="872" spans="1:29">
      <c r="A872" s="340"/>
      <c r="B872" s="340"/>
      <c r="C872" s="340"/>
      <c r="D872" s="340"/>
      <c r="E872" s="340"/>
      <c r="F872" s="340"/>
      <c r="G872" s="340"/>
      <c r="H872" s="340"/>
      <c r="I872" s="340"/>
      <c r="J872" s="340"/>
      <c r="K872" s="340"/>
      <c r="L872" s="340"/>
      <c r="M872" s="340"/>
      <c r="N872" s="340"/>
      <c r="O872" s="340"/>
      <c r="P872" s="340"/>
      <c r="Q872" s="340"/>
      <c r="R872" s="340"/>
      <c r="S872" s="340"/>
      <c r="T872" s="340"/>
      <c r="U872" s="340"/>
      <c r="V872" s="340"/>
      <c r="W872" s="340"/>
      <c r="X872" s="340"/>
      <c r="Y872" s="340"/>
      <c r="Z872" s="340"/>
      <c r="AA872" s="340"/>
      <c r="AB872" s="340"/>
      <c r="AC872" s="340"/>
    </row>
    <row r="873" spans="1:29">
      <c r="A873" s="340"/>
      <c r="B873" s="340"/>
      <c r="C873" s="340"/>
      <c r="D873" s="340"/>
      <c r="E873" s="340"/>
      <c r="F873" s="340"/>
      <c r="G873" s="340"/>
      <c r="H873" s="340"/>
      <c r="I873" s="340"/>
      <c r="J873" s="340"/>
      <c r="K873" s="340"/>
      <c r="L873" s="340"/>
      <c r="M873" s="340"/>
      <c r="N873" s="340"/>
      <c r="O873" s="340"/>
      <c r="P873" s="340"/>
      <c r="Q873" s="340"/>
      <c r="R873" s="340"/>
      <c r="S873" s="340"/>
      <c r="T873" s="340"/>
      <c r="U873" s="340"/>
      <c r="V873" s="340"/>
      <c r="W873" s="340"/>
      <c r="X873" s="340"/>
      <c r="Y873" s="340"/>
      <c r="Z873" s="340"/>
      <c r="AA873" s="340"/>
      <c r="AB873" s="340"/>
      <c r="AC873" s="340"/>
    </row>
    <row r="874" spans="1:29">
      <c r="A874" s="340"/>
      <c r="B874" s="340"/>
      <c r="C874" s="340"/>
      <c r="D874" s="340"/>
      <c r="E874" s="340"/>
      <c r="F874" s="340"/>
      <c r="G874" s="340"/>
      <c r="H874" s="340"/>
      <c r="I874" s="340"/>
      <c r="J874" s="340"/>
      <c r="K874" s="340"/>
      <c r="L874" s="340"/>
      <c r="M874" s="340"/>
      <c r="N874" s="340"/>
      <c r="O874" s="340"/>
      <c r="P874" s="340"/>
      <c r="Q874" s="340"/>
      <c r="R874" s="340"/>
      <c r="S874" s="340"/>
      <c r="T874" s="340"/>
      <c r="U874" s="340"/>
      <c r="V874" s="340"/>
      <c r="W874" s="340"/>
      <c r="X874" s="340"/>
      <c r="Y874" s="340"/>
      <c r="Z874" s="340"/>
      <c r="AA874" s="340"/>
      <c r="AB874" s="340"/>
      <c r="AC874" s="340"/>
    </row>
    <row r="875" spans="1:29">
      <c r="A875" s="340"/>
      <c r="B875" s="340"/>
      <c r="C875" s="340"/>
      <c r="D875" s="340"/>
      <c r="E875" s="340"/>
      <c r="F875" s="340"/>
      <c r="G875" s="340"/>
      <c r="H875" s="340"/>
      <c r="I875" s="340"/>
      <c r="J875" s="340"/>
      <c r="K875" s="340"/>
      <c r="L875" s="340"/>
      <c r="M875" s="340"/>
      <c r="N875" s="340"/>
      <c r="O875" s="340"/>
      <c r="P875" s="340"/>
      <c r="Q875" s="340"/>
      <c r="R875" s="340"/>
      <c r="S875" s="340"/>
      <c r="T875" s="340"/>
      <c r="U875" s="340"/>
      <c r="V875" s="340"/>
      <c r="W875" s="340"/>
      <c r="X875" s="340"/>
      <c r="Y875" s="340"/>
      <c r="Z875" s="340"/>
      <c r="AA875" s="340"/>
      <c r="AB875" s="340"/>
      <c r="AC875" s="340"/>
    </row>
    <row r="876" spans="1:29">
      <c r="A876" s="340"/>
      <c r="B876" s="340"/>
      <c r="C876" s="340"/>
      <c r="D876" s="340"/>
      <c r="E876" s="340"/>
      <c r="F876" s="340"/>
      <c r="G876" s="340"/>
      <c r="H876" s="340"/>
      <c r="I876" s="340"/>
      <c r="J876" s="340"/>
      <c r="K876" s="340"/>
      <c r="L876" s="340"/>
      <c r="M876" s="340"/>
      <c r="N876" s="340"/>
      <c r="O876" s="340"/>
      <c r="P876" s="340"/>
      <c r="Q876" s="340"/>
      <c r="R876" s="340"/>
      <c r="S876" s="340"/>
      <c r="T876" s="340"/>
      <c r="U876" s="340"/>
      <c r="V876" s="340"/>
      <c r="W876" s="340"/>
      <c r="X876" s="340"/>
      <c r="Y876" s="340"/>
      <c r="Z876" s="340"/>
      <c r="AA876" s="340"/>
      <c r="AB876" s="340"/>
      <c r="AC876" s="340"/>
    </row>
    <row r="877" spans="1:29">
      <c r="A877" s="340"/>
      <c r="B877" s="340"/>
      <c r="C877" s="340"/>
      <c r="D877" s="340"/>
      <c r="E877" s="340"/>
      <c r="F877" s="340"/>
      <c r="G877" s="340"/>
      <c r="H877" s="340"/>
      <c r="I877" s="340"/>
      <c r="J877" s="340"/>
      <c r="K877" s="340"/>
      <c r="L877" s="340"/>
      <c r="M877" s="340"/>
      <c r="N877" s="340"/>
      <c r="O877" s="340"/>
      <c r="P877" s="340"/>
      <c r="Q877" s="340"/>
      <c r="R877" s="340"/>
      <c r="S877" s="340"/>
      <c r="T877" s="340"/>
      <c r="U877" s="340"/>
      <c r="V877" s="340"/>
      <c r="W877" s="340"/>
      <c r="X877" s="340"/>
      <c r="Y877" s="340"/>
      <c r="Z877" s="340"/>
      <c r="AA877" s="340"/>
      <c r="AB877" s="340"/>
      <c r="AC877" s="340"/>
    </row>
    <row r="878" spans="1:29">
      <c r="A878" s="340"/>
      <c r="B878" s="340"/>
      <c r="C878" s="340"/>
      <c r="D878" s="340"/>
      <c r="E878" s="340"/>
      <c r="F878" s="340"/>
      <c r="G878" s="340"/>
      <c r="H878" s="340"/>
      <c r="I878" s="340"/>
      <c r="J878" s="340"/>
      <c r="K878" s="340"/>
      <c r="L878" s="340"/>
      <c r="M878" s="340"/>
      <c r="N878" s="340"/>
      <c r="O878" s="340"/>
      <c r="P878" s="340"/>
      <c r="Q878" s="340"/>
      <c r="R878" s="340"/>
      <c r="S878" s="340"/>
      <c r="T878" s="340"/>
      <c r="U878" s="340"/>
      <c r="V878" s="340"/>
      <c r="W878" s="340"/>
      <c r="X878" s="340"/>
      <c r="Y878" s="340"/>
      <c r="Z878" s="340"/>
      <c r="AA878" s="340"/>
      <c r="AB878" s="340"/>
      <c r="AC878" s="340"/>
    </row>
    <row r="879" spans="1:29">
      <c r="A879" s="340"/>
      <c r="B879" s="340"/>
      <c r="C879" s="340"/>
      <c r="D879" s="340"/>
      <c r="E879" s="340"/>
      <c r="F879" s="340"/>
      <c r="G879" s="340"/>
      <c r="H879" s="340"/>
      <c r="I879" s="340"/>
      <c r="J879" s="340"/>
      <c r="K879" s="340"/>
      <c r="L879" s="340"/>
      <c r="M879" s="340"/>
      <c r="N879" s="340"/>
      <c r="O879" s="340"/>
      <c r="P879" s="340"/>
      <c r="Q879" s="340"/>
      <c r="R879" s="340"/>
      <c r="S879" s="340"/>
      <c r="T879" s="340"/>
      <c r="U879" s="340"/>
      <c r="V879" s="340"/>
      <c r="W879" s="340"/>
      <c r="X879" s="340"/>
      <c r="Y879" s="340"/>
      <c r="Z879" s="340"/>
      <c r="AA879" s="340"/>
      <c r="AB879" s="340"/>
      <c r="AC879" s="340"/>
    </row>
    <row r="880" spans="1:29">
      <c r="A880" s="340"/>
      <c r="B880" s="340"/>
      <c r="C880" s="340"/>
      <c r="D880" s="340"/>
      <c r="E880" s="340"/>
      <c r="F880" s="340"/>
      <c r="G880" s="340"/>
      <c r="H880" s="340"/>
      <c r="I880" s="340"/>
      <c r="J880" s="340"/>
      <c r="K880" s="340"/>
      <c r="L880" s="340"/>
      <c r="M880" s="340"/>
      <c r="N880" s="340"/>
      <c r="O880" s="340"/>
      <c r="P880" s="340"/>
      <c r="Q880" s="340"/>
      <c r="R880" s="340"/>
      <c r="S880" s="340"/>
      <c r="T880" s="340"/>
      <c r="U880" s="340"/>
      <c r="V880" s="340"/>
      <c r="W880" s="340"/>
      <c r="X880" s="340"/>
      <c r="Y880" s="340"/>
      <c r="Z880" s="340"/>
      <c r="AA880" s="340"/>
      <c r="AB880" s="340"/>
      <c r="AC880" s="340"/>
    </row>
    <row r="881" spans="1:29">
      <c r="A881" s="340"/>
      <c r="B881" s="340"/>
      <c r="C881" s="340"/>
      <c r="D881" s="340"/>
      <c r="E881" s="340"/>
      <c r="F881" s="340"/>
      <c r="G881" s="340"/>
      <c r="H881" s="340"/>
      <c r="I881" s="340"/>
      <c r="J881" s="340"/>
      <c r="K881" s="340"/>
      <c r="L881" s="340"/>
      <c r="M881" s="340"/>
      <c r="N881" s="340"/>
      <c r="O881" s="340"/>
      <c r="P881" s="340"/>
      <c r="Q881" s="340"/>
      <c r="R881" s="340"/>
      <c r="S881" s="340"/>
      <c r="T881" s="340"/>
      <c r="U881" s="340"/>
      <c r="V881" s="340"/>
      <c r="W881" s="340"/>
      <c r="X881" s="340"/>
      <c r="Y881" s="340"/>
      <c r="Z881" s="340"/>
      <c r="AA881" s="340"/>
      <c r="AB881" s="340"/>
      <c r="AC881" s="340"/>
    </row>
    <row r="882" spans="1:29">
      <c r="A882" s="340"/>
      <c r="B882" s="340"/>
      <c r="C882" s="340"/>
      <c r="D882" s="340"/>
      <c r="E882" s="340"/>
      <c r="F882" s="340"/>
      <c r="G882" s="340"/>
      <c r="H882" s="340"/>
      <c r="I882" s="340"/>
      <c r="J882" s="340"/>
      <c r="K882" s="340"/>
      <c r="L882" s="340"/>
      <c r="M882" s="340"/>
      <c r="N882" s="340"/>
      <c r="O882" s="340"/>
      <c r="P882" s="340"/>
      <c r="Q882" s="340"/>
      <c r="R882" s="340"/>
      <c r="S882" s="340"/>
      <c r="T882" s="340"/>
      <c r="U882" s="340"/>
      <c r="V882" s="340"/>
      <c r="W882" s="340"/>
      <c r="X882" s="340"/>
      <c r="Y882" s="340"/>
      <c r="Z882" s="340"/>
      <c r="AA882" s="340"/>
      <c r="AB882" s="340"/>
      <c r="AC882" s="340"/>
    </row>
    <row r="883" spans="1:29">
      <c r="A883" s="340"/>
      <c r="B883" s="340"/>
      <c r="C883" s="340"/>
      <c r="D883" s="340"/>
      <c r="E883" s="340"/>
      <c r="F883" s="340"/>
      <c r="G883" s="340"/>
      <c r="H883" s="340"/>
      <c r="I883" s="340"/>
      <c r="J883" s="340"/>
      <c r="K883" s="340"/>
      <c r="L883" s="340"/>
      <c r="M883" s="340"/>
      <c r="N883" s="340"/>
      <c r="O883" s="340"/>
      <c r="P883" s="340"/>
      <c r="Q883" s="340"/>
      <c r="R883" s="340"/>
      <c r="S883" s="340"/>
      <c r="T883" s="340"/>
      <c r="U883" s="340"/>
      <c r="V883" s="340"/>
      <c r="W883" s="340"/>
      <c r="X883" s="340"/>
      <c r="Y883" s="340"/>
      <c r="Z883" s="340"/>
      <c r="AA883" s="340"/>
      <c r="AB883" s="340"/>
      <c r="AC883" s="340"/>
    </row>
    <row r="884" spans="1:29">
      <c r="A884" s="340"/>
      <c r="B884" s="340"/>
      <c r="C884" s="340"/>
      <c r="D884" s="340"/>
      <c r="E884" s="340"/>
      <c r="F884" s="340"/>
      <c r="G884" s="340"/>
      <c r="H884" s="340"/>
      <c r="I884" s="340"/>
      <c r="J884" s="340"/>
      <c r="K884" s="340"/>
      <c r="L884" s="340"/>
      <c r="M884" s="340"/>
      <c r="N884" s="340"/>
      <c r="O884" s="340"/>
      <c r="P884" s="340"/>
      <c r="Q884" s="340"/>
      <c r="R884" s="340"/>
      <c r="S884" s="340"/>
      <c r="T884" s="340"/>
      <c r="U884" s="340"/>
      <c r="V884" s="340"/>
      <c r="W884" s="340"/>
      <c r="X884" s="340"/>
      <c r="Y884" s="340"/>
      <c r="Z884" s="340"/>
      <c r="AA884" s="340"/>
      <c r="AB884" s="340"/>
      <c r="AC884" s="340"/>
    </row>
    <row r="885" spans="1:29">
      <c r="A885" s="340"/>
      <c r="B885" s="340"/>
      <c r="C885" s="340"/>
      <c r="D885" s="340"/>
      <c r="E885" s="340"/>
      <c r="F885" s="340"/>
      <c r="G885" s="340"/>
      <c r="H885" s="340"/>
      <c r="I885" s="340"/>
      <c r="J885" s="340"/>
      <c r="K885" s="340"/>
      <c r="L885" s="340"/>
      <c r="M885" s="340"/>
      <c r="N885" s="340"/>
      <c r="O885" s="340"/>
      <c r="P885" s="340"/>
      <c r="Q885" s="340"/>
      <c r="R885" s="340"/>
      <c r="S885" s="340"/>
      <c r="T885" s="340"/>
      <c r="U885" s="340"/>
      <c r="V885" s="340"/>
      <c r="W885" s="340"/>
      <c r="X885" s="340"/>
      <c r="Y885" s="340"/>
      <c r="Z885" s="340"/>
      <c r="AA885" s="340"/>
      <c r="AB885" s="340"/>
      <c r="AC885" s="340"/>
    </row>
    <row r="886" spans="1:29">
      <c r="A886" s="340"/>
      <c r="B886" s="340"/>
      <c r="C886" s="340"/>
      <c r="D886" s="340"/>
      <c r="E886" s="340"/>
      <c r="F886" s="340"/>
      <c r="G886" s="340"/>
      <c r="H886" s="340"/>
      <c r="I886" s="340"/>
      <c r="J886" s="340"/>
      <c r="K886" s="340"/>
      <c r="L886" s="340"/>
      <c r="M886" s="340"/>
      <c r="N886" s="340"/>
      <c r="O886" s="340"/>
      <c r="P886" s="340"/>
      <c r="Q886" s="340"/>
      <c r="R886" s="340"/>
      <c r="S886" s="340"/>
      <c r="T886" s="340"/>
      <c r="U886" s="340"/>
      <c r="V886" s="340"/>
      <c r="W886" s="340"/>
      <c r="X886" s="340"/>
      <c r="Y886" s="340"/>
      <c r="Z886" s="340"/>
      <c r="AA886" s="340"/>
      <c r="AB886" s="340"/>
      <c r="AC886" s="340"/>
    </row>
    <row r="887" spans="1:29">
      <c r="A887" s="340"/>
      <c r="B887" s="340"/>
      <c r="C887" s="340"/>
      <c r="D887" s="340"/>
      <c r="E887" s="340"/>
      <c r="F887" s="340"/>
      <c r="G887" s="340"/>
      <c r="H887" s="340"/>
      <c r="I887" s="340"/>
      <c r="J887" s="340"/>
      <c r="K887" s="340"/>
      <c r="L887" s="340"/>
      <c r="M887" s="340"/>
      <c r="N887" s="340"/>
      <c r="O887" s="340"/>
      <c r="P887" s="340"/>
      <c r="Q887" s="340"/>
      <c r="R887" s="340"/>
      <c r="S887" s="340"/>
      <c r="T887" s="340"/>
      <c r="U887" s="340"/>
      <c r="V887" s="340"/>
      <c r="W887" s="340"/>
      <c r="X887" s="340"/>
      <c r="Y887" s="340"/>
      <c r="Z887" s="340"/>
      <c r="AA887" s="340"/>
      <c r="AB887" s="340"/>
      <c r="AC887" s="340"/>
    </row>
    <row r="888" spans="1:29">
      <c r="A888" s="340"/>
      <c r="B888" s="340"/>
      <c r="C888" s="340"/>
      <c r="D888" s="340"/>
      <c r="E888" s="340"/>
      <c r="F888" s="340"/>
      <c r="G888" s="340"/>
      <c r="H888" s="340"/>
      <c r="I888" s="340"/>
      <c r="J888" s="340"/>
      <c r="K888" s="340"/>
      <c r="L888" s="340"/>
      <c r="M888" s="340"/>
      <c r="N888" s="340"/>
      <c r="O888" s="340"/>
      <c r="P888" s="340"/>
      <c r="Q888" s="340"/>
      <c r="R888" s="340"/>
      <c r="S888" s="340"/>
      <c r="T888" s="340"/>
      <c r="U888" s="340"/>
      <c r="V888" s="340"/>
      <c r="W888" s="340"/>
      <c r="X888" s="340"/>
      <c r="Y888" s="340"/>
      <c r="Z888" s="340"/>
      <c r="AA888" s="340"/>
      <c r="AB888" s="340"/>
      <c r="AC888" s="340"/>
    </row>
    <row r="889" spans="1:29">
      <c r="A889" s="340"/>
      <c r="B889" s="340"/>
      <c r="C889" s="340"/>
      <c r="D889" s="340"/>
      <c r="E889" s="340"/>
      <c r="F889" s="340"/>
      <c r="G889" s="340"/>
      <c r="H889" s="340"/>
      <c r="I889" s="340"/>
      <c r="J889" s="340"/>
      <c r="K889" s="340"/>
      <c r="L889" s="340"/>
      <c r="M889" s="340"/>
      <c r="N889" s="340"/>
      <c r="O889" s="340"/>
      <c r="P889" s="340"/>
      <c r="Q889" s="340"/>
      <c r="R889" s="340"/>
      <c r="S889" s="340"/>
      <c r="T889" s="340"/>
      <c r="U889" s="340"/>
      <c r="V889" s="340"/>
      <c r="W889" s="340"/>
      <c r="X889" s="340"/>
      <c r="Y889" s="340"/>
      <c r="Z889" s="340"/>
      <c r="AA889" s="340"/>
      <c r="AB889" s="340"/>
      <c r="AC889" s="340"/>
    </row>
    <row r="890" spans="1:29">
      <c r="A890" s="340"/>
      <c r="B890" s="340"/>
      <c r="C890" s="340"/>
      <c r="D890" s="340"/>
      <c r="E890" s="340"/>
      <c r="F890" s="340"/>
      <c r="G890" s="340"/>
      <c r="H890" s="340"/>
      <c r="I890" s="340"/>
      <c r="J890" s="340"/>
      <c r="K890" s="340"/>
      <c r="L890" s="340"/>
      <c r="M890" s="340"/>
      <c r="N890" s="340"/>
      <c r="O890" s="340"/>
      <c r="P890" s="340"/>
      <c r="Q890" s="340"/>
      <c r="R890" s="340"/>
      <c r="S890" s="340"/>
      <c r="T890" s="340"/>
      <c r="U890" s="340"/>
      <c r="V890" s="340"/>
      <c r="W890" s="340"/>
      <c r="X890" s="340"/>
      <c r="Y890" s="340"/>
      <c r="Z890" s="340"/>
      <c r="AA890" s="340"/>
      <c r="AB890" s="340"/>
      <c r="AC890" s="340"/>
    </row>
    <row r="891" spans="1:29">
      <c r="A891" s="340"/>
      <c r="B891" s="340"/>
      <c r="C891" s="340"/>
      <c r="D891" s="340"/>
      <c r="E891" s="340"/>
      <c r="F891" s="340"/>
      <c r="G891" s="340"/>
      <c r="H891" s="340"/>
      <c r="I891" s="340"/>
      <c r="J891" s="340"/>
      <c r="K891" s="340"/>
      <c r="L891" s="340"/>
      <c r="M891" s="340"/>
      <c r="N891" s="340"/>
      <c r="O891" s="340"/>
      <c r="P891" s="340"/>
      <c r="Q891" s="340"/>
      <c r="R891" s="340"/>
      <c r="S891" s="340"/>
      <c r="T891" s="340"/>
      <c r="U891" s="340"/>
      <c r="V891" s="340"/>
      <c r="W891" s="340"/>
      <c r="X891" s="340"/>
      <c r="Y891" s="340"/>
      <c r="Z891" s="340"/>
      <c r="AA891" s="340"/>
      <c r="AB891" s="340"/>
      <c r="AC891" s="340"/>
    </row>
    <row r="892" spans="1:29">
      <c r="A892" s="340"/>
      <c r="B892" s="340"/>
      <c r="C892" s="340"/>
      <c r="D892" s="340"/>
      <c r="E892" s="340"/>
      <c r="F892" s="340"/>
      <c r="G892" s="340"/>
      <c r="H892" s="340"/>
      <c r="I892" s="340"/>
      <c r="J892" s="340"/>
      <c r="K892" s="340"/>
      <c r="L892" s="340"/>
      <c r="M892" s="340"/>
      <c r="N892" s="340"/>
      <c r="O892" s="340"/>
      <c r="P892" s="340"/>
      <c r="Q892" s="340"/>
      <c r="R892" s="340"/>
      <c r="S892" s="340"/>
      <c r="T892" s="340"/>
      <c r="U892" s="340"/>
      <c r="V892" s="340"/>
      <c r="W892" s="340"/>
      <c r="X892" s="340"/>
      <c r="Y892" s="340"/>
      <c r="Z892" s="340"/>
      <c r="AA892" s="340"/>
      <c r="AB892" s="340"/>
      <c r="AC892" s="340"/>
    </row>
    <row r="893" spans="1:29">
      <c r="A893" s="340"/>
      <c r="B893" s="340"/>
      <c r="C893" s="340"/>
      <c r="D893" s="340"/>
      <c r="E893" s="340"/>
      <c r="F893" s="340"/>
      <c r="G893" s="340"/>
      <c r="H893" s="340"/>
      <c r="I893" s="340"/>
      <c r="J893" s="340"/>
      <c r="K893" s="340"/>
      <c r="L893" s="340"/>
      <c r="M893" s="340"/>
      <c r="N893" s="340"/>
      <c r="O893" s="340"/>
      <c r="P893" s="340"/>
      <c r="Q893" s="340"/>
      <c r="R893" s="340"/>
      <c r="S893" s="340"/>
      <c r="T893" s="340"/>
      <c r="U893" s="340"/>
      <c r="V893" s="340"/>
      <c r="W893" s="340"/>
      <c r="X893" s="340"/>
      <c r="Y893" s="340"/>
      <c r="Z893" s="340"/>
      <c r="AA893" s="340"/>
      <c r="AB893" s="340"/>
      <c r="AC893" s="340"/>
    </row>
    <row r="894" spans="1:29">
      <c r="A894" s="340"/>
      <c r="B894" s="340"/>
      <c r="C894" s="340"/>
      <c r="D894" s="340"/>
      <c r="E894" s="340"/>
      <c r="F894" s="340"/>
      <c r="G894" s="340"/>
      <c r="H894" s="340"/>
      <c r="I894" s="340"/>
      <c r="J894" s="340"/>
      <c r="K894" s="340"/>
      <c r="L894" s="340"/>
      <c r="M894" s="340"/>
      <c r="N894" s="340"/>
      <c r="O894" s="340"/>
      <c r="P894" s="340"/>
      <c r="Q894" s="340"/>
      <c r="R894" s="340"/>
      <c r="S894" s="340"/>
      <c r="T894" s="340"/>
      <c r="U894" s="340"/>
      <c r="V894" s="340"/>
      <c r="W894" s="340"/>
      <c r="X894" s="340"/>
      <c r="Y894" s="340"/>
      <c r="Z894" s="340"/>
      <c r="AA894" s="340"/>
      <c r="AB894" s="340"/>
      <c r="AC894" s="340"/>
    </row>
    <row r="895" spans="1:29">
      <c r="A895" s="340"/>
      <c r="B895" s="340"/>
      <c r="C895" s="340"/>
      <c r="D895" s="340"/>
      <c r="E895" s="340"/>
      <c r="F895" s="340"/>
      <c r="G895" s="340"/>
      <c r="H895" s="340"/>
      <c r="I895" s="340"/>
      <c r="J895" s="340"/>
      <c r="K895" s="340"/>
      <c r="L895" s="340"/>
      <c r="M895" s="340"/>
      <c r="N895" s="340"/>
      <c r="O895" s="340"/>
      <c r="P895" s="340"/>
      <c r="Q895" s="340"/>
      <c r="R895" s="340"/>
      <c r="S895" s="340"/>
      <c r="T895" s="340"/>
      <c r="U895" s="340"/>
      <c r="V895" s="340"/>
      <c r="W895" s="340"/>
      <c r="X895" s="340"/>
      <c r="Y895" s="340"/>
      <c r="Z895" s="340"/>
      <c r="AA895" s="340"/>
      <c r="AB895" s="340"/>
      <c r="AC895" s="340"/>
    </row>
    <row r="896" spans="1:29">
      <c r="A896" s="340"/>
      <c r="B896" s="340"/>
      <c r="C896" s="340"/>
      <c r="D896" s="340"/>
      <c r="E896" s="340"/>
      <c r="F896" s="340"/>
      <c r="G896" s="340"/>
      <c r="H896" s="340"/>
      <c r="I896" s="340"/>
      <c r="J896" s="340"/>
      <c r="K896" s="340"/>
      <c r="L896" s="340"/>
      <c r="M896" s="340"/>
      <c r="N896" s="340"/>
      <c r="O896" s="340"/>
      <c r="P896" s="340"/>
      <c r="Q896" s="340"/>
      <c r="R896" s="340"/>
      <c r="S896" s="340"/>
      <c r="T896" s="340"/>
      <c r="U896" s="340"/>
      <c r="V896" s="340"/>
      <c r="W896" s="340"/>
      <c r="X896" s="340"/>
      <c r="Y896" s="340"/>
      <c r="Z896" s="340"/>
      <c r="AA896" s="340"/>
      <c r="AB896" s="340"/>
      <c r="AC896" s="340"/>
    </row>
    <row r="897" spans="1:29">
      <c r="A897" s="340"/>
      <c r="B897" s="340"/>
      <c r="C897" s="340"/>
      <c r="D897" s="340"/>
      <c r="E897" s="340"/>
      <c r="F897" s="340"/>
      <c r="G897" s="340"/>
      <c r="H897" s="340"/>
      <c r="I897" s="340"/>
      <c r="J897" s="340"/>
      <c r="K897" s="340"/>
      <c r="L897" s="340"/>
      <c r="M897" s="340"/>
      <c r="N897" s="340"/>
      <c r="O897" s="340"/>
      <c r="P897" s="340"/>
      <c r="Q897" s="340"/>
      <c r="R897" s="340"/>
      <c r="S897" s="340"/>
      <c r="T897" s="340"/>
      <c r="U897" s="340"/>
      <c r="V897" s="340"/>
      <c r="W897" s="340"/>
      <c r="X897" s="340"/>
      <c r="Y897" s="340"/>
      <c r="Z897" s="340"/>
      <c r="AA897" s="340"/>
      <c r="AB897" s="340"/>
      <c r="AC897" s="340"/>
    </row>
    <row r="898" spans="1:29">
      <c r="A898" s="340"/>
      <c r="B898" s="340"/>
      <c r="C898" s="340"/>
      <c r="D898" s="340"/>
      <c r="E898" s="340"/>
      <c r="F898" s="340"/>
      <c r="G898" s="340"/>
      <c r="H898" s="340"/>
      <c r="I898" s="340"/>
      <c r="J898" s="340"/>
      <c r="K898" s="340"/>
      <c r="L898" s="340"/>
      <c r="M898" s="340"/>
      <c r="N898" s="340"/>
      <c r="O898" s="340"/>
      <c r="P898" s="340"/>
      <c r="Q898" s="340"/>
      <c r="R898" s="340"/>
      <c r="S898" s="340"/>
      <c r="T898" s="340"/>
      <c r="U898" s="340"/>
      <c r="V898" s="340"/>
      <c r="W898" s="340"/>
      <c r="X898" s="340"/>
      <c r="Y898" s="340"/>
      <c r="Z898" s="340"/>
      <c r="AA898" s="340"/>
      <c r="AB898" s="340"/>
      <c r="AC898" s="340"/>
    </row>
    <row r="899" spans="1:29">
      <c r="A899" s="340"/>
      <c r="B899" s="340"/>
      <c r="C899" s="340"/>
      <c r="D899" s="340"/>
      <c r="E899" s="340"/>
      <c r="F899" s="340"/>
      <c r="G899" s="340"/>
      <c r="H899" s="340"/>
      <c r="I899" s="340"/>
      <c r="J899" s="340"/>
      <c r="K899" s="340"/>
      <c r="L899" s="340"/>
      <c r="M899" s="340"/>
      <c r="N899" s="340"/>
      <c r="O899" s="340"/>
      <c r="P899" s="340"/>
      <c r="Q899" s="340"/>
      <c r="R899" s="340"/>
      <c r="S899" s="340"/>
      <c r="T899" s="340"/>
      <c r="U899" s="340"/>
      <c r="V899" s="340"/>
      <c r="W899" s="340"/>
      <c r="X899" s="340"/>
      <c r="Y899" s="340"/>
      <c r="Z899" s="340"/>
      <c r="AA899" s="340"/>
      <c r="AB899" s="340"/>
      <c r="AC899" s="340"/>
    </row>
    <row r="900" spans="1:29">
      <c r="A900" s="340"/>
      <c r="B900" s="340"/>
      <c r="C900" s="340"/>
      <c r="D900" s="340"/>
      <c r="E900" s="340"/>
      <c r="F900" s="340"/>
      <c r="G900" s="340"/>
      <c r="H900" s="340"/>
      <c r="I900" s="340"/>
      <c r="J900" s="340"/>
      <c r="K900" s="340"/>
      <c r="L900" s="340"/>
      <c r="M900" s="340"/>
      <c r="N900" s="340"/>
      <c r="O900" s="340"/>
      <c r="P900" s="340"/>
      <c r="Q900" s="340"/>
      <c r="R900" s="340"/>
      <c r="S900" s="340"/>
      <c r="T900" s="340"/>
      <c r="U900" s="340"/>
      <c r="V900" s="340"/>
      <c r="W900" s="340"/>
      <c r="X900" s="340"/>
      <c r="Y900" s="340"/>
      <c r="Z900" s="340"/>
      <c r="AA900" s="340"/>
      <c r="AB900" s="340"/>
      <c r="AC900" s="340"/>
    </row>
    <row r="901" spans="1:29">
      <c r="A901" s="340"/>
      <c r="B901" s="340"/>
      <c r="C901" s="340"/>
      <c r="D901" s="340"/>
      <c r="E901" s="340"/>
      <c r="F901" s="340"/>
      <c r="G901" s="340"/>
      <c r="H901" s="340"/>
      <c r="I901" s="340"/>
      <c r="J901" s="340"/>
      <c r="K901" s="340"/>
      <c r="L901" s="340"/>
      <c r="M901" s="340"/>
      <c r="N901" s="340"/>
      <c r="O901" s="340"/>
      <c r="P901" s="340"/>
      <c r="Q901" s="340"/>
      <c r="R901" s="340"/>
      <c r="S901" s="340"/>
      <c r="T901" s="340"/>
      <c r="U901" s="340"/>
      <c r="V901" s="340"/>
      <c r="W901" s="340"/>
      <c r="X901" s="340"/>
      <c r="Y901" s="340"/>
      <c r="Z901" s="340"/>
      <c r="AA901" s="340"/>
      <c r="AB901" s="340"/>
      <c r="AC901" s="340"/>
    </row>
    <row r="902" spans="1:29">
      <c r="A902" s="340"/>
      <c r="B902" s="340"/>
      <c r="C902" s="340"/>
      <c r="D902" s="340"/>
      <c r="E902" s="340"/>
      <c r="F902" s="340"/>
      <c r="G902" s="340"/>
      <c r="H902" s="340"/>
      <c r="I902" s="340"/>
      <c r="J902" s="340"/>
      <c r="K902" s="340"/>
      <c r="L902" s="340"/>
      <c r="M902" s="340"/>
      <c r="N902" s="340"/>
      <c r="O902" s="340"/>
      <c r="P902" s="340"/>
      <c r="Q902" s="340"/>
      <c r="R902" s="340"/>
      <c r="S902" s="340"/>
      <c r="T902" s="340"/>
      <c r="U902" s="340"/>
      <c r="V902" s="340"/>
      <c r="W902" s="340"/>
      <c r="X902" s="340"/>
      <c r="Y902" s="340"/>
      <c r="Z902" s="340"/>
      <c r="AA902" s="340"/>
      <c r="AB902" s="340"/>
      <c r="AC902" s="340"/>
    </row>
    <row r="903" spans="1:29">
      <c r="A903" s="340"/>
      <c r="B903" s="340"/>
      <c r="C903" s="340"/>
      <c r="D903" s="340"/>
      <c r="E903" s="340"/>
      <c r="F903" s="340"/>
      <c r="G903" s="340"/>
      <c r="H903" s="340"/>
      <c r="I903" s="340"/>
      <c r="J903" s="340"/>
      <c r="K903" s="340"/>
      <c r="L903" s="340"/>
      <c r="M903" s="340"/>
      <c r="N903" s="340"/>
      <c r="O903" s="340"/>
      <c r="P903" s="340"/>
      <c r="Q903" s="340"/>
      <c r="R903" s="340"/>
      <c r="S903" s="340"/>
      <c r="T903" s="340"/>
      <c r="U903" s="340"/>
      <c r="V903" s="340"/>
      <c r="W903" s="340"/>
      <c r="X903" s="340"/>
      <c r="Y903" s="340"/>
      <c r="Z903" s="340"/>
      <c r="AA903" s="340"/>
      <c r="AB903" s="340"/>
      <c r="AC903" s="340"/>
    </row>
    <row r="904" spans="1:29">
      <c r="A904" s="340"/>
      <c r="B904" s="340"/>
      <c r="C904" s="340"/>
      <c r="D904" s="340"/>
      <c r="E904" s="340"/>
      <c r="F904" s="340"/>
      <c r="G904" s="340"/>
      <c r="H904" s="340"/>
      <c r="I904" s="340"/>
      <c r="J904" s="340"/>
      <c r="K904" s="340"/>
      <c r="L904" s="340"/>
      <c r="M904" s="340"/>
      <c r="N904" s="340"/>
      <c r="O904" s="340"/>
      <c r="P904" s="340"/>
      <c r="Q904" s="340"/>
      <c r="R904" s="340"/>
      <c r="S904" s="340"/>
      <c r="T904" s="340"/>
      <c r="U904" s="340"/>
      <c r="V904" s="340"/>
      <c r="W904" s="340"/>
      <c r="X904" s="340"/>
      <c r="Y904" s="340"/>
      <c r="Z904" s="340"/>
      <c r="AA904" s="340"/>
      <c r="AB904" s="340"/>
      <c r="AC904" s="340"/>
    </row>
    <row r="905" spans="1:29">
      <c r="A905" s="340"/>
      <c r="B905" s="340"/>
      <c r="C905" s="340"/>
      <c r="D905" s="340"/>
      <c r="E905" s="340"/>
      <c r="F905" s="340"/>
      <c r="G905" s="340"/>
      <c r="H905" s="340"/>
      <c r="I905" s="340"/>
      <c r="J905" s="340"/>
      <c r="K905" s="340"/>
      <c r="L905" s="340"/>
      <c r="M905" s="340"/>
      <c r="N905" s="340"/>
      <c r="O905" s="340"/>
      <c r="P905" s="340"/>
      <c r="Q905" s="340"/>
      <c r="R905" s="340"/>
      <c r="S905" s="340"/>
      <c r="T905" s="340"/>
      <c r="U905" s="340"/>
      <c r="V905" s="340"/>
      <c r="W905" s="340"/>
      <c r="X905" s="340"/>
      <c r="Y905" s="340"/>
      <c r="Z905" s="340"/>
      <c r="AA905" s="340"/>
      <c r="AB905" s="340"/>
      <c r="AC905" s="340"/>
    </row>
    <row r="906" spans="1:29">
      <c r="A906" s="340"/>
      <c r="B906" s="340"/>
      <c r="C906" s="340"/>
      <c r="D906" s="340"/>
      <c r="E906" s="340"/>
      <c r="F906" s="340"/>
      <c r="G906" s="340"/>
      <c r="H906" s="340"/>
      <c r="I906" s="340"/>
      <c r="J906" s="340"/>
      <c r="K906" s="340"/>
      <c r="L906" s="340"/>
      <c r="M906" s="340"/>
      <c r="N906" s="340"/>
      <c r="O906" s="340"/>
      <c r="P906" s="340"/>
      <c r="Q906" s="340"/>
      <c r="R906" s="340"/>
      <c r="S906" s="340"/>
      <c r="T906" s="340"/>
      <c r="U906" s="340"/>
      <c r="V906" s="340"/>
      <c r="W906" s="340"/>
      <c r="X906" s="340"/>
      <c r="Y906" s="340"/>
      <c r="Z906" s="340"/>
      <c r="AA906" s="340"/>
      <c r="AB906" s="340"/>
      <c r="AC906" s="340"/>
    </row>
    <row r="907" spans="1:29">
      <c r="A907" s="340"/>
      <c r="B907" s="340"/>
      <c r="C907" s="340"/>
      <c r="D907" s="340"/>
      <c r="E907" s="340"/>
      <c r="F907" s="340"/>
      <c r="G907" s="340"/>
      <c r="H907" s="340"/>
      <c r="I907" s="340"/>
      <c r="J907" s="340"/>
      <c r="K907" s="340"/>
      <c r="L907" s="340"/>
      <c r="M907" s="340"/>
      <c r="N907" s="340"/>
      <c r="O907" s="340"/>
      <c r="P907" s="340"/>
      <c r="Q907" s="340"/>
      <c r="R907" s="340"/>
      <c r="S907" s="340"/>
      <c r="T907" s="340"/>
      <c r="U907" s="340"/>
      <c r="V907" s="340"/>
      <c r="W907" s="340"/>
      <c r="X907" s="340"/>
      <c r="Y907" s="340"/>
      <c r="Z907" s="340"/>
      <c r="AA907" s="340"/>
      <c r="AB907" s="340"/>
      <c r="AC907" s="340"/>
    </row>
    <row r="908" spans="1:29">
      <c r="A908" s="340"/>
      <c r="B908" s="340"/>
      <c r="C908" s="340"/>
      <c r="D908" s="340"/>
      <c r="E908" s="340"/>
      <c r="F908" s="340"/>
      <c r="G908" s="340"/>
      <c r="H908" s="340"/>
      <c r="I908" s="340"/>
      <c r="J908" s="340"/>
      <c r="K908" s="340"/>
      <c r="L908" s="340"/>
      <c r="M908" s="340"/>
      <c r="N908" s="340"/>
      <c r="O908" s="340"/>
      <c r="P908" s="340"/>
      <c r="Q908" s="340"/>
      <c r="R908" s="340"/>
      <c r="S908" s="340"/>
      <c r="T908" s="340"/>
      <c r="U908" s="340"/>
      <c r="V908" s="340"/>
      <c r="W908" s="340"/>
      <c r="X908" s="340"/>
      <c r="Y908" s="340"/>
      <c r="Z908" s="340"/>
      <c r="AA908" s="340"/>
      <c r="AB908" s="340"/>
      <c r="AC908" s="340"/>
    </row>
    <row r="909" spans="1:29">
      <c r="A909" s="340"/>
      <c r="B909" s="340"/>
      <c r="C909" s="340"/>
      <c r="D909" s="340"/>
      <c r="E909" s="340"/>
      <c r="F909" s="340"/>
      <c r="G909" s="340"/>
      <c r="H909" s="340"/>
      <c r="I909" s="340"/>
      <c r="J909" s="340"/>
      <c r="K909" s="340"/>
      <c r="L909" s="340"/>
      <c r="M909" s="340"/>
      <c r="N909" s="340"/>
      <c r="O909" s="340"/>
      <c r="P909" s="340"/>
      <c r="Q909" s="340"/>
      <c r="R909" s="340"/>
      <c r="S909" s="340"/>
      <c r="T909" s="340"/>
      <c r="U909" s="340"/>
      <c r="V909" s="340"/>
      <c r="W909" s="340"/>
      <c r="X909" s="340"/>
      <c r="Y909" s="340"/>
      <c r="Z909" s="340"/>
      <c r="AA909" s="340"/>
      <c r="AB909" s="340"/>
      <c r="AC909" s="340"/>
    </row>
    <row r="910" spans="1:29">
      <c r="A910" s="340"/>
      <c r="B910" s="340"/>
      <c r="C910" s="340"/>
      <c r="D910" s="340"/>
      <c r="E910" s="340"/>
      <c r="F910" s="340"/>
      <c r="G910" s="340"/>
      <c r="H910" s="340"/>
      <c r="I910" s="340"/>
      <c r="J910" s="340"/>
      <c r="K910" s="340"/>
      <c r="L910" s="340"/>
      <c r="M910" s="340"/>
      <c r="N910" s="340"/>
      <c r="O910" s="340"/>
      <c r="P910" s="340"/>
      <c r="Q910" s="340"/>
      <c r="R910" s="340"/>
      <c r="S910" s="340"/>
      <c r="T910" s="340"/>
      <c r="U910" s="340"/>
      <c r="V910" s="340"/>
      <c r="W910" s="340"/>
      <c r="X910" s="340"/>
      <c r="Y910" s="340"/>
      <c r="Z910" s="340"/>
      <c r="AA910" s="340"/>
      <c r="AB910" s="340"/>
      <c r="AC910" s="340"/>
    </row>
    <row r="911" spans="1:29">
      <c r="A911" s="340"/>
      <c r="B911" s="340"/>
      <c r="C911" s="340"/>
      <c r="D911" s="340"/>
      <c r="E911" s="340"/>
      <c r="F911" s="340"/>
      <c r="G911" s="340"/>
      <c r="H911" s="340"/>
      <c r="I911" s="340"/>
      <c r="J911" s="340"/>
      <c r="K911" s="340"/>
      <c r="L911" s="340"/>
      <c r="M911" s="340"/>
      <c r="N911" s="340"/>
      <c r="O911" s="340"/>
      <c r="P911" s="340"/>
      <c r="Q911" s="340"/>
      <c r="R911" s="340"/>
      <c r="S911" s="340"/>
      <c r="T911" s="340"/>
      <c r="U911" s="340"/>
      <c r="V911" s="340"/>
      <c r="W911" s="340"/>
      <c r="X911" s="340"/>
      <c r="Y911" s="340"/>
      <c r="Z911" s="340"/>
      <c r="AA911" s="340"/>
      <c r="AB911" s="340"/>
      <c r="AC911" s="340"/>
    </row>
    <row r="912" spans="1:29">
      <c r="A912" s="340"/>
      <c r="B912" s="340"/>
      <c r="C912" s="340"/>
      <c r="D912" s="340"/>
      <c r="E912" s="340"/>
      <c r="F912" s="340"/>
      <c r="G912" s="340"/>
      <c r="H912" s="340"/>
      <c r="I912" s="340"/>
      <c r="J912" s="340"/>
      <c r="K912" s="340"/>
      <c r="L912" s="340"/>
      <c r="M912" s="340"/>
      <c r="N912" s="340"/>
      <c r="O912" s="340"/>
      <c r="P912" s="340"/>
      <c r="Q912" s="340"/>
      <c r="R912" s="340"/>
      <c r="S912" s="340"/>
      <c r="T912" s="340"/>
      <c r="U912" s="340"/>
      <c r="V912" s="340"/>
      <c r="W912" s="340"/>
      <c r="X912" s="340"/>
      <c r="Y912" s="340"/>
      <c r="Z912" s="340"/>
      <c r="AA912" s="340"/>
      <c r="AB912" s="340"/>
      <c r="AC912" s="340"/>
    </row>
    <row r="913" spans="1:29">
      <c r="A913" s="340"/>
      <c r="B913" s="340"/>
      <c r="C913" s="340"/>
      <c r="D913" s="340"/>
      <c r="E913" s="340"/>
      <c r="F913" s="340"/>
      <c r="G913" s="340"/>
      <c r="H913" s="340"/>
      <c r="I913" s="340"/>
      <c r="J913" s="340"/>
      <c r="K913" s="340"/>
      <c r="L913" s="340"/>
      <c r="M913" s="340"/>
      <c r="N913" s="340"/>
      <c r="O913" s="340"/>
      <c r="P913" s="340"/>
      <c r="Q913" s="340"/>
      <c r="R913" s="340"/>
      <c r="S913" s="340"/>
      <c r="T913" s="340"/>
      <c r="U913" s="340"/>
      <c r="V913" s="340"/>
      <c r="W913" s="340"/>
      <c r="X913" s="340"/>
      <c r="Y913" s="340"/>
      <c r="Z913" s="340"/>
      <c r="AA913" s="340"/>
      <c r="AB913" s="340"/>
      <c r="AC913" s="340"/>
    </row>
    <row r="914" spans="1:29">
      <c r="A914" s="340"/>
      <c r="B914" s="340"/>
      <c r="C914" s="340"/>
      <c r="D914" s="340"/>
      <c r="E914" s="340"/>
      <c r="F914" s="340"/>
      <c r="G914" s="340"/>
      <c r="H914" s="340"/>
      <c r="I914" s="340"/>
      <c r="J914" s="340"/>
      <c r="K914" s="340"/>
      <c r="L914" s="340"/>
      <c r="M914" s="340"/>
      <c r="N914" s="340"/>
      <c r="O914" s="340"/>
      <c r="P914" s="340"/>
      <c r="Q914" s="340"/>
      <c r="R914" s="340"/>
      <c r="S914" s="340"/>
      <c r="T914" s="340"/>
      <c r="U914" s="340"/>
      <c r="V914" s="340"/>
      <c r="W914" s="340"/>
      <c r="X914" s="340"/>
      <c r="Y914" s="340"/>
      <c r="Z914" s="340"/>
      <c r="AA914" s="340"/>
      <c r="AB914" s="340"/>
      <c r="AC914" s="340"/>
    </row>
    <row r="915" spans="1:29">
      <c r="A915" s="340"/>
      <c r="B915" s="340"/>
      <c r="C915" s="340"/>
      <c r="D915" s="340"/>
      <c r="E915" s="340"/>
      <c r="F915" s="340"/>
      <c r="G915" s="340"/>
      <c r="H915" s="340"/>
      <c r="I915" s="340"/>
      <c r="J915" s="340"/>
      <c r="K915" s="340"/>
      <c r="L915" s="340"/>
      <c r="M915" s="340"/>
      <c r="N915" s="340"/>
      <c r="O915" s="340"/>
      <c r="P915" s="340"/>
      <c r="Q915" s="340"/>
      <c r="R915" s="340"/>
      <c r="S915" s="340"/>
      <c r="T915" s="340"/>
      <c r="U915" s="340"/>
      <c r="V915" s="340"/>
      <c r="W915" s="340"/>
      <c r="X915" s="340"/>
      <c r="Y915" s="340"/>
      <c r="Z915" s="340"/>
      <c r="AA915" s="340"/>
      <c r="AB915" s="340"/>
      <c r="AC915" s="340"/>
    </row>
    <row r="916" spans="1:29">
      <c r="A916" s="340"/>
      <c r="B916" s="340"/>
      <c r="C916" s="340"/>
      <c r="D916" s="340"/>
      <c r="E916" s="340"/>
      <c r="F916" s="340"/>
      <c r="G916" s="340"/>
      <c r="H916" s="340"/>
      <c r="I916" s="340"/>
      <c r="J916" s="340"/>
      <c r="K916" s="340"/>
      <c r="L916" s="340"/>
      <c r="M916" s="340"/>
      <c r="N916" s="340"/>
      <c r="O916" s="340"/>
      <c r="P916" s="340"/>
      <c r="Q916" s="340"/>
      <c r="R916" s="340"/>
      <c r="S916" s="340"/>
      <c r="T916" s="340"/>
      <c r="U916" s="340"/>
      <c r="V916" s="340"/>
      <c r="W916" s="340"/>
      <c r="X916" s="340"/>
      <c r="Y916" s="340"/>
      <c r="Z916" s="340"/>
      <c r="AA916" s="340"/>
      <c r="AB916" s="340"/>
      <c r="AC916" s="340"/>
    </row>
    <row r="917" spans="1:29">
      <c r="A917" s="340"/>
      <c r="B917" s="340"/>
      <c r="C917" s="340"/>
      <c r="D917" s="340"/>
      <c r="E917" s="340"/>
      <c r="F917" s="340"/>
      <c r="G917" s="340"/>
      <c r="H917" s="340"/>
      <c r="I917" s="340"/>
      <c r="J917" s="340"/>
      <c r="K917" s="340"/>
      <c r="L917" s="340"/>
      <c r="M917" s="340"/>
      <c r="N917" s="340"/>
      <c r="O917" s="340"/>
      <c r="P917" s="340"/>
      <c r="Q917" s="340"/>
      <c r="R917" s="340"/>
      <c r="S917" s="340"/>
      <c r="T917" s="340"/>
      <c r="U917" s="340"/>
      <c r="V917" s="340"/>
      <c r="W917" s="340"/>
      <c r="X917" s="340"/>
      <c r="Y917" s="340"/>
      <c r="Z917" s="340"/>
      <c r="AA917" s="340"/>
      <c r="AB917" s="340"/>
      <c r="AC917" s="340"/>
    </row>
    <row r="918" spans="1:29">
      <c r="A918" s="340"/>
      <c r="B918" s="340"/>
      <c r="C918" s="340"/>
      <c r="D918" s="340"/>
      <c r="E918" s="340"/>
      <c r="F918" s="340"/>
      <c r="G918" s="340"/>
      <c r="H918" s="340"/>
      <c r="I918" s="340"/>
      <c r="J918" s="340"/>
      <c r="K918" s="340"/>
      <c r="L918" s="340"/>
      <c r="M918" s="340"/>
      <c r="N918" s="340"/>
      <c r="O918" s="340"/>
      <c r="P918" s="340"/>
      <c r="Q918" s="340"/>
      <c r="R918" s="340"/>
      <c r="S918" s="340"/>
      <c r="T918" s="340"/>
      <c r="U918" s="340"/>
      <c r="V918" s="340"/>
      <c r="W918" s="340"/>
      <c r="X918" s="340"/>
      <c r="Y918" s="340"/>
      <c r="Z918" s="340"/>
      <c r="AA918" s="340"/>
      <c r="AB918" s="340"/>
      <c r="AC918" s="340"/>
    </row>
    <row r="919" spans="1:29">
      <c r="A919" s="340"/>
      <c r="B919" s="340"/>
      <c r="C919" s="340"/>
      <c r="D919" s="340"/>
      <c r="E919" s="340"/>
      <c r="F919" s="340"/>
      <c r="G919" s="340"/>
      <c r="H919" s="340"/>
      <c r="I919" s="340"/>
      <c r="J919" s="340"/>
      <c r="K919" s="340"/>
      <c r="L919" s="340"/>
      <c r="M919" s="340"/>
      <c r="N919" s="340"/>
      <c r="O919" s="340"/>
      <c r="P919" s="340"/>
      <c r="Q919" s="340"/>
      <c r="R919" s="340"/>
      <c r="S919" s="340"/>
      <c r="T919" s="340"/>
      <c r="U919" s="340"/>
      <c r="V919" s="340"/>
      <c r="W919" s="340"/>
      <c r="X919" s="340"/>
      <c r="Y919" s="340"/>
      <c r="Z919" s="340"/>
      <c r="AA919" s="340"/>
      <c r="AB919" s="340"/>
      <c r="AC919" s="340"/>
    </row>
    <row r="920" spans="1:29">
      <c r="A920" s="340"/>
      <c r="B920" s="340"/>
      <c r="C920" s="340"/>
      <c r="D920" s="340"/>
      <c r="E920" s="340"/>
      <c r="F920" s="340"/>
      <c r="G920" s="340"/>
      <c r="H920" s="340"/>
      <c r="I920" s="340"/>
      <c r="J920" s="340"/>
      <c r="K920" s="340"/>
      <c r="L920" s="340"/>
      <c r="M920" s="340"/>
      <c r="N920" s="340"/>
      <c r="O920" s="340"/>
      <c r="P920" s="340"/>
      <c r="Q920" s="340"/>
      <c r="R920" s="340"/>
      <c r="S920" s="340"/>
      <c r="T920" s="340"/>
      <c r="U920" s="340"/>
      <c r="V920" s="340"/>
      <c r="W920" s="340"/>
      <c r="X920" s="340"/>
      <c r="Y920" s="340"/>
      <c r="Z920" s="340"/>
      <c r="AA920" s="340"/>
      <c r="AB920" s="340"/>
      <c r="AC920" s="340"/>
    </row>
    <row r="921" spans="1:29">
      <c r="A921" s="340"/>
      <c r="B921" s="340"/>
      <c r="C921" s="340"/>
      <c r="D921" s="340"/>
      <c r="E921" s="340"/>
      <c r="F921" s="340"/>
      <c r="G921" s="340"/>
      <c r="H921" s="340"/>
      <c r="I921" s="340"/>
      <c r="J921" s="340"/>
      <c r="K921" s="340"/>
      <c r="L921" s="340"/>
      <c r="M921" s="340"/>
      <c r="N921" s="340"/>
      <c r="O921" s="340"/>
      <c r="P921" s="340"/>
      <c r="Q921" s="340"/>
      <c r="R921" s="340"/>
      <c r="S921" s="340"/>
      <c r="T921" s="340"/>
      <c r="U921" s="340"/>
      <c r="V921" s="340"/>
      <c r="W921" s="340"/>
      <c r="X921" s="340"/>
      <c r="Y921" s="340"/>
      <c r="Z921" s="340"/>
      <c r="AA921" s="340"/>
      <c r="AB921" s="340"/>
      <c r="AC921" s="340"/>
    </row>
    <row r="922" spans="1:29">
      <c r="A922" s="340"/>
      <c r="B922" s="340"/>
      <c r="C922" s="340"/>
      <c r="D922" s="340"/>
      <c r="E922" s="340"/>
      <c r="F922" s="340"/>
      <c r="G922" s="340"/>
      <c r="H922" s="340"/>
      <c r="I922" s="340"/>
      <c r="J922" s="340"/>
      <c r="K922" s="340"/>
      <c r="L922" s="340"/>
      <c r="M922" s="340"/>
      <c r="N922" s="340"/>
      <c r="O922" s="340"/>
      <c r="P922" s="340"/>
      <c r="Q922" s="340"/>
      <c r="R922" s="340"/>
      <c r="S922" s="340"/>
      <c r="T922" s="340"/>
      <c r="U922" s="340"/>
      <c r="V922" s="340"/>
      <c r="W922" s="340"/>
      <c r="X922" s="340"/>
      <c r="Y922" s="340"/>
      <c r="Z922" s="340"/>
      <c r="AA922" s="340"/>
      <c r="AB922" s="340"/>
      <c r="AC922" s="340"/>
    </row>
    <row r="923" spans="1:29">
      <c r="A923" s="340"/>
      <c r="B923" s="340"/>
      <c r="C923" s="340"/>
      <c r="D923" s="340"/>
      <c r="E923" s="340"/>
      <c r="F923" s="340"/>
      <c r="G923" s="340"/>
      <c r="H923" s="340"/>
      <c r="I923" s="340"/>
      <c r="J923" s="340"/>
      <c r="K923" s="340"/>
      <c r="L923" s="340"/>
      <c r="M923" s="340"/>
      <c r="N923" s="340"/>
      <c r="O923" s="340"/>
      <c r="P923" s="340"/>
      <c r="Q923" s="340"/>
      <c r="R923" s="340"/>
      <c r="S923" s="340"/>
      <c r="T923" s="340"/>
      <c r="U923" s="340"/>
      <c r="V923" s="340"/>
      <c r="W923" s="340"/>
      <c r="X923" s="340"/>
      <c r="Y923" s="340"/>
      <c r="Z923" s="340"/>
      <c r="AA923" s="340"/>
      <c r="AB923" s="340"/>
      <c r="AC923" s="340"/>
    </row>
    <row r="924" spans="1:29">
      <c r="A924" s="340"/>
      <c r="B924" s="340"/>
      <c r="C924" s="340"/>
      <c r="D924" s="340"/>
      <c r="E924" s="340"/>
      <c r="F924" s="340"/>
      <c r="G924" s="340"/>
      <c r="H924" s="340"/>
      <c r="I924" s="340"/>
      <c r="J924" s="340"/>
      <c r="K924" s="340"/>
      <c r="L924" s="340"/>
      <c r="M924" s="340"/>
      <c r="N924" s="340"/>
      <c r="O924" s="340"/>
      <c r="P924" s="340"/>
      <c r="Q924" s="340"/>
      <c r="R924" s="340"/>
      <c r="S924" s="340"/>
      <c r="T924" s="340"/>
      <c r="U924" s="340"/>
      <c r="V924" s="340"/>
      <c r="W924" s="340"/>
      <c r="X924" s="340"/>
      <c r="Y924" s="340"/>
      <c r="Z924" s="340"/>
      <c r="AA924" s="340"/>
      <c r="AB924" s="340"/>
      <c r="AC924" s="340"/>
    </row>
    <row r="925" spans="1:29">
      <c r="A925" s="340"/>
      <c r="B925" s="340"/>
      <c r="C925" s="340"/>
      <c r="D925" s="340"/>
      <c r="E925" s="340"/>
      <c r="F925" s="340"/>
      <c r="G925" s="340"/>
      <c r="H925" s="340"/>
      <c r="I925" s="340"/>
      <c r="J925" s="340"/>
      <c r="K925" s="340"/>
      <c r="L925" s="340"/>
      <c r="M925" s="340"/>
      <c r="N925" s="340"/>
      <c r="O925" s="340"/>
      <c r="P925" s="340"/>
      <c r="Q925" s="340"/>
      <c r="R925" s="340"/>
      <c r="S925" s="340"/>
      <c r="T925" s="340"/>
      <c r="U925" s="340"/>
      <c r="V925" s="340"/>
      <c r="W925" s="340"/>
      <c r="X925" s="340"/>
      <c r="Y925" s="340"/>
      <c r="Z925" s="340"/>
      <c r="AA925" s="340"/>
      <c r="AB925" s="340"/>
      <c r="AC925" s="340"/>
    </row>
    <row r="926" spans="1:29">
      <c r="A926" s="340"/>
      <c r="B926" s="340"/>
      <c r="C926" s="340"/>
      <c r="D926" s="340"/>
      <c r="E926" s="340"/>
      <c r="F926" s="340"/>
      <c r="G926" s="340"/>
      <c r="H926" s="340"/>
      <c r="I926" s="340"/>
      <c r="J926" s="340"/>
      <c r="K926" s="340"/>
      <c r="L926" s="340"/>
      <c r="M926" s="340"/>
      <c r="N926" s="340"/>
      <c r="O926" s="340"/>
      <c r="P926" s="340"/>
      <c r="Q926" s="340"/>
      <c r="R926" s="340"/>
      <c r="S926" s="340"/>
      <c r="T926" s="340"/>
      <c r="U926" s="340"/>
      <c r="V926" s="340"/>
      <c r="W926" s="340"/>
      <c r="X926" s="340"/>
      <c r="Y926" s="340"/>
      <c r="Z926" s="340"/>
      <c r="AA926" s="340"/>
      <c r="AB926" s="340"/>
      <c r="AC926" s="340"/>
    </row>
    <row r="927" spans="1:29">
      <c r="A927" s="340"/>
      <c r="B927" s="340"/>
      <c r="C927" s="340"/>
      <c r="D927" s="340"/>
      <c r="E927" s="340"/>
      <c r="F927" s="340"/>
      <c r="G927" s="340"/>
      <c r="H927" s="340"/>
      <c r="I927" s="340"/>
      <c r="J927" s="340"/>
      <c r="K927" s="340"/>
      <c r="L927" s="340"/>
      <c r="M927" s="340"/>
      <c r="N927" s="340"/>
      <c r="O927" s="340"/>
      <c r="P927" s="340"/>
      <c r="Q927" s="340"/>
      <c r="R927" s="340"/>
      <c r="S927" s="340"/>
      <c r="T927" s="340"/>
      <c r="U927" s="340"/>
      <c r="V927" s="340"/>
      <c r="W927" s="340"/>
      <c r="X927" s="340"/>
      <c r="Y927" s="340"/>
      <c r="Z927" s="340"/>
      <c r="AA927" s="340"/>
      <c r="AB927" s="340"/>
      <c r="AC927" s="340"/>
    </row>
    <row r="928" spans="1:29">
      <c r="A928" s="340"/>
      <c r="B928" s="340"/>
      <c r="C928" s="340"/>
      <c r="D928" s="340"/>
      <c r="E928" s="340"/>
      <c r="F928" s="340"/>
      <c r="G928" s="340"/>
      <c r="H928" s="340"/>
      <c r="I928" s="340"/>
      <c r="J928" s="340"/>
      <c r="K928" s="340"/>
      <c r="L928" s="340"/>
      <c r="M928" s="340"/>
      <c r="N928" s="340"/>
      <c r="O928" s="340"/>
      <c r="P928" s="340"/>
      <c r="Q928" s="340"/>
      <c r="R928" s="340"/>
      <c r="S928" s="340"/>
      <c r="T928" s="340"/>
      <c r="U928" s="340"/>
      <c r="V928" s="340"/>
      <c r="W928" s="340"/>
      <c r="X928" s="340"/>
      <c r="Y928" s="340"/>
      <c r="Z928" s="340"/>
      <c r="AA928" s="340"/>
      <c r="AB928" s="340"/>
      <c r="AC928" s="340"/>
    </row>
    <row r="929" spans="1:29">
      <c r="A929" s="340"/>
      <c r="B929" s="340"/>
      <c r="C929" s="340"/>
      <c r="D929" s="340"/>
      <c r="E929" s="340"/>
      <c r="F929" s="340"/>
      <c r="G929" s="340"/>
      <c r="H929" s="340"/>
      <c r="I929" s="340"/>
      <c r="J929" s="340"/>
      <c r="K929" s="340"/>
      <c r="L929" s="340"/>
      <c r="M929" s="340"/>
      <c r="N929" s="340"/>
      <c r="O929" s="340"/>
      <c r="P929" s="340"/>
      <c r="Q929" s="340"/>
      <c r="R929" s="340"/>
      <c r="S929" s="340"/>
      <c r="T929" s="340"/>
      <c r="U929" s="340"/>
      <c r="V929" s="340"/>
      <c r="W929" s="340"/>
      <c r="X929" s="340"/>
      <c r="Y929" s="340"/>
      <c r="Z929" s="340"/>
      <c r="AA929" s="340"/>
      <c r="AB929" s="340"/>
      <c r="AC929" s="340"/>
    </row>
    <row r="930" spans="1:29">
      <c r="A930" s="340"/>
      <c r="B930" s="340"/>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c r="AA930" s="340"/>
      <c r="AB930" s="340"/>
      <c r="AC930" s="340"/>
    </row>
    <row r="931" spans="1:29">
      <c r="A931" s="340"/>
      <c r="B931" s="340"/>
      <c r="C931" s="340"/>
      <c r="D931" s="340"/>
      <c r="E931" s="340"/>
      <c r="F931" s="340"/>
      <c r="G931" s="340"/>
      <c r="H931" s="340"/>
      <c r="I931" s="340"/>
      <c r="J931" s="340"/>
      <c r="K931" s="340"/>
      <c r="L931" s="340"/>
      <c r="M931" s="340"/>
      <c r="N931" s="340"/>
      <c r="O931" s="340"/>
      <c r="P931" s="340"/>
      <c r="Q931" s="340"/>
      <c r="R931" s="340"/>
      <c r="S931" s="340"/>
      <c r="T931" s="340"/>
      <c r="U931" s="340"/>
      <c r="V931" s="340"/>
      <c r="W931" s="340"/>
      <c r="X931" s="340"/>
      <c r="Y931" s="340"/>
      <c r="Z931" s="340"/>
      <c r="AA931" s="340"/>
      <c r="AB931" s="340"/>
      <c r="AC931" s="340"/>
    </row>
    <row r="932" spans="1:29">
      <c r="A932" s="340"/>
      <c r="B932" s="340"/>
      <c r="C932" s="340"/>
      <c r="D932" s="340"/>
      <c r="E932" s="340"/>
      <c r="F932" s="340"/>
      <c r="G932" s="340"/>
      <c r="H932" s="340"/>
      <c r="I932" s="340"/>
      <c r="J932" s="340"/>
      <c r="K932" s="340"/>
      <c r="L932" s="340"/>
      <c r="M932" s="340"/>
      <c r="N932" s="340"/>
      <c r="O932" s="340"/>
      <c r="P932" s="340"/>
      <c r="Q932" s="340"/>
      <c r="R932" s="340"/>
      <c r="S932" s="340"/>
      <c r="T932" s="340"/>
      <c r="U932" s="340"/>
      <c r="V932" s="340"/>
      <c r="W932" s="340"/>
      <c r="X932" s="340"/>
      <c r="Y932" s="340"/>
      <c r="Z932" s="340"/>
      <c r="AA932" s="340"/>
      <c r="AB932" s="340"/>
      <c r="AC932" s="340"/>
    </row>
    <row r="933" spans="1:29">
      <c r="A933" s="340"/>
      <c r="B933" s="340"/>
      <c r="C933" s="340"/>
      <c r="D933" s="340"/>
      <c r="E933" s="340"/>
      <c r="F933" s="340"/>
      <c r="G933" s="340"/>
      <c r="H933" s="340"/>
      <c r="I933" s="340"/>
      <c r="J933" s="340"/>
      <c r="K933" s="340"/>
      <c r="L933" s="340"/>
      <c r="M933" s="340"/>
      <c r="N933" s="340"/>
      <c r="O933" s="340"/>
      <c r="P933" s="340"/>
      <c r="Q933" s="340"/>
      <c r="R933" s="340"/>
      <c r="S933" s="340"/>
      <c r="T933" s="340"/>
      <c r="U933" s="340"/>
      <c r="V933" s="340"/>
      <c r="W933" s="340"/>
      <c r="X933" s="340"/>
      <c r="Y933" s="340"/>
      <c r="Z933" s="340"/>
      <c r="AA933" s="340"/>
      <c r="AB933" s="340"/>
      <c r="AC933" s="340"/>
    </row>
    <row r="934" spans="1:29">
      <c r="A934" s="340"/>
      <c r="B934" s="340"/>
      <c r="C934" s="340"/>
      <c r="D934" s="340"/>
      <c r="E934" s="340"/>
      <c r="F934" s="340"/>
      <c r="G934" s="340"/>
      <c r="H934" s="340"/>
      <c r="I934" s="340"/>
      <c r="J934" s="340"/>
      <c r="K934" s="340"/>
      <c r="L934" s="340"/>
      <c r="M934" s="340"/>
      <c r="N934" s="340"/>
      <c r="O934" s="340"/>
      <c r="P934" s="340"/>
      <c r="Q934" s="340"/>
      <c r="R934" s="340"/>
      <c r="S934" s="340"/>
      <c r="T934" s="340"/>
      <c r="U934" s="340"/>
      <c r="V934" s="340"/>
      <c r="W934" s="340"/>
      <c r="X934" s="340"/>
      <c r="Y934" s="340"/>
      <c r="Z934" s="340"/>
      <c r="AA934" s="340"/>
      <c r="AB934" s="340"/>
      <c r="AC934" s="340"/>
    </row>
    <row r="935" spans="1:29">
      <c r="A935" s="340"/>
      <c r="B935" s="340"/>
      <c r="C935" s="340"/>
      <c r="D935" s="340"/>
      <c r="E935" s="340"/>
      <c r="F935" s="340"/>
      <c r="G935" s="340"/>
      <c r="H935" s="340"/>
      <c r="I935" s="340"/>
      <c r="J935" s="340"/>
      <c r="K935" s="340"/>
      <c r="L935" s="340"/>
      <c r="M935" s="340"/>
      <c r="N935" s="340"/>
      <c r="O935" s="340"/>
      <c r="P935" s="340"/>
      <c r="Q935" s="340"/>
      <c r="R935" s="340"/>
      <c r="S935" s="340"/>
      <c r="T935" s="340"/>
      <c r="U935" s="340"/>
      <c r="V935" s="340"/>
      <c r="W935" s="340"/>
      <c r="X935" s="340"/>
      <c r="Y935" s="340"/>
      <c r="Z935" s="340"/>
      <c r="AA935" s="340"/>
      <c r="AB935" s="340"/>
      <c r="AC935" s="340"/>
    </row>
    <row r="936" spans="1:29">
      <c r="A936" s="340"/>
      <c r="B936" s="340"/>
      <c r="C936" s="340"/>
      <c r="D936" s="340"/>
      <c r="E936" s="340"/>
      <c r="F936" s="340"/>
      <c r="G936" s="340"/>
      <c r="H936" s="340"/>
      <c r="I936" s="340"/>
      <c r="J936" s="340"/>
      <c r="K936" s="340"/>
      <c r="L936" s="340"/>
      <c r="M936" s="340"/>
      <c r="N936" s="340"/>
      <c r="O936" s="340"/>
      <c r="P936" s="340"/>
      <c r="Q936" s="340"/>
      <c r="R936" s="340"/>
      <c r="S936" s="340"/>
      <c r="T936" s="340"/>
      <c r="U936" s="340"/>
      <c r="V936" s="340"/>
      <c r="W936" s="340"/>
      <c r="X936" s="340"/>
      <c r="Y936" s="340"/>
      <c r="Z936" s="340"/>
      <c r="AA936" s="340"/>
      <c r="AB936" s="340"/>
      <c r="AC936" s="340"/>
    </row>
    <row r="937" spans="1:29">
      <c r="A937" s="340"/>
      <c r="B937" s="340"/>
      <c r="C937" s="340"/>
      <c r="D937" s="340"/>
      <c r="E937" s="340"/>
      <c r="F937" s="340"/>
      <c r="G937" s="340"/>
      <c r="H937" s="340"/>
      <c r="I937" s="340"/>
      <c r="J937" s="340"/>
      <c r="K937" s="340"/>
      <c r="L937" s="340"/>
      <c r="M937" s="340"/>
      <c r="N937" s="340"/>
      <c r="O937" s="340"/>
      <c r="P937" s="340"/>
      <c r="Q937" s="340"/>
      <c r="R937" s="340"/>
      <c r="S937" s="340"/>
      <c r="T937" s="340"/>
      <c r="U937" s="340"/>
      <c r="V937" s="340"/>
      <c r="W937" s="340"/>
      <c r="X937" s="340"/>
      <c r="Y937" s="340"/>
      <c r="Z937" s="340"/>
      <c r="AA937" s="340"/>
      <c r="AB937" s="340"/>
      <c r="AC937" s="340"/>
    </row>
    <row r="938" spans="1:29">
      <c r="A938" s="340"/>
      <c r="B938" s="340"/>
      <c r="C938" s="340"/>
      <c r="D938" s="340"/>
      <c r="E938" s="340"/>
      <c r="F938" s="340"/>
      <c r="G938" s="340"/>
      <c r="H938" s="340"/>
      <c r="I938" s="340"/>
      <c r="J938" s="340"/>
      <c r="K938" s="340"/>
      <c r="L938" s="340"/>
      <c r="M938" s="340"/>
      <c r="N938" s="340"/>
      <c r="O938" s="340"/>
      <c r="P938" s="340"/>
      <c r="Q938" s="340"/>
      <c r="R938" s="340"/>
      <c r="S938" s="340"/>
      <c r="T938" s="340"/>
      <c r="U938" s="340"/>
      <c r="V938" s="340"/>
      <c r="W938" s="340"/>
      <c r="X938" s="340"/>
      <c r="Y938" s="340"/>
      <c r="Z938" s="340"/>
      <c r="AA938" s="340"/>
      <c r="AB938" s="340"/>
      <c r="AC938" s="340"/>
    </row>
    <row r="939" spans="1:29">
      <c r="A939" s="340"/>
      <c r="B939" s="340"/>
      <c r="C939" s="340"/>
      <c r="D939" s="340"/>
      <c r="E939" s="340"/>
      <c r="F939" s="340"/>
      <c r="G939" s="340"/>
      <c r="H939" s="340"/>
      <c r="I939" s="340"/>
      <c r="J939" s="340"/>
      <c r="K939" s="340"/>
      <c r="L939" s="340"/>
      <c r="M939" s="340"/>
      <c r="N939" s="340"/>
      <c r="O939" s="340"/>
      <c r="P939" s="340"/>
      <c r="Q939" s="340"/>
      <c r="R939" s="340"/>
      <c r="S939" s="340"/>
      <c r="T939" s="340"/>
      <c r="U939" s="340"/>
      <c r="V939" s="340"/>
      <c r="W939" s="340"/>
      <c r="X939" s="340"/>
      <c r="Y939" s="340"/>
      <c r="Z939" s="340"/>
      <c r="AA939" s="340"/>
      <c r="AB939" s="340"/>
      <c r="AC939" s="340"/>
    </row>
    <row r="940" spans="1:29">
      <c r="A940" s="340"/>
      <c r="B940" s="340"/>
      <c r="C940" s="340"/>
      <c r="D940" s="340"/>
      <c r="E940" s="340"/>
      <c r="F940" s="340"/>
      <c r="G940" s="340"/>
      <c r="H940" s="340"/>
      <c r="I940" s="340"/>
      <c r="J940" s="340"/>
      <c r="K940" s="340"/>
      <c r="L940" s="340"/>
      <c r="M940" s="340"/>
      <c r="N940" s="340"/>
      <c r="O940" s="340"/>
      <c r="P940" s="340"/>
      <c r="Q940" s="340"/>
      <c r="R940" s="340"/>
      <c r="S940" s="340"/>
      <c r="T940" s="340"/>
      <c r="U940" s="340"/>
      <c r="V940" s="340"/>
      <c r="W940" s="340"/>
      <c r="X940" s="340"/>
      <c r="Y940" s="340"/>
      <c r="Z940" s="340"/>
      <c r="AA940" s="340"/>
      <c r="AB940" s="340"/>
      <c r="AC940" s="340"/>
    </row>
    <row r="941" spans="1:29">
      <c r="A941" s="340"/>
      <c r="B941" s="340"/>
      <c r="C941" s="340"/>
      <c r="D941" s="340"/>
      <c r="E941" s="340"/>
      <c r="F941" s="340"/>
      <c r="G941" s="340"/>
      <c r="H941" s="340"/>
      <c r="I941" s="340"/>
      <c r="J941" s="340"/>
      <c r="K941" s="340"/>
      <c r="L941" s="340"/>
      <c r="M941" s="340"/>
      <c r="N941" s="340"/>
      <c r="O941" s="340"/>
      <c r="P941" s="340"/>
      <c r="Q941" s="340"/>
      <c r="R941" s="340"/>
      <c r="S941" s="340"/>
      <c r="T941" s="340"/>
      <c r="U941" s="340"/>
      <c r="V941" s="340"/>
      <c r="W941" s="340"/>
      <c r="X941" s="340"/>
      <c r="Y941" s="340"/>
      <c r="Z941" s="340"/>
      <c r="AA941" s="340"/>
      <c r="AB941" s="340"/>
      <c r="AC941" s="340"/>
    </row>
    <row r="942" spans="1:29">
      <c r="A942" s="340"/>
      <c r="B942" s="340"/>
      <c r="C942" s="340"/>
      <c r="D942" s="340"/>
      <c r="E942" s="340"/>
      <c r="F942" s="340"/>
      <c r="G942" s="340"/>
      <c r="H942" s="340"/>
      <c r="I942" s="340"/>
      <c r="J942" s="340"/>
      <c r="K942" s="340"/>
      <c r="L942" s="340"/>
      <c r="M942" s="340"/>
      <c r="N942" s="340"/>
      <c r="O942" s="340"/>
      <c r="P942" s="340"/>
      <c r="Q942" s="340"/>
      <c r="R942" s="340"/>
      <c r="S942" s="340"/>
      <c r="T942" s="340"/>
      <c r="U942" s="340"/>
      <c r="V942" s="340"/>
      <c r="W942" s="340"/>
      <c r="X942" s="340"/>
      <c r="Y942" s="340"/>
      <c r="Z942" s="340"/>
      <c r="AA942" s="340"/>
      <c r="AB942" s="340"/>
      <c r="AC942" s="340"/>
    </row>
    <row r="943" spans="1:29">
      <c r="A943" s="340"/>
      <c r="B943" s="340"/>
      <c r="C943" s="340"/>
      <c r="D943" s="340"/>
      <c r="E943" s="340"/>
      <c r="F943" s="340"/>
      <c r="G943" s="340"/>
      <c r="H943" s="340"/>
      <c r="I943" s="340"/>
      <c r="J943" s="340"/>
      <c r="K943" s="340"/>
      <c r="L943" s="340"/>
      <c r="M943" s="340"/>
      <c r="N943" s="340"/>
      <c r="O943" s="340"/>
      <c r="P943" s="340"/>
      <c r="Q943" s="340"/>
      <c r="R943" s="340"/>
      <c r="S943" s="340"/>
      <c r="T943" s="340"/>
      <c r="U943" s="340"/>
      <c r="V943" s="340"/>
      <c r="W943" s="340"/>
      <c r="X943" s="340"/>
      <c r="Y943" s="340"/>
      <c r="Z943" s="340"/>
      <c r="AA943" s="340"/>
      <c r="AB943" s="340"/>
      <c r="AC943" s="340"/>
    </row>
    <row r="944" spans="1:29">
      <c r="A944" s="340"/>
      <c r="B944" s="340"/>
      <c r="C944" s="340"/>
      <c r="D944" s="340"/>
      <c r="E944" s="340"/>
      <c r="F944" s="340"/>
      <c r="G944" s="340"/>
      <c r="H944" s="340"/>
      <c r="I944" s="340"/>
      <c r="J944" s="340"/>
      <c r="K944" s="340"/>
      <c r="L944" s="340"/>
      <c r="M944" s="340"/>
      <c r="N944" s="340"/>
      <c r="O944" s="340"/>
      <c r="P944" s="340"/>
      <c r="Q944" s="340"/>
      <c r="R944" s="340"/>
      <c r="S944" s="340"/>
      <c r="T944" s="340"/>
      <c r="U944" s="340"/>
      <c r="V944" s="340"/>
      <c r="W944" s="340"/>
      <c r="X944" s="340"/>
      <c r="Y944" s="340"/>
      <c r="Z944" s="340"/>
      <c r="AA944" s="340"/>
      <c r="AB944" s="340"/>
      <c r="AC944" s="340"/>
    </row>
    <row r="945" spans="1:29">
      <c r="A945" s="340"/>
      <c r="B945" s="340"/>
      <c r="C945" s="340"/>
      <c r="D945" s="340"/>
      <c r="E945" s="340"/>
      <c r="F945" s="340"/>
      <c r="G945" s="340"/>
      <c r="H945" s="340"/>
      <c r="I945" s="340"/>
      <c r="J945" s="340"/>
      <c r="K945" s="340"/>
      <c r="L945" s="340"/>
      <c r="M945" s="340"/>
      <c r="N945" s="340"/>
      <c r="O945" s="340"/>
      <c r="P945" s="340"/>
      <c r="Q945" s="340"/>
      <c r="R945" s="340"/>
      <c r="S945" s="340"/>
      <c r="T945" s="340"/>
      <c r="U945" s="340"/>
      <c r="V945" s="340"/>
      <c r="W945" s="340"/>
      <c r="X945" s="340"/>
      <c r="Y945" s="340"/>
      <c r="Z945" s="340"/>
      <c r="AA945" s="340"/>
      <c r="AB945" s="340"/>
      <c r="AC945" s="340"/>
    </row>
    <row r="946" spans="1:29">
      <c r="A946" s="340"/>
      <c r="B946" s="340"/>
      <c r="C946" s="340"/>
      <c r="D946" s="340"/>
      <c r="E946" s="340"/>
      <c r="F946" s="340"/>
      <c r="G946" s="340"/>
      <c r="H946" s="340"/>
      <c r="I946" s="340"/>
      <c r="J946" s="340"/>
      <c r="K946" s="340"/>
      <c r="L946" s="340"/>
      <c r="M946" s="340"/>
      <c r="N946" s="340"/>
      <c r="O946" s="340"/>
      <c r="P946" s="340"/>
      <c r="Q946" s="340"/>
      <c r="R946" s="340"/>
      <c r="S946" s="340"/>
      <c r="T946" s="340"/>
      <c r="U946" s="340"/>
      <c r="V946" s="340"/>
      <c r="W946" s="340"/>
      <c r="X946" s="340"/>
      <c r="Y946" s="340"/>
      <c r="Z946" s="340"/>
      <c r="AA946" s="340"/>
      <c r="AB946" s="340"/>
      <c r="AC946" s="340"/>
    </row>
    <row r="947" spans="1:29">
      <c r="A947" s="340"/>
      <c r="B947" s="340"/>
      <c r="C947" s="340"/>
      <c r="D947" s="340"/>
      <c r="E947" s="340"/>
      <c r="F947" s="340"/>
      <c r="G947" s="340"/>
      <c r="H947" s="340"/>
      <c r="I947" s="340"/>
      <c r="J947" s="340"/>
      <c r="K947" s="340"/>
      <c r="L947" s="340"/>
      <c r="M947" s="340"/>
      <c r="N947" s="340"/>
      <c r="O947" s="340"/>
      <c r="P947" s="340"/>
      <c r="Q947" s="340"/>
      <c r="R947" s="340"/>
      <c r="S947" s="340"/>
      <c r="T947" s="340"/>
      <c r="U947" s="340"/>
      <c r="V947" s="340"/>
      <c r="W947" s="340"/>
      <c r="X947" s="340"/>
      <c r="Y947" s="340"/>
      <c r="Z947" s="340"/>
      <c r="AA947" s="340"/>
      <c r="AB947" s="340"/>
      <c r="AC947" s="340"/>
    </row>
    <row r="948" spans="1:29">
      <c r="A948" s="340"/>
      <c r="B948" s="340"/>
      <c r="C948" s="340"/>
      <c r="D948" s="340"/>
      <c r="E948" s="340"/>
      <c r="F948" s="340"/>
      <c r="G948" s="340"/>
      <c r="H948" s="340"/>
      <c r="I948" s="340"/>
      <c r="J948" s="340"/>
      <c r="K948" s="340"/>
      <c r="L948" s="340"/>
      <c r="M948" s="340"/>
      <c r="N948" s="340"/>
      <c r="O948" s="340"/>
      <c r="P948" s="340"/>
      <c r="Q948" s="340"/>
      <c r="R948" s="340"/>
      <c r="S948" s="340"/>
      <c r="T948" s="340"/>
      <c r="U948" s="340"/>
      <c r="V948" s="340"/>
      <c r="W948" s="340"/>
      <c r="X948" s="340"/>
      <c r="Y948" s="340"/>
      <c r="Z948" s="340"/>
      <c r="AA948" s="340"/>
      <c r="AB948" s="340"/>
      <c r="AC948" s="340"/>
    </row>
    <row r="949" spans="1:29">
      <c r="A949" s="340"/>
      <c r="B949" s="340"/>
      <c r="C949" s="340"/>
      <c r="D949" s="340"/>
      <c r="E949" s="340"/>
      <c r="F949" s="340"/>
      <c r="G949" s="340"/>
      <c r="H949" s="340"/>
      <c r="I949" s="340"/>
      <c r="J949" s="340"/>
      <c r="K949" s="340"/>
      <c r="L949" s="340"/>
      <c r="M949" s="340"/>
      <c r="N949" s="340"/>
      <c r="O949" s="340"/>
      <c r="P949" s="340"/>
      <c r="Q949" s="340"/>
      <c r="R949" s="340"/>
      <c r="S949" s="340"/>
      <c r="T949" s="340"/>
      <c r="U949" s="340"/>
      <c r="V949" s="340"/>
      <c r="W949" s="340"/>
      <c r="X949" s="340"/>
      <c r="Y949" s="340"/>
      <c r="Z949" s="340"/>
      <c r="AA949" s="340"/>
      <c r="AB949" s="340"/>
      <c r="AC949" s="340"/>
    </row>
    <row r="950" spans="1:29">
      <c r="A950" s="340"/>
      <c r="B950" s="340"/>
      <c r="C950" s="340"/>
      <c r="D950" s="340"/>
      <c r="E950" s="340"/>
      <c r="F950" s="340"/>
      <c r="G950" s="340"/>
      <c r="H950" s="340"/>
      <c r="I950" s="340"/>
      <c r="J950" s="340"/>
      <c r="K950" s="340"/>
      <c r="L950" s="340"/>
      <c r="M950" s="340"/>
      <c r="N950" s="340"/>
      <c r="O950" s="340"/>
      <c r="P950" s="340"/>
      <c r="Q950" s="340"/>
      <c r="R950" s="340"/>
      <c r="S950" s="340"/>
      <c r="T950" s="340"/>
      <c r="U950" s="340"/>
      <c r="V950" s="340"/>
      <c r="W950" s="340"/>
      <c r="X950" s="340"/>
      <c r="Y950" s="340"/>
      <c r="Z950" s="340"/>
      <c r="AA950" s="340"/>
      <c r="AB950" s="340"/>
      <c r="AC950" s="340"/>
    </row>
    <row r="951" spans="1:29">
      <c r="A951" s="340"/>
      <c r="B951" s="340"/>
      <c r="C951" s="340"/>
      <c r="D951" s="340"/>
      <c r="E951" s="340"/>
      <c r="F951" s="340"/>
      <c r="G951" s="340"/>
      <c r="H951" s="340"/>
      <c r="I951" s="340"/>
      <c r="J951" s="340"/>
      <c r="K951" s="340"/>
      <c r="L951" s="340"/>
      <c r="M951" s="340"/>
      <c r="N951" s="340"/>
      <c r="O951" s="340"/>
      <c r="P951" s="340"/>
      <c r="Q951" s="340"/>
      <c r="R951" s="340"/>
      <c r="S951" s="340"/>
      <c r="T951" s="340"/>
      <c r="U951" s="340"/>
      <c r="V951" s="340"/>
      <c r="W951" s="340"/>
      <c r="X951" s="340"/>
      <c r="Y951" s="340"/>
      <c r="Z951" s="340"/>
      <c r="AA951" s="340"/>
      <c r="AB951" s="340"/>
      <c r="AC951" s="340"/>
    </row>
    <row r="952" spans="1:29">
      <c r="A952" s="340"/>
      <c r="B952" s="340"/>
      <c r="C952" s="340"/>
      <c r="D952" s="340"/>
      <c r="E952" s="340"/>
      <c r="F952" s="340"/>
      <c r="G952" s="340"/>
      <c r="H952" s="340"/>
      <c r="I952" s="340"/>
      <c r="J952" s="340"/>
      <c r="K952" s="340"/>
      <c r="L952" s="340"/>
      <c r="M952" s="340"/>
      <c r="N952" s="340"/>
      <c r="O952" s="340"/>
      <c r="P952" s="340"/>
      <c r="Q952" s="340"/>
      <c r="R952" s="340"/>
      <c r="S952" s="340"/>
      <c r="T952" s="340"/>
      <c r="U952" s="340"/>
      <c r="V952" s="340"/>
      <c r="W952" s="340"/>
      <c r="X952" s="340"/>
      <c r="Y952" s="340"/>
      <c r="Z952" s="340"/>
      <c r="AA952" s="340"/>
      <c r="AB952" s="340"/>
      <c r="AC952" s="340"/>
    </row>
    <row r="953" spans="1:29">
      <c r="A953" s="340"/>
      <c r="B953" s="340"/>
      <c r="C953" s="340"/>
      <c r="D953" s="340"/>
      <c r="E953" s="340"/>
      <c r="F953" s="340"/>
      <c r="G953" s="340"/>
      <c r="H953" s="340"/>
      <c r="I953" s="340"/>
      <c r="J953" s="340"/>
      <c r="K953" s="340"/>
      <c r="L953" s="340"/>
      <c r="M953" s="340"/>
      <c r="N953" s="340"/>
      <c r="O953" s="340"/>
      <c r="P953" s="340"/>
      <c r="Q953" s="340"/>
      <c r="R953" s="340"/>
      <c r="S953" s="340"/>
      <c r="T953" s="340"/>
      <c r="U953" s="340"/>
      <c r="V953" s="340"/>
      <c r="W953" s="340"/>
      <c r="X953" s="340"/>
      <c r="Y953" s="340"/>
      <c r="Z953" s="340"/>
      <c r="AA953" s="340"/>
      <c r="AB953" s="340"/>
      <c r="AC953" s="340"/>
    </row>
    <row r="954" spans="1:29">
      <c r="A954" s="340"/>
      <c r="B954" s="340"/>
      <c r="C954" s="340"/>
      <c r="D954" s="340"/>
      <c r="E954" s="340"/>
      <c r="F954" s="340"/>
      <c r="G954" s="340"/>
      <c r="H954" s="340"/>
      <c r="I954" s="340"/>
      <c r="J954" s="340"/>
      <c r="K954" s="340"/>
      <c r="L954" s="340"/>
      <c r="M954" s="340"/>
      <c r="N954" s="340"/>
      <c r="O954" s="340"/>
      <c r="P954" s="340"/>
      <c r="Q954" s="340"/>
      <c r="R954" s="340"/>
      <c r="S954" s="340"/>
      <c r="T954" s="340"/>
      <c r="U954" s="340"/>
      <c r="V954" s="340"/>
      <c r="W954" s="340"/>
      <c r="X954" s="340"/>
      <c r="Y954" s="340"/>
      <c r="Z954" s="340"/>
      <c r="AA954" s="340"/>
      <c r="AB954" s="340"/>
      <c r="AC954" s="340"/>
    </row>
    <row r="955" spans="1:29">
      <c r="A955" s="340"/>
      <c r="B955" s="340"/>
      <c r="C955" s="340"/>
      <c r="D955" s="340"/>
      <c r="E955" s="340"/>
      <c r="F955" s="340"/>
      <c r="G955" s="340"/>
      <c r="H955" s="340"/>
      <c r="I955" s="340"/>
      <c r="J955" s="340"/>
      <c r="K955" s="340"/>
      <c r="L955" s="340"/>
      <c r="M955" s="340"/>
      <c r="N955" s="340"/>
      <c r="O955" s="340"/>
      <c r="P955" s="340"/>
      <c r="Q955" s="340"/>
      <c r="R955" s="340"/>
      <c r="S955" s="340"/>
      <c r="T955" s="340"/>
      <c r="U955" s="340"/>
      <c r="V955" s="340"/>
      <c r="W955" s="340"/>
      <c r="X955" s="340"/>
      <c r="Y955" s="340"/>
      <c r="Z955" s="340"/>
      <c r="AA955" s="340"/>
      <c r="AB955" s="340"/>
      <c r="AC955" s="340"/>
    </row>
    <row r="956" spans="1:29">
      <c r="A956" s="340"/>
      <c r="B956" s="340"/>
      <c r="C956" s="340"/>
      <c r="D956" s="340"/>
      <c r="E956" s="340"/>
      <c r="F956" s="340"/>
      <c r="G956" s="340"/>
      <c r="H956" s="340"/>
      <c r="I956" s="340"/>
      <c r="J956" s="340"/>
      <c r="K956" s="340"/>
      <c r="L956" s="340"/>
      <c r="M956" s="340"/>
      <c r="N956" s="340"/>
      <c r="O956" s="340"/>
      <c r="P956" s="340"/>
      <c r="Q956" s="340"/>
      <c r="R956" s="340"/>
      <c r="S956" s="340"/>
      <c r="T956" s="340"/>
      <c r="U956" s="340"/>
      <c r="V956" s="340"/>
      <c r="W956" s="340"/>
      <c r="X956" s="340"/>
      <c r="Y956" s="340"/>
      <c r="Z956" s="340"/>
      <c r="AA956" s="340"/>
      <c r="AB956" s="340"/>
      <c r="AC956" s="340"/>
    </row>
    <row r="957" spans="1:29">
      <c r="A957" s="340"/>
      <c r="B957" s="340"/>
      <c r="C957" s="340"/>
      <c r="D957" s="340"/>
      <c r="E957" s="340"/>
      <c r="F957" s="340"/>
      <c r="G957" s="340"/>
      <c r="H957" s="340"/>
      <c r="I957" s="340"/>
      <c r="J957" s="340"/>
      <c r="K957" s="340"/>
      <c r="L957" s="340"/>
      <c r="M957" s="340"/>
      <c r="N957" s="340"/>
      <c r="O957" s="340"/>
      <c r="P957" s="340"/>
      <c r="Q957" s="340"/>
      <c r="R957" s="340"/>
      <c r="S957" s="340"/>
      <c r="T957" s="340"/>
      <c r="U957" s="340"/>
      <c r="V957" s="340"/>
      <c r="W957" s="340"/>
      <c r="X957" s="340"/>
      <c r="Y957" s="340"/>
      <c r="Z957" s="340"/>
      <c r="AA957" s="340"/>
      <c r="AB957" s="340"/>
      <c r="AC957" s="340"/>
    </row>
    <row r="958" spans="1:29">
      <c r="A958" s="340"/>
      <c r="B958" s="340"/>
      <c r="C958" s="340"/>
      <c r="D958" s="340"/>
      <c r="E958" s="340"/>
      <c r="F958" s="340"/>
      <c r="G958" s="340"/>
      <c r="H958" s="340"/>
      <c r="I958" s="340"/>
      <c r="J958" s="340"/>
      <c r="K958" s="340"/>
      <c r="L958" s="340"/>
      <c r="M958" s="340"/>
      <c r="N958" s="340"/>
      <c r="O958" s="340"/>
      <c r="P958" s="340"/>
      <c r="Q958" s="340"/>
      <c r="R958" s="340"/>
      <c r="S958" s="340"/>
      <c r="T958" s="340"/>
      <c r="U958" s="340"/>
      <c r="V958" s="340"/>
      <c r="W958" s="340"/>
      <c r="X958" s="340"/>
      <c r="Y958" s="340"/>
      <c r="Z958" s="340"/>
      <c r="AA958" s="340"/>
      <c r="AB958" s="340"/>
      <c r="AC958" s="340"/>
    </row>
    <row r="959" spans="1:29">
      <c r="A959" s="340"/>
      <c r="B959" s="340"/>
      <c r="C959" s="340"/>
      <c r="D959" s="340"/>
      <c r="E959" s="340"/>
      <c r="F959" s="340"/>
      <c r="G959" s="340"/>
      <c r="H959" s="340"/>
      <c r="I959" s="340"/>
      <c r="J959" s="340"/>
      <c r="K959" s="340"/>
      <c r="L959" s="340"/>
      <c r="M959" s="340"/>
      <c r="N959" s="340"/>
      <c r="O959" s="340"/>
      <c r="P959" s="340"/>
      <c r="Q959" s="340"/>
      <c r="R959" s="340"/>
      <c r="S959" s="340"/>
      <c r="T959" s="340"/>
      <c r="U959" s="340"/>
      <c r="V959" s="340"/>
      <c r="W959" s="340"/>
      <c r="X959" s="340"/>
      <c r="Y959" s="340"/>
      <c r="Z959" s="340"/>
      <c r="AA959" s="340"/>
      <c r="AB959" s="340"/>
      <c r="AC959" s="340"/>
    </row>
    <row r="960" spans="1:29">
      <c r="A960" s="340"/>
      <c r="B960" s="340"/>
      <c r="C960" s="340"/>
      <c r="D960" s="340"/>
      <c r="E960" s="340"/>
      <c r="F960" s="340"/>
      <c r="G960" s="340"/>
      <c r="H960" s="340"/>
      <c r="I960" s="340"/>
      <c r="J960" s="340"/>
      <c r="K960" s="340"/>
      <c r="L960" s="340"/>
      <c r="M960" s="340"/>
      <c r="N960" s="340"/>
      <c r="O960" s="340"/>
      <c r="P960" s="340"/>
      <c r="Q960" s="340"/>
      <c r="R960" s="340"/>
      <c r="S960" s="340"/>
      <c r="T960" s="340"/>
      <c r="U960" s="340"/>
      <c r="V960" s="340"/>
      <c r="W960" s="340"/>
      <c r="X960" s="340"/>
      <c r="Y960" s="340"/>
      <c r="Z960" s="340"/>
      <c r="AA960" s="340"/>
      <c r="AB960" s="340"/>
      <c r="AC960" s="340"/>
    </row>
    <row r="961" spans="1:29">
      <c r="A961" s="340"/>
      <c r="B961" s="340"/>
      <c r="C961" s="340"/>
      <c r="D961" s="340"/>
      <c r="E961" s="340"/>
      <c r="F961" s="340"/>
      <c r="G961" s="340"/>
      <c r="H961" s="340"/>
      <c r="I961" s="340"/>
      <c r="J961" s="340"/>
      <c r="K961" s="340"/>
      <c r="L961" s="340"/>
      <c r="M961" s="340"/>
      <c r="N961" s="340"/>
      <c r="O961" s="340"/>
      <c r="P961" s="340"/>
      <c r="Q961" s="340"/>
      <c r="R961" s="340"/>
      <c r="S961" s="340"/>
      <c r="T961" s="340"/>
      <c r="U961" s="340"/>
      <c r="V961" s="340"/>
      <c r="W961" s="340"/>
      <c r="X961" s="340"/>
      <c r="Y961" s="340"/>
      <c r="Z961" s="340"/>
      <c r="AA961" s="340"/>
      <c r="AB961" s="340"/>
      <c r="AC961" s="340"/>
    </row>
    <row r="962" spans="1:29">
      <c r="A962" s="340"/>
      <c r="B962" s="340"/>
      <c r="C962" s="340"/>
      <c r="D962" s="340"/>
      <c r="E962" s="340"/>
      <c r="F962" s="340"/>
      <c r="G962" s="340"/>
      <c r="H962" s="340"/>
      <c r="I962" s="340"/>
      <c r="J962" s="340"/>
      <c r="K962" s="340"/>
      <c r="L962" s="340"/>
      <c r="M962" s="340"/>
      <c r="N962" s="340"/>
      <c r="O962" s="340"/>
      <c r="P962" s="340"/>
      <c r="Q962" s="340"/>
      <c r="R962" s="340"/>
      <c r="S962" s="340"/>
      <c r="T962" s="340"/>
      <c r="U962" s="340"/>
      <c r="V962" s="340"/>
      <c r="W962" s="340"/>
      <c r="X962" s="340"/>
      <c r="Y962" s="340"/>
      <c r="Z962" s="340"/>
      <c r="AA962" s="340"/>
      <c r="AB962" s="340"/>
      <c r="AC962" s="340"/>
    </row>
    <row r="963" spans="1:29">
      <c r="A963" s="340"/>
      <c r="B963" s="340"/>
      <c r="C963" s="340"/>
      <c r="D963" s="340"/>
      <c r="E963" s="340"/>
      <c r="F963" s="340"/>
      <c r="G963" s="340"/>
      <c r="H963" s="340"/>
      <c r="I963" s="340"/>
      <c r="J963" s="340"/>
      <c r="K963" s="340"/>
      <c r="L963" s="340"/>
      <c r="M963" s="340"/>
      <c r="N963" s="340"/>
      <c r="O963" s="340"/>
      <c r="P963" s="340"/>
      <c r="Q963" s="340"/>
      <c r="R963" s="340"/>
      <c r="S963" s="340"/>
      <c r="T963" s="340"/>
      <c r="U963" s="340"/>
      <c r="V963" s="340"/>
      <c r="W963" s="340"/>
      <c r="X963" s="340"/>
      <c r="Y963" s="340"/>
      <c r="Z963" s="340"/>
      <c r="AA963" s="340"/>
      <c r="AB963" s="340"/>
      <c r="AC963" s="340"/>
    </row>
    <row r="964" spans="1:29">
      <c r="A964" s="340"/>
      <c r="B964" s="340"/>
      <c r="C964" s="340"/>
      <c r="D964" s="340"/>
      <c r="E964" s="340"/>
      <c r="F964" s="340"/>
      <c r="G964" s="340"/>
      <c r="H964" s="340"/>
      <c r="I964" s="340"/>
      <c r="J964" s="340"/>
      <c r="K964" s="340"/>
      <c r="L964" s="340"/>
      <c r="M964" s="340"/>
      <c r="N964" s="340"/>
      <c r="O964" s="340"/>
      <c r="P964" s="340"/>
      <c r="Q964" s="340"/>
      <c r="R964" s="340"/>
      <c r="S964" s="340"/>
      <c r="T964" s="340"/>
      <c r="U964" s="340"/>
      <c r="V964" s="340"/>
      <c r="W964" s="340"/>
      <c r="X964" s="340"/>
      <c r="Y964" s="340"/>
      <c r="Z964" s="340"/>
      <c r="AA964" s="340"/>
      <c r="AB964" s="340"/>
      <c r="AC964" s="340"/>
    </row>
    <row r="965" spans="1:29">
      <c r="A965" s="340"/>
      <c r="B965" s="340"/>
      <c r="C965" s="340"/>
      <c r="D965" s="340"/>
      <c r="E965" s="340"/>
      <c r="F965" s="340"/>
      <c r="G965" s="340"/>
      <c r="H965" s="340"/>
      <c r="I965" s="340"/>
      <c r="J965" s="340"/>
      <c r="K965" s="340"/>
      <c r="L965" s="340"/>
      <c r="M965" s="340"/>
      <c r="N965" s="340"/>
      <c r="O965" s="340"/>
      <c r="P965" s="340"/>
      <c r="Q965" s="340"/>
      <c r="R965" s="340"/>
      <c r="S965" s="340"/>
      <c r="T965" s="340"/>
      <c r="U965" s="340"/>
      <c r="V965" s="340"/>
      <c r="W965" s="340"/>
      <c r="X965" s="340"/>
      <c r="Y965" s="340"/>
      <c r="Z965" s="340"/>
      <c r="AA965" s="340"/>
      <c r="AB965" s="340"/>
      <c r="AC965" s="340"/>
    </row>
    <row r="966" spans="1:29">
      <c r="A966" s="340"/>
      <c r="B966" s="340"/>
      <c r="C966" s="340"/>
      <c r="D966" s="340"/>
      <c r="E966" s="340"/>
      <c r="F966" s="340"/>
      <c r="G966" s="340"/>
      <c r="H966" s="340"/>
      <c r="I966" s="340"/>
      <c r="J966" s="340"/>
      <c r="K966" s="340"/>
      <c r="L966" s="340"/>
      <c r="M966" s="340"/>
      <c r="N966" s="340"/>
      <c r="O966" s="340"/>
      <c r="P966" s="340"/>
      <c r="Q966" s="340"/>
      <c r="R966" s="340"/>
      <c r="S966" s="340"/>
      <c r="T966" s="340"/>
      <c r="U966" s="340"/>
      <c r="V966" s="340"/>
      <c r="W966" s="340"/>
      <c r="X966" s="340"/>
      <c r="Y966" s="340"/>
      <c r="Z966" s="340"/>
      <c r="AA966" s="340"/>
      <c r="AB966" s="340"/>
      <c r="AC966" s="340"/>
    </row>
    <row r="967" spans="1:29">
      <c r="A967" s="340"/>
      <c r="B967" s="340"/>
      <c r="C967" s="340"/>
      <c r="D967" s="340"/>
      <c r="E967" s="340"/>
      <c r="F967" s="340"/>
      <c r="G967" s="340"/>
      <c r="H967" s="340"/>
      <c r="I967" s="340"/>
      <c r="J967" s="340"/>
      <c r="K967" s="340"/>
      <c r="L967" s="340"/>
      <c r="M967" s="340"/>
      <c r="N967" s="340"/>
      <c r="O967" s="340"/>
      <c r="P967" s="340"/>
      <c r="Q967" s="340"/>
      <c r="R967" s="340"/>
      <c r="S967" s="340"/>
      <c r="T967" s="340"/>
      <c r="U967" s="340"/>
      <c r="V967" s="340"/>
      <c r="W967" s="340"/>
      <c r="X967" s="340"/>
      <c r="Y967" s="340"/>
      <c r="Z967" s="340"/>
      <c r="AA967" s="340"/>
      <c r="AB967" s="340"/>
      <c r="AC967" s="340"/>
    </row>
    <row r="968" spans="1:29">
      <c r="A968" s="340"/>
      <c r="B968" s="340"/>
      <c r="C968" s="340"/>
      <c r="D968" s="340"/>
      <c r="E968" s="340"/>
      <c r="F968" s="340"/>
      <c r="G968" s="340"/>
      <c r="H968" s="340"/>
      <c r="I968" s="340"/>
      <c r="J968" s="340"/>
      <c r="K968" s="340"/>
      <c r="L968" s="340"/>
      <c r="M968" s="340"/>
      <c r="N968" s="340"/>
      <c r="O968" s="340"/>
      <c r="P968" s="340"/>
      <c r="Q968" s="340"/>
      <c r="R968" s="340"/>
      <c r="S968" s="340"/>
      <c r="T968" s="340"/>
      <c r="U968" s="340"/>
      <c r="V968" s="340"/>
      <c r="W968" s="340"/>
      <c r="X968" s="340"/>
      <c r="Y968" s="340"/>
      <c r="Z968" s="340"/>
      <c r="AA968" s="340"/>
      <c r="AB968" s="340"/>
      <c r="AC968" s="340"/>
    </row>
    <row r="969" spans="1:29">
      <c r="A969" s="340"/>
      <c r="B969" s="340"/>
      <c r="C969" s="340"/>
      <c r="D969" s="340"/>
      <c r="E969" s="340"/>
      <c r="F969" s="340"/>
      <c r="G969" s="340"/>
      <c r="H969" s="340"/>
      <c r="I969" s="340"/>
      <c r="J969" s="340"/>
      <c r="K969" s="340"/>
      <c r="L969" s="340"/>
      <c r="M969" s="340"/>
      <c r="N969" s="340"/>
      <c r="O969" s="340"/>
      <c r="P969" s="340"/>
      <c r="Q969" s="340"/>
      <c r="R969" s="340"/>
      <c r="S969" s="340"/>
      <c r="T969" s="340"/>
      <c r="U969" s="340"/>
      <c r="V969" s="340"/>
      <c r="W969" s="340"/>
      <c r="X969" s="340"/>
      <c r="Y969" s="340"/>
      <c r="Z969" s="340"/>
      <c r="AA969" s="340"/>
      <c r="AB969" s="340"/>
      <c r="AC969" s="340"/>
    </row>
    <row r="970" spans="1:29">
      <c r="A970" s="340"/>
      <c r="B970" s="340"/>
      <c r="C970" s="340"/>
      <c r="D970" s="340"/>
      <c r="E970" s="340"/>
      <c r="F970" s="340"/>
      <c r="G970" s="340"/>
      <c r="H970" s="340"/>
      <c r="I970" s="340"/>
      <c r="J970" s="340"/>
      <c r="K970" s="340"/>
      <c r="L970" s="340"/>
      <c r="M970" s="340"/>
      <c r="N970" s="340"/>
      <c r="O970" s="340"/>
      <c r="P970" s="340"/>
      <c r="Q970" s="340"/>
      <c r="R970" s="340"/>
      <c r="S970" s="340"/>
      <c r="T970" s="340"/>
      <c r="U970" s="340"/>
      <c r="V970" s="340"/>
      <c r="W970" s="340"/>
      <c r="X970" s="340"/>
      <c r="Y970" s="340"/>
      <c r="Z970" s="340"/>
      <c r="AA970" s="340"/>
      <c r="AB970" s="340"/>
      <c r="AC970" s="340"/>
    </row>
    <row r="971" spans="1:29">
      <c r="A971" s="340"/>
      <c r="B971" s="340"/>
      <c r="C971" s="340"/>
      <c r="D971" s="340"/>
      <c r="E971" s="340"/>
      <c r="F971" s="340"/>
      <c r="G971" s="340"/>
      <c r="H971" s="340"/>
      <c r="I971" s="340"/>
      <c r="J971" s="340"/>
      <c r="K971" s="340"/>
      <c r="L971" s="340"/>
      <c r="M971" s="340"/>
      <c r="N971" s="340"/>
      <c r="O971" s="340"/>
      <c r="P971" s="340"/>
      <c r="Q971" s="340"/>
      <c r="R971" s="340"/>
      <c r="S971" s="340"/>
      <c r="T971" s="340"/>
      <c r="U971" s="340"/>
      <c r="V971" s="340"/>
      <c r="W971" s="340"/>
      <c r="X971" s="340"/>
      <c r="Y971" s="340"/>
      <c r="Z971" s="340"/>
      <c r="AA971" s="340"/>
      <c r="AB971" s="340"/>
      <c r="AC971" s="340"/>
    </row>
    <row r="972" spans="1:29">
      <c r="A972" s="340"/>
      <c r="B972" s="340"/>
      <c r="C972" s="340"/>
      <c r="D972" s="340"/>
      <c r="E972" s="340"/>
      <c r="F972" s="340"/>
      <c r="G972" s="340"/>
      <c r="H972" s="340"/>
      <c r="I972" s="340"/>
      <c r="J972" s="340"/>
      <c r="K972" s="340"/>
      <c r="L972" s="340"/>
      <c r="M972" s="340"/>
      <c r="N972" s="340"/>
      <c r="O972" s="340"/>
      <c r="P972" s="340"/>
      <c r="Q972" s="340"/>
      <c r="R972" s="340"/>
      <c r="S972" s="340"/>
      <c r="T972" s="340"/>
      <c r="U972" s="340"/>
      <c r="V972" s="340"/>
      <c r="W972" s="340"/>
      <c r="X972" s="340"/>
      <c r="Y972" s="340"/>
      <c r="Z972" s="340"/>
      <c r="AA972" s="340"/>
      <c r="AB972" s="340"/>
      <c r="AC972" s="340"/>
    </row>
    <row r="973" spans="1:29">
      <c r="A973" s="340"/>
      <c r="B973" s="340"/>
      <c r="C973" s="340"/>
      <c r="D973" s="340"/>
      <c r="E973" s="340"/>
      <c r="F973" s="340"/>
      <c r="G973" s="340"/>
      <c r="H973" s="340"/>
      <c r="I973" s="340"/>
      <c r="J973" s="340"/>
      <c r="K973" s="340"/>
      <c r="L973" s="340"/>
      <c r="M973" s="340"/>
      <c r="N973" s="340"/>
      <c r="O973" s="340"/>
      <c r="P973" s="340"/>
      <c r="Q973" s="340"/>
      <c r="R973" s="340"/>
      <c r="S973" s="340"/>
      <c r="T973" s="340"/>
      <c r="U973" s="340"/>
      <c r="V973" s="340"/>
      <c r="W973" s="340"/>
      <c r="X973" s="340"/>
      <c r="Y973" s="340"/>
      <c r="Z973" s="340"/>
      <c r="AA973" s="340"/>
      <c r="AB973" s="340"/>
      <c r="AC973" s="340"/>
    </row>
    <row r="974" spans="1:29">
      <c r="A974" s="340"/>
      <c r="B974" s="340"/>
      <c r="C974" s="340"/>
      <c r="D974" s="340"/>
      <c r="E974" s="340"/>
      <c r="F974" s="340"/>
      <c r="G974" s="340"/>
      <c r="H974" s="340"/>
      <c r="I974" s="340"/>
      <c r="J974" s="340"/>
      <c r="K974" s="340"/>
      <c r="L974" s="340"/>
      <c r="M974" s="340"/>
      <c r="N974" s="340"/>
      <c r="O974" s="340"/>
      <c r="P974" s="340"/>
      <c r="Q974" s="340"/>
      <c r="R974" s="340"/>
      <c r="S974" s="340"/>
      <c r="T974" s="340"/>
      <c r="U974" s="340"/>
      <c r="V974" s="340"/>
      <c r="W974" s="340"/>
      <c r="X974" s="340"/>
      <c r="Y974" s="340"/>
      <c r="Z974" s="340"/>
      <c r="AA974" s="340"/>
      <c r="AB974" s="340"/>
      <c r="AC974" s="340"/>
    </row>
    <row r="975" spans="1:29">
      <c r="A975" s="340"/>
      <c r="B975" s="340"/>
      <c r="C975" s="340"/>
      <c r="D975" s="340"/>
      <c r="E975" s="340"/>
      <c r="F975" s="340"/>
      <c r="G975" s="340"/>
      <c r="H975" s="340"/>
      <c r="I975" s="340"/>
      <c r="J975" s="340"/>
      <c r="K975" s="340"/>
      <c r="L975" s="340"/>
      <c r="M975" s="340"/>
      <c r="N975" s="340"/>
      <c r="O975" s="340"/>
      <c r="P975" s="340"/>
      <c r="Q975" s="340"/>
      <c r="R975" s="340"/>
      <c r="S975" s="340"/>
      <c r="T975" s="340"/>
      <c r="U975" s="340"/>
      <c r="V975" s="340"/>
      <c r="W975" s="340"/>
      <c r="X975" s="340"/>
      <c r="Y975" s="340"/>
      <c r="Z975" s="340"/>
      <c r="AA975" s="340"/>
      <c r="AB975" s="340"/>
      <c r="AC975" s="340"/>
    </row>
    <row r="976" spans="1:29">
      <c r="A976" s="340"/>
      <c r="B976" s="340"/>
      <c r="C976" s="340"/>
      <c r="D976" s="340"/>
      <c r="E976" s="340"/>
      <c r="F976" s="340"/>
      <c r="G976" s="340"/>
      <c r="H976" s="340"/>
      <c r="I976" s="340"/>
      <c r="J976" s="340"/>
      <c r="K976" s="340"/>
      <c r="L976" s="340"/>
      <c r="M976" s="340"/>
      <c r="N976" s="340"/>
      <c r="O976" s="340"/>
      <c r="P976" s="340"/>
      <c r="Q976" s="340"/>
      <c r="R976" s="340"/>
      <c r="S976" s="340"/>
      <c r="T976" s="340"/>
      <c r="U976" s="340"/>
      <c r="V976" s="340"/>
      <c r="W976" s="340"/>
      <c r="X976" s="340"/>
      <c r="Y976" s="340"/>
      <c r="Z976" s="340"/>
      <c r="AA976" s="340"/>
      <c r="AB976" s="340"/>
      <c r="AC976" s="340"/>
    </row>
    <row r="977" spans="1:29">
      <c r="A977" s="340"/>
      <c r="B977" s="340"/>
      <c r="C977" s="340"/>
      <c r="D977" s="340"/>
      <c r="E977" s="340"/>
      <c r="F977" s="340"/>
      <c r="G977" s="340"/>
      <c r="H977" s="340"/>
      <c r="I977" s="340"/>
      <c r="J977" s="340"/>
      <c r="K977" s="340"/>
      <c r="L977" s="340"/>
      <c r="M977" s="340"/>
      <c r="N977" s="340"/>
      <c r="O977" s="340"/>
      <c r="P977" s="340"/>
      <c r="Q977" s="340"/>
      <c r="R977" s="340"/>
      <c r="S977" s="340"/>
      <c r="T977" s="340"/>
      <c r="U977" s="340"/>
      <c r="V977" s="340"/>
      <c r="W977" s="340"/>
      <c r="X977" s="340"/>
      <c r="Y977" s="340"/>
      <c r="Z977" s="340"/>
      <c r="AA977" s="340"/>
      <c r="AB977" s="340"/>
      <c r="AC977" s="340"/>
    </row>
    <row r="978" spans="1:29">
      <c r="A978" s="340"/>
      <c r="B978" s="340"/>
      <c r="C978" s="340"/>
      <c r="D978" s="340"/>
      <c r="E978" s="340"/>
      <c r="F978" s="340"/>
      <c r="G978" s="340"/>
      <c r="H978" s="340"/>
      <c r="I978" s="340"/>
      <c r="J978" s="340"/>
      <c r="K978" s="340"/>
      <c r="L978" s="340"/>
      <c r="M978" s="340"/>
      <c r="N978" s="340"/>
      <c r="O978" s="340"/>
      <c r="P978" s="340"/>
      <c r="Q978" s="340"/>
      <c r="R978" s="340"/>
      <c r="S978" s="340"/>
      <c r="T978" s="340"/>
      <c r="U978" s="340"/>
      <c r="V978" s="340"/>
      <c r="W978" s="340"/>
      <c r="X978" s="340"/>
      <c r="Y978" s="340"/>
      <c r="Z978" s="340"/>
      <c r="AA978" s="340"/>
      <c r="AB978" s="340"/>
      <c r="AC978" s="340"/>
    </row>
    <row r="979" spans="1:29">
      <c r="A979" s="340"/>
      <c r="B979" s="340"/>
      <c r="C979" s="340"/>
      <c r="D979" s="340"/>
      <c r="E979" s="340"/>
      <c r="F979" s="340"/>
      <c r="G979" s="340"/>
      <c r="H979" s="340"/>
      <c r="I979" s="340"/>
      <c r="J979" s="340"/>
      <c r="K979" s="340"/>
      <c r="L979" s="340"/>
      <c r="M979" s="340"/>
      <c r="N979" s="340"/>
      <c r="O979" s="340"/>
      <c r="P979" s="340"/>
      <c r="Q979" s="340"/>
      <c r="R979" s="340"/>
      <c r="S979" s="340"/>
      <c r="T979" s="340"/>
      <c r="U979" s="340"/>
      <c r="V979" s="340"/>
      <c r="W979" s="340"/>
      <c r="X979" s="340"/>
      <c r="Y979" s="340"/>
      <c r="Z979" s="340"/>
      <c r="AA979" s="340"/>
      <c r="AB979" s="340"/>
      <c r="AC979" s="340"/>
    </row>
    <row r="980" spans="1:29">
      <c r="A980" s="340"/>
      <c r="B980" s="340"/>
      <c r="C980" s="340"/>
      <c r="D980" s="340"/>
      <c r="E980" s="340"/>
      <c r="F980" s="340"/>
      <c r="G980" s="340"/>
      <c r="H980" s="340"/>
      <c r="I980" s="340"/>
      <c r="J980" s="340"/>
      <c r="K980" s="340"/>
      <c r="L980" s="340"/>
      <c r="M980" s="340"/>
      <c r="N980" s="340"/>
      <c r="O980" s="340"/>
      <c r="P980" s="340"/>
      <c r="Q980" s="340"/>
      <c r="R980" s="340"/>
      <c r="S980" s="340"/>
      <c r="T980" s="340"/>
      <c r="U980" s="340"/>
      <c r="V980" s="340"/>
      <c r="W980" s="340"/>
      <c r="X980" s="340"/>
      <c r="Y980" s="340"/>
      <c r="Z980" s="340"/>
      <c r="AA980" s="340"/>
      <c r="AB980" s="340"/>
      <c r="AC980" s="340"/>
    </row>
    <row r="981" spans="1:29">
      <c r="A981" s="340"/>
      <c r="B981" s="340"/>
      <c r="C981" s="340"/>
      <c r="D981" s="340"/>
      <c r="E981" s="340"/>
      <c r="F981" s="340"/>
      <c r="G981" s="340"/>
      <c r="H981" s="340"/>
      <c r="I981" s="340"/>
      <c r="J981" s="340"/>
      <c r="K981" s="340"/>
      <c r="L981" s="340"/>
      <c r="M981" s="340"/>
      <c r="N981" s="340"/>
      <c r="O981" s="340"/>
      <c r="P981" s="340"/>
      <c r="Q981" s="340"/>
      <c r="R981" s="340"/>
      <c r="S981" s="340"/>
      <c r="T981" s="340"/>
      <c r="U981" s="340"/>
      <c r="V981" s="340"/>
      <c r="W981" s="340"/>
      <c r="X981" s="340"/>
      <c r="Y981" s="340"/>
      <c r="Z981" s="340"/>
      <c r="AA981" s="340"/>
      <c r="AB981" s="340"/>
      <c r="AC981" s="340"/>
    </row>
    <row r="982" spans="1:29">
      <c r="A982" s="340"/>
      <c r="B982" s="340"/>
      <c r="C982" s="340"/>
      <c r="D982" s="340"/>
      <c r="E982" s="340"/>
      <c r="F982" s="340"/>
      <c r="G982" s="340"/>
      <c r="H982" s="340"/>
      <c r="I982" s="340"/>
      <c r="J982" s="340"/>
      <c r="K982" s="340"/>
      <c r="L982" s="340"/>
      <c r="M982" s="340"/>
      <c r="N982" s="340"/>
      <c r="O982" s="340"/>
      <c r="P982" s="340"/>
      <c r="Q982" s="340"/>
      <c r="R982" s="340"/>
      <c r="S982" s="340"/>
      <c r="T982" s="340"/>
      <c r="U982" s="340"/>
      <c r="V982" s="340"/>
      <c r="W982" s="340"/>
      <c r="X982" s="340"/>
      <c r="Y982" s="340"/>
      <c r="Z982" s="340"/>
      <c r="AA982" s="340"/>
      <c r="AB982" s="340"/>
      <c r="AC982" s="340"/>
    </row>
    <row r="983" spans="1:29">
      <c r="A983" s="340"/>
      <c r="B983" s="340"/>
      <c r="C983" s="340"/>
      <c r="D983" s="340"/>
      <c r="E983" s="340"/>
      <c r="F983" s="340"/>
      <c r="G983" s="340"/>
      <c r="H983" s="340"/>
      <c r="I983" s="340"/>
      <c r="J983" s="340"/>
      <c r="K983" s="340"/>
      <c r="L983" s="340"/>
      <c r="M983" s="340"/>
      <c r="N983" s="340"/>
      <c r="O983" s="340"/>
      <c r="P983" s="340"/>
      <c r="Q983" s="340"/>
      <c r="R983" s="340"/>
      <c r="S983" s="340"/>
      <c r="T983" s="340"/>
      <c r="U983" s="340"/>
      <c r="V983" s="340"/>
      <c r="W983" s="340"/>
      <c r="X983" s="340"/>
      <c r="Y983" s="340"/>
      <c r="Z983" s="340"/>
      <c r="AA983" s="340"/>
      <c r="AB983" s="340"/>
      <c r="AC983" s="340"/>
    </row>
    <row r="984" spans="1:29">
      <c r="A984" s="340"/>
      <c r="B984" s="340"/>
      <c r="C984" s="340"/>
      <c r="D984" s="340"/>
      <c r="E984" s="340"/>
      <c r="F984" s="340"/>
      <c r="G984" s="340"/>
      <c r="H984" s="340"/>
      <c r="I984" s="340"/>
      <c r="J984" s="340"/>
      <c r="K984" s="340"/>
      <c r="L984" s="340"/>
      <c r="M984" s="340"/>
      <c r="N984" s="340"/>
      <c r="O984" s="340"/>
      <c r="P984" s="340"/>
      <c r="Q984" s="340"/>
      <c r="R984" s="340"/>
      <c r="S984" s="340"/>
      <c r="T984" s="340"/>
      <c r="U984" s="340"/>
      <c r="V984" s="340"/>
      <c r="W984" s="340"/>
      <c r="X984" s="340"/>
      <c r="Y984" s="340"/>
      <c r="Z984" s="340"/>
      <c r="AA984" s="340"/>
      <c r="AB984" s="340"/>
      <c r="AC984" s="340"/>
    </row>
    <row r="985" spans="1:29">
      <c r="A985" s="340"/>
      <c r="B985" s="340"/>
      <c r="C985" s="340"/>
      <c r="D985" s="340"/>
      <c r="E985" s="340"/>
      <c r="F985" s="340"/>
      <c r="G985" s="340"/>
      <c r="H985" s="340"/>
      <c r="I985" s="340"/>
      <c r="J985" s="340"/>
      <c r="K985" s="340"/>
      <c r="L985" s="340"/>
      <c r="M985" s="340"/>
      <c r="N985" s="340"/>
      <c r="O985" s="340"/>
      <c r="P985" s="340"/>
      <c r="Q985" s="340"/>
      <c r="R985" s="340"/>
      <c r="S985" s="340"/>
      <c r="T985" s="340"/>
      <c r="U985" s="340"/>
      <c r="V985" s="340"/>
      <c r="W985" s="340"/>
      <c r="X985" s="340"/>
      <c r="Y985" s="340"/>
      <c r="Z985" s="340"/>
      <c r="AA985" s="340"/>
      <c r="AB985" s="340"/>
      <c r="AC985" s="340"/>
    </row>
    <row r="986" spans="1:29">
      <c r="A986" s="340"/>
      <c r="B986" s="340"/>
      <c r="C986" s="340"/>
      <c r="D986" s="340"/>
      <c r="E986" s="340"/>
      <c r="F986" s="340"/>
      <c r="G986" s="340"/>
      <c r="H986" s="340"/>
      <c r="I986" s="340"/>
      <c r="J986" s="340"/>
      <c r="K986" s="340"/>
      <c r="L986" s="340"/>
      <c r="M986" s="340"/>
      <c r="N986" s="340"/>
      <c r="O986" s="340"/>
      <c r="P986" s="340"/>
      <c r="Q986" s="340"/>
      <c r="R986" s="340"/>
      <c r="S986" s="340"/>
      <c r="T986" s="340"/>
      <c r="U986" s="340"/>
      <c r="V986" s="340"/>
      <c r="W986" s="340"/>
      <c r="X986" s="340"/>
      <c r="Y986" s="340"/>
      <c r="Z986" s="340"/>
      <c r="AA986" s="340"/>
      <c r="AB986" s="340"/>
      <c r="AC986" s="340"/>
    </row>
    <row r="987" spans="1:29">
      <c r="A987" s="340"/>
      <c r="B987" s="340"/>
      <c r="C987" s="340"/>
      <c r="D987" s="340"/>
      <c r="E987" s="340"/>
      <c r="F987" s="340"/>
      <c r="G987" s="340"/>
      <c r="H987" s="340"/>
      <c r="I987" s="340"/>
      <c r="J987" s="340"/>
      <c r="K987" s="340"/>
      <c r="L987" s="340"/>
      <c r="M987" s="340"/>
      <c r="N987" s="340"/>
      <c r="O987" s="340"/>
      <c r="P987" s="340"/>
      <c r="Q987" s="340"/>
      <c r="R987" s="340"/>
      <c r="S987" s="340"/>
      <c r="T987" s="340"/>
      <c r="U987" s="340"/>
      <c r="V987" s="340"/>
      <c r="W987" s="340"/>
      <c r="X987" s="340"/>
      <c r="Y987" s="340"/>
      <c r="Z987" s="340"/>
      <c r="AA987" s="340"/>
      <c r="AB987" s="340"/>
      <c r="AC987" s="340"/>
    </row>
    <row r="988" spans="1:29">
      <c r="A988" s="340"/>
      <c r="B988" s="340"/>
      <c r="C988" s="340"/>
      <c r="D988" s="340"/>
      <c r="E988" s="340"/>
      <c r="F988" s="340"/>
      <c r="G988" s="340"/>
      <c r="H988" s="340"/>
      <c r="I988" s="340"/>
      <c r="J988" s="340"/>
      <c r="K988" s="340"/>
      <c r="L988" s="340"/>
      <c r="M988" s="340"/>
      <c r="N988" s="340"/>
      <c r="O988" s="340"/>
      <c r="P988" s="340"/>
      <c r="Q988" s="340"/>
      <c r="R988" s="340"/>
      <c r="S988" s="340"/>
      <c r="T988" s="340"/>
      <c r="U988" s="340"/>
      <c r="V988" s="340"/>
      <c r="W988" s="340"/>
      <c r="X988" s="340"/>
      <c r="Y988" s="340"/>
      <c r="Z988" s="340"/>
      <c r="AA988" s="340"/>
      <c r="AB988" s="340"/>
      <c r="AC988" s="340"/>
    </row>
    <row r="989" spans="1:29">
      <c r="A989" s="340"/>
      <c r="B989" s="340"/>
      <c r="C989" s="340"/>
      <c r="D989" s="340"/>
      <c r="E989" s="340"/>
      <c r="F989" s="340"/>
      <c r="G989" s="340"/>
      <c r="H989" s="340"/>
      <c r="I989" s="340"/>
      <c r="J989" s="340"/>
      <c r="K989" s="340"/>
      <c r="L989" s="340"/>
      <c r="M989" s="340"/>
      <c r="N989" s="340"/>
      <c r="O989" s="340"/>
      <c r="P989" s="340"/>
      <c r="Q989" s="340"/>
      <c r="R989" s="340"/>
      <c r="S989" s="340"/>
      <c r="T989" s="340"/>
      <c r="U989" s="340"/>
      <c r="V989" s="340"/>
      <c r="W989" s="340"/>
      <c r="X989" s="340"/>
      <c r="Y989" s="340"/>
      <c r="Z989" s="340"/>
      <c r="AA989" s="340"/>
      <c r="AB989" s="340"/>
      <c r="AC989" s="340"/>
    </row>
    <row r="990" spans="1:29">
      <c r="A990" s="340"/>
      <c r="B990" s="340"/>
      <c r="C990" s="340"/>
      <c r="D990" s="340"/>
      <c r="E990" s="340"/>
      <c r="F990" s="340"/>
      <c r="G990" s="340"/>
      <c r="H990" s="340"/>
      <c r="I990" s="340"/>
      <c r="J990" s="340"/>
      <c r="K990" s="340"/>
      <c r="L990" s="340"/>
      <c r="M990" s="340"/>
      <c r="N990" s="340"/>
      <c r="O990" s="340"/>
      <c r="P990" s="340"/>
      <c r="Q990" s="340"/>
      <c r="R990" s="340"/>
      <c r="S990" s="340"/>
      <c r="T990" s="340"/>
      <c r="U990" s="340"/>
      <c r="V990" s="340"/>
      <c r="W990" s="340"/>
      <c r="X990" s="340"/>
      <c r="Y990" s="340"/>
      <c r="Z990" s="340"/>
      <c r="AA990" s="340"/>
      <c r="AB990" s="340"/>
      <c r="AC990" s="340"/>
    </row>
    <row r="991" spans="1:29">
      <c r="A991" s="340"/>
      <c r="B991" s="340"/>
      <c r="C991" s="340"/>
      <c r="D991" s="340"/>
      <c r="E991" s="340"/>
      <c r="F991" s="340"/>
      <c r="G991" s="340"/>
      <c r="H991" s="340"/>
      <c r="I991" s="340"/>
      <c r="J991" s="340"/>
      <c r="K991" s="340"/>
      <c r="L991" s="340"/>
      <c r="M991" s="340"/>
      <c r="N991" s="340"/>
      <c r="O991" s="340"/>
      <c r="P991" s="340"/>
      <c r="Q991" s="340"/>
      <c r="R991" s="340"/>
      <c r="S991" s="340"/>
      <c r="T991" s="340"/>
      <c r="U991" s="340"/>
      <c r="V991" s="340"/>
      <c r="W991" s="340"/>
      <c r="X991" s="340"/>
      <c r="Y991" s="340"/>
      <c r="Z991" s="340"/>
      <c r="AA991" s="340"/>
      <c r="AB991" s="340"/>
      <c r="AC991" s="340"/>
    </row>
    <row r="992" spans="1:29">
      <c r="A992" s="340"/>
      <c r="B992" s="340"/>
      <c r="C992" s="340"/>
      <c r="D992" s="340"/>
      <c r="E992" s="340"/>
      <c r="F992" s="340"/>
      <c r="G992" s="340"/>
      <c r="H992" s="340"/>
      <c r="I992" s="340"/>
      <c r="J992" s="340"/>
      <c r="K992" s="340"/>
      <c r="L992" s="340"/>
      <c r="M992" s="340"/>
      <c r="N992" s="340"/>
      <c r="O992" s="340"/>
      <c r="P992" s="340"/>
      <c r="Q992" s="340"/>
      <c r="R992" s="340"/>
      <c r="S992" s="340"/>
      <c r="T992" s="340"/>
      <c r="U992" s="340"/>
      <c r="V992" s="340"/>
      <c r="W992" s="340"/>
      <c r="X992" s="340"/>
      <c r="Y992" s="340"/>
      <c r="Z992" s="340"/>
      <c r="AA992" s="340"/>
      <c r="AB992" s="340"/>
      <c r="AC992" s="340"/>
    </row>
    <row r="993" spans="1:29">
      <c r="A993" s="340"/>
      <c r="B993" s="340"/>
      <c r="C993" s="340"/>
      <c r="D993" s="340"/>
      <c r="E993" s="340"/>
      <c r="F993" s="340"/>
      <c r="G993" s="340"/>
      <c r="H993" s="340"/>
      <c r="I993" s="340"/>
      <c r="J993" s="340"/>
      <c r="K993" s="340"/>
      <c r="L993" s="340"/>
      <c r="M993" s="340"/>
      <c r="N993" s="340"/>
      <c r="O993" s="340"/>
      <c r="P993" s="340"/>
      <c r="Q993" s="340"/>
      <c r="R993" s="340"/>
      <c r="S993" s="340"/>
      <c r="T993" s="340"/>
      <c r="U993" s="340"/>
      <c r="V993" s="340"/>
      <c r="W993" s="340"/>
      <c r="X993" s="340"/>
      <c r="Y993" s="340"/>
      <c r="Z993" s="340"/>
      <c r="AA993" s="340"/>
      <c r="AB993" s="340"/>
      <c r="AC993" s="340"/>
    </row>
    <row r="994" spans="1:29">
      <c r="A994" s="340"/>
      <c r="B994" s="340"/>
      <c r="C994" s="340"/>
      <c r="D994" s="340"/>
      <c r="E994" s="340"/>
      <c r="F994" s="340"/>
      <c r="G994" s="340"/>
      <c r="H994" s="340"/>
      <c r="I994" s="340"/>
      <c r="J994" s="340"/>
      <c r="K994" s="340"/>
      <c r="L994" s="340"/>
      <c r="M994" s="340"/>
      <c r="N994" s="340"/>
      <c r="O994" s="340"/>
      <c r="P994" s="340"/>
      <c r="Q994" s="340"/>
      <c r="R994" s="340"/>
      <c r="S994" s="340"/>
      <c r="T994" s="340"/>
      <c r="U994" s="340"/>
      <c r="V994" s="340"/>
      <c r="W994" s="340"/>
      <c r="X994" s="340"/>
      <c r="Y994" s="340"/>
      <c r="Z994" s="340"/>
      <c r="AA994" s="340"/>
      <c r="AB994" s="340"/>
      <c r="AC994" s="340"/>
    </row>
    <row r="995" spans="1:29">
      <c r="A995" s="340"/>
      <c r="B995" s="340"/>
      <c r="C995" s="340"/>
      <c r="D995" s="340"/>
      <c r="E995" s="340"/>
      <c r="F995" s="340"/>
      <c r="G995" s="340"/>
      <c r="H995" s="340"/>
      <c r="I995" s="340"/>
      <c r="J995" s="340"/>
      <c r="K995" s="340"/>
      <c r="L995" s="340"/>
      <c r="M995" s="340"/>
      <c r="N995" s="340"/>
      <c r="O995" s="340"/>
      <c r="P995" s="340"/>
      <c r="Q995" s="340"/>
      <c r="R995" s="340"/>
      <c r="S995" s="340"/>
      <c r="T995" s="340"/>
      <c r="U995" s="340"/>
      <c r="V995" s="340"/>
      <c r="W995" s="340"/>
      <c r="X995" s="340"/>
      <c r="Y995" s="340"/>
      <c r="Z995" s="340"/>
      <c r="AA995" s="340"/>
      <c r="AB995" s="340"/>
      <c r="AC995" s="340"/>
    </row>
    <row r="996" spans="1:29">
      <c r="A996" s="340"/>
      <c r="B996" s="340"/>
      <c r="C996" s="340"/>
      <c r="D996" s="340"/>
      <c r="E996" s="340"/>
      <c r="F996" s="340"/>
      <c r="G996" s="340"/>
      <c r="H996" s="340"/>
      <c r="I996" s="340"/>
      <c r="J996" s="340"/>
      <c r="K996" s="340"/>
      <c r="L996" s="340"/>
      <c r="M996" s="340"/>
      <c r="N996" s="340"/>
      <c r="O996" s="340"/>
      <c r="P996" s="340"/>
      <c r="Q996" s="340"/>
      <c r="R996" s="340"/>
      <c r="S996" s="340"/>
      <c r="T996" s="340"/>
      <c r="U996" s="340"/>
      <c r="V996" s="340"/>
      <c r="W996" s="340"/>
      <c r="X996" s="340"/>
      <c r="Y996" s="340"/>
      <c r="Z996" s="340"/>
      <c r="AA996" s="340"/>
      <c r="AB996" s="340"/>
      <c r="AC996" s="340"/>
    </row>
    <row r="997" spans="1:29">
      <c r="A997" s="340"/>
      <c r="B997" s="340"/>
      <c r="C997" s="340"/>
      <c r="D997" s="340"/>
      <c r="E997" s="340"/>
      <c r="F997" s="340"/>
      <c r="G997" s="340"/>
      <c r="H997" s="340"/>
      <c r="I997" s="340"/>
      <c r="J997" s="340"/>
      <c r="K997" s="340"/>
      <c r="L997" s="340"/>
      <c r="M997" s="340"/>
      <c r="N997" s="340"/>
      <c r="O997" s="340"/>
      <c r="P997" s="340"/>
      <c r="Q997" s="340"/>
      <c r="R997" s="340"/>
      <c r="S997" s="340"/>
      <c r="T997" s="340"/>
      <c r="U997" s="340"/>
      <c r="V997" s="340"/>
      <c r="W997" s="340"/>
      <c r="X997" s="340"/>
      <c r="Y997" s="340"/>
      <c r="Z997" s="340"/>
      <c r="AA997" s="340"/>
      <c r="AB997" s="340"/>
      <c r="AC997" s="340"/>
    </row>
    <row r="998" spans="1:29">
      <c r="A998" s="340"/>
      <c r="B998" s="340"/>
      <c r="C998" s="340"/>
      <c r="D998" s="340"/>
      <c r="E998" s="340"/>
      <c r="F998" s="340"/>
      <c r="G998" s="340"/>
      <c r="H998" s="340"/>
      <c r="I998" s="340"/>
      <c r="J998" s="340"/>
      <c r="K998" s="340"/>
      <c r="L998" s="340"/>
      <c r="M998" s="340"/>
      <c r="N998" s="340"/>
      <c r="O998" s="340"/>
      <c r="P998" s="340"/>
      <c r="Q998" s="340"/>
      <c r="R998" s="340"/>
      <c r="S998" s="340"/>
      <c r="T998" s="340"/>
      <c r="U998" s="340"/>
      <c r="V998" s="340"/>
      <c r="W998" s="340"/>
      <c r="X998" s="340"/>
      <c r="Y998" s="340"/>
      <c r="Z998" s="340"/>
      <c r="AA998" s="340"/>
      <c r="AB998" s="340"/>
      <c r="AC998" s="340"/>
    </row>
    <row r="999" spans="1:29">
      <c r="A999" s="340"/>
      <c r="B999" s="340"/>
      <c r="C999" s="340"/>
      <c r="D999" s="340"/>
      <c r="E999" s="340"/>
      <c r="F999" s="340"/>
      <c r="G999" s="340"/>
      <c r="H999" s="340"/>
      <c r="I999" s="340"/>
      <c r="J999" s="340"/>
      <c r="K999" s="340"/>
      <c r="L999" s="340"/>
      <c r="M999" s="340"/>
      <c r="N999" s="340"/>
      <c r="O999" s="340"/>
      <c r="P999" s="340"/>
      <c r="Q999" s="340"/>
      <c r="R999" s="340"/>
      <c r="S999" s="340"/>
      <c r="T999" s="340"/>
      <c r="U999" s="340"/>
      <c r="V999" s="340"/>
      <c r="W999" s="340"/>
      <c r="X999" s="340"/>
      <c r="Y999" s="340"/>
      <c r="Z999" s="340"/>
      <c r="AA999" s="340"/>
      <c r="AB999" s="340"/>
      <c r="AC999" s="340"/>
    </row>
    <row r="1000" spans="1:29">
      <c r="A1000" s="340"/>
      <c r="B1000" s="340"/>
      <c r="C1000" s="340"/>
      <c r="D1000" s="340"/>
      <c r="E1000" s="340"/>
      <c r="F1000" s="340"/>
      <c r="G1000" s="340"/>
      <c r="H1000" s="340"/>
      <c r="I1000" s="340"/>
      <c r="J1000" s="340"/>
      <c r="K1000" s="340"/>
      <c r="L1000" s="340"/>
      <c r="M1000" s="340"/>
      <c r="N1000" s="340"/>
      <c r="O1000" s="340"/>
      <c r="P1000" s="340"/>
      <c r="Q1000" s="340"/>
      <c r="R1000" s="340"/>
      <c r="S1000" s="340"/>
      <c r="T1000" s="340"/>
      <c r="U1000" s="340"/>
      <c r="V1000" s="340"/>
      <c r="W1000" s="340"/>
      <c r="X1000" s="340"/>
      <c r="Y1000" s="340"/>
      <c r="Z1000" s="340"/>
      <c r="AA1000" s="340"/>
      <c r="AB1000" s="340"/>
      <c r="AC1000" s="34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02A476-FBED-4939-95CB-71EB6C99B1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Arkusze</vt:lpstr>
      </vt:variant>
      <vt:variant>
        <vt:i4>15</vt:i4>
      </vt:variant>
      <vt:variant>
        <vt:lpstr>Nazwane zakresy</vt:lpstr>
      </vt:variant>
      <vt:variant>
        <vt:i4>8</vt:i4>
      </vt:variant>
    </vt:vector>
  </HeadingPairs>
  <TitlesOfParts>
    <vt:vector size="23" baseType="lpstr">
      <vt:lpstr>Dane wejściowe</vt:lpstr>
      <vt:lpstr>PV</vt:lpstr>
      <vt:lpstr>PDF_OFERTAPV</vt:lpstr>
      <vt:lpstr>Schematy elektryczne</vt:lpstr>
      <vt:lpstr>Protokół odbioru</vt:lpstr>
      <vt:lpstr>Konstrukcja dach płaski</vt:lpstr>
      <vt:lpstr>Konstrukcja Dach Skośny</vt:lpstr>
      <vt:lpstr>Konstrukcja naziemna</vt:lpstr>
      <vt:lpstr>TEST</vt:lpstr>
      <vt:lpstr>Referencje</vt:lpstr>
      <vt:lpstr>Protokół z pomiarów</vt:lpstr>
      <vt:lpstr>Hydraulika</vt:lpstr>
      <vt:lpstr>BAZA DANYCH</vt:lpstr>
      <vt:lpstr>Opłacalność</vt:lpstr>
      <vt:lpstr>Listy Rozwijane</vt:lpstr>
      <vt:lpstr>Inwerter1</vt:lpstr>
      <vt:lpstr>'Konstrukcja dach płaski'!Obszar_wydruku</vt:lpstr>
      <vt:lpstr>'Konstrukcja Dach Skośny'!Obszar_wydruku</vt:lpstr>
      <vt:lpstr>'Protokół odbioru'!Obszar_wydruku</vt:lpstr>
      <vt:lpstr>PV!Obszar_wydruku</vt:lpstr>
      <vt:lpstr>'Schematy elektryczne'!Obszar_wydruku</vt:lpstr>
      <vt:lpstr>panel</vt:lpstr>
      <vt:lpstr>string2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Dawid Jarząbek</dc:creator>
  <cp:lastModifiedBy>1438</cp:lastModifiedBy>
  <cp:lastPrinted>2023-10-12T07:26:15Z</cp:lastPrinted>
  <dcterms:created xsi:type="dcterms:W3CDTF">2016-12-19T10:13:43Z</dcterms:created>
  <dcterms:modified xsi:type="dcterms:W3CDTF">2024-01-15T14:36:33Z</dcterms:modified>
</cp:coreProperties>
</file>