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PURCHASE_DESCRIPTION" localSheetId="1">'Costs'!$H$61</definedName>
    <definedName name="TotalCost" localSheetId="1">'Costs'!$H$4</definedName>
    <definedName name="USD_EUR" localSheetId="1">'Costs'!$C$60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N4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J9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K9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L9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M9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N9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I10" authorId="0">
      <text>
        <r>
          <rPr>
            <sz val="8"/>
            <color indexed="81"/>
            <rFont val="Tahoma"/>
            <family val="2"/>
          </rPr>
          <t>90665 Auf Lager</t>
        </r>
      </text>
    </comment>
    <comment ref="K10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€0.10      €0.10
    10   €0.03      €0.28
   100   €0.02      €1.60
   500   €0.01      €6.00
  1000   €0.01     €10.00
  2500   €0.01     €22.50
  5000   €0.01     €40.00
 10000   €0.01     €70.00
 50000   €0.01    €350.00</t>
        </r>
      </text>
    </comment>
    <comment ref="N10" authorId="0">
      <text>
        <r>
          <rPr>
            <sz val="8"/>
            <color indexed="81"/>
            <rFont val="Tahoma"/>
            <family val="2"/>
          </rPr>
          <t>Desc: Kondensator aus mehreren Keramikschichten MLCC - SMD/SMT KGM05AR71A104KN NEW GLOBAL PN 10V .1uF X A 581-KGM05AR71A104KN</t>
        </r>
      </text>
    </comment>
    <comment ref="I11" authorId="0">
      <text>
        <r>
          <rPr>
            <sz val="8"/>
            <color indexed="81"/>
            <rFont val="Tahoma"/>
            <family val="2"/>
          </rPr>
          <t>23556 Auf Lager</t>
        </r>
      </text>
    </comment>
    <comment ref="K11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€0.32      €0.32
    10   €0.21      €2.06
   100   €0.13     €12.90
   500   €0.10     €52.00
  1000   €0.10     €95.00
  2500   €0.09    €222.50
  5000   €0.09    €440.00
 10000   €0.07    €750.00
 20000   €0.07  €1,420.00</t>
        </r>
      </text>
    </comment>
    <comment ref="N11" authorId="0">
      <text>
        <r>
          <rPr>
            <sz val="8"/>
            <color indexed="81"/>
            <rFont val="Tahoma"/>
            <family val="2"/>
          </rPr>
          <t>Desc: Kondensator aus mehreren Keramikschichten MLCC - SMD/SMT KGM05AR71E224KH NW G LOB PN 25V 0.22uF X7 A 581-KGM05AR71E224KH</t>
        </r>
      </text>
    </comment>
    <comment ref="I12" authorId="0">
      <text>
        <r>
          <rPr>
            <sz val="8"/>
            <color indexed="81"/>
            <rFont val="Tahoma"/>
            <family val="2"/>
          </rPr>
          <t>155619 Auf Lager</t>
        </r>
      </text>
    </comment>
    <comment ref="K12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€0.10      €0.10
    10   €0.06      €0.56
   100   €0.03      €3.40
   500   €0.03     €13.50
  1000   €0.02     €24.00
  2500   €0.02     €55.00
  5000   €0.02    €100.00
 10000   €0.01    €150.00</t>
        </r>
      </text>
    </comment>
    <comment ref="N12" authorId="0">
      <text>
        <r>
          <rPr>
            <sz val="8"/>
            <color indexed="81"/>
            <rFont val="Tahoma"/>
            <family val="2"/>
          </rPr>
          <t>Desc: Kondensator aus mehreren Keramikschichten MLCC - SMD/SMT KGM05AR51E105KH NEW GLOBAL PN 25V 1uF X5 A 581-KGM05AR51E105KH</t>
        </r>
      </text>
    </comment>
    <comment ref="I13" authorId="0">
      <text>
        <r>
          <rPr>
            <sz val="8"/>
            <color indexed="81"/>
            <rFont val="Tahoma"/>
            <family val="2"/>
          </rPr>
          <t>6946 Auf Lager</t>
        </r>
      </text>
    </comment>
    <comment ref="K13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€0.10      €0.10
    10   €0.07      €0.67
 10000   €0.04    €400.00
 20000   €0.03    €660.00</t>
        </r>
      </text>
    </comment>
    <comment ref="N13" authorId="0">
      <text>
        <r>
          <rPr>
            <sz val="8"/>
            <color indexed="81"/>
            <rFont val="Tahoma"/>
            <family val="2"/>
          </rPr>
          <t>Desc: Kondensator aus mehreren Keramikschichten MLCC - SMD/SMT KGM05AR51A225MH NEW GLOBAL PN 10V 2.2uF A 581-KGM05AR51A225MH</t>
        </r>
      </text>
    </comment>
    <comment ref="I15" authorId="0">
      <text>
        <r>
          <rPr>
            <sz val="8"/>
            <color indexed="81"/>
            <rFont val="Tahoma"/>
            <family val="2"/>
          </rPr>
          <t>1710 Auf Lager</t>
        </r>
      </text>
    </comment>
    <comment ref="K15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€0.16      €0.16
    10   €0.11      €1.08
   100   €0.06      €5.60
   500   €0.04     €22.50
  1000   €0.04     €40.00
  2000   €0.04     €72.00
  4000   €0.03    €108.00
  8000   €0.03    €200.00
 24000   €0.02    €576.00</t>
        </r>
      </text>
    </comment>
    <comment ref="N15" authorId="0">
      <text>
        <r>
          <rPr>
            <sz val="8"/>
            <color indexed="81"/>
            <rFont val="Tahoma"/>
            <family val="2"/>
          </rPr>
          <t>Desc: Kondensator aus mehreren Keramikschichten MLCC - SMD/SMT 6.3V 10uF X5R 0603 2 0%</t>
        </r>
      </text>
    </comment>
    <comment ref="I16" authorId="0">
      <text>
        <r>
          <rPr>
            <sz val="8"/>
            <color indexed="81"/>
            <rFont val="Tahoma"/>
            <family val="2"/>
          </rPr>
          <t>9392 Auf Lager</t>
        </r>
      </text>
    </comment>
    <comment ref="K16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€0.41      €0.41
    10   €0.39      €3.89
   100   €0.31     €30.70
   500   €0.24    €121.50
  2000   €0.19    €388.00
 10000   €0.19  €1,880.00</t>
        </r>
      </text>
    </comment>
    <comment ref="N16" authorId="0">
      <text>
        <r>
          <rPr>
            <sz val="8"/>
            <color indexed="81"/>
            <rFont val="Tahoma"/>
            <family val="2"/>
          </rPr>
          <t>Desc: Einfarbige LEDs leds Green Water Clear 574nm 45mcd</t>
        </r>
      </text>
    </comment>
    <comment ref="I17" authorId="0">
      <text>
        <r>
          <rPr>
            <sz val="8"/>
            <color indexed="81"/>
            <rFont val="Tahoma"/>
            <family val="2"/>
          </rPr>
          <t>9392 Auf Lager</t>
        </r>
      </text>
    </comment>
    <comment ref="K17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€0.41      €0.41
    10   €0.39      €3.89
   100   €0.31     €30.70
   500   €0.24    €121.50
  2000   €0.19    €388.00
 10000   €0.19  €1,880.00</t>
        </r>
      </text>
    </comment>
    <comment ref="N17" authorId="0">
      <text>
        <r>
          <rPr>
            <sz val="8"/>
            <color indexed="81"/>
            <rFont val="Tahoma"/>
            <family val="2"/>
          </rPr>
          <t>Desc: Einfarbige LEDs leds Green Water Clear 574nm 45mcd</t>
        </r>
      </text>
    </comment>
    <comment ref="I18" authorId="0">
      <text>
        <r>
          <rPr>
            <sz val="8"/>
            <color indexed="81"/>
            <rFont val="Tahoma"/>
            <family val="2"/>
          </rPr>
          <t>9392 Auf Lager</t>
        </r>
      </text>
    </comment>
    <comment ref="K18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€0.41      €0.41
    10   €0.39      €3.89
   100   €0.31     €30.70
   500   €0.24    €121.50
  2000   €0.19    €388.00
 10000   €0.19  €1,880.00</t>
        </r>
      </text>
    </comment>
    <comment ref="N18" authorId="0">
      <text>
        <r>
          <rPr>
            <sz val="8"/>
            <color indexed="81"/>
            <rFont val="Tahoma"/>
            <family val="2"/>
          </rPr>
          <t>Desc: Einfarbige LEDs leds Green Water Clear 574nm 45mcd</t>
        </r>
      </text>
    </comment>
    <comment ref="I19" authorId="0">
      <text>
        <r>
          <rPr>
            <sz val="8"/>
            <color indexed="81"/>
            <rFont val="Tahoma"/>
            <family val="2"/>
          </rPr>
          <t>51553 Auf Lager</t>
        </r>
      </text>
    </comment>
    <comment ref="K19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€0.84      €0.84
    10   €0.71      €7.12
   100   €0.68     €68.10
   500   €0.62    €309.00
  1000   €0.59    €595.00
  2500   €0.57  €1,417.50
  5000   €0.54  €2,690.00
 10000   €0.52  €5,190.00</t>
        </r>
      </text>
    </comment>
    <comment ref="N19" authorId="0">
      <text>
        <r>
          <rPr>
            <sz val="8"/>
            <color indexed="81"/>
            <rFont val="Tahoma"/>
            <family val="2"/>
          </rPr>
          <t>Desc: Sensoren für Umgebungslicht Digital Ambient Light Sensor</t>
        </r>
      </text>
    </comment>
    <comment ref="I20" authorId="0">
      <text>
        <r>
          <rPr>
            <sz val="8"/>
            <color indexed="81"/>
            <rFont val="Tahoma"/>
            <family val="2"/>
          </rPr>
          <t>11498 Auf Lager</t>
        </r>
      </text>
    </comment>
    <comment ref="K20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€3.22      €3.22
     5   €2.87     €14.35
    10   €2.75     €27.50
    25   €2.61     €65.25
    50   €2.50    €125.00
   100   €2.41    €241.00
   500   €2.22  €1,110.00
  1000   €2.18  €2,180.00
  2500   €2.00  €5,000.00
  5000   €2.00 €10,000.00</t>
        </r>
      </text>
    </comment>
    <comment ref="N20" authorId="0">
      <text>
        <r>
          <rPr>
            <sz val="8"/>
            <color indexed="81"/>
            <rFont val="Tahoma"/>
            <family val="2"/>
          </rPr>
          <t>Desc: IMUs - Inertiale Messeinheiten Smart Ultra-Low Power Inertial Measurement Unit (IMU) for Wearable Applications</t>
        </r>
      </text>
    </comment>
    <comment ref="I21" authorId="0">
      <text>
        <r>
          <rPr>
            <sz val="8"/>
            <color indexed="81"/>
            <rFont val="Tahoma"/>
            <family val="2"/>
          </rPr>
          <t>637 Auf Lager</t>
        </r>
      </text>
    </comment>
    <comment ref="K21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€2.56      €2.56
     5   €2.29     €11.45
    10   €2.06     €20.60
    50   €1.98     €99.00
   100   €1.90    €190.00
   500   €1.74    €870.00
  1000   €1.68  €1,680.00
  2000   €1.64  €3,280.00
  5000   €1.57  €7,850.00
 10000   €1.57 €15,700.00</t>
        </r>
      </text>
    </comment>
    <comment ref="N21" authorId="0">
      <text>
        <r>
          <rPr>
            <sz val="8"/>
            <color indexed="81"/>
            <rFont val="Tahoma"/>
            <family val="2"/>
          </rPr>
          <t>Desc: Drucksensoren für Plattenmontage The BMP581 is a very small, low-power and low-noise 24-bit absolute barometric pressure sensor.</t>
        </r>
      </text>
    </comment>
    <comment ref="I22" authorId="0">
      <text>
        <r>
          <rPr>
            <sz val="8"/>
            <color indexed="81"/>
            <rFont val="Tahoma"/>
            <family val="2"/>
          </rPr>
          <t>807 Auf Lager</t>
        </r>
      </text>
    </comment>
    <comment ref="K22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€1.39      €1.39
    10   €1.02     €10.20
    25   €0.93     €23.23
   100   €0.83     €82.60
   250   €0.78    €194.25
   500   €0.73    €366.00
  1000   €0.71    €706.00
  2500   €0.70  €1,740.00
  5000   €0.67  €3,335.00</t>
        </r>
      </text>
    </comment>
    <comment ref="N22" authorId="0">
      <text>
        <r>
          <rPr>
            <sz val="8"/>
            <color indexed="81"/>
            <rFont val="Tahoma"/>
            <family val="2"/>
          </rPr>
          <t>Desc: Motor / Bewegung / Zündungscontroller und Treiber Haptic Driver w/Auto Resonance Tracking A 595-DRV2603RUNR</t>
        </r>
      </text>
    </comment>
    <comment ref="I23" authorId="0">
      <text>
        <r>
          <rPr>
            <sz val="8"/>
            <color indexed="81"/>
            <rFont val="Tahoma"/>
            <family val="2"/>
          </rPr>
          <t>13507 Auf Lager</t>
        </r>
      </text>
    </comment>
    <comment ref="K23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€1.00      €1.00
    10   €0.45      €4.47
    25   €0.39      €9.85
   100   €0.33     €33.40
   250   €0.30     €75.75
   500   €0.29    €143.00
  1000   €0.26    €264.00
  3000   €0.24    €714.00
  6000   €0.23  €1,404.00</t>
        </r>
      </text>
    </comment>
    <comment ref="N23" authorId="0">
      <text>
        <r>
          <rPr>
            <sz val="8"/>
            <color indexed="81"/>
            <rFont val="Tahoma"/>
            <family val="2"/>
          </rPr>
          <t>Desc: Driver ICs LED-Beleuchtungstreiber 2Ch Linear LED Drvr w/Sngl Wire Digital</t>
        </r>
      </text>
    </comment>
    <comment ref="I2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24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€1.84      €1.84
     5   €1.63      €8.15
    10   €1.47     €14.70
    50   €1.41     €70.50
   100   €1.35    €135.00
   500   €1.24    €620.00
  1000   €1.20  €1,200.00
  2000   €1.18  €2,360.00
 10000   €1.18 €11,800.00</t>
        </r>
      </text>
    </comment>
    <comment ref="N24" authorId="0">
      <text>
        <r>
          <rPr>
            <sz val="8"/>
            <color indexed="81"/>
            <rFont val="Tahoma"/>
            <family val="2"/>
          </rPr>
          <t>Desc: Halleffekt-/Magnetsensoren für Plattenmontage Digital output magnetic sensor: ultralow-power, high-performance 3-axis magnetom</t>
        </r>
      </text>
    </comment>
    <comment ref="I25" authorId="0">
      <text>
        <r>
          <rPr>
            <sz val="8"/>
            <color indexed="81"/>
            <rFont val="Tahoma"/>
            <family val="2"/>
          </rPr>
          <t>Keine</t>
        </r>
      </text>
    </comment>
    <comment ref="K25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4800   €4.52 €21,696.00</t>
        </r>
      </text>
    </comment>
    <comment ref="N25" authorId="0">
      <text>
        <r>
          <rPr>
            <sz val="8"/>
            <color indexed="81"/>
            <rFont val="Tahoma"/>
            <family val="2"/>
          </rPr>
          <t>Desc: NOR-Flash Serial NOR 1.8V 512Mbit x4 I/O WSON-8 8x6mm</t>
        </r>
      </text>
    </comment>
    <comment ref="I26" authorId="0">
      <text>
        <r>
          <rPr>
            <sz val="8"/>
            <color indexed="81"/>
            <rFont val="Tahoma"/>
            <family val="2"/>
          </rPr>
          <t>19331 Auf Lager</t>
        </r>
      </text>
    </comment>
    <comment ref="K26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€0.89      €0.89
    10   €0.64      €6.38
    25   €0.58     €14.40
   100   €0.51     €50.80
   250   €0.48    €119.00
   500   €0.45    €225.50
  1000   €0.44    €441.00
  4000   €0.37  €1,492.00
  8000   €0.37  €2,968.00</t>
        </r>
      </text>
    </comment>
    <comment ref="N26" authorId="0">
      <text>
        <r>
          <rPr>
            <sz val="8"/>
            <color indexed="81"/>
            <rFont val="Tahoma"/>
            <family val="2"/>
          </rPr>
          <t>Desc: Übersetzungsspannungs-Pegel 5.8ns 5.5V 250mW OD</t>
        </r>
      </text>
    </comment>
    <comment ref="I27" authorId="0">
      <text>
        <r>
          <rPr>
            <sz val="8"/>
            <color indexed="81"/>
            <rFont val="Tahoma"/>
            <family val="2"/>
          </rPr>
          <t>8288 Auf Lager</t>
        </r>
      </text>
    </comment>
    <comment ref="K27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€0.57      €0.57
    10   €0.40      €4.03
    25   €0.36      €9.07
   100   €0.32     €31.70
   250   €0.29     €73.75
   500   €0.28    €141.00
  1000   €0.28    €277.00
  6000   €0.28  €1,656.00</t>
        </r>
      </text>
    </comment>
    <comment ref="N27" authorId="0">
      <text>
        <r>
          <rPr>
            <sz val="8"/>
            <color indexed="81"/>
            <rFont val="Tahoma"/>
            <family val="2"/>
          </rPr>
          <t>Desc: Übersetzungsspannungs-Pegel Dual Supply bidirectional I2C-bus and SMBus voltage-level translator</t>
        </r>
      </text>
    </comment>
    <comment ref="I28" authorId="0">
      <text>
        <r>
          <rPr>
            <sz val="8"/>
            <color indexed="81"/>
            <rFont val="Tahoma"/>
            <family val="2"/>
          </rPr>
          <t>1667 Auf Lager</t>
        </r>
      </text>
    </comment>
    <comment ref="K28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€1.80      €1.80
    10   €1.32     €13.20
    25   €1.20     €30.00
   100   €1.06    €106.00
   500   €1.03    €515.00
  1000   €0.89    €887.00
  4000   €0.84  €3,344.00
  8000   €0.81  €6,488.00</t>
        </r>
      </text>
    </comment>
    <comment ref="N28" authorId="0">
      <text>
        <r>
          <rPr>
            <sz val="8"/>
            <color indexed="81"/>
            <rFont val="Tahoma"/>
            <family val="2"/>
          </rPr>
          <t>Desc: Echtzeituhr 32.768kHz I2C 20ppm 2.0x1.2x0.7 AEC-Q200</t>
        </r>
      </text>
    </comment>
    <comment ref="I29" authorId="0">
      <text>
        <r>
          <rPr>
            <sz val="8"/>
            <color indexed="81"/>
            <rFont val="Tahoma"/>
            <family val="2"/>
          </rPr>
          <t>187 Auf Lager</t>
        </r>
      </text>
    </comment>
    <comment ref="K29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€0.38      €0.38
    10   €0.26      €2.56
   100   €0.17     €17.40
   500   €0.14     €68.00
  1000   €0.12    €121.00
  3000   €0.09    €261.00</t>
        </r>
      </text>
    </comment>
    <comment ref="N29" authorId="0">
      <text>
        <r>
          <rPr>
            <sz val="8"/>
            <color indexed="81"/>
            <rFont val="Tahoma"/>
            <family val="2"/>
          </rPr>
          <t>Desc: ESD-Schutzdioden / TVS-Dioden High Speed Interface Protection Low Cap</t>
        </r>
      </text>
    </comment>
    <comment ref="I30" authorId="0">
      <text>
        <r>
          <rPr>
            <sz val="8"/>
            <color indexed="81"/>
            <rFont val="Tahoma"/>
            <family val="2"/>
          </rPr>
          <t>2343 Auf Lager</t>
        </r>
      </text>
    </comment>
    <comment ref="K30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€3.55      €3.55
  1000   €2.78  €2,780.00
  1500   €2.78  €4,170.00</t>
        </r>
      </text>
    </comment>
    <comment ref="N30" authorId="0">
      <text>
        <r>
          <rPr>
            <sz val="8"/>
            <color indexed="81"/>
            <rFont val="Tahoma"/>
            <family val="2"/>
          </rPr>
          <t>Desc: Batterie-Management Power Management IC (PMIC) with unique system management features, QFN32</t>
        </r>
      </text>
    </comment>
    <comment ref="I31" authorId="0">
      <text>
        <r>
          <rPr>
            <sz val="8"/>
            <color indexed="81"/>
            <rFont val="Tahoma"/>
            <family val="2"/>
          </rPr>
          <t>86347 Auf Lager</t>
        </r>
      </text>
    </comment>
    <comment ref="K31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€0.27      €0.27
    50   €0.25     €12.30
   100   €0.23     €22.60
   500   €0.21    €103.00</t>
        </r>
      </text>
    </comment>
    <comment ref="N31" authorId="0">
      <text>
        <r>
          <rPr>
            <sz val="8"/>
            <color indexed="81"/>
            <rFont val="Tahoma"/>
            <family val="2"/>
          </rPr>
          <t>Desc: Leiterplatten-Befestigungsmaterial - PCB WR-PHD 2.54mm Jumper with Test Point</t>
        </r>
      </text>
    </comment>
    <comment ref="I32" authorId="0">
      <text>
        <r>
          <rPr>
            <sz val="8"/>
            <color indexed="81"/>
            <rFont val="Tahoma"/>
            <family val="2"/>
          </rPr>
          <t>4740 Auf Lager</t>
        </r>
      </text>
    </comment>
    <comment ref="K32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€0.26      €0.26
    10   €0.21      €2.11
    25   €0.20      €4.88
   100   €0.16     €15.70
   250   €0.15     €38.00
  1000   €0.12    €118.00
  3000   €0.10    €315.00
  6000   €0.10    €606.00
  9000   €0.09    €819.00</t>
        </r>
      </text>
    </comment>
    <comment ref="N32" authorId="0">
      <text>
        <r>
          <rPr>
            <sz val="8"/>
            <color indexed="81"/>
            <rFont val="Tahoma"/>
            <family val="2"/>
          </rPr>
          <t>Desc: Leistungsinduktivitäten – SMD 2.2  UH  20%</t>
        </r>
      </text>
    </comment>
    <comment ref="I33" authorId="0">
      <text>
        <r>
          <rPr>
            <sz val="8"/>
            <color indexed="81"/>
            <rFont val="Tahoma"/>
            <family val="2"/>
          </rPr>
          <t>820 Auf Lager</t>
        </r>
      </text>
    </comment>
    <comment ref="K33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€7.83      €7.83
    10   €7.67     €76.70
   500   €7.67  €3,835.00</t>
        </r>
      </text>
    </comment>
    <comment ref="N33" authorId="0">
      <text>
        <r>
          <rPr>
            <sz val="8"/>
            <color indexed="81"/>
            <rFont val="Tahoma"/>
            <family val="2"/>
          </rPr>
          <t>Desc: Bluetooth-Module – 802.15.1 nRF5340, PCB antenna, open CPU</t>
        </r>
      </text>
    </comment>
    <comment ref="I34" authorId="0">
      <text>
        <r>
          <rPr>
            <sz val="8"/>
            <color indexed="81"/>
            <rFont val="Tahoma"/>
            <family val="2"/>
          </rPr>
          <t>25721 Auf Lager</t>
        </r>
      </text>
    </comment>
    <comment ref="K34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€1.46      €1.46
    10   €1.20     €12.00
    25   €1.10     €27.50
    50   €1.03     €51.50
   100   €0.97     €97.20
   250   €0.94    €234.25
   500   €0.89    €443.00
  1000   €0.86    €857.00
  2500   €0.79  €1,975.00
  5700   €0.79  €4,503.00</t>
        </r>
      </text>
    </comment>
    <comment ref="N34" authorId="0">
      <text>
        <r>
          <rPr>
            <sz val="8"/>
            <color indexed="81"/>
            <rFont val="Tahoma"/>
            <family val="2"/>
          </rPr>
          <t>Desc: MEMS-Mikrofone SISONIC MEMS MICROPHONE;Digital;Top;64.5dB SNR;120dB SPL;-26 +/-1dBV;35Hz;70dB PSRR;Low Power: 230 / Standard: 630;1.8V</t>
        </r>
      </text>
    </comment>
    <comment ref="I35" authorId="0">
      <text>
        <r>
          <rPr>
            <sz val="8"/>
            <color indexed="81"/>
            <rFont val="Tahoma"/>
            <family val="2"/>
          </rPr>
          <t>161980 Auf Lager</t>
        </r>
      </text>
    </comment>
    <comment ref="K35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€0.29      €0.29
    10   €0.16      €1.59
   100   €0.10      €9.60
   500   €0.08     €41.50
  1000   €0.06     €64.00
  2500   €0.06    €145.00
  5000   €0.06    €275.00
 10000   €0.06    €550.00</t>
        </r>
      </text>
    </comment>
    <comment ref="N35" authorId="0">
      <text>
        <r>
          <rPr>
            <sz val="8"/>
            <color indexed="81"/>
            <rFont val="Tahoma"/>
            <family val="2"/>
          </rPr>
          <t>Desc: MOSFETs SOT883   N-CH  30V .59A</t>
        </r>
      </text>
    </comment>
    <comment ref="I36" authorId="0">
      <text>
        <r>
          <rPr>
            <sz val="8"/>
            <color indexed="81"/>
            <rFont val="Tahoma"/>
            <family val="2"/>
          </rPr>
          <t>31957 Auf Lager</t>
        </r>
      </text>
    </comment>
    <comment ref="K36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€0.27      €0.27
    10   €0.16      €1.64
   100   €0.10      €9.50
   500   €0.09     €44.50
  1000   €0.07     €69.00
  2500   €0.07    €162.50
  5000   €0.06    €315.00
 10000   €0.06    €630.00</t>
        </r>
      </text>
    </comment>
    <comment ref="N36" authorId="0">
      <text>
        <r>
          <rPr>
            <sz val="8"/>
            <color indexed="81"/>
            <rFont val="Tahoma"/>
            <family val="2"/>
          </rPr>
          <t>Desc: MOSFETs SOT883   P-CH  30V  1A</t>
        </r>
      </text>
    </comment>
    <comment ref="I37" authorId="0">
      <text>
        <r>
          <rPr>
            <sz val="8"/>
            <color indexed="81"/>
            <rFont val="Tahoma"/>
            <family val="2"/>
          </rPr>
          <t>86756 Auf Lager</t>
        </r>
      </text>
    </comment>
    <comment ref="K37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€0.09      €0.09
    10   €0.01      €0.08
   100   €0.01      €0.50
  1000   €0.00      €4.00
  5000   €0.00     €15.00
 25000   €0.00     €50.00</t>
        </r>
      </text>
    </comment>
    <comment ref="N37" authorId="0">
      <text>
        <r>
          <rPr>
            <sz val="8"/>
            <color indexed="81"/>
            <rFont val="Tahoma"/>
            <family val="2"/>
          </rPr>
          <t>Desc: Dickfilmwiderstände - SMD 0ohm 5%</t>
        </r>
      </text>
    </comment>
    <comment ref="I38" authorId="0">
      <text>
        <r>
          <rPr>
            <sz val="8"/>
            <color indexed="81"/>
            <rFont val="Tahoma"/>
            <family val="2"/>
          </rPr>
          <t>257603 Auf Lager</t>
        </r>
      </text>
    </comment>
    <comment ref="K38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€0.09      €0.09
    10   €0.01      €0.08
   100   €0.01      €0.50
  1000   €0.00      €4.00
  2500   €0.00      €7.50
 10000   €0.00     €20.00</t>
        </r>
      </text>
    </comment>
    <comment ref="N38" authorId="0">
      <text>
        <r>
          <rPr>
            <sz val="8"/>
            <color indexed="81"/>
            <rFont val="Tahoma"/>
            <family val="2"/>
          </rPr>
          <t>Desc: Dickfilmwiderstände - SMD General Purpose Chip Resistor 0402, 560Ohms, 1%, 1/16W</t>
        </r>
      </text>
    </comment>
    <comment ref="I41" authorId="0">
      <text>
        <r>
          <rPr>
            <sz val="8"/>
            <color indexed="81"/>
            <rFont val="Tahoma"/>
            <family val="2"/>
          </rPr>
          <t>76371 Auf Lager</t>
        </r>
      </text>
    </comment>
    <comment ref="K41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€0.09      €0.09
    10   €0.01      €0.06
   100   €0.01      €0.50
  1000   €0.00      €3.00
 10000   €0.00     €20.00</t>
        </r>
      </text>
    </comment>
    <comment ref="N41" authorId="0">
      <text>
        <r>
          <rPr>
            <sz val="8"/>
            <color indexed="81"/>
            <rFont val="Tahoma"/>
            <family val="2"/>
          </rPr>
          <t>Desc: Dickfilmwiderstände - SMD General Purpose Chip Resistor 0402, 12kOhms, 1%, 1/16W</t>
        </r>
      </text>
    </comment>
    <comment ref="I44" authorId="0">
      <text>
        <r>
          <rPr>
            <sz val="8"/>
            <color indexed="81"/>
            <rFont val="Tahoma"/>
            <family val="2"/>
          </rPr>
          <t>86756 Auf Lager</t>
        </r>
      </text>
    </comment>
    <comment ref="K44" authorId="0">
      <text>
        <r>
          <rPr>
            <sz val="8"/>
            <color indexed="81"/>
            <rFont val="Tahoma"/>
            <family val="2"/>
          </rPr>
          <t>Qty/Price Breaks (EUR):
  Qty  -  Unit€  -  Ext€
================
     1   €0.09      €0.09
    10   €0.01      €0.08
   100   €0.01      €0.50
  1000   €0.00      €4.00
  5000   €0.00     €15.00
 25000   €0.00     €50.00</t>
        </r>
      </text>
    </comment>
    <comment ref="N44" authorId="0">
      <text>
        <r>
          <rPr>
            <sz val="8"/>
            <color indexed="81"/>
            <rFont val="Tahoma"/>
            <family val="2"/>
          </rPr>
          <t>Desc: Dickfilmwiderstände - SMD 0ohm 5%</t>
        </r>
      </text>
    </comment>
    <comment ref="G60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J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G61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</commentList>
</comments>
</file>

<file path=xl/sharedStrings.xml><?xml version="1.0" encoding="utf-8"?>
<sst xmlns="http://schemas.openxmlformats.org/spreadsheetml/2006/main" count="827" uniqueCount="367">
  <si>
    <t>Row</t>
  </si>
  <si>
    <t>Quantity Per PCB</t>
  </si>
  <si>
    <t>References</t>
  </si>
  <si>
    <t>Value</t>
  </si>
  <si>
    <t>Datasheet</t>
  </si>
  <si>
    <t>Footprint</t>
  </si>
  <si>
    <t>Description</t>
  </si>
  <si>
    <t>manf</t>
  </si>
  <si>
    <t>manf#</t>
  </si>
  <si>
    <t>1</t>
  </si>
  <si>
    <t>13</t>
  </si>
  <si>
    <t>C402 C501 C502 C503 C504 C507 C508 C509 C510 C511 C602 C603 C604</t>
  </si>
  <si>
    <t>100n</t>
  </si>
  <si>
    <t>https://datasheets.kyocera-avx.com/KGM_X7R.pdf</t>
  </si>
  <si>
    <t>C_0402_1005Metric</t>
  </si>
  <si>
    <t>Unpolarized capacitor, small symbol</t>
  </si>
  <si>
    <t>KYOCERA AVX</t>
  </si>
  <si>
    <t>0402ZC104KAT4A</t>
  </si>
  <si>
    <t>2</t>
  </si>
  <si>
    <t>C505</t>
  </si>
  <si>
    <t>220n</t>
  </si>
  <si>
    <t>04023C224KAT2A</t>
  </si>
  <si>
    <t>3</t>
  </si>
  <si>
    <t>C401 C405 C601</t>
  </si>
  <si>
    <t>1u</t>
  </si>
  <si>
    <t>https://datasheets.kyocera-avx.com/cx5r.pdf</t>
  </si>
  <si>
    <t>04023D105KAT2A</t>
  </si>
  <si>
    <t>4</t>
  </si>
  <si>
    <t>C403</t>
  </si>
  <si>
    <t>2u2</t>
  </si>
  <si>
    <t>0402ZD225MAT2A</t>
  </si>
  <si>
    <t>5</t>
  </si>
  <si>
    <t>C404 C406 C408 C506</t>
  </si>
  <si>
    <t>10u</t>
  </si>
  <si>
    <t>https://search.murata.co.jp/Ceramy/image/img/A01X/G101/ENG/GRJ155R60J106ME11-02A.pdf</t>
  </si>
  <si>
    <t>Murata Electronics</t>
  </si>
  <si>
    <t>GRJ155R60J106ME11D</t>
  </si>
  <si>
    <t>6</t>
  </si>
  <si>
    <t>C407 C409 C410</t>
  </si>
  <si>
    <t>https://datasheets.kyocera-avx.com/cx5r-KGM.pdf</t>
  </si>
  <si>
    <t>C_0603_1608Metric</t>
  </si>
  <si>
    <t>KGM15CR50J106MT</t>
  </si>
  <si>
    <t>7</t>
  </si>
  <si>
    <t>D403</t>
  </si>
  <si>
    <t>+1V8</t>
  </si>
  <si>
    <t>https://www.mouser.de/datasheet/3/389/1/SSF-LXH100GD-RP.pdf</t>
  </si>
  <si>
    <t>LED_0402_1005Metric</t>
  </si>
  <si>
    <t>Light emitting diode</t>
  </si>
  <si>
    <t>SML-LX0402SUGC-TR</t>
  </si>
  <si>
    <t>Lumex</t>
  </si>
  <si>
    <t>8</t>
  </si>
  <si>
    <t>D401</t>
  </si>
  <si>
    <t>+3V0</t>
  </si>
  <si>
    <t>9</t>
  </si>
  <si>
    <t>D402</t>
  </si>
  <si>
    <t>VSYS</t>
  </si>
  <si>
    <t>10</t>
  </si>
  <si>
    <t>IC501</t>
  </si>
  <si>
    <t>APDS-9306-065</t>
  </si>
  <si>
    <t>https://docs.broadcom.com/docs/AV02-4755EN</t>
  </si>
  <si>
    <t>Broadcom_DFN-6_2x2mm_P0.65mm</t>
  </si>
  <si>
    <t>Ambient Light Sensor, I2C interface, 1.7-3.6V, DFN-6</t>
  </si>
  <si>
    <t>Broadcom / Avago</t>
  </si>
  <si>
    <t>11</t>
  </si>
  <si>
    <t>IC502</t>
  </si>
  <si>
    <t>BMI270</t>
  </si>
  <si>
    <t>https://www.bosch-sensortec.com/media/boschsensortec/downloads/datasheets/bst-bmi270-ds000.pdf</t>
  </si>
  <si>
    <t>Bosch_LGA-14_3x2.5mm_P0.5mm_LayoutBorder3x4y</t>
  </si>
  <si>
    <t/>
  </si>
  <si>
    <t>Bosch</t>
  </si>
  <si>
    <t>12</t>
  </si>
  <si>
    <t>IC504</t>
  </si>
  <si>
    <t>BMP581</t>
  </si>
  <si>
    <t>https://www.bosch-sensortec.com/media/boschsensortec/downloads/datasheets/bst-bmp581-ds004.pdf</t>
  </si>
  <si>
    <t>Bosch_LGA-10_2x2mm_P0.5mm_ClockwisePinNumbering</t>
  </si>
  <si>
    <t>IC505</t>
  </si>
  <si>
    <t>DRV2603RUNT</t>
  </si>
  <si>
    <t>https://www.ti.com/lit/ds/symlink/drv2603.pdf?HQS=dis-mous-null-mousermode-dsf-pf-null-wwe&amp;ts=1692200896697&amp;ref_url=https%253A%252F%252Feu.mouser.com%252F</t>
  </si>
  <si>
    <t>WQFN-10_2x2mm_P0.5mm</t>
  </si>
  <si>
    <t>Texas Instruments</t>
  </si>
  <si>
    <t>14</t>
  </si>
  <si>
    <t>IC601</t>
  </si>
  <si>
    <t>FAN5622SX</t>
  </si>
  <si>
    <t>https://www.onsemi.com/download/data-sheet/pdf/fan5626-d.pdf</t>
  </si>
  <si>
    <t>TSOT-23-6</t>
  </si>
  <si>
    <t>onsemi / Fairchild</t>
  </si>
  <si>
    <t>15</t>
  </si>
  <si>
    <t>IC503</t>
  </si>
  <si>
    <t>LIS2MDLTR</t>
  </si>
  <si>
    <t>http://www.st.com/content/ccc/resource/technical/document/datasheet/group3/29/13/d1/e0/9a/4d/4f/30/DM00395193/files/DM00395193.pdf/jcr:content/translations/en.DM00395193.pdf</t>
  </si>
  <si>
    <t>LGA-12_2x2mm_P0.5mm</t>
  </si>
  <si>
    <t>STMicroelectronics</t>
  </si>
  <si>
    <t>16</t>
  </si>
  <si>
    <t>IC603</t>
  </si>
  <si>
    <t>MX25U51245GZ4I00</t>
  </si>
  <si>
    <t>https://www.mouser.de/datasheet/2/819/MX25U51245G_2c_1_8V_2c_512Mb_2c_v1_4-3371129.pdf</t>
  </si>
  <si>
    <t>WSON-8-1EP_8x6mm_P1.27mm_EP3.4x4.3mm</t>
  </si>
  <si>
    <t>Macronix</t>
  </si>
  <si>
    <t>17</t>
  </si>
  <si>
    <t>IC604</t>
  </si>
  <si>
    <t>NTS0104GU12</t>
  </si>
  <si>
    <t>https://www.nxp.com/docs/en/data-sheet/NTS0104.pdf</t>
  </si>
  <si>
    <t>XQFN-12-1.7x2mm_P0.4mm</t>
  </si>
  <si>
    <t>NXP Semiconductors</t>
  </si>
  <si>
    <t>NTS0104GU12,115</t>
  </si>
  <si>
    <t>18</t>
  </si>
  <si>
    <t>IC506</t>
  </si>
  <si>
    <t>PCA9306JK</t>
  </si>
  <si>
    <t>https://www.nxp.com/docs/en/data-sheet/PCA9306.pdf</t>
  </si>
  <si>
    <t>XSON-8_0.65x0.17mm_P0.35mm</t>
  </si>
  <si>
    <t>Dual bidirectional I2C Bus and SMBus voltage level translator</t>
  </si>
  <si>
    <t>PCA9306JKZ</t>
  </si>
  <si>
    <t>19</t>
  </si>
  <si>
    <t>IC507</t>
  </si>
  <si>
    <t>RV-8263-C8</t>
  </si>
  <si>
    <t>https://www.microcrystal.com/fileadmin/Media/Products/RTC/Datasheet/RV-8263-C8.pdf</t>
  </si>
  <si>
    <t>Micro Crystal</t>
  </si>
  <si>
    <t>RV-8263-C8 32.768kHz-20PPM-TA-QA</t>
  </si>
  <si>
    <t>20</t>
  </si>
  <si>
    <t>IC602</t>
  </si>
  <si>
    <t>USBLC6-2P6</t>
  </si>
  <si>
    <t>https://www.st.com/resource/en/datasheet/usblc6-2.pdf</t>
  </si>
  <si>
    <t>SOT-666</t>
  </si>
  <si>
    <t>Very low capacitance ESD protection diode, 2 data-line, SOT-666</t>
  </si>
  <si>
    <t>21</t>
  </si>
  <si>
    <t>IC401</t>
  </si>
  <si>
    <t>nPM1300-QEXX</t>
  </si>
  <si>
    <t>https://infocenter.nordicsemi.com/index.jsp?topic=%2Fstruct_pmic%2Fstruct%2Fnpm1300.html</t>
  </si>
  <si>
    <t>QFN-32-1EP_5x5mm_P0.5mm_EP3.6x3.6mm_ThermalVias</t>
  </si>
  <si>
    <t>Nordic Semiconductor</t>
  </si>
  <si>
    <t>nPM1300-QEAA-R7</t>
  </si>
  <si>
    <t>22</t>
  </si>
  <si>
    <t>J501 J502 J503 J504 J505 J506 J507 J601 J602 J603 J604</t>
  </si>
  <si>
    <t>Jumper</t>
  </si>
  <si>
    <t>https://www.we-online.com/katalog/datasheet/60900213421.pdf</t>
  </si>
  <si>
    <t>Generic jumper cap</t>
  </si>
  <si>
    <t>Würth Elektronik</t>
  </si>
  <si>
    <t>60900213421</t>
  </si>
  <si>
    <t>23</t>
  </si>
  <si>
    <t>L401 L402</t>
  </si>
  <si>
    <t>https://www.mouser.de/datasheet/3/184/1/ASMPH-0806.pdf</t>
  </si>
  <si>
    <t>L_0806_2016</t>
  </si>
  <si>
    <t>Inductor</t>
  </si>
  <si>
    <t>ABRACON</t>
  </si>
  <si>
    <t>ASMPH-0806-2R2M-T</t>
  </si>
  <si>
    <t>24</t>
  </si>
  <si>
    <t>M601</t>
  </si>
  <si>
    <t>NORA-B106</t>
  </si>
  <si>
    <t>https://www.u-blox.com/docs/UBX-20027119</t>
  </si>
  <si>
    <t>u-blox</t>
  </si>
  <si>
    <t>NORA-B106-00B</t>
  </si>
  <si>
    <t>25</t>
  </si>
  <si>
    <t>MK501</t>
  </si>
  <si>
    <t>SPK0641HT4H-1</t>
  </si>
  <si>
    <t>https://www.knowles.com/docs/default-source/default-document-library/sph0645lm4h-1-datasheet.pdf</t>
  </si>
  <si>
    <t>Digital MEMS Microphone</t>
  </si>
  <si>
    <t>Knowles</t>
  </si>
  <si>
    <t>26</t>
  </si>
  <si>
    <t>Q401 Q402 Q403</t>
  </si>
  <si>
    <t>PMZ550UNEYL</t>
  </si>
  <si>
    <t>https://assets.nexperia.com/documents/data-sheet/PMZ550UNE.pdf</t>
  </si>
  <si>
    <t>DFN-1006-3</t>
  </si>
  <si>
    <t>0.59A Id, 30V Vds, N-Channel MOSFET, DFN-1006-3</t>
  </si>
  <si>
    <t>Nexperia</t>
  </si>
  <si>
    <t>27</t>
  </si>
  <si>
    <t>Q404</t>
  </si>
  <si>
    <t>PMZB320UPEYL</t>
  </si>
  <si>
    <t>https://assets.nexperia.com/documents/data-sheet/PMZB320UPE.pdf</t>
  </si>
  <si>
    <t>1A Id, 30V Vds</t>
  </si>
  <si>
    <t>ROHM Semiconductor</t>
  </si>
  <si>
    <t>28</t>
  </si>
  <si>
    <t>R409 R410 R411 R412 R602 R605 R606 R615 R616</t>
  </si>
  <si>
    <t>0R</t>
  </si>
  <si>
    <t>https://www.mouser.de/datasheet/3/40/1/cr.pdf</t>
  </si>
  <si>
    <t>R_0805_2012Metric</t>
  </si>
  <si>
    <t>Resistor, small symbol</t>
  </si>
  <si>
    <t>Bourns</t>
  </si>
  <si>
    <t>CR0805-J/-000ELF</t>
  </si>
  <si>
    <t>29</t>
  </si>
  <si>
    <t>R404 R405 R406</t>
  </si>
  <si>
    <t>560R</t>
  </si>
  <si>
    <t>https://www.mouser.com/catalog/specsheets/YAGEO_PYu_RC_Group_51_RoHS_L_12.pdf</t>
  </si>
  <si>
    <t>R_0402_1005Metric</t>
  </si>
  <si>
    <t>YAGEO</t>
  </si>
  <si>
    <t>RC0402FR-07560RL</t>
  </si>
  <si>
    <t>30</t>
  </si>
  <si>
    <t>R501 R502</t>
  </si>
  <si>
    <t>1k8</t>
  </si>
  <si>
    <t>RC0404FR-071K8L</t>
  </si>
  <si>
    <t>31</t>
  </si>
  <si>
    <t>R504 R505</t>
  </si>
  <si>
    <t>3k3</t>
  </si>
  <si>
    <t>RC0404FR-073K3L</t>
  </si>
  <si>
    <t>32</t>
  </si>
  <si>
    <t>R601</t>
  </si>
  <si>
    <t>12k</t>
  </si>
  <si>
    <t>RC0402FR-0712KL</t>
  </si>
  <si>
    <t>33</t>
  </si>
  <si>
    <t>R407</t>
  </si>
  <si>
    <t>47k</t>
  </si>
  <si>
    <t>RC0402FR-0747KL</t>
  </si>
  <si>
    <t>34</t>
  </si>
  <si>
    <t>R401 R402 R403 R408 R503</t>
  </si>
  <si>
    <t>100k</t>
  </si>
  <si>
    <t>RC0404FR-07100KL</t>
  </si>
  <si>
    <t>35</t>
  </si>
  <si>
    <t>R613</t>
  </si>
  <si>
    <t>36</t>
  </si>
  <si>
    <t>S601</t>
  </si>
  <si>
    <t>RESET</t>
  </si>
  <si>
    <t>https://www.we-online.com/components/products/datasheet/430182050816.pdf</t>
  </si>
  <si>
    <t>WS-TASV-6x6</t>
  </si>
  <si>
    <t>Push button switch, generic, two pins</t>
  </si>
  <si>
    <t>Wurth Elektronik</t>
  </si>
  <si>
    <t>430182050816</t>
  </si>
  <si>
    <t>37</t>
  </si>
  <si>
    <t>S501</t>
  </si>
  <si>
    <t>SW1</t>
  </si>
  <si>
    <t>38</t>
  </si>
  <si>
    <t>S502</t>
  </si>
  <si>
    <t>SW2</t>
  </si>
  <si>
    <t>39</t>
  </si>
  <si>
    <t>S503</t>
  </si>
  <si>
    <t>SW3</t>
  </si>
  <si>
    <t>40</t>
  </si>
  <si>
    <t>S504</t>
  </si>
  <si>
    <t>SW4</t>
  </si>
  <si>
    <t>41</t>
  </si>
  <si>
    <t>X401 X501 X503 X505 X506 X507 X508 X510 X602 X606 X607 X609 X610</t>
  </si>
  <si>
    <t>Battery</t>
  </si>
  <si>
    <t>https://cdn.amphenol-cs.com/media/wysiwyg/files/documentation/datasheet/boardwiretoboard/bwb_bergstik.pdf</t>
  </si>
  <si>
    <t>PinHeader_1x02_P2.54mm_Vertical</t>
  </si>
  <si>
    <t>Generic connector, single row, 01x02, script generated (kicad-library-utils/schlib/autogen/connector/)</t>
  </si>
  <si>
    <t>Amphenol FCI</t>
  </si>
  <si>
    <t>77311-818-02LF</t>
  </si>
  <si>
    <t>42</t>
  </si>
  <si>
    <t>X402 X509</t>
  </si>
  <si>
    <t>https://www.molex.com/en-us/products/part-detail-pdf/781710002?display=pdf</t>
  </si>
  <si>
    <t>78171-0002</t>
  </si>
  <si>
    <t>Molex</t>
  </si>
  <si>
    <t>43</t>
  </si>
  <si>
    <t>X601</t>
  </si>
  <si>
    <t>DEBUG</t>
  </si>
  <si>
    <t>http://infocenter.arm.com/help/topic/com.arm.doc.ddi0314h/DDI0314H_coresight_components_trm.pdf</t>
  </si>
  <si>
    <t>SHF-105-01-L-D-SM-TR</t>
  </si>
  <si>
    <t>Cortex Debug Connector, standard ARM Cortex-M SWD and JTAG interface</t>
  </si>
  <si>
    <t>62201021121</t>
  </si>
  <si>
    <t>44</t>
  </si>
  <si>
    <t>X603</t>
  </si>
  <si>
    <t>Device</t>
  </si>
  <si>
    <t>https://www.usb.org/sites/default/files/documents/usb_type-c.zip</t>
  </si>
  <si>
    <t>USB_C_Receptacle_Amphenol_12401610E4-2A</t>
  </si>
  <si>
    <t>USB Full-Featured Type-C Receptacle connector</t>
  </si>
  <si>
    <t>Amphenol Commercial Products</t>
  </si>
  <si>
    <t>12401610E4#2A</t>
  </si>
  <si>
    <t>45</t>
  </si>
  <si>
    <t>X608</t>
  </si>
  <si>
    <t>Display</t>
  </si>
  <si>
    <t>https://www.buydisplay.com/download/manual/ER-TFT1.28-2_Datasheet.pdf</t>
  </si>
  <si>
    <t>ER-CON0.4-24P</t>
  </si>
  <si>
    <t>EastRising</t>
  </si>
  <si>
    <t>OK-24F024-04</t>
  </si>
  <si>
    <t>46</t>
  </si>
  <si>
    <t>X605</t>
  </si>
  <si>
    <t>GPIO</t>
  </si>
  <si>
    <t>~https://cdn.amphenol-cs.com/media/wysiwyg/files/documentation/datasheet/boardwiretoboard/bwb_bergstik.pdf</t>
  </si>
  <si>
    <t>PinHeader_1x06_P2.54mm_Vertical</t>
  </si>
  <si>
    <t>Generic connector, single row, 01x06, script generated (kicad-library-utils/schlib/autogen/connector/)</t>
  </si>
  <si>
    <t>77311-802-06LF</t>
  </si>
  <si>
    <t>47</t>
  </si>
  <si>
    <t>X502</t>
  </si>
  <si>
    <t>I2S</t>
  </si>
  <si>
    <t>PinHeader_1x05_P2.54mm_Vertical</t>
  </si>
  <si>
    <t>Generic connector, single row, 01x05, script generated (kicad-library-utils/schlib/autogen/connector/)</t>
  </si>
  <si>
    <t>77311-818-05LF</t>
  </si>
  <si>
    <t>48</t>
  </si>
  <si>
    <t>X403 X504</t>
  </si>
  <si>
    <t>Power</t>
  </si>
  <si>
    <t>PinHeader_1x04_P2.54mm_Vertical</t>
  </si>
  <si>
    <t>Generic connector, single row, 01x04, script generated (kicad-library-utils/schlib/autogen/connector/)</t>
  </si>
  <si>
    <t>77311-818-02LF 77311-818-04LF</t>
  </si>
  <si>
    <t>49</t>
  </si>
  <si>
    <t>X604</t>
  </si>
  <si>
    <t>UART</t>
  </si>
  <si>
    <t>PinHeader_1x03_P2.54mm_Vertical</t>
  </si>
  <si>
    <t>Generic connector, single row, 01x03, script generated (kicad-library-utils/schlib/autogen/connector/)</t>
  </si>
  <si>
    <t>77311-818-03LF</t>
  </si>
  <si>
    <t>Bill of Materials</t>
  </si>
  <si>
    <t>Schematic:</t>
  </si>
  <si>
    <t>ZSWatch-Watch-DevKit</t>
  </si>
  <si>
    <t>Variant:</t>
  </si>
  <si>
    <t>CHECKED</t>
  </si>
  <si>
    <t>Revision:</t>
  </si>
  <si>
    <t>Date:</t>
  </si>
  <si>
    <t>2025-07-13</t>
  </si>
  <si>
    <t>KiCad Version:</t>
  </si>
  <si>
    <t>9.0.1+1</t>
  </si>
  <si>
    <t>Component Groups:</t>
  </si>
  <si>
    <t>Component Count:</t>
  </si>
  <si>
    <t>111 (82 SMD/ 18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</si>
  <si>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</si>
  <si>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</si>
  <si>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</si>
  <si>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</si>
  <si>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</si>
  <si>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</si>
  <si>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</si>
  <si>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</si>
  <si>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</si>
  <si>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Mouser</t>
  </si>
  <si>
    <t>Avail</t>
  </si>
  <si>
    <t>Purch</t>
  </si>
  <si>
    <t>MOQ</t>
  </si>
  <si>
    <t>Cat#</t>
  </si>
  <si>
    <t>581-0402ZC104KAT4A</t>
  </si>
  <si>
    <t>581-04023C224KAT2A</t>
  </si>
  <si>
    <t>581-04023D105KAT2A</t>
  </si>
  <si>
    <t>581-0402ZD225MAT2A</t>
  </si>
  <si>
    <t>581-KGM15CR50J106MT</t>
  </si>
  <si>
    <t>696-SML-LX0402SUGCTR</t>
  </si>
  <si>
    <t>630-APDS-9306-065</t>
  </si>
  <si>
    <t>262-BMI270</t>
  </si>
  <si>
    <t>262-BMP581</t>
  </si>
  <si>
    <t>595-DRV2603RUNT</t>
  </si>
  <si>
    <t>512-FAN5622SX</t>
  </si>
  <si>
    <t>511-LIS2MDLTR</t>
  </si>
  <si>
    <t>NonStk</t>
  </si>
  <si>
    <t>95-25U51245GZ4I00T</t>
  </si>
  <si>
    <t>771-NTS0104GU12115</t>
  </si>
  <si>
    <t>771-PCA9306JKZ</t>
  </si>
  <si>
    <t>428-204291-MC01</t>
  </si>
  <si>
    <t>511-USBLC6-2P6</t>
  </si>
  <si>
    <t>949-NPM1300-QEAA-R7</t>
  </si>
  <si>
    <t>710-60900213421</t>
  </si>
  <si>
    <t>815-ASMPH-0806-2R2MT</t>
  </si>
  <si>
    <t>377-NORA-B106-00B</t>
  </si>
  <si>
    <t>721-SPK0641HT4H-1</t>
  </si>
  <si>
    <t>771-PMZ550UNEYL</t>
  </si>
  <si>
    <t>771-PMZB320UPEYL</t>
  </si>
  <si>
    <t>652-CR0805-J/-000ELF</t>
  </si>
  <si>
    <t>603-RC0402FR-07560RL</t>
  </si>
  <si>
    <t>603-RC0402FR-0712KL</t>
  </si>
  <si>
    <t>Buy here</t>
  </si>
  <si>
    <t>Total Purchase:</t>
  </si>
  <si>
    <t>Purchase description:</t>
  </si>
  <si>
    <t>USD($)/EUR(€):</t>
  </si>
  <si>
    <t>Board Qty:</t>
  </si>
  <si>
    <t>Total Cost:</t>
  </si>
  <si>
    <t>Unit Cost:</t>
  </si>
  <si>
    <t>Created:</t>
  </si>
  <si>
    <t>2025-10-16 10:51:35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</si>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</sst>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6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909090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0E4E8E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0" xfId="1" applyAlignment="1" applyProtection="1"/>
    <xf numFmtId="0" fontId="0" fillId="0" borderId="0" xfId="0" applyAlignment="1">
      <alignment vertical="top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12" borderId="0" xfId="0" applyFill="1"/>
    <xf numFmtId="0" fontId="0" fillId="13" borderId="0" xfId="0" applyFill="1"/>
    <xf numFmtId="0" fontId="13" fillId="14" borderId="0" xfId="0" applyFont="1" applyFill="1"/>
    <xf numFmtId="0" fontId="13" fillId="15" borderId="0" xfId="0" applyFont="1" applyFill="1"/>
    <xf numFmtId="0" fontId="0" fillId="16" borderId="0" xfId="0" applyFill="1"/>
    <xf numFmtId="0" fontId="14" fillId="17" borderId="0" xfId="0" applyFont="1" applyFill="1"/>
    <xf numFmtId="0" fontId="0" fillId="18" borderId="0" xfId="0" applyFill="1"/>
    <xf numFmtId="0" fontId="0" fillId="19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4040"/>
        </patternFill>
      </fill>
    </dxf>
    <dxf>
      <fill>
        <patternFill>
          <bgColor rgb="FFFF6060"/>
        </patternFill>
      </fill>
    </dxf>
    <dxf>
      <fill>
        <patternFill>
          <bgColor rgb="FFAAAAAA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KGM_X7R.pdf" TargetMode="External"/><Relationship Id="rId2" Type="http://schemas.openxmlformats.org/officeDocument/2006/relationships/hyperlink" Target="https://datasheets.kyocera-avx.com/KGM_X7R.pdf" TargetMode="External"/><Relationship Id="rId3" Type="http://schemas.openxmlformats.org/officeDocument/2006/relationships/hyperlink" Target="https://datasheets.kyocera-avx.com/cx5r.pdf" TargetMode="External"/><Relationship Id="rId4" Type="http://schemas.openxmlformats.org/officeDocument/2006/relationships/hyperlink" Target="https://datasheets.kyocera-avx.com/cx5r.pdf" TargetMode="External"/><Relationship Id="rId5" Type="http://schemas.openxmlformats.org/officeDocument/2006/relationships/hyperlink" Target="https://search.murata.co.jp/Ceramy/image/img/A01X/G101/ENG/GRJ155R60J106ME11-02A.pdf" TargetMode="External"/><Relationship Id="rId6" Type="http://schemas.openxmlformats.org/officeDocument/2006/relationships/hyperlink" Target="https://datasheets.kyocera-avx.com/cx5r-KGM.pdf" TargetMode="External"/><Relationship Id="rId7" Type="http://schemas.openxmlformats.org/officeDocument/2006/relationships/hyperlink" Target="https://www.mouser.de/datasheet/3/389/1/SSF-LXH100GD-RP.pdf" TargetMode="External"/><Relationship Id="rId8" Type="http://schemas.openxmlformats.org/officeDocument/2006/relationships/hyperlink" Target="https://www.mouser.de/datasheet/3/389/1/SSF-LXH100GD-RP.pdf" TargetMode="External"/><Relationship Id="rId9" Type="http://schemas.openxmlformats.org/officeDocument/2006/relationships/hyperlink" Target="https://www.mouser.de/datasheet/3/389/1/SSF-LXH100GD-RP.pdf" TargetMode="External"/><Relationship Id="rId10" Type="http://schemas.openxmlformats.org/officeDocument/2006/relationships/hyperlink" Target="https://docs.broadcom.com/docs/AV02-4755EN" TargetMode="External"/><Relationship Id="rId11" Type="http://schemas.openxmlformats.org/officeDocument/2006/relationships/hyperlink" Target="https://www.bosch-sensortec.com/media/boschsensortec/downloads/datasheets/bst-bmi270-ds000.pdf" TargetMode="External"/><Relationship Id="rId12" Type="http://schemas.openxmlformats.org/officeDocument/2006/relationships/hyperlink" Target="https://www.bosch-sensortec.com/media/boschsensortec/downloads/datasheets/bst-bmp581-ds004.pdf" TargetMode="External"/><Relationship Id="rId13" Type="http://schemas.openxmlformats.org/officeDocument/2006/relationships/hyperlink" Target="https://www.ti.com/lit/ds/symlink/drv2603.pdf?HQS=dis-mous-null-mousermode-dsf-pf-null-wwe&amp;ts=1692200896697&amp;ref_url=https%253A%252F%252Feu.mouser.com%252F" TargetMode="External"/><Relationship Id="rId14" Type="http://schemas.openxmlformats.org/officeDocument/2006/relationships/hyperlink" Target="https://www.onsemi.com/download/data-sheet/pdf/fan5626-d.pdf" TargetMode="External"/><Relationship Id="rId15" Type="http://schemas.openxmlformats.org/officeDocument/2006/relationships/hyperlink" Target="http://www.st.com/content/ccc/resource/technical/document/datasheet/group3/29/13/d1/e0/9a/4d/4f/30/DM00395193/files/DM00395193.pdf/jcr:content/translations/en.DM00395193.pdf" TargetMode="External"/><Relationship Id="rId16" Type="http://schemas.openxmlformats.org/officeDocument/2006/relationships/hyperlink" Target="https://www.mouser.de/datasheet/2/819/MX25U51245G_2c_1_8V_2c_512Mb_2c_v1_4-3371129.pdf" TargetMode="External"/><Relationship Id="rId17" Type="http://schemas.openxmlformats.org/officeDocument/2006/relationships/hyperlink" Target="https://www.nxp.com/docs/en/data-sheet/NTS0104.pdf" TargetMode="External"/><Relationship Id="rId18" Type="http://schemas.openxmlformats.org/officeDocument/2006/relationships/hyperlink" Target="https://www.nxp.com/docs/en/data-sheet/PCA9306.pdf" TargetMode="External"/><Relationship Id="rId19" Type="http://schemas.openxmlformats.org/officeDocument/2006/relationships/hyperlink" Target="https://www.microcrystal.com/fileadmin/Media/Products/RTC/Datasheet/RV-8263-C8.pdf" TargetMode="External"/><Relationship Id="rId20" Type="http://schemas.openxmlformats.org/officeDocument/2006/relationships/hyperlink" Target="https://www.st.com/resource/en/datasheet/usblc6-2.pdf" TargetMode="External"/><Relationship Id="rId21" Type="http://schemas.openxmlformats.org/officeDocument/2006/relationships/hyperlink" Target="https://infocenter.nordicsemi.com/index.jsp?topic=%2Fstruct_pmic%2Fstruct%2Fnpm1300.html" TargetMode="External"/><Relationship Id="rId22" Type="http://schemas.openxmlformats.org/officeDocument/2006/relationships/hyperlink" Target="https://www.we-online.com/katalog/datasheet/60900213421.pdf" TargetMode="External"/><Relationship Id="rId23" Type="http://schemas.openxmlformats.org/officeDocument/2006/relationships/hyperlink" Target="https://www.mouser.de/datasheet/3/184/1/ASMPH-0806.pdf" TargetMode="External"/><Relationship Id="rId24" Type="http://schemas.openxmlformats.org/officeDocument/2006/relationships/hyperlink" Target="https://www.u-blox.com/docs/UBX-20027119" TargetMode="External"/><Relationship Id="rId25" Type="http://schemas.openxmlformats.org/officeDocument/2006/relationships/hyperlink" Target="https://www.knowles.com/docs/default-source/default-document-library/sph0645lm4h-1-datasheet.pdf" TargetMode="External"/><Relationship Id="rId26" Type="http://schemas.openxmlformats.org/officeDocument/2006/relationships/hyperlink" Target="https://assets.nexperia.com/documents/data-sheet/PMZ550UNE.pdf" TargetMode="External"/><Relationship Id="rId27" Type="http://schemas.openxmlformats.org/officeDocument/2006/relationships/hyperlink" Target="https://assets.nexperia.com/documents/data-sheet/PMZB320UPE.pdf" TargetMode="External"/><Relationship Id="rId28" Type="http://schemas.openxmlformats.org/officeDocument/2006/relationships/hyperlink" Target="https://www.mouser.de/datasheet/3/40/1/cr.pdf" TargetMode="External"/><Relationship Id="rId29" Type="http://schemas.openxmlformats.org/officeDocument/2006/relationships/hyperlink" Target="https://www.mouser.com/catalog/specsheets/YAGEO_PYu_RC_Group_51_RoHS_L_12.pdf" TargetMode="External"/><Relationship Id="rId30" Type="http://schemas.openxmlformats.org/officeDocument/2006/relationships/hyperlink" Target="https://www.mouser.com/catalog/specsheets/YAGEO_PYu_RC_Group_51_RoHS_L_12.pdf" TargetMode="External"/><Relationship Id="rId31" Type="http://schemas.openxmlformats.org/officeDocument/2006/relationships/hyperlink" Target="https://www.mouser.com/catalog/specsheets/YAGEO_PYu_RC_Group_51_RoHS_L_12.pdf" TargetMode="External"/><Relationship Id="rId32" Type="http://schemas.openxmlformats.org/officeDocument/2006/relationships/hyperlink" Target="https://www.mouser.com/catalog/specsheets/YAGEO_PYu_RC_Group_51_RoHS_L_12.pdf" TargetMode="External"/><Relationship Id="rId33" Type="http://schemas.openxmlformats.org/officeDocument/2006/relationships/hyperlink" Target="https://www.mouser.com/catalog/specsheets/YAGEO_PYu_RC_Group_51_RoHS_L_12.pdf" TargetMode="External"/><Relationship Id="rId34" Type="http://schemas.openxmlformats.org/officeDocument/2006/relationships/hyperlink" Target="https://www.mouser.com/catalog/specsheets/YAGEO_PYu_RC_Group_51_RoHS_L_12.pdf" TargetMode="External"/><Relationship Id="rId35" Type="http://schemas.openxmlformats.org/officeDocument/2006/relationships/hyperlink" Target="https://www.mouser.de/datasheet/3/40/1/cr.pdf" TargetMode="External"/><Relationship Id="rId36" Type="http://schemas.openxmlformats.org/officeDocument/2006/relationships/hyperlink" Target="https://www.we-online.com/components/products/datasheet/430182050816.pdf" TargetMode="External"/><Relationship Id="rId37" Type="http://schemas.openxmlformats.org/officeDocument/2006/relationships/hyperlink" Target="https://www.we-online.com/components/products/datasheet/430182050816.pdf" TargetMode="External"/><Relationship Id="rId38" Type="http://schemas.openxmlformats.org/officeDocument/2006/relationships/hyperlink" Target="https://www.we-online.com/components/products/datasheet/430182050816.pdf" TargetMode="External"/><Relationship Id="rId39" Type="http://schemas.openxmlformats.org/officeDocument/2006/relationships/hyperlink" Target="https://www.we-online.com/components/products/datasheet/430182050816.pdf" TargetMode="External"/><Relationship Id="rId40" Type="http://schemas.openxmlformats.org/officeDocument/2006/relationships/hyperlink" Target="https://www.we-online.com/components/products/datasheet/430182050816.pdf" TargetMode="External"/><Relationship Id="rId41" Type="http://schemas.openxmlformats.org/officeDocument/2006/relationships/hyperlink" Target="https://cdn.amphenol-cs.com/media/wysiwyg/files/documentation/datasheet/boardwiretoboard/bwb_bergstik.pdf" TargetMode="External"/><Relationship Id="rId42" Type="http://schemas.openxmlformats.org/officeDocument/2006/relationships/hyperlink" Target="https://www.molex.com/en-us/products/part-detail-pdf/781710002?display=pdf" TargetMode="External"/><Relationship Id="rId43" Type="http://schemas.openxmlformats.org/officeDocument/2006/relationships/hyperlink" Target="http://infocenter.arm.com/help/topic/com.arm.doc.ddi0314h/DDI0314H_coresight_components_trm.pdf" TargetMode="External"/><Relationship Id="rId44" Type="http://schemas.openxmlformats.org/officeDocument/2006/relationships/hyperlink" Target="https://www.usb.org/sites/default/files/documents/usb_type-c.zip" TargetMode="External"/><Relationship Id="rId45" Type="http://schemas.openxmlformats.org/officeDocument/2006/relationships/hyperlink" Target="https://www.buydisplay.com/download/manual/ER-TFT1.28-2_Datasheet.pdf" TargetMode="External"/><Relationship Id="rId46" Type="http://schemas.openxmlformats.org/officeDocument/2006/relationships/hyperlink" Target="https://cdn.amphenol-cs.com/media/wysiwyg/files/documentation/datasheet/boardwiretoboard/bwb_bergstik.pdf" TargetMode="External"/><Relationship Id="rId47" Type="http://schemas.openxmlformats.org/officeDocument/2006/relationships/hyperlink" Target="https://cdn.amphenol-cs.com/media/wysiwyg/files/documentation/datasheet/boardwiretoboard/bwb_bergstik.pdf" TargetMode="External"/><Relationship Id="rId48" Type="http://schemas.openxmlformats.org/officeDocument/2006/relationships/hyperlink" Target="https://cdn.amphenol-cs.com/media/wysiwyg/files/documentation/datasheet/boardwiretoboard/bwb_bergstik.pdf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KGM_X7R.pdf" TargetMode="External"/><Relationship Id="rId2" Type="http://schemas.openxmlformats.org/officeDocument/2006/relationships/hyperlink" Target="https://www.mouser.de/ProductDetail/KYOCERA-AVX/0402ZC104KAT4A?qs=U0WCSYU1dIfUbdc9rwYMdg%3D%3D" TargetMode="External"/><Relationship Id="rId3" Type="http://schemas.openxmlformats.org/officeDocument/2006/relationships/hyperlink" Target="https://datasheets.kyocera-avx.com/KGM_X7R.pdf" TargetMode="External"/><Relationship Id="rId4" Type="http://schemas.openxmlformats.org/officeDocument/2006/relationships/hyperlink" Target="https://www.mouser.de/ProductDetail/KYOCERA-AVX/04023C224KAT2A?qs=5aG0NVq1C4xPiFAUpyWZQQ%3D%3D" TargetMode="External"/><Relationship Id="rId5" Type="http://schemas.openxmlformats.org/officeDocument/2006/relationships/hyperlink" Target="https://datasheets.kyocera-avx.com/cx5r.pdf" TargetMode="External"/><Relationship Id="rId6" Type="http://schemas.openxmlformats.org/officeDocument/2006/relationships/hyperlink" Target="https://www.mouser.de/ProductDetail/KYOCERA-AVX/04023D105KAT2A?qs=%252BdQmOuGyFcETexelcKkD5g%3D%3D" TargetMode="External"/><Relationship Id="rId7" Type="http://schemas.openxmlformats.org/officeDocument/2006/relationships/hyperlink" Target="https://datasheets.kyocera-avx.com/cx5r.pdf" TargetMode="External"/><Relationship Id="rId8" Type="http://schemas.openxmlformats.org/officeDocument/2006/relationships/hyperlink" Target="https://www.mouser.de/ProductDetail/KYOCERA-AVX/0402ZD225MAT2A?qs=ZBeOGGPQgEESIGO3bvTmzg%3D%3D" TargetMode="External"/><Relationship Id="rId9" Type="http://schemas.openxmlformats.org/officeDocument/2006/relationships/hyperlink" Target="https://search.murata.co.jp/Ceramy/image/img/A01X/G101/ENG/GRJ155R60J106ME11-02A.pdf" TargetMode="External"/><Relationship Id="rId10" Type="http://schemas.openxmlformats.org/officeDocument/2006/relationships/hyperlink" Target="https://datasheets.kyocera-avx.com/cx5r-KGM.pdf" TargetMode="External"/><Relationship Id="rId11" Type="http://schemas.openxmlformats.org/officeDocument/2006/relationships/hyperlink" Target="https://www.mouser.de/ProductDetail/KYOCERA-AVX/KGM15CR50J106MT?qs=Jm2GQyTW%2Fbif%2Fz3WIqU0uQ%3D%3D" TargetMode="External"/><Relationship Id="rId12" Type="http://schemas.openxmlformats.org/officeDocument/2006/relationships/hyperlink" Target="https://www.mouser.de/datasheet/3/389/1/SSF-LXH100GD-RP.pdf" TargetMode="External"/><Relationship Id="rId13" Type="http://schemas.openxmlformats.org/officeDocument/2006/relationships/hyperlink" Target="https://www.mouser.de/ProductDetail/Lumex/SML-LX0402SUGC-TR?qs=CpNDN%2FcFIdcI%252BZNfbfZN3g%3D%3D" TargetMode="External"/><Relationship Id="rId14" Type="http://schemas.openxmlformats.org/officeDocument/2006/relationships/hyperlink" Target="https://www.mouser.de/datasheet/3/389/1/SSF-LXH100GD-RP.pdf" TargetMode="External"/><Relationship Id="rId15" Type="http://schemas.openxmlformats.org/officeDocument/2006/relationships/hyperlink" Target="https://www.mouser.de/ProductDetail/Lumex/SML-LX0402SUGC-TR?qs=CpNDN%2FcFIdcI%252BZNfbfZN3g%3D%3D" TargetMode="External"/><Relationship Id="rId16" Type="http://schemas.openxmlformats.org/officeDocument/2006/relationships/hyperlink" Target="https://www.mouser.de/datasheet/3/389/1/SSF-LXH100GD-RP.pdf" TargetMode="External"/><Relationship Id="rId17" Type="http://schemas.openxmlformats.org/officeDocument/2006/relationships/hyperlink" Target="https://www.mouser.de/ProductDetail/Lumex/SML-LX0402SUGC-TR?qs=CpNDN%2FcFIdcI%252BZNfbfZN3g%3D%3D" TargetMode="External"/><Relationship Id="rId18" Type="http://schemas.openxmlformats.org/officeDocument/2006/relationships/hyperlink" Target="https://docs.broadcom.com/docs/AV02-4755EN" TargetMode="External"/><Relationship Id="rId19" Type="http://schemas.openxmlformats.org/officeDocument/2006/relationships/hyperlink" Target="https://www.mouser.de/ProductDetail/Broadcom-Avago/APDS-9306-065?qs=JUmsgfbaopRTut8Cx4p19A%3D%3D" TargetMode="External"/><Relationship Id="rId20" Type="http://schemas.openxmlformats.org/officeDocument/2006/relationships/hyperlink" Target="https://www.bosch-sensortec.com/media/boschsensortec/downloads/datasheets/bst-bmi270-ds000.pdf" TargetMode="External"/><Relationship Id="rId21" Type="http://schemas.openxmlformats.org/officeDocument/2006/relationships/hyperlink" Target="https://www.mouser.de/ProductDetail/Bosch-Sensortec/BMI270?qs=u16ybLDytRYIj%252BjQEee88A%3D%3D" TargetMode="External"/><Relationship Id="rId22" Type="http://schemas.openxmlformats.org/officeDocument/2006/relationships/hyperlink" Target="https://www.bosch-sensortec.com/media/boschsensortec/downloads/datasheets/bst-bmp581-ds004.pdf" TargetMode="External"/><Relationship Id="rId23" Type="http://schemas.openxmlformats.org/officeDocument/2006/relationships/hyperlink" Target="https://www.mouser.de/ProductDetail/Bosch-Sensortec/BMP581?qs=Li%252BoUPsLEntPL9tlFmcgXg%3D%3D" TargetMode="External"/><Relationship Id="rId24" Type="http://schemas.openxmlformats.org/officeDocument/2006/relationships/hyperlink" Target="https://www.ti.com/lit/ds/symlink/drv2603.pdf?HQS=dis-mous-null-mousermode-dsf-pf-null-wwe&amp;ts=1692200896697&amp;ref_url=https%253A%252F%252Feu.mouser.com%252F" TargetMode="External"/><Relationship Id="rId25" Type="http://schemas.openxmlformats.org/officeDocument/2006/relationships/hyperlink" Target="https://www.mouser.de/ProductDetail/Texas-Instruments/DRV2603RUNT?qs=y0LsnOHuQQ66fXxKAgGo4A%3D%3D" TargetMode="External"/><Relationship Id="rId26" Type="http://schemas.openxmlformats.org/officeDocument/2006/relationships/hyperlink" Target="https://www.onsemi.com/download/data-sheet/pdf/fan5626-d.pdf" TargetMode="External"/><Relationship Id="rId27" Type="http://schemas.openxmlformats.org/officeDocument/2006/relationships/hyperlink" Target="https://www.mouser.de/ProductDetail/onsemi-Fairchild/FAN5622SX?qs=kDD%2FdQe9TTcQ2FOj0Q0xJA%3D%3D" TargetMode="External"/><Relationship Id="rId28" Type="http://schemas.openxmlformats.org/officeDocument/2006/relationships/hyperlink" Target="http://www.st.com/content/ccc/resource/technical/document/datasheet/group3/29/13/d1/e0/9a/4d/4f/30/DM00395193/files/DM00395193.pdf/jcr:content/translations/en.DM00395193.pdf" TargetMode="External"/><Relationship Id="rId29" Type="http://schemas.openxmlformats.org/officeDocument/2006/relationships/hyperlink" Target="https://www.mouser.de/ProductDetail/STMicroelectronics/LIS2MDLTR?qs=5aG0NVq1C4wS0n6b5NiBNQ%3D%3D" TargetMode="External"/><Relationship Id="rId30" Type="http://schemas.openxmlformats.org/officeDocument/2006/relationships/hyperlink" Target="https://www.mouser.de/datasheet/2/819/MX25U51245G_2c_1_8V_2c_512Mb_2c_v1_4-3371129.pdf" TargetMode="External"/><Relationship Id="rId31" Type="http://schemas.openxmlformats.org/officeDocument/2006/relationships/hyperlink" Target="https://www.mouser.de/ProductDetail/Macronix/MX25U51245GZ4I00-T?qs=mELouGlnn3eDhn5HUfyQFw%3D%3D" TargetMode="External"/><Relationship Id="rId32" Type="http://schemas.openxmlformats.org/officeDocument/2006/relationships/hyperlink" Target="https://www.nxp.com/docs/en/data-sheet/NTS0104.pdf" TargetMode="External"/><Relationship Id="rId33" Type="http://schemas.openxmlformats.org/officeDocument/2006/relationships/hyperlink" Target="https://www.mouser.de/ProductDetail/NXP-Semiconductors/NTS0104GU12115?qs=A1cBxND5mHLxKBBpk2Em8w%3D%3D" TargetMode="External"/><Relationship Id="rId34" Type="http://schemas.openxmlformats.org/officeDocument/2006/relationships/hyperlink" Target="https://www.nxp.com/docs/en/data-sheet/PCA9306.pdf" TargetMode="External"/><Relationship Id="rId35" Type="http://schemas.openxmlformats.org/officeDocument/2006/relationships/hyperlink" Target="https://www.mouser.de/ProductDetail/NXP-Semiconductors/PCA9306JKZ?qs=2SLPxufLcgDRMLW40GZIdg%3D%3D" TargetMode="External"/><Relationship Id="rId36" Type="http://schemas.openxmlformats.org/officeDocument/2006/relationships/hyperlink" Target="https://www.microcrystal.com/fileadmin/Media/Products/RTC/Datasheet/RV-8263-C8.pdf" TargetMode="External"/><Relationship Id="rId37" Type="http://schemas.openxmlformats.org/officeDocument/2006/relationships/hyperlink" Target="https://www.mouser.de/ProductDetail/Micro-Crystal/RV-8263-C8-32.768kHz-20PPM-TA-QA?qs=ZcfC38r4PosiKn3mL8OR6g%3D%3D" TargetMode="External"/><Relationship Id="rId38" Type="http://schemas.openxmlformats.org/officeDocument/2006/relationships/hyperlink" Target="https://www.st.com/resource/en/datasheet/usblc6-2.pdf" TargetMode="External"/><Relationship Id="rId39" Type="http://schemas.openxmlformats.org/officeDocument/2006/relationships/hyperlink" Target="https://www.mouser.de/ProductDetail/STMicroelectronics/USBLC6-2P6?qs=6ARB0lp6jlViGcbUSvj1Mw%3D%3D" TargetMode="External"/><Relationship Id="rId40" Type="http://schemas.openxmlformats.org/officeDocument/2006/relationships/hyperlink" Target="https://infocenter.nordicsemi.com/index.jsp?topic=%2Fstruct_pmic%2Fstruct%2Fnpm1300.html" TargetMode="External"/><Relationship Id="rId41" Type="http://schemas.openxmlformats.org/officeDocument/2006/relationships/hyperlink" Target="https://www.mouser.de/ProductDetail/Nordic-Semiconductor/nPM1300-QEAA-R7?qs=3pZoU%2F6IRTj0hxAp51B2zA%3D%3D" TargetMode="External"/><Relationship Id="rId42" Type="http://schemas.openxmlformats.org/officeDocument/2006/relationships/hyperlink" Target="https://www.we-online.com/katalog/datasheet/60900213421.pdf" TargetMode="External"/><Relationship Id="rId43" Type="http://schemas.openxmlformats.org/officeDocument/2006/relationships/hyperlink" Target="https://www.mouser.de/ProductDetail/Wurth-Elektronik/60900213421?qs=W%252B2sBeLta1bsO5t19%2FBN7Q%3D%3D" TargetMode="External"/><Relationship Id="rId44" Type="http://schemas.openxmlformats.org/officeDocument/2006/relationships/hyperlink" Target="https://www.mouser.de/datasheet/3/184/1/ASMPH-0806.pdf" TargetMode="External"/><Relationship Id="rId45" Type="http://schemas.openxmlformats.org/officeDocument/2006/relationships/hyperlink" Target="https://www.mouser.de/ProductDetail/ABRACON/ASMPH-0806-2R2M-T?qs=73bO73rho2gUhCeImyNTuw%3D%3D" TargetMode="External"/><Relationship Id="rId46" Type="http://schemas.openxmlformats.org/officeDocument/2006/relationships/hyperlink" Target="https://www.u-blox.com/docs/UBX-20027119" TargetMode="External"/><Relationship Id="rId47" Type="http://schemas.openxmlformats.org/officeDocument/2006/relationships/hyperlink" Target="https://www.mouser.de/ProductDetail/u-blox/NORA-B106-00B?qs=T94vaHKWudSCPE72v3os%252Bg%3D%3D" TargetMode="External"/><Relationship Id="rId48" Type="http://schemas.openxmlformats.org/officeDocument/2006/relationships/hyperlink" Target="https://www.knowles.com/docs/default-source/default-document-library/sph0645lm4h-1-datasheet.pdf" TargetMode="External"/><Relationship Id="rId49" Type="http://schemas.openxmlformats.org/officeDocument/2006/relationships/hyperlink" Target="https://www.mouser.de/ProductDetail/Syntiant/SPK0641HT4H-1?qs=fAHHVMwC%252BbgQkuKPcedJGQ%3D%3D" TargetMode="External"/><Relationship Id="rId50" Type="http://schemas.openxmlformats.org/officeDocument/2006/relationships/hyperlink" Target="https://assets.nexperia.com/documents/data-sheet/PMZ550UNE.pdf" TargetMode="External"/><Relationship Id="rId51" Type="http://schemas.openxmlformats.org/officeDocument/2006/relationships/hyperlink" Target="https://www.mouser.de/ProductDetail/Nexperia/PMZ550UNEYL?qs=d7b8vw%252BBfo0cI9ZzM5Blzg%3D%3D" TargetMode="External"/><Relationship Id="rId52" Type="http://schemas.openxmlformats.org/officeDocument/2006/relationships/hyperlink" Target="https://assets.nexperia.com/documents/data-sheet/PMZB320UPE.pdf" TargetMode="External"/><Relationship Id="rId53" Type="http://schemas.openxmlformats.org/officeDocument/2006/relationships/hyperlink" Target="https://www.mouser.de/ProductDetail/Nexperia/PMZB320UPEYL?qs=d7b8vw%252BBfo3qFKLhpfjnHw%3D%3D" TargetMode="External"/><Relationship Id="rId54" Type="http://schemas.openxmlformats.org/officeDocument/2006/relationships/hyperlink" Target="https://www.mouser.de/datasheet/3/40/1/cr.pdf" TargetMode="External"/><Relationship Id="rId55" Type="http://schemas.openxmlformats.org/officeDocument/2006/relationships/hyperlink" Target="https://www.mouser.de/ProductDetail/Bourns/CR0805-J-000ELF?qs=wKk%252BLl0qPROQEEzWY8Q13A%3D%3D" TargetMode="External"/><Relationship Id="rId56" Type="http://schemas.openxmlformats.org/officeDocument/2006/relationships/hyperlink" Target="https://www.mouser.com/catalog/specsheets/YAGEO_PYu_RC_Group_51_RoHS_L_12.pdf" TargetMode="External"/><Relationship Id="rId57" Type="http://schemas.openxmlformats.org/officeDocument/2006/relationships/hyperlink" Target="https://www.mouser.de/ProductDetail/YAGEO/RC0402FR-07560RL?qs=Is6ZsIPfHkaar5c8drXNXg%3D%3D" TargetMode="External"/><Relationship Id="rId58" Type="http://schemas.openxmlformats.org/officeDocument/2006/relationships/hyperlink" Target="https://www.mouser.com/catalog/specsheets/YAGEO_PYu_RC_Group_51_RoHS_L_12.pdf" TargetMode="External"/><Relationship Id="rId59" Type="http://schemas.openxmlformats.org/officeDocument/2006/relationships/hyperlink" Target="https://www.mouser.com/catalog/specsheets/YAGEO_PYu_RC_Group_51_RoHS_L_12.pdf" TargetMode="External"/><Relationship Id="rId60" Type="http://schemas.openxmlformats.org/officeDocument/2006/relationships/hyperlink" Target="https://www.mouser.com/catalog/specsheets/YAGEO_PYu_RC_Group_51_RoHS_L_12.pdf" TargetMode="External"/><Relationship Id="rId61" Type="http://schemas.openxmlformats.org/officeDocument/2006/relationships/hyperlink" Target="https://www.mouser.de/ProductDetail/YAGEO/RC0402FR-0712KL?qs=sxZXDnvRBEiY5XbuK7n6Dw%3D%3D" TargetMode="External"/><Relationship Id="rId62" Type="http://schemas.openxmlformats.org/officeDocument/2006/relationships/hyperlink" Target="https://www.mouser.com/catalog/specsheets/YAGEO_PYu_RC_Group_51_RoHS_L_12.pdf" TargetMode="External"/><Relationship Id="rId63" Type="http://schemas.openxmlformats.org/officeDocument/2006/relationships/hyperlink" Target="https://www.mouser.com/catalog/specsheets/YAGEO_PYu_RC_Group_51_RoHS_L_12.pdf" TargetMode="External"/><Relationship Id="rId64" Type="http://schemas.openxmlformats.org/officeDocument/2006/relationships/hyperlink" Target="https://www.mouser.de/datasheet/3/40/1/cr.pdf" TargetMode="External"/><Relationship Id="rId65" Type="http://schemas.openxmlformats.org/officeDocument/2006/relationships/hyperlink" Target="https://www.mouser.de/ProductDetail/Bourns/CR0805-J-000ELF?qs=wKk%252BLl0qPROQEEzWY8Q13A%3D%3D" TargetMode="External"/><Relationship Id="rId66" Type="http://schemas.openxmlformats.org/officeDocument/2006/relationships/hyperlink" Target="https://www.we-online.com/components/products/datasheet/430182050816.pdf" TargetMode="External"/><Relationship Id="rId67" Type="http://schemas.openxmlformats.org/officeDocument/2006/relationships/hyperlink" Target="https://www.we-online.com/components/products/datasheet/430182050816.pdf" TargetMode="External"/><Relationship Id="rId68" Type="http://schemas.openxmlformats.org/officeDocument/2006/relationships/hyperlink" Target="https://www.we-online.com/components/products/datasheet/430182050816.pdf" TargetMode="External"/><Relationship Id="rId69" Type="http://schemas.openxmlformats.org/officeDocument/2006/relationships/hyperlink" Target="https://www.we-online.com/components/products/datasheet/430182050816.pdf" TargetMode="External"/><Relationship Id="rId70" Type="http://schemas.openxmlformats.org/officeDocument/2006/relationships/hyperlink" Target="https://www.we-online.com/components/products/datasheet/430182050816.pdf" TargetMode="External"/><Relationship Id="rId71" Type="http://schemas.openxmlformats.org/officeDocument/2006/relationships/hyperlink" Target="https://cdn.amphenol-cs.com/media/wysiwyg/files/documentation/datasheet/boardwiretoboard/bwb_bergstik.pdf" TargetMode="External"/><Relationship Id="rId72" Type="http://schemas.openxmlformats.org/officeDocument/2006/relationships/hyperlink" Target="https://www.molex.com/en-us/products/part-detail-pdf/781710002?display=pdf" TargetMode="External"/><Relationship Id="rId73" Type="http://schemas.openxmlformats.org/officeDocument/2006/relationships/hyperlink" Target="http://infocenter.arm.com/help/topic/com.arm.doc.ddi0314h/DDI0314H_coresight_components_trm.pdf" TargetMode="External"/><Relationship Id="rId74" Type="http://schemas.openxmlformats.org/officeDocument/2006/relationships/hyperlink" Target="https://www.usb.org/sites/default/files/documents/usb_type-c.zip" TargetMode="External"/><Relationship Id="rId75" Type="http://schemas.openxmlformats.org/officeDocument/2006/relationships/hyperlink" Target="https://www.buydisplay.com/download/manual/ER-TFT1.28-2_Datasheet.pdf" TargetMode="External"/><Relationship Id="rId76" Type="http://schemas.openxmlformats.org/officeDocument/2006/relationships/hyperlink" Target="https://cdn.amphenol-cs.com/media/wysiwyg/files/documentation/datasheet/boardwiretoboard/bwb_bergstik.pdf" TargetMode="External"/><Relationship Id="rId77" Type="http://schemas.openxmlformats.org/officeDocument/2006/relationships/hyperlink" Target="https://cdn.amphenol-cs.com/media/wysiwyg/files/documentation/datasheet/boardwiretoboard/bwb_bergstik.pdf" TargetMode="External"/><Relationship Id="rId78" Type="http://schemas.openxmlformats.org/officeDocument/2006/relationships/hyperlink" Target="https://cdn.amphenol-cs.com/media/wysiwyg/files/documentation/datasheet/boardwiretoboard/bwb_bergstik.pdf" TargetMode="External"/><Relationship Id="rId79" Type="http://schemas.openxmlformats.org/officeDocument/2006/relationships/hyperlink" Target="https://mouser.com/bom/" TargetMode="External"/><Relationship Id="rId80" Type="http://schemas.openxmlformats.org/officeDocument/2006/relationships/vmlDrawing" Target="../drawings/vmlDrawing1.vml"/><Relationship Id="rId8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5.7109375" customWidth="1"/>
    <col min="2" max="2" width="26.7109375" customWidth="1"/>
    <col min="3" max="3" width="60.7109375" customWidth="1"/>
    <col min="4" max="4" width="21.7109375" customWidth="1"/>
    <col min="5" max="5" width="60.7109375" customWidth="1"/>
    <col min="6" max="6" width="52.7109375" customWidth="1"/>
    <col min="7" max="7" width="60.7109375" customWidth="1"/>
    <col min="8" max="8" width="33.7109375" customWidth="1"/>
    <col min="9" max="9" width="37.7109375" customWidth="1"/>
  </cols>
  <sheetData>
    <row r="1" spans="1:9" ht="32" customHeight="1">
      <c r="A1" s="1" t="s">
        <v>287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288</v>
      </c>
      <c r="B2" s="3" t="s">
        <v>289</v>
      </c>
      <c r="C2" s="2" t="s">
        <v>297</v>
      </c>
      <c r="D2" s="3">
        <v>49</v>
      </c>
    </row>
    <row r="3" spans="1:9">
      <c r="A3" s="2" t="s">
        <v>290</v>
      </c>
      <c r="B3" s="3" t="s">
        <v>291</v>
      </c>
      <c r="C3" s="2" t="s">
        <v>298</v>
      </c>
      <c r="D3" s="3" t="s">
        <v>299</v>
      </c>
    </row>
    <row r="4" spans="1:9">
      <c r="A4" s="2" t="s">
        <v>292</v>
      </c>
      <c r="B4" s="3" t="s">
        <v>68</v>
      </c>
      <c r="C4" s="2" t="s">
        <v>300</v>
      </c>
      <c r="D4" s="3" t="s">
        <v>299</v>
      </c>
    </row>
    <row r="5" spans="1:9">
      <c r="A5" s="2" t="s">
        <v>293</v>
      </c>
      <c r="B5" s="3" t="s">
        <v>294</v>
      </c>
      <c r="C5" s="2" t="s">
        <v>301</v>
      </c>
      <c r="D5" s="3">
        <v>1</v>
      </c>
    </row>
    <row r="6" spans="1:9">
      <c r="A6" s="2" t="s">
        <v>295</v>
      </c>
      <c r="B6" s="3" t="s">
        <v>296</v>
      </c>
      <c r="C6" s="2" t="s">
        <v>302</v>
      </c>
      <c r="D6" s="3">
        <v>111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 ht="30" customHeight="1">
      <c r="A9" s="5" t="s">
        <v>9</v>
      </c>
      <c r="B9" s="5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7" t="s">
        <v>15</v>
      </c>
      <c r="H9" s="7" t="s">
        <v>16</v>
      </c>
      <c r="I9" s="7" t="s">
        <v>17</v>
      </c>
    </row>
    <row r="10" spans="1:9">
      <c r="A10" s="8" t="s">
        <v>18</v>
      </c>
      <c r="B10" s="8" t="s">
        <v>9</v>
      </c>
      <c r="C10" s="9" t="s">
        <v>19</v>
      </c>
      <c r="D10" s="9" t="s">
        <v>20</v>
      </c>
      <c r="E10" s="9" t="s">
        <v>13</v>
      </c>
      <c r="F10" s="9" t="s">
        <v>14</v>
      </c>
      <c r="G10" s="10" t="s">
        <v>15</v>
      </c>
      <c r="H10" s="10" t="s">
        <v>16</v>
      </c>
      <c r="I10" s="10" t="s">
        <v>21</v>
      </c>
    </row>
    <row r="11" spans="1:9">
      <c r="A11" s="5" t="s">
        <v>22</v>
      </c>
      <c r="B11" s="5" t="s">
        <v>22</v>
      </c>
      <c r="C11" s="6" t="s">
        <v>23</v>
      </c>
      <c r="D11" s="6" t="s">
        <v>24</v>
      </c>
      <c r="E11" s="6" t="s">
        <v>25</v>
      </c>
      <c r="F11" s="6" t="s">
        <v>14</v>
      </c>
      <c r="G11" s="7" t="s">
        <v>15</v>
      </c>
      <c r="H11" s="7" t="s">
        <v>16</v>
      </c>
      <c r="I11" s="7" t="s">
        <v>26</v>
      </c>
    </row>
    <row r="12" spans="1:9">
      <c r="A12" s="8" t="s">
        <v>27</v>
      </c>
      <c r="B12" s="8" t="s">
        <v>9</v>
      </c>
      <c r="C12" s="9" t="s">
        <v>28</v>
      </c>
      <c r="D12" s="9" t="s">
        <v>29</v>
      </c>
      <c r="E12" s="9" t="s">
        <v>25</v>
      </c>
      <c r="F12" s="9" t="s">
        <v>14</v>
      </c>
      <c r="G12" s="10" t="s">
        <v>15</v>
      </c>
      <c r="H12" s="10" t="s">
        <v>16</v>
      </c>
      <c r="I12" s="10" t="s">
        <v>30</v>
      </c>
    </row>
    <row r="13" spans="1:9" ht="30" customHeight="1">
      <c r="A13" s="5" t="s">
        <v>31</v>
      </c>
      <c r="B13" s="5" t="s">
        <v>27</v>
      </c>
      <c r="C13" s="6" t="s">
        <v>32</v>
      </c>
      <c r="D13" s="6" t="s">
        <v>33</v>
      </c>
      <c r="E13" s="6" t="s">
        <v>34</v>
      </c>
      <c r="F13" s="6" t="s">
        <v>14</v>
      </c>
      <c r="G13" s="7" t="s">
        <v>15</v>
      </c>
      <c r="H13" s="7" t="s">
        <v>35</v>
      </c>
      <c r="I13" s="7" t="s">
        <v>36</v>
      </c>
    </row>
    <row r="14" spans="1:9">
      <c r="A14" s="8" t="s">
        <v>37</v>
      </c>
      <c r="B14" s="8" t="s">
        <v>22</v>
      </c>
      <c r="C14" s="9" t="s">
        <v>38</v>
      </c>
      <c r="D14" s="9" t="s">
        <v>33</v>
      </c>
      <c r="E14" s="9" t="s">
        <v>39</v>
      </c>
      <c r="F14" s="9" t="s">
        <v>40</v>
      </c>
      <c r="G14" s="10" t="s">
        <v>15</v>
      </c>
      <c r="H14" s="10" t="s">
        <v>16</v>
      </c>
      <c r="I14" s="10" t="s">
        <v>41</v>
      </c>
    </row>
    <row r="15" spans="1:9">
      <c r="A15" s="5" t="s">
        <v>42</v>
      </c>
      <c r="B15" s="5" t="s">
        <v>9</v>
      </c>
      <c r="C15" s="6" t="s">
        <v>43</v>
      </c>
      <c r="D15" s="6" t="s">
        <v>44</v>
      </c>
      <c r="E15" s="6" t="s">
        <v>45</v>
      </c>
      <c r="F15" s="6" t="s">
        <v>46</v>
      </c>
      <c r="G15" s="7" t="s">
        <v>47</v>
      </c>
      <c r="H15" s="7" t="s">
        <v>48</v>
      </c>
      <c r="I15" s="7" t="s">
        <v>49</v>
      </c>
    </row>
    <row r="16" spans="1:9">
      <c r="A16" s="8" t="s">
        <v>50</v>
      </c>
      <c r="B16" s="8" t="s">
        <v>9</v>
      </c>
      <c r="C16" s="9" t="s">
        <v>51</v>
      </c>
      <c r="D16" s="9" t="s">
        <v>52</v>
      </c>
      <c r="E16" s="9" t="s">
        <v>45</v>
      </c>
      <c r="F16" s="9" t="s">
        <v>46</v>
      </c>
      <c r="G16" s="10" t="s">
        <v>47</v>
      </c>
      <c r="H16" s="10" t="s">
        <v>48</v>
      </c>
      <c r="I16" s="10" t="s">
        <v>49</v>
      </c>
    </row>
    <row r="17" spans="1:9">
      <c r="A17" s="5" t="s">
        <v>53</v>
      </c>
      <c r="B17" s="5" t="s">
        <v>9</v>
      </c>
      <c r="C17" s="6" t="s">
        <v>54</v>
      </c>
      <c r="D17" s="6" t="s">
        <v>55</v>
      </c>
      <c r="E17" s="6" t="s">
        <v>45</v>
      </c>
      <c r="F17" s="6" t="s">
        <v>46</v>
      </c>
      <c r="G17" s="7" t="s">
        <v>47</v>
      </c>
      <c r="H17" s="7" t="s">
        <v>48</v>
      </c>
      <c r="I17" s="7" t="s">
        <v>49</v>
      </c>
    </row>
    <row r="18" spans="1:9">
      <c r="A18" s="8" t="s">
        <v>56</v>
      </c>
      <c r="B18" s="8" t="s">
        <v>9</v>
      </c>
      <c r="C18" s="9" t="s">
        <v>57</v>
      </c>
      <c r="D18" s="9" t="s">
        <v>58</v>
      </c>
      <c r="E18" s="9" t="s">
        <v>59</v>
      </c>
      <c r="F18" s="9" t="s">
        <v>60</v>
      </c>
      <c r="G18" s="10" t="s">
        <v>61</v>
      </c>
      <c r="H18" s="10" t="s">
        <v>62</v>
      </c>
      <c r="I18" s="10" t="s">
        <v>58</v>
      </c>
    </row>
    <row r="19" spans="1:9" ht="45" customHeight="1">
      <c r="A19" s="5" t="s">
        <v>63</v>
      </c>
      <c r="B19" s="5" t="s">
        <v>9</v>
      </c>
      <c r="C19" s="6" t="s">
        <v>64</v>
      </c>
      <c r="D19" s="6" t="s">
        <v>65</v>
      </c>
      <c r="E19" s="6" t="s">
        <v>66</v>
      </c>
      <c r="F19" s="6" t="s">
        <v>67</v>
      </c>
      <c r="G19" s="11" t="s">
        <v>68</v>
      </c>
      <c r="H19" s="7" t="s">
        <v>69</v>
      </c>
      <c r="I19" s="7" t="s">
        <v>65</v>
      </c>
    </row>
    <row r="20" spans="1:9" ht="45" customHeight="1">
      <c r="A20" s="8" t="s">
        <v>70</v>
      </c>
      <c r="B20" s="8" t="s">
        <v>9</v>
      </c>
      <c r="C20" s="9" t="s">
        <v>71</v>
      </c>
      <c r="D20" s="9" t="s">
        <v>72</v>
      </c>
      <c r="E20" s="9" t="s">
        <v>73</v>
      </c>
      <c r="F20" s="9" t="s">
        <v>74</v>
      </c>
      <c r="G20" s="12" t="s">
        <v>68</v>
      </c>
      <c r="H20" s="10" t="s">
        <v>69</v>
      </c>
      <c r="I20" s="10" t="s">
        <v>72</v>
      </c>
    </row>
    <row r="21" spans="1:9" ht="45" customHeight="1">
      <c r="A21" s="5" t="s">
        <v>10</v>
      </c>
      <c r="B21" s="5" t="s">
        <v>9</v>
      </c>
      <c r="C21" s="6" t="s">
        <v>75</v>
      </c>
      <c r="D21" s="6" t="s">
        <v>76</v>
      </c>
      <c r="E21" s="6" t="s">
        <v>77</v>
      </c>
      <c r="F21" s="6" t="s">
        <v>78</v>
      </c>
      <c r="G21" s="11" t="s">
        <v>68</v>
      </c>
      <c r="H21" s="7" t="s">
        <v>79</v>
      </c>
      <c r="I21" s="7" t="s">
        <v>76</v>
      </c>
    </row>
    <row r="22" spans="1:9">
      <c r="A22" s="8" t="s">
        <v>80</v>
      </c>
      <c r="B22" s="8" t="s">
        <v>9</v>
      </c>
      <c r="C22" s="9" t="s">
        <v>81</v>
      </c>
      <c r="D22" s="9" t="s">
        <v>82</v>
      </c>
      <c r="E22" s="9" t="s">
        <v>83</v>
      </c>
      <c r="F22" s="9" t="s">
        <v>84</v>
      </c>
      <c r="G22" s="12" t="s">
        <v>68</v>
      </c>
      <c r="H22" s="10" t="s">
        <v>85</v>
      </c>
      <c r="I22" s="10" t="s">
        <v>82</v>
      </c>
    </row>
    <row r="23" spans="1:9" ht="45" customHeight="1">
      <c r="A23" s="5" t="s">
        <v>86</v>
      </c>
      <c r="B23" s="5" t="s">
        <v>9</v>
      </c>
      <c r="C23" s="6" t="s">
        <v>87</v>
      </c>
      <c r="D23" s="6" t="s">
        <v>88</v>
      </c>
      <c r="E23" s="6" t="s">
        <v>89</v>
      </c>
      <c r="F23" s="6" t="s">
        <v>90</v>
      </c>
      <c r="G23" s="11" t="s">
        <v>68</v>
      </c>
      <c r="H23" s="7" t="s">
        <v>91</v>
      </c>
      <c r="I23" s="7" t="s">
        <v>88</v>
      </c>
    </row>
    <row r="24" spans="1:9" ht="30" customHeight="1">
      <c r="A24" s="8" t="s">
        <v>92</v>
      </c>
      <c r="B24" s="8" t="s">
        <v>9</v>
      </c>
      <c r="C24" s="9" t="s">
        <v>93</v>
      </c>
      <c r="D24" s="9" t="s">
        <v>94</v>
      </c>
      <c r="E24" s="9" t="s">
        <v>95</v>
      </c>
      <c r="F24" s="9" t="s">
        <v>96</v>
      </c>
      <c r="G24" s="12" t="s">
        <v>68</v>
      </c>
      <c r="H24" s="10" t="s">
        <v>97</v>
      </c>
      <c r="I24" s="10" t="s">
        <v>94</v>
      </c>
    </row>
    <row r="25" spans="1:9">
      <c r="A25" s="5" t="s">
        <v>98</v>
      </c>
      <c r="B25" s="5" t="s">
        <v>9</v>
      </c>
      <c r="C25" s="6" t="s">
        <v>99</v>
      </c>
      <c r="D25" s="6" t="s">
        <v>100</v>
      </c>
      <c r="E25" s="6" t="s">
        <v>101</v>
      </c>
      <c r="F25" s="6" t="s">
        <v>102</v>
      </c>
      <c r="G25" s="11" t="s">
        <v>68</v>
      </c>
      <c r="H25" s="7" t="s">
        <v>103</v>
      </c>
      <c r="I25" s="7" t="s">
        <v>104</v>
      </c>
    </row>
    <row r="26" spans="1:9" ht="30" customHeight="1">
      <c r="A26" s="8" t="s">
        <v>105</v>
      </c>
      <c r="B26" s="8" t="s">
        <v>9</v>
      </c>
      <c r="C26" s="9" t="s">
        <v>106</v>
      </c>
      <c r="D26" s="9" t="s">
        <v>107</v>
      </c>
      <c r="E26" s="9" t="s">
        <v>108</v>
      </c>
      <c r="F26" s="9" t="s">
        <v>109</v>
      </c>
      <c r="G26" s="10" t="s">
        <v>110</v>
      </c>
      <c r="H26" s="10" t="s">
        <v>103</v>
      </c>
      <c r="I26" s="10" t="s">
        <v>111</v>
      </c>
    </row>
    <row r="27" spans="1:9" ht="30" customHeight="1">
      <c r="A27" s="5" t="s">
        <v>112</v>
      </c>
      <c r="B27" s="5" t="s">
        <v>9</v>
      </c>
      <c r="C27" s="6" t="s">
        <v>113</v>
      </c>
      <c r="D27" s="6" t="s">
        <v>114</v>
      </c>
      <c r="E27" s="6" t="s">
        <v>115</v>
      </c>
      <c r="F27" s="6" t="s">
        <v>114</v>
      </c>
      <c r="G27" s="11" t="s">
        <v>68</v>
      </c>
      <c r="H27" s="7" t="s">
        <v>116</v>
      </c>
      <c r="I27" s="7" t="s">
        <v>117</v>
      </c>
    </row>
    <row r="28" spans="1:9" ht="30" customHeight="1">
      <c r="A28" s="8" t="s">
        <v>118</v>
      </c>
      <c r="B28" s="8" t="s">
        <v>9</v>
      </c>
      <c r="C28" s="9" t="s">
        <v>119</v>
      </c>
      <c r="D28" s="9" t="s">
        <v>120</v>
      </c>
      <c r="E28" s="9" t="s">
        <v>121</v>
      </c>
      <c r="F28" s="9" t="s">
        <v>122</v>
      </c>
      <c r="G28" s="10" t="s">
        <v>123</v>
      </c>
      <c r="H28" s="10" t="s">
        <v>91</v>
      </c>
      <c r="I28" s="10" t="s">
        <v>120</v>
      </c>
    </row>
    <row r="29" spans="1:9" ht="30" customHeight="1">
      <c r="A29" s="5" t="s">
        <v>124</v>
      </c>
      <c r="B29" s="5" t="s">
        <v>9</v>
      </c>
      <c r="C29" s="6" t="s">
        <v>125</v>
      </c>
      <c r="D29" s="6" t="s">
        <v>126</v>
      </c>
      <c r="E29" s="6" t="s">
        <v>127</v>
      </c>
      <c r="F29" s="6" t="s">
        <v>128</v>
      </c>
      <c r="G29" s="11" t="s">
        <v>68</v>
      </c>
      <c r="H29" s="7" t="s">
        <v>129</v>
      </c>
      <c r="I29" s="7" t="s">
        <v>130</v>
      </c>
    </row>
    <row r="30" spans="1:9">
      <c r="A30" s="8" t="s">
        <v>131</v>
      </c>
      <c r="B30" s="8" t="s">
        <v>63</v>
      </c>
      <c r="C30" s="9" t="s">
        <v>132</v>
      </c>
      <c r="D30" s="9" t="s">
        <v>133</v>
      </c>
      <c r="E30" s="9" t="s">
        <v>134</v>
      </c>
      <c r="F30" s="12" t="s">
        <v>68</v>
      </c>
      <c r="G30" s="10" t="s">
        <v>135</v>
      </c>
      <c r="H30" s="10" t="s">
        <v>136</v>
      </c>
      <c r="I30" s="10" t="s">
        <v>137</v>
      </c>
    </row>
    <row r="31" spans="1:9">
      <c r="A31" s="5" t="s">
        <v>138</v>
      </c>
      <c r="B31" s="5" t="s">
        <v>18</v>
      </c>
      <c r="C31" s="6" t="s">
        <v>139</v>
      </c>
      <c r="D31" s="6" t="s">
        <v>29</v>
      </c>
      <c r="E31" s="6" t="s">
        <v>140</v>
      </c>
      <c r="F31" s="6" t="s">
        <v>141</v>
      </c>
      <c r="G31" s="7" t="s">
        <v>142</v>
      </c>
      <c r="H31" s="7" t="s">
        <v>143</v>
      </c>
      <c r="I31" s="7" t="s">
        <v>144</v>
      </c>
    </row>
    <row r="32" spans="1:9">
      <c r="A32" s="8" t="s">
        <v>145</v>
      </c>
      <c r="B32" s="8" t="s">
        <v>9</v>
      </c>
      <c r="C32" s="9" t="s">
        <v>146</v>
      </c>
      <c r="D32" s="9" t="s">
        <v>147</v>
      </c>
      <c r="E32" s="9" t="s">
        <v>148</v>
      </c>
      <c r="F32" s="9" t="s">
        <v>147</v>
      </c>
      <c r="G32" s="12" t="s">
        <v>68</v>
      </c>
      <c r="H32" s="10" t="s">
        <v>149</v>
      </c>
      <c r="I32" s="10" t="s">
        <v>150</v>
      </c>
    </row>
    <row r="33" spans="1:9" ht="30" customHeight="1">
      <c r="A33" s="5" t="s">
        <v>151</v>
      </c>
      <c r="B33" s="5" t="s">
        <v>9</v>
      </c>
      <c r="C33" s="6" t="s">
        <v>152</v>
      </c>
      <c r="D33" s="6" t="s">
        <v>153</v>
      </c>
      <c r="E33" s="6" t="s">
        <v>154</v>
      </c>
      <c r="F33" s="6" t="s">
        <v>153</v>
      </c>
      <c r="G33" s="7" t="s">
        <v>155</v>
      </c>
      <c r="H33" s="7" t="s">
        <v>156</v>
      </c>
      <c r="I33" s="7" t="s">
        <v>153</v>
      </c>
    </row>
    <row r="34" spans="1:9" ht="30" customHeight="1">
      <c r="A34" s="8" t="s">
        <v>157</v>
      </c>
      <c r="B34" s="8" t="s">
        <v>22</v>
      </c>
      <c r="C34" s="9" t="s">
        <v>158</v>
      </c>
      <c r="D34" s="9" t="s">
        <v>159</v>
      </c>
      <c r="E34" s="9" t="s">
        <v>160</v>
      </c>
      <c r="F34" s="9" t="s">
        <v>161</v>
      </c>
      <c r="G34" s="10" t="s">
        <v>162</v>
      </c>
      <c r="H34" s="10" t="s">
        <v>163</v>
      </c>
      <c r="I34" s="10" t="s">
        <v>159</v>
      </c>
    </row>
    <row r="35" spans="1:9" ht="30" customHeight="1">
      <c r="A35" s="5" t="s">
        <v>164</v>
      </c>
      <c r="B35" s="5" t="s">
        <v>9</v>
      </c>
      <c r="C35" s="6" t="s">
        <v>165</v>
      </c>
      <c r="D35" s="6" t="s">
        <v>166</v>
      </c>
      <c r="E35" s="6" t="s">
        <v>167</v>
      </c>
      <c r="F35" s="6" t="s">
        <v>161</v>
      </c>
      <c r="G35" s="7" t="s">
        <v>168</v>
      </c>
      <c r="H35" s="7" t="s">
        <v>169</v>
      </c>
      <c r="I35" s="7" t="s">
        <v>166</v>
      </c>
    </row>
    <row r="36" spans="1:9">
      <c r="A36" s="8" t="s">
        <v>170</v>
      </c>
      <c r="B36" s="8" t="s">
        <v>53</v>
      </c>
      <c r="C36" s="9" t="s">
        <v>171</v>
      </c>
      <c r="D36" s="9" t="s">
        <v>172</v>
      </c>
      <c r="E36" s="9" t="s">
        <v>173</v>
      </c>
      <c r="F36" s="9" t="s">
        <v>174</v>
      </c>
      <c r="G36" s="10" t="s">
        <v>175</v>
      </c>
      <c r="H36" s="10" t="s">
        <v>176</v>
      </c>
      <c r="I36" s="10" t="s">
        <v>177</v>
      </c>
    </row>
    <row r="37" spans="1:9" ht="30" customHeight="1">
      <c r="A37" s="5" t="s">
        <v>178</v>
      </c>
      <c r="B37" s="5" t="s">
        <v>22</v>
      </c>
      <c r="C37" s="6" t="s">
        <v>179</v>
      </c>
      <c r="D37" s="6" t="s">
        <v>180</v>
      </c>
      <c r="E37" s="6" t="s">
        <v>181</v>
      </c>
      <c r="F37" s="6" t="s">
        <v>182</v>
      </c>
      <c r="G37" s="7" t="s">
        <v>175</v>
      </c>
      <c r="H37" s="7" t="s">
        <v>183</v>
      </c>
      <c r="I37" s="7" t="s">
        <v>184</v>
      </c>
    </row>
    <row r="38" spans="1:9" ht="30" customHeight="1">
      <c r="A38" s="8" t="s">
        <v>185</v>
      </c>
      <c r="B38" s="8" t="s">
        <v>18</v>
      </c>
      <c r="C38" s="9" t="s">
        <v>186</v>
      </c>
      <c r="D38" s="9" t="s">
        <v>187</v>
      </c>
      <c r="E38" s="9" t="s">
        <v>181</v>
      </c>
      <c r="F38" s="9" t="s">
        <v>182</v>
      </c>
      <c r="G38" s="10" t="s">
        <v>175</v>
      </c>
      <c r="H38" s="10" t="s">
        <v>183</v>
      </c>
      <c r="I38" s="10" t="s">
        <v>188</v>
      </c>
    </row>
    <row r="39" spans="1:9" ht="30" customHeight="1">
      <c r="A39" s="5" t="s">
        <v>189</v>
      </c>
      <c r="B39" s="5" t="s">
        <v>18</v>
      </c>
      <c r="C39" s="6" t="s">
        <v>190</v>
      </c>
      <c r="D39" s="6" t="s">
        <v>191</v>
      </c>
      <c r="E39" s="6" t="s">
        <v>181</v>
      </c>
      <c r="F39" s="6" t="s">
        <v>182</v>
      </c>
      <c r="G39" s="7" t="s">
        <v>175</v>
      </c>
      <c r="H39" s="7" t="s">
        <v>183</v>
      </c>
      <c r="I39" s="7" t="s">
        <v>192</v>
      </c>
    </row>
    <row r="40" spans="1:9" ht="30" customHeight="1">
      <c r="A40" s="8" t="s">
        <v>193</v>
      </c>
      <c r="B40" s="8" t="s">
        <v>9</v>
      </c>
      <c r="C40" s="9" t="s">
        <v>194</v>
      </c>
      <c r="D40" s="9" t="s">
        <v>195</v>
      </c>
      <c r="E40" s="9" t="s">
        <v>181</v>
      </c>
      <c r="F40" s="9" t="s">
        <v>182</v>
      </c>
      <c r="G40" s="10" t="s">
        <v>175</v>
      </c>
      <c r="H40" s="10" t="s">
        <v>183</v>
      </c>
      <c r="I40" s="10" t="s">
        <v>196</v>
      </c>
    </row>
    <row r="41" spans="1:9" ht="30" customHeight="1">
      <c r="A41" s="5" t="s">
        <v>197</v>
      </c>
      <c r="B41" s="5" t="s">
        <v>9</v>
      </c>
      <c r="C41" s="6" t="s">
        <v>198</v>
      </c>
      <c r="D41" s="6" t="s">
        <v>199</v>
      </c>
      <c r="E41" s="6" t="s">
        <v>181</v>
      </c>
      <c r="F41" s="6" t="s">
        <v>182</v>
      </c>
      <c r="G41" s="7" t="s">
        <v>175</v>
      </c>
      <c r="H41" s="7" t="s">
        <v>183</v>
      </c>
      <c r="I41" s="7" t="s">
        <v>200</v>
      </c>
    </row>
    <row r="42" spans="1:9" ht="30" customHeight="1">
      <c r="A42" s="8" t="s">
        <v>201</v>
      </c>
      <c r="B42" s="8" t="s">
        <v>31</v>
      </c>
      <c r="C42" s="9" t="s">
        <v>202</v>
      </c>
      <c r="D42" s="9" t="s">
        <v>203</v>
      </c>
      <c r="E42" s="9" t="s">
        <v>181</v>
      </c>
      <c r="F42" s="9" t="s">
        <v>182</v>
      </c>
      <c r="G42" s="10" t="s">
        <v>175</v>
      </c>
      <c r="H42" s="10" t="s">
        <v>183</v>
      </c>
      <c r="I42" s="10" t="s">
        <v>204</v>
      </c>
    </row>
    <row r="43" spans="1:9">
      <c r="A43" s="5" t="s">
        <v>205</v>
      </c>
      <c r="B43" s="5" t="s">
        <v>9</v>
      </c>
      <c r="C43" s="6" t="s">
        <v>206</v>
      </c>
      <c r="D43" s="6" t="s">
        <v>203</v>
      </c>
      <c r="E43" s="6" t="s">
        <v>173</v>
      </c>
      <c r="F43" s="6" t="s">
        <v>174</v>
      </c>
      <c r="G43" s="7" t="s">
        <v>175</v>
      </c>
      <c r="H43" s="7" t="s">
        <v>176</v>
      </c>
      <c r="I43" s="7" t="s">
        <v>177</v>
      </c>
    </row>
    <row r="44" spans="1:9" ht="30" customHeight="1">
      <c r="A44" s="8" t="s">
        <v>207</v>
      </c>
      <c r="B44" s="8" t="s">
        <v>9</v>
      </c>
      <c r="C44" s="9" t="s">
        <v>208</v>
      </c>
      <c r="D44" s="9" t="s">
        <v>209</v>
      </c>
      <c r="E44" s="9" t="s">
        <v>210</v>
      </c>
      <c r="F44" s="9" t="s">
        <v>211</v>
      </c>
      <c r="G44" s="10" t="s">
        <v>212</v>
      </c>
      <c r="H44" s="10" t="s">
        <v>213</v>
      </c>
      <c r="I44" s="10" t="s">
        <v>214</v>
      </c>
    </row>
    <row r="45" spans="1:9" ht="30" customHeight="1">
      <c r="A45" s="5" t="s">
        <v>215</v>
      </c>
      <c r="B45" s="5" t="s">
        <v>9</v>
      </c>
      <c r="C45" s="6" t="s">
        <v>216</v>
      </c>
      <c r="D45" s="6" t="s">
        <v>217</v>
      </c>
      <c r="E45" s="6" t="s">
        <v>210</v>
      </c>
      <c r="F45" s="6" t="s">
        <v>211</v>
      </c>
      <c r="G45" s="7" t="s">
        <v>212</v>
      </c>
      <c r="H45" s="7" t="s">
        <v>213</v>
      </c>
      <c r="I45" s="7" t="s">
        <v>214</v>
      </c>
    </row>
    <row r="46" spans="1:9" ht="30" customHeight="1">
      <c r="A46" s="8" t="s">
        <v>218</v>
      </c>
      <c r="B46" s="8" t="s">
        <v>9</v>
      </c>
      <c r="C46" s="9" t="s">
        <v>219</v>
      </c>
      <c r="D46" s="9" t="s">
        <v>220</v>
      </c>
      <c r="E46" s="9" t="s">
        <v>210</v>
      </c>
      <c r="F46" s="9" t="s">
        <v>211</v>
      </c>
      <c r="G46" s="10" t="s">
        <v>212</v>
      </c>
      <c r="H46" s="10" t="s">
        <v>213</v>
      </c>
      <c r="I46" s="10" t="s">
        <v>214</v>
      </c>
    </row>
    <row r="47" spans="1:9" ht="30" customHeight="1">
      <c r="A47" s="5" t="s">
        <v>221</v>
      </c>
      <c r="B47" s="5" t="s">
        <v>9</v>
      </c>
      <c r="C47" s="6" t="s">
        <v>222</v>
      </c>
      <c r="D47" s="6" t="s">
        <v>223</v>
      </c>
      <c r="E47" s="6" t="s">
        <v>210</v>
      </c>
      <c r="F47" s="6" t="s">
        <v>211</v>
      </c>
      <c r="G47" s="7" t="s">
        <v>212</v>
      </c>
      <c r="H47" s="7" t="s">
        <v>213</v>
      </c>
      <c r="I47" s="7" t="s">
        <v>214</v>
      </c>
    </row>
    <row r="48" spans="1:9" ht="30" customHeight="1">
      <c r="A48" s="8" t="s">
        <v>224</v>
      </c>
      <c r="B48" s="8" t="s">
        <v>9</v>
      </c>
      <c r="C48" s="9" t="s">
        <v>225</v>
      </c>
      <c r="D48" s="9" t="s">
        <v>226</v>
      </c>
      <c r="E48" s="9" t="s">
        <v>210</v>
      </c>
      <c r="F48" s="9" t="s">
        <v>211</v>
      </c>
      <c r="G48" s="10" t="s">
        <v>212</v>
      </c>
      <c r="H48" s="10" t="s">
        <v>213</v>
      </c>
      <c r="I48" s="10" t="s">
        <v>214</v>
      </c>
    </row>
    <row r="49" spans="1:9" ht="30" customHeight="1">
      <c r="A49" s="5" t="s">
        <v>227</v>
      </c>
      <c r="B49" s="5" t="s">
        <v>10</v>
      </c>
      <c r="C49" s="6" t="s">
        <v>228</v>
      </c>
      <c r="D49" s="6" t="s">
        <v>229</v>
      </c>
      <c r="E49" s="6" t="s">
        <v>230</v>
      </c>
      <c r="F49" s="6" t="s">
        <v>231</v>
      </c>
      <c r="G49" s="7" t="s">
        <v>232</v>
      </c>
      <c r="H49" s="7" t="s">
        <v>233</v>
      </c>
      <c r="I49" s="7" t="s">
        <v>234</v>
      </c>
    </row>
    <row r="50" spans="1:9" ht="30" customHeight="1">
      <c r="A50" s="8" t="s">
        <v>235</v>
      </c>
      <c r="B50" s="8" t="s">
        <v>18</v>
      </c>
      <c r="C50" s="9" t="s">
        <v>236</v>
      </c>
      <c r="D50" s="9" t="s">
        <v>229</v>
      </c>
      <c r="E50" s="9" t="s">
        <v>237</v>
      </c>
      <c r="F50" s="9" t="s">
        <v>238</v>
      </c>
      <c r="G50" s="10" t="s">
        <v>232</v>
      </c>
      <c r="H50" s="10" t="s">
        <v>239</v>
      </c>
      <c r="I50" s="10" t="s">
        <v>238</v>
      </c>
    </row>
    <row r="51" spans="1:9" ht="30" customHeight="1">
      <c r="A51" s="5" t="s">
        <v>240</v>
      </c>
      <c r="B51" s="5" t="s">
        <v>9</v>
      </c>
      <c r="C51" s="6" t="s">
        <v>241</v>
      </c>
      <c r="D51" s="6" t="s">
        <v>242</v>
      </c>
      <c r="E51" s="6" t="s">
        <v>243</v>
      </c>
      <c r="F51" s="6" t="s">
        <v>244</v>
      </c>
      <c r="G51" s="7" t="s">
        <v>245</v>
      </c>
      <c r="H51" s="7" t="s">
        <v>213</v>
      </c>
      <c r="I51" s="7" t="s">
        <v>246</v>
      </c>
    </row>
    <row r="52" spans="1:9" ht="30" customHeight="1">
      <c r="A52" s="8" t="s">
        <v>247</v>
      </c>
      <c r="B52" s="8" t="s">
        <v>9</v>
      </c>
      <c r="C52" s="9" t="s">
        <v>248</v>
      </c>
      <c r="D52" s="9" t="s">
        <v>249</v>
      </c>
      <c r="E52" s="9" t="s">
        <v>250</v>
      </c>
      <c r="F52" s="9" t="s">
        <v>251</v>
      </c>
      <c r="G52" s="10" t="s">
        <v>252</v>
      </c>
      <c r="H52" s="10" t="s">
        <v>253</v>
      </c>
      <c r="I52" s="10" t="s">
        <v>254</v>
      </c>
    </row>
    <row r="53" spans="1:9" ht="30" customHeight="1">
      <c r="A53" s="5" t="s">
        <v>255</v>
      </c>
      <c r="B53" s="5" t="s">
        <v>9</v>
      </c>
      <c r="C53" s="6" t="s">
        <v>256</v>
      </c>
      <c r="D53" s="6" t="s">
        <v>257</v>
      </c>
      <c r="E53" s="6" t="s">
        <v>258</v>
      </c>
      <c r="F53" s="6" t="s">
        <v>259</v>
      </c>
      <c r="G53" s="11" t="s">
        <v>68</v>
      </c>
      <c r="H53" s="7" t="s">
        <v>260</v>
      </c>
      <c r="I53" s="7" t="s">
        <v>261</v>
      </c>
    </row>
    <row r="54" spans="1:9" ht="30" customHeight="1">
      <c r="A54" s="8" t="s">
        <v>262</v>
      </c>
      <c r="B54" s="8" t="s">
        <v>9</v>
      </c>
      <c r="C54" s="9" t="s">
        <v>263</v>
      </c>
      <c r="D54" s="9" t="s">
        <v>264</v>
      </c>
      <c r="E54" s="9" t="s">
        <v>265</v>
      </c>
      <c r="F54" s="9" t="s">
        <v>266</v>
      </c>
      <c r="G54" s="10" t="s">
        <v>267</v>
      </c>
      <c r="H54" s="10" t="s">
        <v>233</v>
      </c>
      <c r="I54" s="10" t="s">
        <v>268</v>
      </c>
    </row>
    <row r="55" spans="1:9" ht="30" customHeight="1">
      <c r="A55" s="5" t="s">
        <v>269</v>
      </c>
      <c r="B55" s="5" t="s">
        <v>9</v>
      </c>
      <c r="C55" s="6" t="s">
        <v>270</v>
      </c>
      <c r="D55" s="6" t="s">
        <v>271</v>
      </c>
      <c r="E55" s="6" t="s">
        <v>230</v>
      </c>
      <c r="F55" s="6" t="s">
        <v>272</v>
      </c>
      <c r="G55" s="7" t="s">
        <v>273</v>
      </c>
      <c r="H55" s="7" t="s">
        <v>233</v>
      </c>
      <c r="I55" s="7" t="s">
        <v>274</v>
      </c>
    </row>
    <row r="56" spans="1:9" ht="30" customHeight="1">
      <c r="A56" s="8" t="s">
        <v>275</v>
      </c>
      <c r="B56" s="8" t="s">
        <v>18</v>
      </c>
      <c r="C56" s="9" t="s">
        <v>276</v>
      </c>
      <c r="D56" s="9" t="s">
        <v>277</v>
      </c>
      <c r="E56" s="9" t="s">
        <v>230</v>
      </c>
      <c r="F56" s="9" t="s">
        <v>278</v>
      </c>
      <c r="G56" s="10" t="s">
        <v>279</v>
      </c>
      <c r="H56" s="10" t="s">
        <v>233</v>
      </c>
      <c r="I56" s="10" t="s">
        <v>280</v>
      </c>
    </row>
    <row r="57" spans="1:9" ht="30" customHeight="1">
      <c r="A57" s="5" t="s">
        <v>281</v>
      </c>
      <c r="B57" s="5" t="s">
        <v>9</v>
      </c>
      <c r="C57" s="6" t="s">
        <v>282</v>
      </c>
      <c r="D57" s="6" t="s">
        <v>283</v>
      </c>
      <c r="E57" s="6" t="s">
        <v>230</v>
      </c>
      <c r="F57" s="6" t="s">
        <v>284</v>
      </c>
      <c r="G57" s="7" t="s">
        <v>285</v>
      </c>
      <c r="H57" s="7" t="s">
        <v>233</v>
      </c>
      <c r="I57" s="7" t="s">
        <v>286</v>
      </c>
    </row>
  </sheetData>
  <mergeCells count="1">
    <mergeCell ref="A1:I1"/>
  </mergeCells>
  <hyperlinks>
    <hyperlink ref="E9" r:id="rId1"/>
    <hyperlink ref="E10" r:id="rId2"/>
    <hyperlink ref="E11" r:id="rId3"/>
    <hyperlink ref="E12" r:id="rId4"/>
    <hyperlink ref="E13" r:id="rId5"/>
    <hyperlink ref="E14" r:id="rId6"/>
    <hyperlink ref="E15" r:id="rId7"/>
    <hyperlink ref="E16" r:id="rId8"/>
    <hyperlink ref="E17" r:id="rId9"/>
    <hyperlink ref="E18" r:id="rId10"/>
    <hyperlink ref="E19" r:id="rId11"/>
    <hyperlink ref="E20" r:id="rId12"/>
    <hyperlink ref="E21" r:id="rId13"/>
    <hyperlink ref="E22" r:id="rId14"/>
    <hyperlink ref="E23" r:id="rId15"/>
    <hyperlink ref="E24" r:id="rId16"/>
    <hyperlink ref="E25" r:id="rId17"/>
    <hyperlink ref="E26" r:id="rId18"/>
    <hyperlink ref="E27" r:id="rId19"/>
    <hyperlink ref="E28" r:id="rId20"/>
    <hyperlink ref="E29" r:id="rId21"/>
    <hyperlink ref="E30" r:id="rId22"/>
    <hyperlink ref="E31" r:id="rId23"/>
    <hyperlink ref="E32" r:id="rId24"/>
    <hyperlink ref="E33" r:id="rId25"/>
    <hyperlink ref="E34" r:id="rId26"/>
    <hyperlink ref="E35" r:id="rId27"/>
    <hyperlink ref="E36" r:id="rId28"/>
    <hyperlink ref="E37" r:id="rId29"/>
    <hyperlink ref="E38" r:id="rId30"/>
    <hyperlink ref="E39" r:id="rId31"/>
    <hyperlink ref="E40" r:id="rId32"/>
    <hyperlink ref="E41" r:id="rId33"/>
    <hyperlink ref="E42" r:id="rId34"/>
    <hyperlink ref="E43" r:id="rId35"/>
    <hyperlink ref="E44" r:id="rId36"/>
    <hyperlink ref="E45" r:id="rId37"/>
    <hyperlink ref="E46" r:id="rId38"/>
    <hyperlink ref="E47" r:id="rId39"/>
    <hyperlink ref="E48" r:id="rId40"/>
    <hyperlink ref="E49" r:id="rId41"/>
    <hyperlink ref="E50" r:id="rId42"/>
    <hyperlink ref="E51" r:id="rId43"/>
    <hyperlink ref="E52" r:id="rId44"/>
    <hyperlink ref="E53" r:id="rId45"/>
    <hyperlink ref="E55" r:id="rId46"/>
    <hyperlink ref="E56" r:id="rId47"/>
    <hyperlink ref="E57" r:id="rId48"/>
  </hyperlink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9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3"/>
  <cols>
    <col min="1" max="1" width="60.7109375" customWidth="1"/>
    <col min="2" max="2" width="21.7109375" customWidth="1"/>
    <col min="3" max="3" width="48.7109375" customWidth="1" outlineLevel="2"/>
    <col min="4" max="4" width="29.7109375" customWidth="1" outlineLevel="1"/>
    <col min="5" max="5" width="33.7109375" customWidth="1" outlineLevel="1"/>
    <col min="6" max="6" width="17.7109375" customWidth="1" outlineLevel="1"/>
    <col min="7" max="7" width="22.7109375" customWidth="1"/>
    <col min="8" max="8" width="16.7109375" customWidth="1"/>
    <col min="9" max="9" width="9.7109375" customWidth="1" outlineLevel="1"/>
    <col min="10" max="10" width="9.140625" outlineLevel="2"/>
    <col min="11" max="11" width="10.7109375" customWidth="1" outlineLevel="2"/>
    <col min="12" max="12" width="0" hidden="1" customWidth="1" outlineLevel="3" collapsed="1"/>
    <col min="13" max="13" width="16.7109375" customWidth="1"/>
    <col min="14" max="14" width="21.7109375" customWidth="1" outlineLevel="2"/>
  </cols>
  <sheetData>
    <row r="1" spans="1:14" ht="32" customHeight="1">
      <c r="A1" s="1" t="s">
        <v>287</v>
      </c>
      <c r="B1" s="1"/>
      <c r="C1" s="1"/>
      <c r="D1" s="1"/>
      <c r="E1" s="1"/>
      <c r="F1" s="1"/>
      <c r="G1" s="1"/>
      <c r="H1" s="1"/>
    </row>
    <row r="2" spans="1:14">
      <c r="A2" s="2" t="s">
        <v>288</v>
      </c>
      <c r="B2" s="3" t="s">
        <v>289</v>
      </c>
      <c r="G2" s="13" t="s">
        <v>346</v>
      </c>
      <c r="H2" s="13">
        <v>1</v>
      </c>
    </row>
    <row r="3" spans="1:14">
      <c r="A3" s="2" t="s">
        <v>290</v>
      </c>
      <c r="B3" s="3" t="s">
        <v>291</v>
      </c>
      <c r="G3" s="14" t="s">
        <v>348</v>
      </c>
      <c r="H3" s="15">
        <f>TotalCost/BoardQty</f>
        <v>41.7474</v>
      </c>
    </row>
    <row r="4" spans="1:14">
      <c r="A4" s="2" t="s">
        <v>292</v>
      </c>
      <c r="B4" s="3" t="s">
        <v>68</v>
      </c>
      <c r="G4" s="14" t="s">
        <v>347</v>
      </c>
      <c r="H4" s="16">
        <f>SUM(H10:H58)</f>
        <v>41.7474</v>
      </c>
      <c r="M4" s="16">
        <f>SUM(M10:M58)</f>
        <v>41.7474</v>
      </c>
      <c r="N4" s="17" t="str">
        <f>(COUNTA(M10:M58)&amp;" of "&amp;ROWS(M10:M58)&amp;" parts found")</f>
        <v>30 of 49 parts found</v>
      </c>
    </row>
    <row r="5" spans="1:14">
      <c r="A5" s="2" t="s">
        <v>293</v>
      </c>
      <c r="B5" s="3" t="s">
        <v>294</v>
      </c>
    </row>
    <row r="6" spans="1:14">
      <c r="A6" s="2" t="s">
        <v>295</v>
      </c>
      <c r="B6" s="3" t="s">
        <v>296</v>
      </c>
    </row>
    <row r="8" spans="1:14">
      <c r="A8" s="18" t="s">
        <v>303</v>
      </c>
      <c r="B8" s="18"/>
      <c r="C8" s="18"/>
      <c r="D8" s="18"/>
      <c r="E8" s="18"/>
      <c r="F8" s="18"/>
      <c r="G8" s="18"/>
      <c r="H8" s="18"/>
      <c r="I8" s="19" t="s">
        <v>309</v>
      </c>
      <c r="J8" s="19"/>
      <c r="K8" s="19"/>
      <c r="L8" s="19"/>
      <c r="M8" s="19"/>
      <c r="N8" s="19"/>
    </row>
    <row r="9" spans="1:14">
      <c r="A9" s="20" t="s">
        <v>2</v>
      </c>
      <c r="B9" s="20" t="s">
        <v>3</v>
      </c>
      <c r="C9" s="20" t="s">
        <v>5</v>
      </c>
      <c r="D9" s="20" t="s">
        <v>304</v>
      </c>
      <c r="E9" s="20" t="s">
        <v>305</v>
      </c>
      <c r="F9" s="20" t="s">
        <v>306</v>
      </c>
      <c r="G9" s="20" t="s">
        <v>307</v>
      </c>
      <c r="H9" s="20" t="s">
        <v>308</v>
      </c>
      <c r="I9" s="20" t="s">
        <v>310</v>
      </c>
      <c r="J9" s="20" t="s">
        <v>311</v>
      </c>
      <c r="K9" s="20" t="s">
        <v>307</v>
      </c>
      <c r="L9" s="20" t="s">
        <v>312</v>
      </c>
      <c r="M9" s="20" t="s">
        <v>308</v>
      </c>
      <c r="N9" s="20" t="s">
        <v>313</v>
      </c>
    </row>
    <row r="10" spans="1:14" ht="30" customHeight="1">
      <c r="A10" s="21" t="s">
        <v>11</v>
      </c>
      <c r="B10" s="21" t="s">
        <v>12</v>
      </c>
      <c r="C10" s="21" t="s">
        <v>14</v>
      </c>
      <c r="D10" s="21" t="s">
        <v>16</v>
      </c>
      <c r="E10" s="21" t="s">
        <v>17</v>
      </c>
      <c r="F10" s="21">
        <f>CEILING(BoardQty*13,1)</f>
        <v>13</v>
      </c>
      <c r="G10" s="22">
        <f>IF(MIN(K10)&lt;&gt;0,MIN(K10),"")</f>
        <v>0.0325416</v>
      </c>
      <c r="H10" s="23">
        <f>IF(AND(ISNUMBER(F10),ISNUMBER(G10)),F10*G10,"")</f>
        <v>0.423</v>
      </c>
      <c r="I10" s="21">
        <v>90665</v>
      </c>
      <c r="J10" s="21"/>
      <c r="K10" s="22">
        <f>IFERROR(IF(OR(J10&gt;=L10,F10&gt;=L10),USD_EUR*LOOKUP(IF(J10="",F10,J10),{0,1,10,100,500,1000,2500,5000,10000,50000},{0.0,0.095,0.028,0.016,0.012,0.01,0.009,0.008,0.007,0.007}),"MOQ="&amp;L10),"")</f>
        <v>0.0325416</v>
      </c>
      <c r="L10" s="21">
        <v>1</v>
      </c>
      <c r="M10" s="23">
        <f>IFERROR(IF(J10="",F10,J10)*K10,"")</f>
        <v>0.423</v>
      </c>
      <c r="N10" s="21" t="s">
        <v>314</v>
      </c>
    </row>
    <row r="11" spans="1:14">
      <c r="A11" s="21" t="s">
        <v>19</v>
      </c>
      <c r="B11" s="21" t="s">
        <v>20</v>
      </c>
      <c r="C11" s="21" t="s">
        <v>14</v>
      </c>
      <c r="D11" s="21" t="s">
        <v>16</v>
      </c>
      <c r="E11" s="21" t="s">
        <v>21</v>
      </c>
      <c r="F11" s="21">
        <f>BoardQty*1</f>
        <v>1</v>
      </c>
      <c r="G11" s="22">
        <f>IF(MIN(K11)&lt;&gt;0,MIN(K11),"")</f>
        <v>0.36957959999999995</v>
      </c>
      <c r="H11" s="23">
        <f>IF(AND(ISNUMBER(F11),ISNUMBER(G11)),F11*G11,"")</f>
        <v>0.3696</v>
      </c>
      <c r="I11" s="21">
        <v>23556</v>
      </c>
      <c r="J11" s="21"/>
      <c r="K11" s="22">
        <f>IFERROR(IF(OR(J11&gt;=L11,F11&gt;=L11),USD_EUR*LOOKUP(IF(J11="",F11,J11),{0,1,10,100,500,1000,2500,5000,10000,20000},{0.0,0.318,0.206,0.129,0.104,0.095,0.089,0.088,0.075,0.071}),"MOQ="&amp;L11),"")</f>
        <v>0.36957959999999995</v>
      </c>
      <c r="L11" s="21">
        <v>1</v>
      </c>
      <c r="M11" s="23">
        <f>IFERROR(IF(J11="",F11,J11)*K11,"")</f>
        <v>0.3696</v>
      </c>
      <c r="N11" s="21" t="s">
        <v>315</v>
      </c>
    </row>
    <row r="12" spans="1:14">
      <c r="A12" s="21" t="s">
        <v>23</v>
      </c>
      <c r="B12" s="21" t="s">
        <v>24</v>
      </c>
      <c r="C12" s="21" t="s">
        <v>14</v>
      </c>
      <c r="D12" s="21" t="s">
        <v>16</v>
      </c>
      <c r="E12" s="21" t="s">
        <v>26</v>
      </c>
      <c r="F12" s="21">
        <f>CEILING(BoardQty*3,1)</f>
        <v>3</v>
      </c>
      <c r="G12" s="22">
        <f>IF(MIN(K12)&lt;&gt;0,MIN(K12),"")</f>
        <v>0.110409</v>
      </c>
      <c r="H12" s="23">
        <f>IF(AND(ISNUMBER(F12),ISNUMBER(G12)),F12*G12,"")</f>
        <v>0.3312</v>
      </c>
      <c r="I12" s="21">
        <v>155619</v>
      </c>
      <c r="J12" s="21"/>
      <c r="K12" s="22">
        <f>IFERROR(IF(OR(J12&gt;=L12,F12&gt;=L12),USD_EUR*LOOKUP(IF(J12="",F12,J12),{0,1,10,100,500,1000,2500,5000,10000},{0.0,0.095,0.056,0.034,0.027,0.024,0.022,0.02,0.015}),"MOQ="&amp;L12),"")</f>
        <v>0.110409</v>
      </c>
      <c r="L12" s="21">
        <v>1</v>
      </c>
      <c r="M12" s="23">
        <f>IFERROR(IF(J12="",F12,J12)*K12,"")</f>
        <v>0.3312</v>
      </c>
      <c r="N12" s="21" t="s">
        <v>316</v>
      </c>
    </row>
    <row r="13" spans="1:14">
      <c r="A13" s="21" t="s">
        <v>28</v>
      </c>
      <c r="B13" s="21" t="s">
        <v>29</v>
      </c>
      <c r="C13" s="21" t="s">
        <v>14</v>
      </c>
      <c r="D13" s="21" t="s">
        <v>16</v>
      </c>
      <c r="E13" s="21" t="s">
        <v>30</v>
      </c>
      <c r="F13" s="21">
        <f>BoardQty*1</f>
        <v>1</v>
      </c>
      <c r="G13" s="22">
        <f>IF(MIN(K13)&lt;&gt;0,MIN(K13),"")</f>
        <v>0.11970659999999998</v>
      </c>
      <c r="H13" s="23">
        <f>IF(AND(ISNUMBER(F13),ISNUMBER(G13)),F13*G13,"")</f>
        <v>0.1197</v>
      </c>
      <c r="I13" s="21">
        <v>6946</v>
      </c>
      <c r="J13" s="21"/>
      <c r="K13" s="22">
        <f>IFERROR(IF(OR(J13&gt;=L13,F13&gt;=L13),USD_EUR*LOOKUP(IF(J13="",F13,J13),{0,1,10,10000,20000},{0.0,0.103,0.067,0.04,0.033}),"MOQ="&amp;L13),"")</f>
        <v>0.11970659999999998</v>
      </c>
      <c r="L13" s="21">
        <v>1</v>
      </c>
      <c r="M13" s="23">
        <f>IFERROR(IF(J13="",F13,J13)*K13,"")</f>
        <v>0.1197</v>
      </c>
      <c r="N13" s="21" t="s">
        <v>317</v>
      </c>
    </row>
    <row r="14" spans="1:14">
      <c r="A14" s="21" t="s">
        <v>32</v>
      </c>
      <c r="B14" s="21" t="s">
        <v>33</v>
      </c>
      <c r="C14" s="21" t="s">
        <v>14</v>
      </c>
      <c r="D14" s="21" t="s">
        <v>35</v>
      </c>
      <c r="E14" s="21" t="s">
        <v>36</v>
      </c>
      <c r="F14" s="21">
        <f>CEILING(BoardQty*4,1)</f>
        <v>4</v>
      </c>
      <c r="G14" s="22">
        <f>IF(MIN(K14)&lt;&gt;0,MIN(K14),"")</f>
        <v/>
      </c>
      <c r="H14" s="23">
        <f>IF(AND(ISNUMBER(F14),ISNUMBER(G14)),F14*G14,"")</f>
        <v/>
      </c>
    </row>
    <row r="15" spans="1:14">
      <c r="A15" s="21" t="s">
        <v>38</v>
      </c>
      <c r="B15" s="21" t="s">
        <v>33</v>
      </c>
      <c r="C15" s="21" t="s">
        <v>40</v>
      </c>
      <c r="D15" s="21" t="s">
        <v>16</v>
      </c>
      <c r="E15" s="21" t="s">
        <v>41</v>
      </c>
      <c r="F15" s="21">
        <f>CEILING(BoardQty*3,1)</f>
        <v>3</v>
      </c>
      <c r="G15" s="22">
        <f>IF(MIN(K15)&lt;&gt;0,MIN(K15),"")</f>
        <v>0.18943859999999998</v>
      </c>
      <c r="H15" s="23">
        <f>IF(AND(ISNUMBER(F15),ISNUMBER(G15)),F15*G15,"")</f>
        <v>0.5683</v>
      </c>
      <c r="I15" s="21">
        <v>1710</v>
      </c>
      <c r="J15" s="21"/>
      <c r="K15" s="22">
        <f>IFERROR(IF(OR(J15&gt;=L15,F15&gt;=L15),USD_EUR*LOOKUP(IF(J15="",F15,J15),{0,1,10,100,500,1000,2000,4000,8000,24000},{0.0,0.163,0.108,0.056,0.045,0.04,0.036,0.027,0.025,0.024}),"MOQ="&amp;L15),"")</f>
        <v>0.18943859999999998</v>
      </c>
      <c r="L15" s="21">
        <v>1</v>
      </c>
      <c r="M15" s="23">
        <f>IFERROR(IF(J15="",F15,J15)*K15,"")</f>
        <v>0.5683</v>
      </c>
      <c r="N15" s="21" t="s">
        <v>318</v>
      </c>
    </row>
    <row r="16" spans="1:14">
      <c r="A16" s="21" t="s">
        <v>43</v>
      </c>
      <c r="B16" s="21" t="s">
        <v>44</v>
      </c>
      <c r="C16" s="21" t="s">
        <v>46</v>
      </c>
      <c r="D16" s="21" t="s">
        <v>48</v>
      </c>
      <c r="E16" s="21" t="s">
        <v>49</v>
      </c>
      <c r="F16" s="21">
        <f>BoardQty*1</f>
        <v>1</v>
      </c>
      <c r="G16" s="22">
        <f>IF(MIN(K16)&lt;&gt;0,MIN(K16),"")</f>
        <v>0.47998859999999993</v>
      </c>
      <c r="H16" s="23">
        <f>IF(AND(ISNUMBER(F16),ISNUMBER(G16)),F16*G16,"")</f>
        <v>0.48</v>
      </c>
      <c r="I16" s="21">
        <v>9392</v>
      </c>
      <c r="J16" s="21"/>
      <c r="K16" s="22">
        <f>IFERROR(IF(OR(J16&gt;=L16,F16&gt;=L16),USD_EUR*LOOKUP(IF(J16="",F16,J16),{0,1,10,100,500,2000,10000},{0.0,0.413,0.389,0.307,0.243,0.194,0.188}),"MOQ="&amp;L16),"")</f>
        <v>0.47998859999999993</v>
      </c>
      <c r="L16" s="21">
        <v>1</v>
      </c>
      <c r="M16" s="23">
        <f>IFERROR(IF(J16="",F16,J16)*K16,"")</f>
        <v>0.48</v>
      </c>
      <c r="N16" s="21" t="s">
        <v>319</v>
      </c>
    </row>
    <row r="17" spans="1:14">
      <c r="A17" s="21" t="s">
        <v>51</v>
      </c>
      <c r="B17" s="21" t="s">
        <v>52</v>
      </c>
      <c r="C17" s="21" t="s">
        <v>46</v>
      </c>
      <c r="D17" s="21" t="s">
        <v>48</v>
      </c>
      <c r="E17" s="21" t="s">
        <v>49</v>
      </c>
      <c r="F17" s="21">
        <f>BoardQty*1</f>
        <v>1</v>
      </c>
      <c r="G17" s="22">
        <f>IF(MIN(K17)&lt;&gt;0,MIN(K17),"")</f>
        <v>0.47998859999999993</v>
      </c>
      <c r="H17" s="23">
        <f>IF(AND(ISNUMBER(F17),ISNUMBER(G17)),F17*G17,"")</f>
        <v>0.48</v>
      </c>
      <c r="I17" s="21">
        <v>9392</v>
      </c>
      <c r="J17" s="21"/>
      <c r="K17" s="22">
        <f>IFERROR(IF(OR(J17&gt;=L17,F17&gt;=L17),USD_EUR*LOOKUP(IF(J17="",F17,J17),{0,1,10,100,500,2000,10000},{0.0,0.413,0.389,0.307,0.243,0.194,0.188}),"MOQ="&amp;L17),"")</f>
        <v>0.47998859999999993</v>
      </c>
      <c r="L17" s="21">
        <v>1</v>
      </c>
      <c r="M17" s="23">
        <f>IFERROR(IF(J17="",F17,J17)*K17,"")</f>
        <v>0.48</v>
      </c>
      <c r="N17" s="21" t="s">
        <v>319</v>
      </c>
    </row>
    <row r="18" spans="1:14">
      <c r="A18" s="21" t="s">
        <v>54</v>
      </c>
      <c r="B18" s="21" t="s">
        <v>55</v>
      </c>
      <c r="C18" s="21" t="s">
        <v>46</v>
      </c>
      <c r="D18" s="21" t="s">
        <v>48</v>
      </c>
      <c r="E18" s="21" t="s">
        <v>49</v>
      </c>
      <c r="F18" s="21">
        <f>BoardQty*1</f>
        <v>1</v>
      </c>
      <c r="G18" s="22">
        <f>IF(MIN(K18)&lt;&gt;0,MIN(K18),"")</f>
        <v>0.47998859999999993</v>
      </c>
      <c r="H18" s="23">
        <f>IF(AND(ISNUMBER(F18),ISNUMBER(G18)),F18*G18,"")</f>
        <v>0.48</v>
      </c>
      <c r="I18" s="21">
        <v>9392</v>
      </c>
      <c r="J18" s="21"/>
      <c r="K18" s="22">
        <f>IFERROR(IF(OR(J18&gt;=L18,F18&gt;=L18),USD_EUR*LOOKUP(IF(J18="",F18,J18),{0,1,10,100,500,2000,10000},{0.0,0.413,0.389,0.307,0.243,0.194,0.188}),"MOQ="&amp;L18),"")</f>
        <v>0.47998859999999993</v>
      </c>
      <c r="L18" s="21">
        <v>1</v>
      </c>
      <c r="M18" s="23">
        <f>IFERROR(IF(J18="",F18,J18)*K18,"")</f>
        <v>0.48</v>
      </c>
      <c r="N18" s="21" t="s">
        <v>319</v>
      </c>
    </row>
    <row r="19" spans="1:14">
      <c r="A19" s="21" t="s">
        <v>57</v>
      </c>
      <c r="B19" s="21" t="s">
        <v>58</v>
      </c>
      <c r="C19" s="21" t="s">
        <v>60</v>
      </c>
      <c r="D19" s="21" t="s">
        <v>62</v>
      </c>
      <c r="E19" s="21" t="s">
        <v>58</v>
      </c>
      <c r="F19" s="21">
        <f>BoardQty*1</f>
        <v>1</v>
      </c>
      <c r="G19" s="22">
        <f>IF(MIN(K19)&lt;&gt;0,MIN(K19),"")</f>
        <v>0.9797345999999999</v>
      </c>
      <c r="H19" s="23">
        <f>IF(AND(ISNUMBER(F19),ISNUMBER(G19)),F19*G19,"")</f>
        <v>0.9797</v>
      </c>
      <c r="I19" s="21">
        <v>51553</v>
      </c>
      <c r="J19" s="21"/>
      <c r="K19" s="22">
        <f>IFERROR(IF(OR(J19&gt;=L19,F19&gt;=L19),USD_EUR*LOOKUP(IF(J19="",F19,J19),{0,1,10,100,500,1000,2500,5000,10000},{0.0,0.843,0.712,0.681,0.618,0.595,0.567,0.538,0.519}),"MOQ="&amp;L19),"")</f>
        <v>0.9797345999999999</v>
      </c>
      <c r="L19" s="21">
        <v>1</v>
      </c>
      <c r="M19" s="23">
        <f>IFERROR(IF(J19="",F19,J19)*K19,"")</f>
        <v>0.9797</v>
      </c>
      <c r="N19" s="21" t="s">
        <v>320</v>
      </c>
    </row>
    <row r="20" spans="1:14">
      <c r="A20" s="21" t="s">
        <v>64</v>
      </c>
      <c r="B20" s="21" t="s">
        <v>65</v>
      </c>
      <c r="C20" s="21" t="s">
        <v>67</v>
      </c>
      <c r="D20" s="21" t="s">
        <v>69</v>
      </c>
      <c r="E20" s="21" t="s">
        <v>65</v>
      </c>
      <c r="F20" s="21">
        <f>BoardQty*1</f>
        <v>1</v>
      </c>
      <c r="G20" s="22">
        <f>IF(MIN(K20)&lt;&gt;0,MIN(K20),"")</f>
        <v>3.7422839999999997</v>
      </c>
      <c r="H20" s="23">
        <f>IF(AND(ISNUMBER(F20),ISNUMBER(G20)),F20*G20,"")</f>
        <v>3.7423</v>
      </c>
      <c r="I20" s="21">
        <v>11498</v>
      </c>
      <c r="J20" s="21"/>
      <c r="K20" s="22">
        <f>IFERROR(IF(OR(J20&gt;=L20,F20&gt;=L20),USD_EUR*LOOKUP(IF(J20="",F20,J20),{0,1,5,10,25,50,100,500,1000,2500,5000},{0.0,3.22,2.87,2.75,2.61,2.5,2.41,2.22,2.18,2.0,2.0}),"MOQ="&amp;L20),"")</f>
        <v>3.7422839999999997</v>
      </c>
      <c r="L20" s="21">
        <v>1</v>
      </c>
      <c r="M20" s="23">
        <f>IFERROR(IF(J20="",F20,J20)*K20,"")</f>
        <v>3.7423</v>
      </c>
      <c r="N20" s="21" t="s">
        <v>321</v>
      </c>
    </row>
    <row r="21" spans="1:14">
      <c r="A21" s="21" t="s">
        <v>71</v>
      </c>
      <c r="B21" s="21" t="s">
        <v>72</v>
      </c>
      <c r="C21" s="21" t="s">
        <v>74</v>
      </c>
      <c r="D21" s="21" t="s">
        <v>69</v>
      </c>
      <c r="E21" s="21" t="s">
        <v>72</v>
      </c>
      <c r="F21" s="21">
        <f>BoardQty*1</f>
        <v>1</v>
      </c>
      <c r="G21" s="22">
        <f>IF(MIN(K21)&lt;&gt;0,MIN(K21),"")</f>
        <v>2.9752319999999997</v>
      </c>
      <c r="H21" s="23">
        <f>IF(AND(ISNUMBER(F21),ISNUMBER(G21)),F21*G21,"")</f>
        <v>2.9752</v>
      </c>
      <c r="I21" s="21">
        <v>637</v>
      </c>
      <c r="J21" s="21"/>
      <c r="K21" s="22">
        <f>IFERROR(IF(OR(J21&gt;=L21,F21&gt;=L21),USD_EUR*LOOKUP(IF(J21="",F21,J21),{0,1,5,10,50,100,500,1000,2000,5000,10000},{0.0,2.56,2.29,2.06,1.98,1.9,1.74,1.68,1.64,1.57,1.57}),"MOQ="&amp;L21),"")</f>
        <v>2.9752319999999997</v>
      </c>
      <c r="L21" s="21">
        <v>1</v>
      </c>
      <c r="M21" s="23">
        <f>IFERROR(IF(J21="",F21,J21)*K21,"")</f>
        <v>2.9752</v>
      </c>
      <c r="N21" s="21" t="s">
        <v>322</v>
      </c>
    </row>
    <row r="22" spans="1:14">
      <c r="A22" s="21" t="s">
        <v>75</v>
      </c>
      <c r="B22" s="21" t="s">
        <v>76</v>
      </c>
      <c r="C22" s="21" t="s">
        <v>78</v>
      </c>
      <c r="D22" s="21" t="s">
        <v>79</v>
      </c>
      <c r="E22" s="21" t="s">
        <v>76</v>
      </c>
      <c r="F22" s="21">
        <f>BoardQty*1</f>
        <v>1</v>
      </c>
      <c r="G22" s="22">
        <f>IF(MIN(K22)&lt;&gt;0,MIN(K22),"")</f>
        <v>1.6154579999999998</v>
      </c>
      <c r="H22" s="23">
        <f>IF(AND(ISNUMBER(F22),ISNUMBER(G22)),F22*G22,"")</f>
        <v>1.6155</v>
      </c>
      <c r="I22" s="21">
        <v>807</v>
      </c>
      <c r="J22" s="21"/>
      <c r="K22" s="22">
        <f>IFERROR(IF(OR(J22&gt;=L22,F22&gt;=L22),USD_EUR*LOOKUP(IF(J22="",F22,J22),{0,1,10,25,100,250,500,1000,2500,5000},{0.0,1.39,1.02,0.929,0.826,0.777,0.732,0.706,0.696,0.667}),"MOQ="&amp;L22),"")</f>
        <v>1.6154579999999998</v>
      </c>
      <c r="L22" s="21">
        <v>1</v>
      </c>
      <c r="M22" s="23">
        <f>IFERROR(IF(J22="",F22,J22)*K22,"")</f>
        <v>1.6155</v>
      </c>
      <c r="N22" s="21" t="s">
        <v>323</v>
      </c>
    </row>
    <row r="23" spans="1:14">
      <c r="A23" s="21" t="s">
        <v>81</v>
      </c>
      <c r="B23" s="21" t="s">
        <v>82</v>
      </c>
      <c r="C23" s="21" t="s">
        <v>84</v>
      </c>
      <c r="D23" s="21" t="s">
        <v>85</v>
      </c>
      <c r="E23" s="21" t="s">
        <v>82</v>
      </c>
      <c r="F23" s="21">
        <f>BoardQty*1</f>
        <v>1</v>
      </c>
      <c r="G23" s="22">
        <f>IF(MIN(K23)&lt;&gt;0,MIN(K23),"")</f>
        <v>1.1598756</v>
      </c>
      <c r="H23" s="23">
        <f>IF(AND(ISNUMBER(F23),ISNUMBER(G23)),F23*G23,"")</f>
        <v>1.1599</v>
      </c>
      <c r="I23" s="21">
        <v>13507</v>
      </c>
      <c r="J23" s="21"/>
      <c r="K23" s="22">
        <f>IFERROR(IF(OR(J23&gt;=L23,F23&gt;=L23),USD_EUR*LOOKUP(IF(J23="",F23,J23),{0,1,10,25,100,250,500,1000,3000,6000},{0.0,0.998,0.447,0.394,0.334,0.303,0.286,0.264,0.238,0.234}),"MOQ="&amp;L23),"")</f>
        <v>1.1598756</v>
      </c>
      <c r="L23" s="21">
        <v>1</v>
      </c>
      <c r="M23" s="23">
        <f>IFERROR(IF(J23="",F23,J23)*K23,"")</f>
        <v>1.1599</v>
      </c>
      <c r="N23" s="21" t="s">
        <v>324</v>
      </c>
    </row>
    <row r="24" spans="1:14">
      <c r="A24" s="21" t="s">
        <v>87</v>
      </c>
      <c r="B24" s="21" t="s">
        <v>88</v>
      </c>
      <c r="C24" s="21" t="s">
        <v>90</v>
      </c>
      <c r="D24" s="21" t="s">
        <v>91</v>
      </c>
      <c r="E24" s="21" t="s">
        <v>88</v>
      </c>
      <c r="F24" s="21">
        <f>BoardQty*1</f>
        <v>1</v>
      </c>
      <c r="G24" s="22">
        <f>IF(MIN(K24)&lt;&gt;0,MIN(K24),"")</f>
        <v>2.138448</v>
      </c>
      <c r="H24" s="23">
        <f>IF(AND(ISNUMBER(F24),ISNUMBER(G24)),F24*G24,"")</f>
        <v>2.1384</v>
      </c>
      <c r="I24" s="24" t="s">
        <v>326</v>
      </c>
      <c r="J24" s="21"/>
      <c r="K24" s="22">
        <f>IFERROR(IF(OR(J24&gt;=L24,F24&gt;=L24),USD_EUR*LOOKUP(IF(J24="",F24,J24),{0,1,5,10,50,100,500,1000,2000,10000},{0.0,1.84,1.63,1.47,1.41,1.35,1.24,1.2,1.18,1.18}),"MOQ="&amp;L24),"")</f>
        <v>2.138448</v>
      </c>
      <c r="L24" s="21">
        <v>1</v>
      </c>
      <c r="M24" s="23">
        <f>IFERROR(IF(J24="",F24,J24)*K24,"")</f>
        <v>2.1384</v>
      </c>
      <c r="N24" s="21" t="s">
        <v>325</v>
      </c>
    </row>
    <row r="25" spans="1:14">
      <c r="A25" s="21" t="s">
        <v>93</v>
      </c>
      <c r="B25" s="21" t="s">
        <v>94</v>
      </c>
      <c r="C25" s="21" t="s">
        <v>96</v>
      </c>
      <c r="D25" s="21" t="s">
        <v>97</v>
      </c>
      <c r="E25" s="21" t="s">
        <v>94</v>
      </c>
      <c r="F25" s="21">
        <f>BoardQty*1</f>
        <v>1</v>
      </c>
      <c r="G25" s="22">
        <f>IF(MIN(K25)&lt;&gt;0,MIN(K25),"")</f>
        <v/>
      </c>
      <c r="H25" s="23">
        <f>IF(AND(ISNUMBER(F25),ISNUMBER(G25)),F25*G25,"")</f>
        <v/>
      </c>
      <c r="I25" s="24" t="s">
        <v>326</v>
      </c>
      <c r="J25" s="21"/>
      <c r="K25" s="22">
        <f>IFERROR(IF(OR(J25&gt;=L25,F25&gt;=L25),USD_EUR*LOOKUP(IF(J25="",F25,J25),{0,1,4800},{0.0,4.52,4.52}),"MOQ="&amp;L25),"")</f>
        <v/>
      </c>
      <c r="L25" s="21">
        <v>4800</v>
      </c>
      <c r="M25" s="23">
        <f>IFERROR(IF(J25="",F25,J25)*K25,"")</f>
        <v/>
      </c>
      <c r="N25" s="21" t="s">
        <v>327</v>
      </c>
    </row>
    <row r="26" spans="1:14">
      <c r="A26" s="21" t="s">
        <v>99</v>
      </c>
      <c r="B26" s="21" t="s">
        <v>100</v>
      </c>
      <c r="C26" s="21" t="s">
        <v>102</v>
      </c>
      <c r="D26" s="21" t="s">
        <v>103</v>
      </c>
      <c r="E26" s="21" t="s">
        <v>104</v>
      </c>
      <c r="F26" s="21">
        <f>BoardQty*1</f>
        <v>1</v>
      </c>
      <c r="G26" s="22">
        <f>IF(MIN(K26)&lt;&gt;0,MIN(K26),"")</f>
        <v>1.0297091999999999</v>
      </c>
      <c r="H26" s="23">
        <f>IF(AND(ISNUMBER(F26),ISNUMBER(G26)),F26*G26,"")</f>
        <v>1.0297</v>
      </c>
      <c r="I26" s="21">
        <v>19331</v>
      </c>
      <c r="J26" s="21"/>
      <c r="K26" s="22">
        <f>IFERROR(IF(OR(J26&gt;=L26,F26&gt;=L26),USD_EUR*LOOKUP(IF(J26="",F26,J26),{0,1,10,25,100,250,500,1000,4000,8000},{0.0,0.886,0.638,0.576,0.508,0.476,0.451,0.441,0.373,0.371}),"MOQ="&amp;L26),"")</f>
        <v>1.0297091999999999</v>
      </c>
      <c r="L26" s="21">
        <v>1</v>
      </c>
      <c r="M26" s="23">
        <f>IFERROR(IF(J26="",F26,J26)*K26,"")</f>
        <v>1.0297</v>
      </c>
      <c r="N26" s="21" t="s">
        <v>328</v>
      </c>
    </row>
    <row r="27" spans="1:14">
      <c r="A27" s="21" t="s">
        <v>106</v>
      </c>
      <c r="B27" s="21" t="s">
        <v>107</v>
      </c>
      <c r="C27" s="21" t="s">
        <v>109</v>
      </c>
      <c r="D27" s="21" t="s">
        <v>103</v>
      </c>
      <c r="E27" s="21" t="s">
        <v>111</v>
      </c>
      <c r="F27" s="21">
        <f>BoardQty*1</f>
        <v>1</v>
      </c>
      <c r="G27" s="22">
        <f>IF(MIN(K27)&lt;&gt;0,MIN(K27),"")</f>
        <v>0.6601295999999999</v>
      </c>
      <c r="H27" s="23">
        <f>IF(AND(ISNUMBER(F27),ISNUMBER(G27)),F27*G27,"")</f>
        <v>0.6601</v>
      </c>
      <c r="I27" s="21">
        <v>8288</v>
      </c>
      <c r="J27" s="21"/>
      <c r="K27" s="22">
        <f>IFERROR(IF(OR(J27&gt;=L27,F27&gt;=L27),USD_EUR*LOOKUP(IF(J27="",F27,J27),{0,1,10,25,100,250,500,1000,6000},{0.0,0.568,0.403,0.363,0.317,0.295,0.282,0.277,0.276}),"MOQ="&amp;L27),"")</f>
        <v>0.6601295999999999</v>
      </c>
      <c r="L27" s="21">
        <v>1</v>
      </c>
      <c r="M27" s="23">
        <f>IFERROR(IF(J27="",F27,J27)*K27,"")</f>
        <v>0.6601</v>
      </c>
      <c r="N27" s="21" t="s">
        <v>329</v>
      </c>
    </row>
    <row r="28" spans="1:14">
      <c r="A28" s="21" t="s">
        <v>113</v>
      </c>
      <c r="B28" s="21" t="s">
        <v>114</v>
      </c>
      <c r="C28" s="21" t="s">
        <v>114</v>
      </c>
      <c r="D28" s="21" t="s">
        <v>116</v>
      </c>
      <c r="E28" s="21" t="s">
        <v>117</v>
      </c>
      <c r="F28" s="21">
        <f>BoardQty*1</f>
        <v>1</v>
      </c>
      <c r="G28" s="22">
        <f>IF(MIN(K28)&lt;&gt;0,MIN(K28),"")</f>
        <v>2.09196</v>
      </c>
      <c r="H28" s="23">
        <f>IF(AND(ISNUMBER(F28),ISNUMBER(G28)),F28*G28,"")</f>
        <v>2.092</v>
      </c>
      <c r="I28" s="21">
        <v>1667</v>
      </c>
      <c r="J28" s="21"/>
      <c r="K28" s="22">
        <f>IFERROR(IF(OR(J28&gt;=L28,F28&gt;=L28),USD_EUR*LOOKUP(IF(J28="",F28,J28),{0,1,10,25,100,500,1000,4000,8000},{0.0,1.8,1.32,1.2,1.06,1.03,0.887,0.836,0.811}),"MOQ="&amp;L28),"")</f>
        <v>2.09196</v>
      </c>
      <c r="L28" s="21">
        <v>1</v>
      </c>
      <c r="M28" s="23">
        <f>IFERROR(IF(J28="",F28,J28)*K28,"")</f>
        <v>2.092</v>
      </c>
      <c r="N28" s="21" t="s">
        <v>330</v>
      </c>
    </row>
    <row r="29" spans="1:14">
      <c r="A29" s="21" t="s">
        <v>119</v>
      </c>
      <c r="B29" s="21" t="s">
        <v>120</v>
      </c>
      <c r="C29" s="21" t="s">
        <v>122</v>
      </c>
      <c r="D29" s="21" t="s">
        <v>91</v>
      </c>
      <c r="E29" s="21" t="s">
        <v>120</v>
      </c>
      <c r="F29" s="21">
        <f>BoardQty*1</f>
        <v>1</v>
      </c>
      <c r="G29" s="22">
        <f>IF(MIN(K29)&lt;&gt;0,MIN(K29),"")</f>
        <v>0.43931159999999997</v>
      </c>
      <c r="H29" s="23">
        <f>IF(AND(ISNUMBER(F29),ISNUMBER(G29)),F29*G29,"")</f>
        <v>0.4393</v>
      </c>
      <c r="I29" s="21">
        <v>187</v>
      </c>
      <c r="J29" s="21"/>
      <c r="K29" s="22">
        <f>IFERROR(IF(OR(J29&gt;=L29,F29&gt;=L29),USD_EUR*LOOKUP(IF(J29="",F29,J29),{0,1,10,100,500,1000,3000},{0.0,0.378,0.256,0.174,0.136,0.121,0.087}),"MOQ="&amp;L29),"")</f>
        <v>0.43931159999999997</v>
      </c>
      <c r="L29" s="21">
        <v>1</v>
      </c>
      <c r="M29" s="23">
        <f>IFERROR(IF(J29="",F29,J29)*K29,"")</f>
        <v>0.4393</v>
      </c>
      <c r="N29" s="21" t="s">
        <v>331</v>
      </c>
    </row>
    <row r="30" spans="1:14">
      <c r="A30" s="21" t="s">
        <v>125</v>
      </c>
      <c r="B30" s="21" t="s">
        <v>126</v>
      </c>
      <c r="C30" s="21" t="s">
        <v>128</v>
      </c>
      <c r="D30" s="21" t="s">
        <v>129</v>
      </c>
      <c r="E30" s="21" t="s">
        <v>130</v>
      </c>
      <c r="F30" s="21">
        <f>BoardQty*1</f>
        <v>1</v>
      </c>
      <c r="G30" s="22">
        <f>IF(MIN(K30)&lt;&gt;0,MIN(K30),"")</f>
        <v>4.1258099999999995</v>
      </c>
      <c r="H30" s="23">
        <f>IF(AND(ISNUMBER(F30),ISNUMBER(G30)),F30*G30,"")</f>
        <v>4.1258</v>
      </c>
      <c r="I30" s="21">
        <v>2343</v>
      </c>
      <c r="J30" s="21"/>
      <c r="K30" s="22">
        <f>IFERROR(IF(OR(J30&gt;=L30,F30&gt;=L30),USD_EUR*LOOKUP(IF(J30="",F30,J30),{0,1,1000,1500},{0.0,3.55,2.78,2.78}),"MOQ="&amp;L30),"")</f>
        <v>4.1258099999999995</v>
      </c>
      <c r="L30" s="21">
        <v>1</v>
      </c>
      <c r="M30" s="23">
        <f>IFERROR(IF(J30="",F30,J30)*K30,"")</f>
        <v>4.1258</v>
      </c>
      <c r="N30" s="21" t="s">
        <v>332</v>
      </c>
    </row>
    <row r="31" spans="1:14">
      <c r="A31" s="21" t="s">
        <v>132</v>
      </c>
      <c r="B31" s="21" t="s">
        <v>133</v>
      </c>
      <c r="C31" s="21" t="s">
        <v>68</v>
      </c>
      <c r="D31" s="21" t="s">
        <v>136</v>
      </c>
      <c r="E31" s="21" t="s">
        <v>137</v>
      </c>
      <c r="F31" s="21">
        <f>CEILING(BoardQty*11,1)</f>
        <v>11</v>
      </c>
      <c r="G31" s="22">
        <f>IF(MIN(K31)&lt;&gt;0,MIN(K31),"")</f>
        <v>0.3103074</v>
      </c>
      <c r="H31" s="23">
        <f>IF(AND(ISNUMBER(F31),ISNUMBER(G31)),F31*G31,"")</f>
        <v>3.4134</v>
      </c>
      <c r="I31" s="21">
        <v>86347</v>
      </c>
      <c r="J31" s="21"/>
      <c r="K31" s="22">
        <f>IFERROR(IF(OR(J31&gt;=L31,F31&gt;=L31),USD_EUR*LOOKUP(IF(J31="",F31,J31),{0,1,50,100,500},{0.0,0.267,0.246,0.226,0.206}),"MOQ="&amp;L31),"")</f>
        <v>0.3103074</v>
      </c>
      <c r="L31" s="21">
        <v>1</v>
      </c>
      <c r="M31" s="23">
        <f>IFERROR(IF(J31="",F31,J31)*K31,"")</f>
        <v>3.4134</v>
      </c>
      <c r="N31" s="21" t="s">
        <v>333</v>
      </c>
    </row>
    <row r="32" spans="1:14">
      <c r="A32" s="21" t="s">
        <v>139</v>
      </c>
      <c r="B32" s="21" t="s">
        <v>29</v>
      </c>
      <c r="C32" s="21" t="s">
        <v>141</v>
      </c>
      <c r="D32" s="21" t="s">
        <v>143</v>
      </c>
      <c r="E32" s="21" t="s">
        <v>144</v>
      </c>
      <c r="F32" s="21">
        <f>CEILING(BoardQty*2,1)</f>
        <v>2</v>
      </c>
      <c r="G32" s="22">
        <f>IF(MIN(K32)&lt;&gt;0,MIN(K32),"")</f>
        <v>0.2998476</v>
      </c>
      <c r="H32" s="23">
        <f>IF(AND(ISNUMBER(F32),ISNUMBER(G32)),F32*G32,"")</f>
        <v>0.5997</v>
      </c>
      <c r="I32" s="21">
        <v>4740</v>
      </c>
      <c r="J32" s="21"/>
      <c r="K32" s="22">
        <f>IFERROR(IF(OR(J32&gt;=L32,F32&gt;=L32),USD_EUR*LOOKUP(IF(J32="",F32,J32),{0,1,10,25,100,250,1000,3000,6000,9000},{0.0,0.258,0.211,0.195,0.157,0.152,0.118,0.105,0.101,0.091}),"MOQ="&amp;L32),"")</f>
        <v>0.2998476</v>
      </c>
      <c r="L32" s="21">
        <v>1</v>
      </c>
      <c r="M32" s="23">
        <f>IFERROR(IF(J32="",F32,J32)*K32,"")</f>
        <v>0.5997</v>
      </c>
      <c r="N32" s="21" t="s">
        <v>334</v>
      </c>
    </row>
    <row r="33" spans="1:14">
      <c r="A33" s="21" t="s">
        <v>146</v>
      </c>
      <c r="B33" s="21" t="s">
        <v>147</v>
      </c>
      <c r="C33" s="21" t="s">
        <v>147</v>
      </c>
      <c r="D33" s="21" t="s">
        <v>149</v>
      </c>
      <c r="E33" s="21" t="s">
        <v>150</v>
      </c>
      <c r="F33" s="21">
        <f>BoardQty*1</f>
        <v>1</v>
      </c>
      <c r="G33" s="22">
        <f>IF(MIN(K33)&lt;&gt;0,MIN(K33),"")</f>
        <v>9.100026</v>
      </c>
      <c r="H33" s="23">
        <f>IF(AND(ISNUMBER(F33),ISNUMBER(G33)),F33*G33,"")</f>
        <v>9.1</v>
      </c>
      <c r="I33" s="21">
        <v>820</v>
      </c>
      <c r="J33" s="21"/>
      <c r="K33" s="22">
        <f>IFERROR(IF(OR(J33&gt;=L33,F33&gt;=L33),USD_EUR*LOOKUP(IF(J33="",F33,J33),{0,1,10,500},{0.0,7.83,7.67,7.67}),"MOQ="&amp;L33),"")</f>
        <v>9.100026</v>
      </c>
      <c r="L33" s="21">
        <v>1</v>
      </c>
      <c r="M33" s="23">
        <f>IFERROR(IF(J33="",F33,J33)*K33,"")</f>
        <v>9.1</v>
      </c>
      <c r="N33" s="21" t="s">
        <v>335</v>
      </c>
    </row>
    <row r="34" spans="1:14">
      <c r="A34" s="21" t="s">
        <v>152</v>
      </c>
      <c r="B34" s="21" t="s">
        <v>153</v>
      </c>
      <c r="C34" s="21" t="s">
        <v>153</v>
      </c>
      <c r="D34" s="21" t="s">
        <v>156</v>
      </c>
      <c r="E34" s="21" t="s">
        <v>153</v>
      </c>
      <c r="F34" s="21">
        <f>BoardQty*1</f>
        <v>1</v>
      </c>
      <c r="G34" s="22">
        <f>IF(MIN(K34)&lt;&gt;0,MIN(K34),"")</f>
        <v>1.6968119999999998</v>
      </c>
      <c r="H34" s="23">
        <f>IF(AND(ISNUMBER(F34),ISNUMBER(G34)),F34*G34,"")</f>
        <v>1.6968</v>
      </c>
      <c r="I34" s="21">
        <v>25721</v>
      </c>
      <c r="J34" s="21"/>
      <c r="K34" s="22">
        <f>IFERROR(IF(OR(J34&gt;=L34,F34&gt;=L34),USD_EUR*LOOKUP(IF(J34="",F34,J34),{0,1,10,25,50,100,250,500,1000,2500,5700},{0.0,1.46,1.2,1.1,1.03,0.972,0.937,0.886,0.857,0.79,0.79}),"MOQ="&amp;L34),"")</f>
        <v>1.6968119999999998</v>
      </c>
      <c r="L34" s="21">
        <v>1</v>
      </c>
      <c r="M34" s="23">
        <f>IFERROR(IF(J34="",F34,J34)*K34,"")</f>
        <v>1.6968</v>
      </c>
      <c r="N34" s="21" t="s">
        <v>336</v>
      </c>
    </row>
    <row r="35" spans="1:14">
      <c r="A35" s="21" t="s">
        <v>158</v>
      </c>
      <c r="B35" s="21" t="s">
        <v>159</v>
      </c>
      <c r="C35" s="21" t="s">
        <v>161</v>
      </c>
      <c r="D35" s="21" t="s">
        <v>163</v>
      </c>
      <c r="E35" s="21" t="s">
        <v>159</v>
      </c>
      <c r="F35" s="21">
        <f>CEILING(BoardQty*3,1)</f>
        <v>3</v>
      </c>
      <c r="G35" s="22">
        <f>IF(MIN(K35)&lt;&gt;0,MIN(K35),"")</f>
        <v>0.33936239999999995</v>
      </c>
      <c r="H35" s="23">
        <f>IF(AND(ISNUMBER(F35),ISNUMBER(G35)),F35*G35,"")</f>
        <v>1.0181</v>
      </c>
      <c r="I35" s="21">
        <v>161980</v>
      </c>
      <c r="J35" s="21"/>
      <c r="K35" s="22">
        <f>IFERROR(IF(OR(J35&gt;=L35,F35&gt;=L35),USD_EUR*LOOKUP(IF(J35="",F35,J35),{0,1,10,100,500,1000,2500,5000,10000},{0.0,0.292,0.159,0.096,0.083,0.064,0.058,0.055,0.055}),"MOQ="&amp;L35),"")</f>
        <v>0.33936239999999995</v>
      </c>
      <c r="L35" s="21">
        <v>1</v>
      </c>
      <c r="M35" s="23">
        <f>IFERROR(IF(J35="",F35,J35)*K35,"")</f>
        <v>1.0181</v>
      </c>
      <c r="N35" s="21" t="s">
        <v>337</v>
      </c>
    </row>
    <row r="36" spans="1:14">
      <c r="A36" s="21" t="s">
        <v>165</v>
      </c>
      <c r="B36" s="21" t="s">
        <v>166</v>
      </c>
      <c r="C36" s="21" t="s">
        <v>161</v>
      </c>
      <c r="D36" s="21" t="s">
        <v>169</v>
      </c>
      <c r="E36" s="21" t="s">
        <v>166</v>
      </c>
      <c r="F36" s="21">
        <f>BoardQty*1</f>
        <v>1</v>
      </c>
      <c r="G36" s="22">
        <f>IF(MIN(K36)&lt;&gt;0,MIN(K36),"")</f>
        <v>0.3103074</v>
      </c>
      <c r="H36" s="23">
        <f>IF(AND(ISNUMBER(F36),ISNUMBER(G36)),F36*G36,"")</f>
        <v>0.3103</v>
      </c>
      <c r="I36" s="21">
        <v>31957</v>
      </c>
      <c r="J36" s="21"/>
      <c r="K36" s="22">
        <f>IFERROR(IF(OR(J36&gt;=L36,F36&gt;=L36),USD_EUR*LOOKUP(IF(J36="",F36,J36),{0,1,10,100,500,1000,2500,5000,10000},{0.0,0.267,0.164,0.095,0.089,0.069,0.065,0.063,0.063}),"MOQ="&amp;L36),"")</f>
        <v>0.3103074</v>
      </c>
      <c r="L36" s="21">
        <v>1</v>
      </c>
      <c r="M36" s="23">
        <f>IFERROR(IF(J36="",F36,J36)*K36,"")</f>
        <v>0.3103</v>
      </c>
      <c r="N36" s="21" t="s">
        <v>338</v>
      </c>
    </row>
    <row r="37" spans="1:14">
      <c r="A37" s="21" t="s">
        <v>171</v>
      </c>
      <c r="B37" s="21" t="s">
        <v>172</v>
      </c>
      <c r="C37" s="21" t="s">
        <v>174</v>
      </c>
      <c r="D37" s="21" t="s">
        <v>176</v>
      </c>
      <c r="E37" s="21" t="s">
        <v>177</v>
      </c>
      <c r="F37" s="21">
        <f>CEILING(BoardQty*9,1)</f>
        <v>9</v>
      </c>
      <c r="G37" s="22">
        <f>IF(MIN(K37)&lt;&gt;0,MIN(K37),"")</f>
        <v>0.09994919999999999</v>
      </c>
      <c r="H37" s="23">
        <f>IF(AND(ISNUMBER(F37),ISNUMBER(G37)),F37*G37,"")</f>
        <v>0.8995</v>
      </c>
      <c r="I37" s="21">
        <v>86756</v>
      </c>
      <c r="J37" s="21"/>
      <c r="K37" s="22">
        <f>IFERROR(IF(OR(J37&gt;=L37,F37&gt;=L37),USD_EUR*LOOKUP(IF(J37="",F37,J37),{0,1,10,100,1000,5000,25000},{0.0,0.086,0.008,0.005,0.004,0.003,0.002}),"MOQ="&amp;L37),"")</f>
        <v>0.09994919999999999</v>
      </c>
      <c r="L37" s="21">
        <v>1</v>
      </c>
      <c r="M37" s="23">
        <f>IFERROR(IF(J37="",F37,J37)*K37,"")</f>
        <v>0.8995</v>
      </c>
      <c r="N37" s="21" t="s">
        <v>339</v>
      </c>
    </row>
    <row r="38" spans="1:14">
      <c r="A38" s="21" t="s">
        <v>179</v>
      </c>
      <c r="B38" s="21" t="s">
        <v>180</v>
      </c>
      <c r="C38" s="21" t="s">
        <v>182</v>
      </c>
      <c r="D38" s="21" t="s">
        <v>183</v>
      </c>
      <c r="E38" s="21" t="s">
        <v>184</v>
      </c>
      <c r="F38" s="21">
        <f>CEILING(BoardQty*3,1)</f>
        <v>3</v>
      </c>
      <c r="G38" s="22">
        <f>IF(MIN(K38)&lt;&gt;0,MIN(K38),"")</f>
        <v>0.09994919999999999</v>
      </c>
      <c r="H38" s="23">
        <f>IF(AND(ISNUMBER(F38),ISNUMBER(G38)),F38*G38,"")</f>
        <v>0.2998</v>
      </c>
      <c r="I38" s="21">
        <v>257603</v>
      </c>
      <c r="J38" s="21"/>
      <c r="K38" s="22">
        <f>IFERROR(IF(OR(J38&gt;=L38,F38&gt;=L38),USD_EUR*LOOKUP(IF(J38="",F38,J38),{0,1,10,100,1000,2500,10000},{0.0,0.086,0.008,0.005,0.004,0.003,0.002}),"MOQ="&amp;L38),"")</f>
        <v>0.09994919999999999</v>
      </c>
      <c r="L38" s="21">
        <v>1</v>
      </c>
      <c r="M38" s="23">
        <f>IFERROR(IF(J38="",F38,J38)*K38,"")</f>
        <v>0.2998</v>
      </c>
      <c r="N38" s="21" t="s">
        <v>340</v>
      </c>
    </row>
    <row r="39" spans="1:14">
      <c r="A39" s="21" t="s">
        <v>186</v>
      </c>
      <c r="B39" s="21" t="s">
        <v>187</v>
      </c>
      <c r="C39" s="21" t="s">
        <v>182</v>
      </c>
      <c r="D39" s="21" t="s">
        <v>183</v>
      </c>
      <c r="E39" s="21" t="s">
        <v>188</v>
      </c>
      <c r="F39" s="21">
        <f>CEILING(BoardQty*2,1)</f>
        <v>2</v>
      </c>
      <c r="G39" s="22">
        <f>IF(MIN(K39)&lt;&gt;0,MIN(K39),"")</f>
        <v/>
      </c>
      <c r="H39" s="23">
        <f>IF(AND(ISNUMBER(F39),ISNUMBER(G39)),F39*G39,"")</f>
        <v/>
      </c>
    </row>
    <row r="40" spans="1:14">
      <c r="A40" s="21" t="s">
        <v>190</v>
      </c>
      <c r="B40" s="21" t="s">
        <v>191</v>
      </c>
      <c r="C40" s="21" t="s">
        <v>182</v>
      </c>
      <c r="D40" s="21" t="s">
        <v>183</v>
      </c>
      <c r="E40" s="21" t="s">
        <v>192</v>
      </c>
      <c r="F40" s="21">
        <f>CEILING(BoardQty*2,1)</f>
        <v>2</v>
      </c>
      <c r="G40" s="22">
        <f>IF(MIN(K40)&lt;&gt;0,MIN(K40),"")</f>
        <v/>
      </c>
      <c r="H40" s="23">
        <f>IF(AND(ISNUMBER(F40),ISNUMBER(G40)),F40*G40,"")</f>
        <v/>
      </c>
    </row>
    <row r="41" spans="1:14">
      <c r="A41" s="21" t="s">
        <v>194</v>
      </c>
      <c r="B41" s="21" t="s">
        <v>195</v>
      </c>
      <c r="C41" s="21" t="s">
        <v>182</v>
      </c>
      <c r="D41" s="21" t="s">
        <v>183</v>
      </c>
      <c r="E41" s="21" t="s">
        <v>196</v>
      </c>
      <c r="F41" s="21">
        <f>BoardQty*1</f>
        <v>1</v>
      </c>
      <c r="G41" s="22">
        <f>IF(MIN(K41)&lt;&gt;0,MIN(K41),"")</f>
        <v>0.09994919999999999</v>
      </c>
      <c r="H41" s="23">
        <f>IF(AND(ISNUMBER(F41),ISNUMBER(G41)),F41*G41,"")</f>
        <v>0.0999</v>
      </c>
      <c r="I41" s="21">
        <v>76371</v>
      </c>
      <c r="J41" s="21"/>
      <c r="K41" s="22">
        <f>IFERROR(IF(OR(J41&gt;=L41,F41&gt;=L41),USD_EUR*LOOKUP(IF(J41="",F41,J41),{0,1,10,100,1000,10000},{0.0,0.086,0.006,0.005,0.003,0.002}),"MOQ="&amp;L41),"")</f>
        <v>0.09994919999999999</v>
      </c>
      <c r="L41" s="21">
        <v>1</v>
      </c>
      <c r="M41" s="23">
        <f>IFERROR(IF(J41="",F41,J41)*K41,"")</f>
        <v>0.0999</v>
      </c>
      <c r="N41" s="21" t="s">
        <v>341</v>
      </c>
    </row>
    <row r="42" spans="1:14">
      <c r="A42" s="21" t="s">
        <v>198</v>
      </c>
      <c r="B42" s="21" t="s">
        <v>199</v>
      </c>
      <c r="C42" s="21" t="s">
        <v>182</v>
      </c>
      <c r="D42" s="21" t="s">
        <v>183</v>
      </c>
      <c r="E42" s="21" t="s">
        <v>200</v>
      </c>
      <c r="F42" s="21">
        <f>BoardQty*1</f>
        <v>1</v>
      </c>
      <c r="G42" s="22">
        <f>IF(MIN(K42)&lt;&gt;0,MIN(K42),"")</f>
        <v/>
      </c>
      <c r="H42" s="23">
        <f>IF(AND(ISNUMBER(F42),ISNUMBER(G42)),F42*G42,"")</f>
        <v/>
      </c>
    </row>
    <row r="43" spans="1:14">
      <c r="A43" s="21" t="s">
        <v>202</v>
      </c>
      <c r="B43" s="21" t="s">
        <v>203</v>
      </c>
      <c r="C43" s="21" t="s">
        <v>182</v>
      </c>
      <c r="D43" s="21" t="s">
        <v>183</v>
      </c>
      <c r="E43" s="21" t="s">
        <v>204</v>
      </c>
      <c r="F43" s="21">
        <f>CEILING(BoardQty*5,1)</f>
        <v>5</v>
      </c>
      <c r="G43" s="22">
        <f>IF(MIN(K43)&lt;&gt;0,MIN(K43),"")</f>
        <v/>
      </c>
      <c r="H43" s="23">
        <f>IF(AND(ISNUMBER(F43),ISNUMBER(G43)),F43*G43,"")</f>
        <v/>
      </c>
    </row>
    <row r="44" spans="1:14">
      <c r="A44" s="21" t="s">
        <v>206</v>
      </c>
      <c r="B44" s="21" t="s">
        <v>203</v>
      </c>
      <c r="C44" s="21" t="s">
        <v>174</v>
      </c>
      <c r="D44" s="21" t="s">
        <v>176</v>
      </c>
      <c r="E44" s="21" t="s">
        <v>177</v>
      </c>
      <c r="F44" s="21">
        <f>BoardQty*1</f>
        <v>1</v>
      </c>
      <c r="G44" s="22">
        <f>IF(MIN(K44)&lt;&gt;0,MIN(K44),"")</f>
        <v>0.09994919999999999</v>
      </c>
      <c r="H44" s="23">
        <f>IF(AND(ISNUMBER(F44),ISNUMBER(G44)),F44*G44,"")</f>
        <v>0.0999</v>
      </c>
      <c r="I44" s="21">
        <v>86756</v>
      </c>
      <c r="J44" s="21"/>
      <c r="K44" s="22">
        <f>IFERROR(IF(OR(J44&gt;=L44,F44&gt;=L44),USD_EUR*LOOKUP(IF(J44="",F44,J44),{0,1,10,100,1000,5000,25000},{0.0,0.086,0.008,0.005,0.004,0.003,0.002}),"MOQ="&amp;L44),"")</f>
        <v>0.09994919999999999</v>
      </c>
      <c r="L44" s="21">
        <v>1</v>
      </c>
      <c r="M44" s="23">
        <f>IFERROR(IF(J44="",F44,J44)*K44,"")</f>
        <v>0.0999</v>
      </c>
      <c r="N44" s="21" t="s">
        <v>339</v>
      </c>
    </row>
    <row r="45" spans="1:14">
      <c r="A45" s="21" t="s">
        <v>208</v>
      </c>
      <c r="B45" s="21" t="s">
        <v>209</v>
      </c>
      <c r="C45" s="21" t="s">
        <v>211</v>
      </c>
      <c r="D45" s="21" t="s">
        <v>213</v>
      </c>
      <c r="E45" s="21" t="s">
        <v>214</v>
      </c>
      <c r="F45" s="21">
        <f>BoardQty*1</f>
        <v>1</v>
      </c>
      <c r="G45" s="22">
        <f>IF(MIN(K45)&lt;&gt;0,MIN(K45),"")</f>
        <v/>
      </c>
      <c r="H45" s="23">
        <f>IF(AND(ISNUMBER(F45),ISNUMBER(G45)),F45*G45,"")</f>
        <v/>
      </c>
    </row>
    <row r="46" spans="1:14">
      <c r="A46" s="21" t="s">
        <v>216</v>
      </c>
      <c r="B46" s="21" t="s">
        <v>217</v>
      </c>
      <c r="C46" s="21" t="s">
        <v>211</v>
      </c>
      <c r="D46" s="21" t="s">
        <v>213</v>
      </c>
      <c r="E46" s="21" t="s">
        <v>214</v>
      </c>
      <c r="F46" s="21">
        <f>BoardQty*1</f>
        <v>1</v>
      </c>
      <c r="G46" s="22">
        <f>IF(MIN(K46)&lt;&gt;0,MIN(K46),"")</f>
        <v/>
      </c>
      <c r="H46" s="23">
        <f>IF(AND(ISNUMBER(F46),ISNUMBER(G46)),F46*G46,"")</f>
        <v/>
      </c>
    </row>
    <row r="47" spans="1:14">
      <c r="A47" s="21" t="s">
        <v>219</v>
      </c>
      <c r="B47" s="21" t="s">
        <v>220</v>
      </c>
      <c r="C47" s="21" t="s">
        <v>211</v>
      </c>
      <c r="D47" s="21" t="s">
        <v>213</v>
      </c>
      <c r="E47" s="21" t="s">
        <v>214</v>
      </c>
      <c r="F47" s="21">
        <f>BoardQty*1</f>
        <v>1</v>
      </c>
      <c r="G47" s="22">
        <f>IF(MIN(K47)&lt;&gt;0,MIN(K47),"")</f>
        <v/>
      </c>
      <c r="H47" s="23">
        <f>IF(AND(ISNUMBER(F47),ISNUMBER(G47)),F47*G47,"")</f>
        <v/>
      </c>
    </row>
    <row r="48" spans="1:14">
      <c r="A48" s="21" t="s">
        <v>222</v>
      </c>
      <c r="B48" s="21" t="s">
        <v>223</v>
      </c>
      <c r="C48" s="21" t="s">
        <v>211</v>
      </c>
      <c r="D48" s="21" t="s">
        <v>213</v>
      </c>
      <c r="E48" s="21" t="s">
        <v>214</v>
      </c>
      <c r="F48" s="21">
        <f>BoardQty*1</f>
        <v>1</v>
      </c>
      <c r="G48" s="22">
        <f>IF(MIN(K48)&lt;&gt;0,MIN(K48),"")</f>
        <v/>
      </c>
      <c r="H48" s="23">
        <f>IF(AND(ISNUMBER(F48),ISNUMBER(G48)),F48*G48,"")</f>
        <v/>
      </c>
    </row>
    <row r="49" spans="1:13">
      <c r="A49" s="21" t="s">
        <v>225</v>
      </c>
      <c r="B49" s="21" t="s">
        <v>226</v>
      </c>
      <c r="C49" s="21" t="s">
        <v>211</v>
      </c>
      <c r="D49" s="21" t="s">
        <v>213</v>
      </c>
      <c r="E49" s="21" t="s">
        <v>214</v>
      </c>
      <c r="F49" s="21">
        <f>BoardQty*1</f>
        <v>1</v>
      </c>
      <c r="G49" s="22">
        <f>IF(MIN(K49)&lt;&gt;0,MIN(K49),"")</f>
        <v/>
      </c>
      <c r="H49" s="23">
        <f>IF(AND(ISNUMBER(F49),ISNUMBER(G49)),F49*G49,"")</f>
        <v/>
      </c>
    </row>
    <row r="50" spans="1:13" ht="30" customHeight="1">
      <c r="A50" s="21" t="s">
        <v>228</v>
      </c>
      <c r="B50" s="21" t="s">
        <v>229</v>
      </c>
      <c r="C50" s="21" t="s">
        <v>231</v>
      </c>
      <c r="D50" s="21" t="s">
        <v>233</v>
      </c>
      <c r="E50" s="21" t="s">
        <v>234</v>
      </c>
      <c r="F50" s="21">
        <f>CEILING(BoardQty*13,1)</f>
        <v>13</v>
      </c>
      <c r="G50" s="22">
        <f>IF(MIN(K50)&lt;&gt;0,MIN(K50),"")</f>
        <v/>
      </c>
      <c r="H50" s="23">
        <f>IF(AND(ISNUMBER(F50),ISNUMBER(G50)),F50*G50,"")</f>
        <v/>
      </c>
    </row>
    <row r="51" spans="1:13">
      <c r="A51" s="21" t="s">
        <v>236</v>
      </c>
      <c r="B51" s="21" t="s">
        <v>229</v>
      </c>
      <c r="C51" s="21" t="s">
        <v>238</v>
      </c>
      <c r="D51" s="21" t="s">
        <v>239</v>
      </c>
      <c r="E51" s="21" t="s">
        <v>238</v>
      </c>
      <c r="F51" s="21">
        <f>CEILING(BoardQty*2,1)</f>
        <v>2</v>
      </c>
      <c r="G51" s="22">
        <f>IF(MIN(K51)&lt;&gt;0,MIN(K51),"")</f>
        <v/>
      </c>
      <c r="H51" s="23">
        <f>IF(AND(ISNUMBER(F51),ISNUMBER(G51)),F51*G51,"")</f>
        <v/>
      </c>
    </row>
    <row r="52" spans="1:13">
      <c r="A52" s="21" t="s">
        <v>241</v>
      </c>
      <c r="B52" s="21" t="s">
        <v>242</v>
      </c>
      <c r="C52" s="21" t="s">
        <v>244</v>
      </c>
      <c r="D52" s="21" t="s">
        <v>213</v>
      </c>
      <c r="E52" s="21" t="s">
        <v>246</v>
      </c>
      <c r="F52" s="21">
        <f>BoardQty*1</f>
        <v>1</v>
      </c>
      <c r="G52" s="22">
        <f>IF(MIN(K52)&lt;&gt;0,MIN(K52),"")</f>
        <v/>
      </c>
      <c r="H52" s="23">
        <f>IF(AND(ISNUMBER(F52),ISNUMBER(G52)),F52*G52,"")</f>
        <v/>
      </c>
    </row>
    <row r="53" spans="1:13">
      <c r="A53" s="21" t="s">
        <v>248</v>
      </c>
      <c r="B53" s="21" t="s">
        <v>249</v>
      </c>
      <c r="C53" s="21" t="s">
        <v>251</v>
      </c>
      <c r="D53" s="21" t="s">
        <v>253</v>
      </c>
      <c r="E53" s="21" t="s">
        <v>254</v>
      </c>
      <c r="F53" s="21">
        <f>BoardQty*1</f>
        <v>1</v>
      </c>
      <c r="G53" s="22">
        <f>IF(MIN(K53)&lt;&gt;0,MIN(K53),"")</f>
        <v/>
      </c>
      <c r="H53" s="23">
        <f>IF(AND(ISNUMBER(F53),ISNUMBER(G53)),F53*G53,"")</f>
        <v/>
      </c>
    </row>
    <row r="54" spans="1:13">
      <c r="A54" s="21" t="s">
        <v>256</v>
      </c>
      <c r="B54" s="21" t="s">
        <v>257</v>
      </c>
      <c r="C54" s="21" t="s">
        <v>259</v>
      </c>
      <c r="D54" s="21" t="s">
        <v>260</v>
      </c>
      <c r="E54" s="21" t="s">
        <v>261</v>
      </c>
      <c r="F54" s="21">
        <f>BoardQty*1</f>
        <v>1</v>
      </c>
      <c r="G54" s="22">
        <f>IF(MIN(K54)&lt;&gt;0,MIN(K54),"")</f>
        <v/>
      </c>
      <c r="H54" s="23">
        <f>IF(AND(ISNUMBER(F54),ISNUMBER(G54)),F54*G54,"")</f>
        <v/>
      </c>
    </row>
    <row r="55" spans="1:13">
      <c r="A55" s="21" t="s">
        <v>263</v>
      </c>
      <c r="B55" s="21" t="s">
        <v>264</v>
      </c>
      <c r="C55" s="21" t="s">
        <v>266</v>
      </c>
      <c r="D55" s="21" t="s">
        <v>233</v>
      </c>
      <c r="E55" s="21" t="s">
        <v>268</v>
      </c>
      <c r="F55" s="21">
        <f>BoardQty*1</f>
        <v>1</v>
      </c>
      <c r="G55" s="22">
        <f>IF(MIN(K55)&lt;&gt;0,MIN(K55),"")</f>
        <v/>
      </c>
      <c r="H55" s="23">
        <f>IF(AND(ISNUMBER(F55),ISNUMBER(G55)),F55*G55,"")</f>
        <v/>
      </c>
    </row>
    <row r="56" spans="1:13">
      <c r="A56" s="21" t="s">
        <v>270</v>
      </c>
      <c r="B56" s="21" t="s">
        <v>271</v>
      </c>
      <c r="C56" s="21" t="s">
        <v>272</v>
      </c>
      <c r="D56" s="21" t="s">
        <v>233</v>
      </c>
      <c r="E56" s="21" t="s">
        <v>274</v>
      </c>
      <c r="F56" s="21">
        <f>BoardQty*1</f>
        <v>1</v>
      </c>
      <c r="G56" s="22">
        <f>IF(MIN(K56)&lt;&gt;0,MIN(K56),"")</f>
        <v/>
      </c>
      <c r="H56" s="23">
        <f>IF(AND(ISNUMBER(F56),ISNUMBER(G56)),F56*G56,"")</f>
        <v/>
      </c>
    </row>
    <row r="57" spans="1:13">
      <c r="A57" s="21" t="s">
        <v>276</v>
      </c>
      <c r="B57" s="21" t="s">
        <v>277</v>
      </c>
      <c r="C57" s="21" t="s">
        <v>278</v>
      </c>
      <c r="D57" s="21" t="s">
        <v>233</v>
      </c>
      <c r="E57" s="21" t="s">
        <v>280</v>
      </c>
      <c r="F57" s="21">
        <f>CEILING(BoardQty*2,1)</f>
        <v>2</v>
      </c>
      <c r="G57" s="22">
        <f>IF(MIN(K57)&lt;&gt;0,MIN(K57),"")</f>
        <v/>
      </c>
      <c r="H57" s="23">
        <f>IF(AND(ISNUMBER(F57),ISNUMBER(G57)),F57*G57,"")</f>
        <v/>
      </c>
    </row>
    <row r="58" spans="1:13">
      <c r="A58" s="21" t="s">
        <v>282</v>
      </c>
      <c r="B58" s="21" t="s">
        <v>283</v>
      </c>
      <c r="C58" s="21" t="s">
        <v>284</v>
      </c>
      <c r="D58" s="21" t="s">
        <v>233</v>
      </c>
      <c r="E58" s="21" t="s">
        <v>286</v>
      </c>
      <c r="F58" s="21">
        <f>BoardQty*1</f>
        <v>1</v>
      </c>
      <c r="G58" s="22">
        <f>IF(MIN(K58)&lt;&gt;0,MIN(K58),"")</f>
        <v/>
      </c>
      <c r="H58" s="23">
        <f>IF(AND(ISNUMBER(F58),ISNUMBER(G58)),F58*G58,"")</f>
        <v/>
      </c>
    </row>
    <row r="60" spans="1:13">
      <c r="B60" s="25" t="s">
        <v>345</v>
      </c>
      <c r="C60">
        <v>1.1622</v>
      </c>
      <c r="G60" s="14" t="s">
        <v>343</v>
      </c>
      <c r="H60" s="16">
        <f>SUM(M60)</f>
        <v>0</v>
      </c>
      <c r="I60" s="26" t="s">
        <v>342</v>
      </c>
      <c r="J60" s="17">
        <f>IFERROR(IF(COUNTIF(J10:J58,"&gt;0")&gt;0,COUNTIF(J10:J58,"&gt;0")&amp;" of "&amp;(ROWS(L10:L58)-COUNTBLANK(L10:L58))&amp;" parts purchased",""),"")</f>
        <v/>
      </c>
      <c r="M60" s="16">
        <f>SUMIF(J10:J58,"&gt;0",M10:M58)</f>
        <v>0</v>
      </c>
    </row>
    <row r="61" spans="1:13">
      <c r="G61" s="25" t="s">
        <v>344</v>
      </c>
      <c r="J61" s="27">
        <f>CONCATENATE(J111,J112,J113,J114,J115,J116,J117,J118,J119,J120,J121,J122,J123,J124,J125,J126,J127,J128,J129,J130,J131,J132,J133,J134,J135,J136,J137,J138,J139,J140,J141,J142,J143,J144,J145,J146,J147,J148,J149,J150,J151,J152,J153,J154,J155,J156,J157,J158,J159)</f>
        <v/>
      </c>
    </row>
    <row r="62" spans="1:13">
      <c r="A62" s="28" t="s">
        <v>349</v>
      </c>
      <c r="B62" s="29" t="s">
        <v>350</v>
      </c>
    </row>
    <row r="63" spans="1:13">
      <c r="A63" s="30" t="s">
        <v>351</v>
      </c>
    </row>
    <row r="111" spans="10:10" ht="30" hidden="1" customHeight="1">
      <c r="J111" t="str">
        <f t="array" ref="J111:J159">IF(ISNUMBER(J10:J58)*(J10:J58&gt;=L10:L58)*(N10:N58&lt;&gt;""),N10:N58&amp;"|"&amp;TEXT(ROUNDUP(J10:J58/IF(ISNUMBER(L10:L58),L10:L58,1),0)*L10:L58,"##0")&amp;"|"&amp;SUBSTITUTE(SUBSTITUTE(SUBSTITUTE(IF(PURCHASE_DESCRIPTION&lt;&gt;"",PURCHASE_DESCRIPTION&amp;":","")&amp;A10:A58,"|",";")," ","_"),"
","_")&amp;CHAR(10),"")</f>
        <v/>
      </c>
    </row>
    <row r="112" spans="10:10" ht="30" hidden="1" customHeight="1">
      <c r="J112">
        <v>0</v>
      </c>
    </row>
    <row r="113" spans="10:10" ht="30" hidden="1" customHeight="1">
      <c r="J113">
        <v>0</v>
      </c>
    </row>
    <row r="114" spans="10:10" ht="30" hidden="1" customHeight="1">
      <c r="J114">
        <v>0</v>
      </c>
    </row>
    <row r="115" spans="10:10" ht="30" hidden="1" customHeight="1">
      <c r="J115">
        <v>0</v>
      </c>
    </row>
    <row r="116" spans="10:10" ht="30" hidden="1" customHeight="1">
      <c r="J116">
        <v>0</v>
      </c>
    </row>
    <row r="117" spans="10:10" ht="30" hidden="1" customHeight="1">
      <c r="J117">
        <v>0</v>
      </c>
    </row>
    <row r="118" spans="10:10" ht="30" hidden="1" customHeight="1">
      <c r="J118">
        <v>0</v>
      </c>
    </row>
    <row r="119" spans="10:10" ht="30" hidden="1" customHeight="1">
      <c r="J119">
        <v>0</v>
      </c>
    </row>
    <row r="120" spans="10:10" ht="30" hidden="1" customHeight="1">
      <c r="J120">
        <v>0</v>
      </c>
    </row>
    <row r="121" spans="10:10" ht="30" hidden="1" customHeight="1">
      <c r="J121">
        <v>0</v>
      </c>
    </row>
    <row r="122" spans="10:10" ht="30" hidden="1" customHeight="1">
      <c r="J122">
        <v>0</v>
      </c>
    </row>
    <row r="123" spans="10:10" ht="30" hidden="1" customHeight="1">
      <c r="J123">
        <v>0</v>
      </c>
    </row>
    <row r="124" spans="10:10" ht="30" hidden="1" customHeight="1">
      <c r="J124">
        <v>0</v>
      </c>
    </row>
    <row r="125" spans="10:10" ht="30" hidden="1" customHeight="1">
      <c r="J125">
        <v>0</v>
      </c>
    </row>
    <row r="126" spans="10:10" ht="30" hidden="1" customHeight="1">
      <c r="J126">
        <v>0</v>
      </c>
    </row>
    <row r="127" spans="10:10" ht="30" hidden="1" customHeight="1">
      <c r="J127">
        <v>0</v>
      </c>
    </row>
    <row r="128" spans="10:10" ht="30" hidden="1" customHeight="1">
      <c r="J128">
        <v>0</v>
      </c>
    </row>
    <row r="129" spans="10:10" ht="30" hidden="1" customHeight="1">
      <c r="J129">
        <v>0</v>
      </c>
    </row>
    <row r="130" spans="10:10" ht="30" hidden="1" customHeight="1">
      <c r="J130">
        <v>0</v>
      </c>
    </row>
    <row r="131" spans="10:10" ht="30" hidden="1" customHeight="1">
      <c r="J131">
        <v>0</v>
      </c>
    </row>
    <row r="132" spans="10:10" ht="30" hidden="1" customHeight="1">
      <c r="J132">
        <v>0</v>
      </c>
    </row>
    <row r="133" spans="10:10" ht="30" hidden="1" customHeight="1">
      <c r="J133">
        <v>0</v>
      </c>
    </row>
    <row r="134" spans="10:10" ht="30" hidden="1" customHeight="1">
      <c r="J134">
        <v>0</v>
      </c>
    </row>
    <row r="135" spans="10:10" ht="30" hidden="1" customHeight="1">
      <c r="J135">
        <v>0</v>
      </c>
    </row>
    <row r="136" spans="10:10" ht="30" hidden="1" customHeight="1">
      <c r="J136">
        <v>0</v>
      </c>
    </row>
    <row r="137" spans="10:10" ht="30" hidden="1" customHeight="1">
      <c r="J137">
        <v>0</v>
      </c>
    </row>
    <row r="138" spans="10:10" ht="30" hidden="1" customHeight="1">
      <c r="J138">
        <v>0</v>
      </c>
    </row>
    <row r="139" spans="10:10" ht="30" hidden="1" customHeight="1">
      <c r="J139">
        <v>0</v>
      </c>
    </row>
    <row r="140" spans="10:10" ht="30" hidden="1" customHeight="1">
      <c r="J140">
        <v>0</v>
      </c>
    </row>
    <row r="141" spans="10:10" ht="30" hidden="1" customHeight="1">
      <c r="J141">
        <v>0</v>
      </c>
    </row>
    <row r="142" spans="10:10" ht="30" hidden="1" customHeight="1">
      <c r="J142">
        <v>0</v>
      </c>
    </row>
    <row r="143" spans="10:10" ht="30" hidden="1" customHeight="1">
      <c r="J143">
        <v>0</v>
      </c>
    </row>
    <row r="144" spans="10:10" ht="30" hidden="1" customHeight="1">
      <c r="J144">
        <v>0</v>
      </c>
    </row>
    <row r="145" spans="10:10" ht="30" hidden="1" customHeight="1">
      <c r="J145">
        <v>0</v>
      </c>
    </row>
    <row r="146" spans="10:10" ht="30" hidden="1" customHeight="1">
      <c r="J146">
        <v>0</v>
      </c>
    </row>
    <row r="147" spans="10:10" ht="30" hidden="1" customHeight="1">
      <c r="J147">
        <v>0</v>
      </c>
    </row>
    <row r="148" spans="10:10" ht="30" hidden="1" customHeight="1">
      <c r="J148">
        <v>0</v>
      </c>
    </row>
    <row r="149" spans="10:10" ht="30" hidden="1" customHeight="1">
      <c r="J149">
        <v>0</v>
      </c>
    </row>
    <row r="150" spans="10:10" ht="30" hidden="1" customHeight="1">
      <c r="J150">
        <v>0</v>
      </c>
    </row>
    <row r="151" spans="10:10" ht="30" hidden="1" customHeight="1">
      <c r="J151">
        <v>0</v>
      </c>
    </row>
    <row r="152" spans="10:10" ht="30" hidden="1" customHeight="1">
      <c r="J152">
        <v>0</v>
      </c>
    </row>
    <row r="153" spans="10:10" ht="30" hidden="1" customHeight="1">
      <c r="J153">
        <v>0</v>
      </c>
    </row>
    <row r="154" spans="10:10" ht="30" hidden="1" customHeight="1">
      <c r="J154">
        <v>0</v>
      </c>
    </row>
    <row r="155" spans="10:10" ht="30" hidden="1" customHeight="1">
      <c r="J155">
        <v>0</v>
      </c>
    </row>
    <row r="156" spans="10:10" ht="30" hidden="1" customHeight="1">
      <c r="J156">
        <v>0</v>
      </c>
    </row>
    <row r="157" spans="10:10" ht="30" hidden="1" customHeight="1">
      <c r="J157">
        <v>0</v>
      </c>
    </row>
    <row r="158" spans="10:10" ht="30" hidden="1" customHeight="1">
      <c r="J158">
        <v>0</v>
      </c>
    </row>
    <row r="159" spans="10:10" ht="30" hidden="1" customHeight="1">
      <c r="J159">
        <v>0</v>
      </c>
    </row>
  </sheetData>
  <mergeCells count="4">
    <mergeCell ref="A8:H8"/>
    <mergeCell ref="I8:N8"/>
    <mergeCell ref="J61:M110"/>
    <mergeCell ref="A1:H1"/>
  </mergeCells>
  <conditionalFormatting sqref="F10">
    <cfRule type="expression" dxfId="3" priority="62">
      <formula>AND(ISBLANK(E10),ISBLANK(M10))</formula>
    </cfRule>
    <cfRule type="expression" dxfId="4" priority="63">
      <formula>IF(SUM(I10)=0,1,0)</formula>
    </cfRule>
    <cfRule type="cellIs" dxfId="0" priority="64" operator="greaterThan">
      <formula>SUM(I10)</formula>
    </cfRule>
    <cfRule type="cellIs" dxfId="5" priority="65" operator="greaterThan">
      <formula>SUM(IF(ISNUMBER(K10),J10,0))</formula>
    </cfRule>
  </conditionalFormatting>
  <conditionalFormatting sqref="F11">
    <cfRule type="expression" dxfId="3" priority="66">
      <formula>AND(ISBLANK(E11),ISBLANK(M11))</formula>
    </cfRule>
    <cfRule type="expression" dxfId="4" priority="67">
      <formula>IF(SUM(I11)=0,1,0)</formula>
    </cfRule>
    <cfRule type="cellIs" dxfId="0" priority="68" operator="greaterThan">
      <formula>SUM(I11)</formula>
    </cfRule>
    <cfRule type="cellIs" dxfId="5" priority="69" operator="greaterThan">
      <formula>SUM(IF(ISNUMBER(K11),J11,0))</formula>
    </cfRule>
  </conditionalFormatting>
  <conditionalFormatting sqref="F12">
    <cfRule type="expression" dxfId="3" priority="70">
      <formula>AND(ISBLANK(E12),ISBLANK(M12))</formula>
    </cfRule>
    <cfRule type="expression" dxfId="4" priority="71">
      <formula>IF(SUM(I12)=0,1,0)</formula>
    </cfRule>
    <cfRule type="cellIs" dxfId="0" priority="72" operator="greaterThan">
      <formula>SUM(I12)</formula>
    </cfRule>
    <cfRule type="cellIs" dxfId="5" priority="73" operator="greaterThan">
      <formula>SUM(IF(ISNUMBER(K12),J12,0))</formula>
    </cfRule>
  </conditionalFormatting>
  <conditionalFormatting sqref="F13">
    <cfRule type="expression" dxfId="3" priority="74">
      <formula>AND(ISBLANK(E13),ISBLANK(M13))</formula>
    </cfRule>
    <cfRule type="expression" dxfId="4" priority="75">
      <formula>IF(SUM(I13)=0,1,0)</formula>
    </cfRule>
    <cfRule type="cellIs" dxfId="0" priority="76" operator="greaterThan">
      <formula>SUM(I13)</formula>
    </cfRule>
    <cfRule type="cellIs" dxfId="5" priority="77" operator="greaterThan">
      <formula>SUM(IF(ISNUMBER(K13),J13,0))</formula>
    </cfRule>
  </conditionalFormatting>
  <conditionalFormatting sqref="F14">
    <cfRule type="expression" dxfId="3" priority="78">
      <formula>AND(ISBLANK(E14),ISBLANK(M14))</formula>
    </cfRule>
    <cfRule type="expression" dxfId="4" priority="79">
      <formula>IF(SUM(I14)=0,1,0)</formula>
    </cfRule>
    <cfRule type="cellIs" dxfId="0" priority="80" operator="greaterThan">
      <formula>SUM(I14)</formula>
    </cfRule>
    <cfRule type="cellIs" dxfId="5" priority="81" operator="greaterThan">
      <formula>SUM(IF(ISNUMBER(K14),J14,0))</formula>
    </cfRule>
  </conditionalFormatting>
  <conditionalFormatting sqref="F15">
    <cfRule type="expression" dxfId="3" priority="82">
      <formula>AND(ISBLANK(E15),ISBLANK(M15))</formula>
    </cfRule>
    <cfRule type="expression" dxfId="4" priority="83">
      <formula>IF(SUM(I15)=0,1,0)</formula>
    </cfRule>
    <cfRule type="cellIs" dxfId="0" priority="84" operator="greaterThan">
      <formula>SUM(I15)</formula>
    </cfRule>
    <cfRule type="cellIs" dxfId="5" priority="85" operator="greaterThan">
      <formula>SUM(IF(ISNUMBER(K15),J15,0))</formula>
    </cfRule>
  </conditionalFormatting>
  <conditionalFormatting sqref="F16">
    <cfRule type="expression" dxfId="3" priority="86">
      <formula>AND(ISBLANK(E16),ISBLANK(M16))</formula>
    </cfRule>
    <cfRule type="expression" dxfId="4" priority="87">
      <formula>IF(SUM(I16)=0,1,0)</formula>
    </cfRule>
    <cfRule type="cellIs" dxfId="0" priority="88" operator="greaterThan">
      <formula>SUM(I16)</formula>
    </cfRule>
    <cfRule type="cellIs" dxfId="5" priority="89" operator="greaterThan">
      <formula>SUM(IF(ISNUMBER(K16),J16,0))</formula>
    </cfRule>
  </conditionalFormatting>
  <conditionalFormatting sqref="F17">
    <cfRule type="expression" dxfId="3" priority="90">
      <formula>AND(ISBLANK(E17),ISBLANK(M17))</formula>
    </cfRule>
    <cfRule type="expression" dxfId="4" priority="91">
      <formula>IF(SUM(I17)=0,1,0)</formula>
    </cfRule>
    <cfRule type="cellIs" dxfId="0" priority="92" operator="greaterThan">
      <formula>SUM(I17)</formula>
    </cfRule>
    <cfRule type="cellIs" dxfId="5" priority="93" operator="greaterThan">
      <formula>SUM(IF(ISNUMBER(K17),J17,0))</formula>
    </cfRule>
  </conditionalFormatting>
  <conditionalFormatting sqref="F18">
    <cfRule type="expression" dxfId="3" priority="94">
      <formula>AND(ISBLANK(E18),ISBLANK(M18))</formula>
    </cfRule>
    <cfRule type="expression" dxfId="4" priority="95">
      <formula>IF(SUM(I18)=0,1,0)</formula>
    </cfRule>
    <cfRule type="cellIs" dxfId="0" priority="96" operator="greaterThan">
      <formula>SUM(I18)</formula>
    </cfRule>
    <cfRule type="cellIs" dxfId="5" priority="97" operator="greaterThan">
      <formula>SUM(IF(ISNUMBER(K18),J18,0))</formula>
    </cfRule>
  </conditionalFormatting>
  <conditionalFormatting sqref="F19">
    <cfRule type="expression" dxfId="3" priority="98">
      <formula>AND(ISBLANK(E19),ISBLANK(M19))</formula>
    </cfRule>
    <cfRule type="expression" dxfId="4" priority="99">
      <formula>IF(SUM(I19)=0,1,0)</formula>
    </cfRule>
    <cfRule type="cellIs" dxfId="0" priority="100" operator="greaterThan">
      <formula>SUM(I19)</formula>
    </cfRule>
    <cfRule type="cellIs" dxfId="5" priority="101" operator="greaterThan">
      <formula>SUM(IF(ISNUMBER(K19),J19,0))</formula>
    </cfRule>
  </conditionalFormatting>
  <conditionalFormatting sqref="F20">
    <cfRule type="expression" dxfId="3" priority="102">
      <formula>AND(ISBLANK(E20),ISBLANK(M20))</formula>
    </cfRule>
    <cfRule type="expression" dxfId="4" priority="103">
      <formula>IF(SUM(I20)=0,1,0)</formula>
    </cfRule>
    <cfRule type="cellIs" dxfId="0" priority="104" operator="greaterThan">
      <formula>SUM(I20)</formula>
    </cfRule>
    <cfRule type="cellIs" dxfId="5" priority="105" operator="greaterThan">
      <formula>SUM(IF(ISNUMBER(K20),J20,0))</formula>
    </cfRule>
  </conditionalFormatting>
  <conditionalFormatting sqref="F21">
    <cfRule type="expression" dxfId="3" priority="106">
      <formula>AND(ISBLANK(E21),ISBLANK(M21))</formula>
    </cfRule>
    <cfRule type="expression" dxfId="4" priority="107">
      <formula>IF(SUM(I21)=0,1,0)</formula>
    </cfRule>
    <cfRule type="cellIs" dxfId="0" priority="108" operator="greaterThan">
      <formula>SUM(I21)</formula>
    </cfRule>
    <cfRule type="cellIs" dxfId="5" priority="109" operator="greaterThan">
      <formula>SUM(IF(ISNUMBER(K21),J21,0))</formula>
    </cfRule>
  </conditionalFormatting>
  <conditionalFormatting sqref="F22">
    <cfRule type="expression" dxfId="3" priority="110">
      <formula>AND(ISBLANK(E22),ISBLANK(M22))</formula>
    </cfRule>
    <cfRule type="expression" dxfId="4" priority="111">
      <formula>IF(SUM(I22)=0,1,0)</formula>
    </cfRule>
    <cfRule type="cellIs" dxfId="0" priority="112" operator="greaterThan">
      <formula>SUM(I22)</formula>
    </cfRule>
    <cfRule type="cellIs" dxfId="5" priority="113" operator="greaterThan">
      <formula>SUM(IF(ISNUMBER(K22),J22,0))</formula>
    </cfRule>
  </conditionalFormatting>
  <conditionalFormatting sqref="F23">
    <cfRule type="expression" dxfId="3" priority="114">
      <formula>AND(ISBLANK(E23),ISBLANK(M23))</formula>
    </cfRule>
    <cfRule type="expression" dxfId="4" priority="115">
      <formula>IF(SUM(I23)=0,1,0)</formula>
    </cfRule>
    <cfRule type="cellIs" dxfId="0" priority="116" operator="greaterThan">
      <formula>SUM(I23)</formula>
    </cfRule>
    <cfRule type="cellIs" dxfId="5" priority="117" operator="greaterThan">
      <formula>SUM(IF(ISNUMBER(K23),J23,0))</formula>
    </cfRule>
  </conditionalFormatting>
  <conditionalFormatting sqref="F24">
    <cfRule type="expression" dxfId="3" priority="118">
      <formula>AND(ISBLANK(E24),ISBLANK(M24))</formula>
    </cfRule>
    <cfRule type="expression" dxfId="4" priority="119">
      <formula>IF(SUM(I24)=0,1,0)</formula>
    </cfRule>
    <cfRule type="cellIs" dxfId="0" priority="120" operator="greaterThan">
      <formula>SUM(I24)</formula>
    </cfRule>
    <cfRule type="cellIs" dxfId="5" priority="121" operator="greaterThan">
      <formula>SUM(IF(ISNUMBER(K24),J24,0))</formula>
    </cfRule>
  </conditionalFormatting>
  <conditionalFormatting sqref="F25">
    <cfRule type="expression" dxfId="3" priority="122">
      <formula>AND(ISBLANK(E25),ISBLANK(M25))</formula>
    </cfRule>
    <cfRule type="expression" dxfId="4" priority="123">
      <formula>IF(SUM(I25)=0,1,0)</formula>
    </cfRule>
    <cfRule type="cellIs" dxfId="0" priority="124" operator="greaterThan">
      <formula>SUM(I25)</formula>
    </cfRule>
    <cfRule type="cellIs" dxfId="5" priority="125" operator="greaterThan">
      <formula>SUM(IF(ISNUMBER(K25),J25,0))</formula>
    </cfRule>
  </conditionalFormatting>
  <conditionalFormatting sqref="F26">
    <cfRule type="expression" dxfId="3" priority="126">
      <formula>AND(ISBLANK(E26),ISBLANK(M26))</formula>
    </cfRule>
    <cfRule type="expression" dxfId="4" priority="127">
      <formula>IF(SUM(I26)=0,1,0)</formula>
    </cfRule>
    <cfRule type="cellIs" dxfId="0" priority="128" operator="greaterThan">
      <formula>SUM(I26)</formula>
    </cfRule>
    <cfRule type="cellIs" dxfId="5" priority="129" operator="greaterThan">
      <formula>SUM(IF(ISNUMBER(K26),J26,0))</formula>
    </cfRule>
  </conditionalFormatting>
  <conditionalFormatting sqref="F27">
    <cfRule type="expression" dxfId="3" priority="130">
      <formula>AND(ISBLANK(E27),ISBLANK(M27))</formula>
    </cfRule>
    <cfRule type="expression" dxfId="4" priority="131">
      <formula>IF(SUM(I27)=0,1,0)</formula>
    </cfRule>
    <cfRule type="cellIs" dxfId="0" priority="132" operator="greaterThan">
      <formula>SUM(I27)</formula>
    </cfRule>
    <cfRule type="cellIs" dxfId="5" priority="133" operator="greaterThan">
      <formula>SUM(IF(ISNUMBER(K27),J27,0))</formula>
    </cfRule>
  </conditionalFormatting>
  <conditionalFormatting sqref="F28">
    <cfRule type="expression" dxfId="3" priority="134">
      <formula>AND(ISBLANK(E28),ISBLANK(M28))</formula>
    </cfRule>
    <cfRule type="expression" dxfId="4" priority="135">
      <formula>IF(SUM(I28)=0,1,0)</formula>
    </cfRule>
    <cfRule type="cellIs" dxfId="0" priority="136" operator="greaterThan">
      <formula>SUM(I28)</formula>
    </cfRule>
    <cfRule type="cellIs" dxfId="5" priority="137" operator="greaterThan">
      <formula>SUM(IF(ISNUMBER(K28),J28,0))</formula>
    </cfRule>
  </conditionalFormatting>
  <conditionalFormatting sqref="F29">
    <cfRule type="expression" dxfId="3" priority="138">
      <formula>AND(ISBLANK(E29),ISBLANK(M29))</formula>
    </cfRule>
    <cfRule type="expression" dxfId="4" priority="139">
      <formula>IF(SUM(I29)=0,1,0)</formula>
    </cfRule>
    <cfRule type="cellIs" dxfId="0" priority="140" operator="greaterThan">
      <formula>SUM(I29)</formula>
    </cfRule>
    <cfRule type="cellIs" dxfId="5" priority="141" operator="greaterThan">
      <formula>SUM(IF(ISNUMBER(K29),J29,0))</formula>
    </cfRule>
  </conditionalFormatting>
  <conditionalFormatting sqref="F30">
    <cfRule type="expression" dxfId="3" priority="142">
      <formula>AND(ISBLANK(E30),ISBLANK(M30))</formula>
    </cfRule>
    <cfRule type="expression" dxfId="4" priority="143">
      <formula>IF(SUM(I30)=0,1,0)</formula>
    </cfRule>
    <cfRule type="cellIs" dxfId="0" priority="144" operator="greaterThan">
      <formula>SUM(I30)</formula>
    </cfRule>
    <cfRule type="cellIs" dxfId="5" priority="145" operator="greaterThan">
      <formula>SUM(IF(ISNUMBER(K30),J30,0))</formula>
    </cfRule>
  </conditionalFormatting>
  <conditionalFormatting sqref="F31">
    <cfRule type="expression" dxfId="3" priority="146">
      <formula>AND(ISBLANK(E31),ISBLANK(M31))</formula>
    </cfRule>
    <cfRule type="expression" dxfId="4" priority="147">
      <formula>IF(SUM(I31)=0,1,0)</formula>
    </cfRule>
    <cfRule type="cellIs" dxfId="0" priority="148" operator="greaterThan">
      <formula>SUM(I31)</formula>
    </cfRule>
    <cfRule type="cellIs" dxfId="5" priority="149" operator="greaterThan">
      <formula>SUM(IF(ISNUMBER(K31),J31,0))</formula>
    </cfRule>
  </conditionalFormatting>
  <conditionalFormatting sqref="F32">
    <cfRule type="expression" dxfId="3" priority="150">
      <formula>AND(ISBLANK(E32),ISBLANK(M32))</formula>
    </cfRule>
    <cfRule type="expression" dxfId="4" priority="151">
      <formula>IF(SUM(I32)=0,1,0)</formula>
    </cfRule>
    <cfRule type="cellIs" dxfId="0" priority="152" operator="greaterThan">
      <formula>SUM(I32)</formula>
    </cfRule>
    <cfRule type="cellIs" dxfId="5" priority="153" operator="greaterThan">
      <formula>SUM(IF(ISNUMBER(K32),J32,0))</formula>
    </cfRule>
  </conditionalFormatting>
  <conditionalFormatting sqref="F33">
    <cfRule type="expression" dxfId="3" priority="154">
      <formula>AND(ISBLANK(E33),ISBLANK(M33))</formula>
    </cfRule>
    <cfRule type="expression" dxfId="4" priority="155">
      <formula>IF(SUM(I33)=0,1,0)</formula>
    </cfRule>
    <cfRule type="cellIs" dxfId="0" priority="156" operator="greaterThan">
      <formula>SUM(I33)</formula>
    </cfRule>
    <cfRule type="cellIs" dxfId="5" priority="157" operator="greaterThan">
      <formula>SUM(IF(ISNUMBER(K33),J33,0))</formula>
    </cfRule>
  </conditionalFormatting>
  <conditionalFormatting sqref="F34">
    <cfRule type="expression" dxfId="3" priority="158">
      <formula>AND(ISBLANK(E34),ISBLANK(M34))</formula>
    </cfRule>
    <cfRule type="expression" dxfId="4" priority="159">
      <formula>IF(SUM(I34)=0,1,0)</formula>
    </cfRule>
    <cfRule type="cellIs" dxfId="0" priority="160" operator="greaterThan">
      <formula>SUM(I34)</formula>
    </cfRule>
    <cfRule type="cellIs" dxfId="5" priority="161" operator="greaterThan">
      <formula>SUM(IF(ISNUMBER(K34),J34,0))</formula>
    </cfRule>
  </conditionalFormatting>
  <conditionalFormatting sqref="F35">
    <cfRule type="expression" dxfId="3" priority="162">
      <formula>AND(ISBLANK(E35),ISBLANK(M35))</formula>
    </cfRule>
    <cfRule type="expression" dxfId="4" priority="163">
      <formula>IF(SUM(I35)=0,1,0)</formula>
    </cfRule>
    <cfRule type="cellIs" dxfId="0" priority="164" operator="greaterThan">
      <formula>SUM(I35)</formula>
    </cfRule>
    <cfRule type="cellIs" dxfId="5" priority="165" operator="greaterThan">
      <formula>SUM(IF(ISNUMBER(K35),J35,0))</formula>
    </cfRule>
  </conditionalFormatting>
  <conditionalFormatting sqref="F36">
    <cfRule type="expression" dxfId="3" priority="166">
      <formula>AND(ISBLANK(E36),ISBLANK(M36))</formula>
    </cfRule>
    <cfRule type="expression" dxfId="4" priority="167">
      <formula>IF(SUM(I36)=0,1,0)</formula>
    </cfRule>
    <cfRule type="cellIs" dxfId="0" priority="168" operator="greaterThan">
      <formula>SUM(I36)</formula>
    </cfRule>
    <cfRule type="cellIs" dxfId="5" priority="169" operator="greaterThan">
      <formula>SUM(IF(ISNUMBER(K36),J36,0))</formula>
    </cfRule>
  </conditionalFormatting>
  <conditionalFormatting sqref="F37">
    <cfRule type="expression" dxfId="3" priority="170">
      <formula>AND(ISBLANK(E37),ISBLANK(M37))</formula>
    </cfRule>
    <cfRule type="expression" dxfId="4" priority="171">
      <formula>IF(SUM(I37)=0,1,0)</formula>
    </cfRule>
    <cfRule type="cellIs" dxfId="0" priority="172" operator="greaterThan">
      <formula>SUM(I37)</formula>
    </cfRule>
    <cfRule type="cellIs" dxfId="5" priority="173" operator="greaterThan">
      <formula>SUM(IF(ISNUMBER(K37),J37,0))</formula>
    </cfRule>
  </conditionalFormatting>
  <conditionalFormatting sqref="F38">
    <cfRule type="expression" dxfId="3" priority="174">
      <formula>AND(ISBLANK(E38),ISBLANK(M38))</formula>
    </cfRule>
    <cfRule type="expression" dxfId="4" priority="175">
      <formula>IF(SUM(I38)=0,1,0)</formula>
    </cfRule>
    <cfRule type="cellIs" dxfId="0" priority="176" operator="greaterThan">
      <formula>SUM(I38)</formula>
    </cfRule>
    <cfRule type="cellIs" dxfId="5" priority="177" operator="greaterThan">
      <formula>SUM(IF(ISNUMBER(K38),J38,0))</formula>
    </cfRule>
  </conditionalFormatting>
  <conditionalFormatting sqref="F39">
    <cfRule type="expression" dxfId="3" priority="178">
      <formula>AND(ISBLANK(E39),ISBLANK(M39))</formula>
    </cfRule>
    <cfRule type="expression" dxfId="4" priority="179">
      <formula>IF(SUM(I39)=0,1,0)</formula>
    </cfRule>
    <cfRule type="cellIs" dxfId="0" priority="180" operator="greaterThan">
      <formula>SUM(I39)</formula>
    </cfRule>
    <cfRule type="cellIs" dxfId="5" priority="181" operator="greaterThan">
      <formula>SUM(IF(ISNUMBER(K39),J39,0))</formula>
    </cfRule>
  </conditionalFormatting>
  <conditionalFormatting sqref="F40">
    <cfRule type="expression" dxfId="3" priority="182">
      <formula>AND(ISBLANK(E40),ISBLANK(M40))</formula>
    </cfRule>
    <cfRule type="expression" dxfId="4" priority="183">
      <formula>IF(SUM(I40)=0,1,0)</formula>
    </cfRule>
    <cfRule type="cellIs" dxfId="0" priority="184" operator="greaterThan">
      <formula>SUM(I40)</formula>
    </cfRule>
    <cfRule type="cellIs" dxfId="5" priority="185" operator="greaterThan">
      <formula>SUM(IF(ISNUMBER(K40),J40,0))</formula>
    </cfRule>
  </conditionalFormatting>
  <conditionalFormatting sqref="F41">
    <cfRule type="expression" dxfId="3" priority="186">
      <formula>AND(ISBLANK(E41),ISBLANK(M41))</formula>
    </cfRule>
    <cfRule type="expression" dxfId="4" priority="187">
      <formula>IF(SUM(I41)=0,1,0)</formula>
    </cfRule>
    <cfRule type="cellIs" dxfId="0" priority="188" operator="greaterThan">
      <formula>SUM(I41)</formula>
    </cfRule>
    <cfRule type="cellIs" dxfId="5" priority="189" operator="greaterThan">
      <formula>SUM(IF(ISNUMBER(K41),J41,0))</formula>
    </cfRule>
  </conditionalFormatting>
  <conditionalFormatting sqref="F42">
    <cfRule type="expression" dxfId="3" priority="190">
      <formula>AND(ISBLANK(E42),ISBLANK(M42))</formula>
    </cfRule>
    <cfRule type="expression" dxfId="4" priority="191">
      <formula>IF(SUM(I42)=0,1,0)</formula>
    </cfRule>
    <cfRule type="cellIs" dxfId="0" priority="192" operator="greaterThan">
      <formula>SUM(I42)</formula>
    </cfRule>
    <cfRule type="cellIs" dxfId="5" priority="193" operator="greaterThan">
      <formula>SUM(IF(ISNUMBER(K42),J42,0))</formula>
    </cfRule>
  </conditionalFormatting>
  <conditionalFormatting sqref="F43">
    <cfRule type="expression" dxfId="3" priority="194">
      <formula>AND(ISBLANK(E43),ISBLANK(M43))</formula>
    </cfRule>
    <cfRule type="expression" dxfId="4" priority="195">
      <formula>IF(SUM(I43)=0,1,0)</formula>
    </cfRule>
    <cfRule type="cellIs" dxfId="0" priority="196" operator="greaterThan">
      <formula>SUM(I43)</formula>
    </cfRule>
    <cfRule type="cellIs" dxfId="5" priority="197" operator="greaterThan">
      <formula>SUM(IF(ISNUMBER(K43),J43,0))</formula>
    </cfRule>
  </conditionalFormatting>
  <conditionalFormatting sqref="F44">
    <cfRule type="expression" dxfId="3" priority="198">
      <formula>AND(ISBLANK(E44),ISBLANK(M44))</formula>
    </cfRule>
    <cfRule type="expression" dxfId="4" priority="199">
      <formula>IF(SUM(I44)=0,1,0)</formula>
    </cfRule>
    <cfRule type="cellIs" dxfId="0" priority="200" operator="greaterThan">
      <formula>SUM(I44)</formula>
    </cfRule>
    <cfRule type="cellIs" dxfId="5" priority="201" operator="greaterThan">
      <formula>SUM(IF(ISNUMBER(K44),J44,0))</formula>
    </cfRule>
  </conditionalFormatting>
  <conditionalFormatting sqref="F45">
    <cfRule type="expression" dxfId="3" priority="202">
      <formula>AND(ISBLANK(E45),ISBLANK(M45))</formula>
    </cfRule>
    <cfRule type="expression" dxfId="4" priority="203">
      <formula>IF(SUM(I45)=0,1,0)</formula>
    </cfRule>
    <cfRule type="cellIs" dxfId="0" priority="204" operator="greaterThan">
      <formula>SUM(I45)</formula>
    </cfRule>
    <cfRule type="cellIs" dxfId="5" priority="205" operator="greaterThan">
      <formula>SUM(IF(ISNUMBER(K45),J45,0))</formula>
    </cfRule>
  </conditionalFormatting>
  <conditionalFormatting sqref="F46">
    <cfRule type="expression" dxfId="3" priority="206">
      <formula>AND(ISBLANK(E46),ISBLANK(M46))</formula>
    </cfRule>
    <cfRule type="expression" dxfId="4" priority="207">
      <formula>IF(SUM(I46)=0,1,0)</formula>
    </cfRule>
    <cfRule type="cellIs" dxfId="0" priority="208" operator="greaterThan">
      <formula>SUM(I46)</formula>
    </cfRule>
    <cfRule type="cellIs" dxfId="5" priority="209" operator="greaterThan">
      <formula>SUM(IF(ISNUMBER(K46),J46,0))</formula>
    </cfRule>
  </conditionalFormatting>
  <conditionalFormatting sqref="F47">
    <cfRule type="expression" dxfId="3" priority="210">
      <formula>AND(ISBLANK(E47),ISBLANK(M47))</formula>
    </cfRule>
    <cfRule type="expression" dxfId="4" priority="211">
      <formula>IF(SUM(I47)=0,1,0)</formula>
    </cfRule>
    <cfRule type="cellIs" dxfId="0" priority="212" operator="greaterThan">
      <formula>SUM(I47)</formula>
    </cfRule>
    <cfRule type="cellIs" dxfId="5" priority="213" operator="greaterThan">
      <formula>SUM(IF(ISNUMBER(K47),J47,0))</formula>
    </cfRule>
  </conditionalFormatting>
  <conditionalFormatting sqref="F48">
    <cfRule type="expression" dxfId="3" priority="214">
      <formula>AND(ISBLANK(E48),ISBLANK(M48))</formula>
    </cfRule>
    <cfRule type="expression" dxfId="4" priority="215">
      <formula>IF(SUM(I48)=0,1,0)</formula>
    </cfRule>
    <cfRule type="cellIs" dxfId="0" priority="216" operator="greaterThan">
      <formula>SUM(I48)</formula>
    </cfRule>
    <cfRule type="cellIs" dxfId="5" priority="217" operator="greaterThan">
      <formula>SUM(IF(ISNUMBER(K48),J48,0))</formula>
    </cfRule>
  </conditionalFormatting>
  <conditionalFormatting sqref="F49">
    <cfRule type="expression" dxfId="3" priority="218">
      <formula>AND(ISBLANK(E49),ISBLANK(M49))</formula>
    </cfRule>
    <cfRule type="expression" dxfId="4" priority="219">
      <formula>IF(SUM(I49)=0,1,0)</formula>
    </cfRule>
    <cfRule type="cellIs" dxfId="0" priority="220" operator="greaterThan">
      <formula>SUM(I49)</formula>
    </cfRule>
    <cfRule type="cellIs" dxfId="5" priority="221" operator="greaterThan">
      <formula>SUM(IF(ISNUMBER(K49),J49,0))</formula>
    </cfRule>
  </conditionalFormatting>
  <conditionalFormatting sqref="F50">
    <cfRule type="expression" dxfId="3" priority="222">
      <formula>AND(ISBLANK(E50),ISBLANK(M50))</formula>
    </cfRule>
    <cfRule type="expression" dxfId="4" priority="223">
      <formula>IF(SUM(I50)=0,1,0)</formula>
    </cfRule>
    <cfRule type="cellIs" dxfId="0" priority="224" operator="greaterThan">
      <formula>SUM(I50)</formula>
    </cfRule>
    <cfRule type="cellIs" dxfId="5" priority="225" operator="greaterThan">
      <formula>SUM(IF(ISNUMBER(K50),J50,0))</formula>
    </cfRule>
  </conditionalFormatting>
  <conditionalFormatting sqref="F51">
    <cfRule type="expression" dxfId="3" priority="226">
      <formula>AND(ISBLANK(E51),ISBLANK(M51))</formula>
    </cfRule>
    <cfRule type="expression" dxfId="4" priority="227">
      <formula>IF(SUM(I51)=0,1,0)</formula>
    </cfRule>
    <cfRule type="cellIs" dxfId="0" priority="228" operator="greaterThan">
      <formula>SUM(I51)</formula>
    </cfRule>
    <cfRule type="cellIs" dxfId="5" priority="229" operator="greaterThan">
      <formula>SUM(IF(ISNUMBER(K51),J51,0))</formula>
    </cfRule>
  </conditionalFormatting>
  <conditionalFormatting sqref="F52">
    <cfRule type="expression" dxfId="3" priority="230">
      <formula>AND(ISBLANK(E52),ISBLANK(M52))</formula>
    </cfRule>
    <cfRule type="expression" dxfId="4" priority="231">
      <formula>IF(SUM(I52)=0,1,0)</formula>
    </cfRule>
    <cfRule type="cellIs" dxfId="0" priority="232" operator="greaterThan">
      <formula>SUM(I52)</formula>
    </cfRule>
    <cfRule type="cellIs" dxfId="5" priority="233" operator="greaterThan">
      <formula>SUM(IF(ISNUMBER(K52),J52,0))</formula>
    </cfRule>
  </conditionalFormatting>
  <conditionalFormatting sqref="F53">
    <cfRule type="expression" dxfId="3" priority="234">
      <formula>AND(ISBLANK(E53),ISBLANK(M53))</formula>
    </cfRule>
    <cfRule type="expression" dxfId="4" priority="235">
      <formula>IF(SUM(I53)=0,1,0)</formula>
    </cfRule>
    <cfRule type="cellIs" dxfId="0" priority="236" operator="greaterThan">
      <formula>SUM(I53)</formula>
    </cfRule>
    <cfRule type="cellIs" dxfId="5" priority="237" operator="greaterThan">
      <formula>SUM(IF(ISNUMBER(K53),J53,0))</formula>
    </cfRule>
  </conditionalFormatting>
  <conditionalFormatting sqref="F54">
    <cfRule type="expression" dxfId="3" priority="238">
      <formula>AND(ISBLANK(E54),ISBLANK(M54))</formula>
    </cfRule>
    <cfRule type="expression" dxfId="4" priority="239">
      <formula>IF(SUM(I54)=0,1,0)</formula>
    </cfRule>
    <cfRule type="cellIs" dxfId="0" priority="240" operator="greaterThan">
      <formula>SUM(I54)</formula>
    </cfRule>
    <cfRule type="cellIs" dxfId="5" priority="241" operator="greaterThan">
      <formula>SUM(IF(ISNUMBER(K54),J54,0))</formula>
    </cfRule>
  </conditionalFormatting>
  <conditionalFormatting sqref="F55">
    <cfRule type="expression" dxfId="3" priority="242">
      <formula>AND(ISBLANK(E55),ISBLANK(M55))</formula>
    </cfRule>
    <cfRule type="expression" dxfId="4" priority="243">
      <formula>IF(SUM(I55)=0,1,0)</formula>
    </cfRule>
    <cfRule type="cellIs" dxfId="0" priority="244" operator="greaterThan">
      <formula>SUM(I55)</formula>
    </cfRule>
    <cfRule type="cellIs" dxfId="5" priority="245" operator="greaterThan">
      <formula>SUM(IF(ISNUMBER(K55),J55,0))</formula>
    </cfRule>
  </conditionalFormatting>
  <conditionalFormatting sqref="F56">
    <cfRule type="expression" dxfId="3" priority="246">
      <formula>AND(ISBLANK(E56),ISBLANK(M56))</formula>
    </cfRule>
    <cfRule type="expression" dxfId="4" priority="247">
      <formula>IF(SUM(I56)=0,1,0)</formula>
    </cfRule>
    <cfRule type="cellIs" dxfId="0" priority="248" operator="greaterThan">
      <formula>SUM(I56)</formula>
    </cfRule>
    <cfRule type="cellIs" dxfId="5" priority="249" operator="greaterThan">
      <formula>SUM(IF(ISNUMBER(K56),J56,0))</formula>
    </cfRule>
  </conditionalFormatting>
  <conditionalFormatting sqref="F57">
    <cfRule type="expression" dxfId="3" priority="250">
      <formula>AND(ISBLANK(E57),ISBLANK(M57))</formula>
    </cfRule>
    <cfRule type="expression" dxfId="4" priority="251">
      <formula>IF(SUM(I57)=0,1,0)</formula>
    </cfRule>
    <cfRule type="cellIs" dxfId="0" priority="252" operator="greaterThan">
      <formula>SUM(I57)</formula>
    </cfRule>
    <cfRule type="cellIs" dxfId="5" priority="253" operator="greaterThan">
      <formula>SUM(IF(ISNUMBER(K57),J57,0))</formula>
    </cfRule>
  </conditionalFormatting>
  <conditionalFormatting sqref="F58">
    <cfRule type="expression" dxfId="3" priority="254">
      <formula>AND(ISBLANK(E58),ISBLANK(M58))</formula>
    </cfRule>
    <cfRule type="expression" dxfId="4" priority="255">
      <formula>IF(SUM(I58)=0,1,0)</formula>
    </cfRule>
    <cfRule type="cellIs" dxfId="0" priority="256" operator="greaterThan">
      <formula>SUM(I58)</formula>
    </cfRule>
    <cfRule type="cellIs" dxfId="5" priority="257" operator="greaterThan">
      <formula>SUM(IF(ISNUMBER(K58),J58,0))</formula>
    </cfRule>
  </conditionalFormatting>
  <conditionalFormatting sqref="I10">
    <cfRule type="cellIs" dxfId="0" priority="1" operator="lessThan">
      <formula>F10</formula>
    </cfRule>
  </conditionalFormatting>
  <conditionalFormatting sqref="I11">
    <cfRule type="cellIs" dxfId="0" priority="3" operator="lessThan">
      <formula>F11</formula>
    </cfRule>
  </conditionalFormatting>
  <conditionalFormatting sqref="I12">
    <cfRule type="cellIs" dxfId="0" priority="5" operator="lessThan">
      <formula>F12</formula>
    </cfRule>
  </conditionalFormatting>
  <conditionalFormatting sqref="I13">
    <cfRule type="cellIs" dxfId="0" priority="7" operator="lessThan">
      <formula>F13</formula>
    </cfRule>
  </conditionalFormatting>
  <conditionalFormatting sqref="I15">
    <cfRule type="cellIs" dxfId="0" priority="9" operator="lessThan">
      <formula>F15</formula>
    </cfRule>
  </conditionalFormatting>
  <conditionalFormatting sqref="I16">
    <cfRule type="cellIs" dxfId="0" priority="11" operator="lessThan">
      <formula>F16</formula>
    </cfRule>
  </conditionalFormatting>
  <conditionalFormatting sqref="I17">
    <cfRule type="cellIs" dxfId="0" priority="13" operator="lessThan">
      <formula>F17</formula>
    </cfRule>
  </conditionalFormatting>
  <conditionalFormatting sqref="I18">
    <cfRule type="cellIs" dxfId="0" priority="15" operator="lessThan">
      <formula>F18</formula>
    </cfRule>
  </conditionalFormatting>
  <conditionalFormatting sqref="I19">
    <cfRule type="cellIs" dxfId="0" priority="17" operator="lessThan">
      <formula>F19</formula>
    </cfRule>
  </conditionalFormatting>
  <conditionalFormatting sqref="I20">
    <cfRule type="cellIs" dxfId="0" priority="19" operator="lessThan">
      <formula>F20</formula>
    </cfRule>
  </conditionalFormatting>
  <conditionalFormatting sqref="I21">
    <cfRule type="cellIs" dxfId="0" priority="21" operator="lessThan">
      <formula>F21</formula>
    </cfRule>
  </conditionalFormatting>
  <conditionalFormatting sqref="I22">
    <cfRule type="cellIs" dxfId="0" priority="23" operator="lessThan">
      <formula>F22</formula>
    </cfRule>
  </conditionalFormatting>
  <conditionalFormatting sqref="I23">
    <cfRule type="cellIs" dxfId="0" priority="25" operator="lessThan">
      <formula>F23</formula>
    </cfRule>
  </conditionalFormatting>
  <conditionalFormatting sqref="I24">
    <cfRule type="cellIs" dxfId="0" priority="27" operator="lessThan">
      <formula>F24</formula>
    </cfRule>
  </conditionalFormatting>
  <conditionalFormatting sqref="I25">
    <cfRule type="cellIs" dxfId="0" priority="29" operator="lessThan">
      <formula>F25</formula>
    </cfRule>
  </conditionalFormatting>
  <conditionalFormatting sqref="I26">
    <cfRule type="cellIs" dxfId="0" priority="32" operator="lessThan">
      <formula>F26</formula>
    </cfRule>
  </conditionalFormatting>
  <conditionalFormatting sqref="I27">
    <cfRule type="cellIs" dxfId="0" priority="34" operator="lessThan">
      <formula>F27</formula>
    </cfRule>
  </conditionalFormatting>
  <conditionalFormatting sqref="I28">
    <cfRule type="cellIs" dxfId="0" priority="36" operator="lessThan">
      <formula>F28</formula>
    </cfRule>
  </conditionalFormatting>
  <conditionalFormatting sqref="I29">
    <cfRule type="cellIs" dxfId="0" priority="38" operator="lessThan">
      <formula>F29</formula>
    </cfRule>
  </conditionalFormatting>
  <conditionalFormatting sqref="I30">
    <cfRule type="cellIs" dxfId="0" priority="40" operator="lessThan">
      <formula>F30</formula>
    </cfRule>
  </conditionalFormatting>
  <conditionalFormatting sqref="I31">
    <cfRule type="cellIs" dxfId="0" priority="42" operator="lessThan">
      <formula>F31</formula>
    </cfRule>
  </conditionalFormatting>
  <conditionalFormatting sqref="I32">
    <cfRule type="cellIs" dxfId="0" priority="44" operator="lessThan">
      <formula>F32</formula>
    </cfRule>
  </conditionalFormatting>
  <conditionalFormatting sqref="I33">
    <cfRule type="cellIs" dxfId="0" priority="46" operator="lessThan">
      <formula>F33</formula>
    </cfRule>
  </conditionalFormatting>
  <conditionalFormatting sqref="I34">
    <cfRule type="cellIs" dxfId="0" priority="48" operator="lessThan">
      <formula>F34</formula>
    </cfRule>
  </conditionalFormatting>
  <conditionalFormatting sqref="I35">
    <cfRule type="cellIs" dxfId="0" priority="50" operator="lessThan">
      <formula>F35</formula>
    </cfRule>
  </conditionalFormatting>
  <conditionalFormatting sqref="I36">
    <cfRule type="cellIs" dxfId="0" priority="52" operator="lessThan">
      <formula>F36</formula>
    </cfRule>
  </conditionalFormatting>
  <conditionalFormatting sqref="I37">
    <cfRule type="cellIs" dxfId="0" priority="54" operator="lessThan">
      <formula>F37</formula>
    </cfRule>
  </conditionalFormatting>
  <conditionalFormatting sqref="I38">
    <cfRule type="cellIs" dxfId="0" priority="56" operator="lessThan">
      <formula>F38</formula>
    </cfRule>
  </conditionalFormatting>
  <conditionalFormatting sqref="I41">
    <cfRule type="cellIs" dxfId="0" priority="58" operator="lessThan">
      <formula>F41</formula>
    </cfRule>
  </conditionalFormatting>
  <conditionalFormatting sqref="I44">
    <cfRule type="cellIs" dxfId="0" priority="60" operator="lessThan">
      <formula>F44</formula>
    </cfRule>
  </conditionalFormatting>
  <conditionalFormatting sqref="J10">
    <cfRule type="expression" dxfId="1" priority="2">
      <formula>AND(NOT(ISBLANK(J10)),OR(I10="NonStk",J10&gt;I10))</formula>
    </cfRule>
  </conditionalFormatting>
  <conditionalFormatting sqref="J11">
    <cfRule type="expression" dxfId="1" priority="4">
      <formula>AND(NOT(ISBLANK(J11)),OR(I11="NonStk",J11&gt;I11))</formula>
    </cfRule>
  </conditionalFormatting>
  <conditionalFormatting sqref="J12">
    <cfRule type="expression" dxfId="1" priority="6">
      <formula>AND(NOT(ISBLANK(J12)),OR(I12="NonStk",J12&gt;I12))</formula>
    </cfRule>
  </conditionalFormatting>
  <conditionalFormatting sqref="J13">
    <cfRule type="expression" dxfId="1" priority="8">
      <formula>AND(NOT(ISBLANK(J13)),OR(I13="NonStk",J13&gt;I13))</formula>
    </cfRule>
  </conditionalFormatting>
  <conditionalFormatting sqref="J15">
    <cfRule type="expression" dxfId="1" priority="10">
      <formula>AND(NOT(ISBLANK(J15)),OR(I15="NonStk",J15&gt;I15))</formula>
    </cfRule>
  </conditionalFormatting>
  <conditionalFormatting sqref="J16">
    <cfRule type="expression" dxfId="1" priority="12">
      <formula>AND(NOT(ISBLANK(J16)),OR(I16="NonStk",J16&gt;I16))</formula>
    </cfRule>
  </conditionalFormatting>
  <conditionalFormatting sqref="J17">
    <cfRule type="expression" dxfId="1" priority="14">
      <formula>AND(NOT(ISBLANK(J17)),OR(I17="NonStk",J17&gt;I17))</formula>
    </cfRule>
  </conditionalFormatting>
  <conditionalFormatting sqref="J18">
    <cfRule type="expression" dxfId="1" priority="16">
      <formula>AND(NOT(ISBLANK(J18)),OR(I18="NonStk",J18&gt;I18))</formula>
    </cfRule>
  </conditionalFormatting>
  <conditionalFormatting sqref="J19">
    <cfRule type="expression" dxfId="1" priority="18">
      <formula>AND(NOT(ISBLANK(J19)),OR(I19="NonStk",J19&gt;I19))</formula>
    </cfRule>
  </conditionalFormatting>
  <conditionalFormatting sqref="J20">
    <cfRule type="expression" dxfId="1" priority="20">
      <formula>AND(NOT(ISBLANK(J20)),OR(I20="NonStk",J20&gt;I20))</formula>
    </cfRule>
  </conditionalFormatting>
  <conditionalFormatting sqref="J21">
    <cfRule type="expression" dxfId="1" priority="22">
      <formula>AND(NOT(ISBLANK(J21)),OR(I21="NonStk",J21&gt;I21))</formula>
    </cfRule>
  </conditionalFormatting>
  <conditionalFormatting sqref="J22">
    <cfRule type="expression" dxfId="1" priority="24">
      <formula>AND(NOT(ISBLANK(J22)),OR(I22="NonStk",J22&gt;I22))</formula>
    </cfRule>
  </conditionalFormatting>
  <conditionalFormatting sqref="J23">
    <cfRule type="expression" dxfId="1" priority="26">
      <formula>AND(NOT(ISBLANK(J23)),OR(I23="NonStk",J23&gt;I23))</formula>
    </cfRule>
  </conditionalFormatting>
  <conditionalFormatting sqref="J24">
    <cfRule type="expression" dxfId="1" priority="28">
      <formula>AND(NOT(ISBLANK(J24)),OR(I24="NonStk",J24&gt;I24))</formula>
    </cfRule>
  </conditionalFormatting>
  <conditionalFormatting sqref="J25">
    <cfRule type="expression" dxfId="2" priority="30">
      <formula>AND(J25&gt;0,MOD(J25,L25)&lt;&gt;0)</formula>
    </cfRule>
    <cfRule type="expression" dxfId="1" priority="31">
      <formula>AND(NOT(ISBLANK(J25)),OR(I25="NonStk",J25&gt;I25))</formula>
    </cfRule>
  </conditionalFormatting>
  <conditionalFormatting sqref="J26">
    <cfRule type="expression" dxfId="1" priority="33">
      <formula>AND(NOT(ISBLANK(J26)),OR(I26="NonStk",J26&gt;I26))</formula>
    </cfRule>
  </conditionalFormatting>
  <conditionalFormatting sqref="J27">
    <cfRule type="expression" dxfId="1" priority="35">
      <formula>AND(NOT(ISBLANK(J27)),OR(I27="NonStk",J27&gt;I27))</formula>
    </cfRule>
  </conditionalFormatting>
  <conditionalFormatting sqref="J28">
    <cfRule type="expression" dxfId="1" priority="37">
      <formula>AND(NOT(ISBLANK(J28)),OR(I28="NonStk",J28&gt;I28))</formula>
    </cfRule>
  </conditionalFormatting>
  <conditionalFormatting sqref="J29">
    <cfRule type="expression" dxfId="1" priority="39">
      <formula>AND(NOT(ISBLANK(J29)),OR(I29="NonStk",J29&gt;I29))</formula>
    </cfRule>
  </conditionalFormatting>
  <conditionalFormatting sqref="J30">
    <cfRule type="expression" dxfId="1" priority="41">
      <formula>AND(NOT(ISBLANK(J30)),OR(I30="NonStk",J30&gt;I30))</formula>
    </cfRule>
  </conditionalFormatting>
  <conditionalFormatting sqref="J31">
    <cfRule type="expression" dxfId="1" priority="43">
      <formula>AND(NOT(ISBLANK(J31)),OR(I31="NonStk",J31&gt;I31))</formula>
    </cfRule>
  </conditionalFormatting>
  <conditionalFormatting sqref="J32">
    <cfRule type="expression" dxfId="1" priority="45">
      <formula>AND(NOT(ISBLANK(J32)),OR(I32="NonStk",J32&gt;I32))</formula>
    </cfRule>
  </conditionalFormatting>
  <conditionalFormatting sqref="J33">
    <cfRule type="expression" dxfId="1" priority="47">
      <formula>AND(NOT(ISBLANK(J33)),OR(I33="NonStk",J33&gt;I33))</formula>
    </cfRule>
  </conditionalFormatting>
  <conditionalFormatting sqref="J34">
    <cfRule type="expression" dxfId="1" priority="49">
      <formula>AND(NOT(ISBLANK(J34)),OR(I34="NonStk",J34&gt;I34))</formula>
    </cfRule>
  </conditionalFormatting>
  <conditionalFormatting sqref="J35">
    <cfRule type="expression" dxfId="1" priority="51">
      <formula>AND(NOT(ISBLANK(J35)),OR(I35="NonStk",J35&gt;I35))</formula>
    </cfRule>
  </conditionalFormatting>
  <conditionalFormatting sqref="J36">
    <cfRule type="expression" dxfId="1" priority="53">
      <formula>AND(NOT(ISBLANK(J36)),OR(I36="NonStk",J36&gt;I36))</formula>
    </cfRule>
  </conditionalFormatting>
  <conditionalFormatting sqref="J37">
    <cfRule type="expression" dxfId="1" priority="55">
      <formula>AND(NOT(ISBLANK(J37)),OR(I37="NonStk",J37&gt;I37))</formula>
    </cfRule>
  </conditionalFormatting>
  <conditionalFormatting sqref="J38">
    <cfRule type="expression" dxfId="1" priority="57">
      <formula>AND(NOT(ISBLANK(J38)),OR(I38="NonStk",J38&gt;I38))</formula>
    </cfRule>
  </conditionalFormatting>
  <conditionalFormatting sqref="J41">
    <cfRule type="expression" dxfId="1" priority="59">
      <formula>AND(NOT(ISBLANK(J41)),OR(I41="NonStk",J41&gt;I41))</formula>
    </cfRule>
  </conditionalFormatting>
  <conditionalFormatting sqref="J44">
    <cfRule type="expression" dxfId="1" priority="61">
      <formula>AND(NOT(ISBLANK(J44)),OR(I44="NonStk",J44&gt;I44))</formula>
    </cfRule>
  </conditionalFormatting>
  <hyperlinks>
    <hyperlink ref="E10" r:id="rId1"/>
    <hyperlink ref="N10" r:id="rId2"/>
    <hyperlink ref="E11" r:id="rId3"/>
    <hyperlink ref="N11" r:id="rId4"/>
    <hyperlink ref="E12" r:id="rId5"/>
    <hyperlink ref="N12" r:id="rId6"/>
    <hyperlink ref="E13" r:id="rId7"/>
    <hyperlink ref="N13" r:id="rId8"/>
    <hyperlink ref="E14" r:id="rId9"/>
    <hyperlink ref="E15" r:id="rId10"/>
    <hyperlink ref="N15" r:id="rId11"/>
    <hyperlink ref="E16" r:id="rId12"/>
    <hyperlink ref="N16" r:id="rId13"/>
    <hyperlink ref="E17" r:id="rId14"/>
    <hyperlink ref="N17" r:id="rId15"/>
    <hyperlink ref="E18" r:id="rId16"/>
    <hyperlink ref="N18" r:id="rId17"/>
    <hyperlink ref="E19" r:id="rId18"/>
    <hyperlink ref="N19" r:id="rId19"/>
    <hyperlink ref="E20" r:id="rId20"/>
    <hyperlink ref="N20" r:id="rId21"/>
    <hyperlink ref="E21" r:id="rId22"/>
    <hyperlink ref="N21" r:id="rId23"/>
    <hyperlink ref="E22" r:id="rId24"/>
    <hyperlink ref="N22" r:id="rId25"/>
    <hyperlink ref="E23" r:id="rId26"/>
    <hyperlink ref="N23" r:id="rId27"/>
    <hyperlink ref="E24" r:id="rId28"/>
    <hyperlink ref="N24" r:id="rId29"/>
    <hyperlink ref="E25" r:id="rId30"/>
    <hyperlink ref="N25" r:id="rId31"/>
    <hyperlink ref="E26" r:id="rId32"/>
    <hyperlink ref="N26" r:id="rId33"/>
    <hyperlink ref="E27" r:id="rId34"/>
    <hyperlink ref="N27" r:id="rId35"/>
    <hyperlink ref="E28" r:id="rId36"/>
    <hyperlink ref="N28" r:id="rId37"/>
    <hyperlink ref="E29" r:id="rId38"/>
    <hyperlink ref="N29" r:id="rId39"/>
    <hyperlink ref="E30" r:id="rId40"/>
    <hyperlink ref="N30" r:id="rId41"/>
    <hyperlink ref="E31" r:id="rId42"/>
    <hyperlink ref="N31" r:id="rId43"/>
    <hyperlink ref="E32" r:id="rId44"/>
    <hyperlink ref="N32" r:id="rId45"/>
    <hyperlink ref="E33" r:id="rId46"/>
    <hyperlink ref="N33" r:id="rId47"/>
    <hyperlink ref="E34" r:id="rId48"/>
    <hyperlink ref="N34" r:id="rId49"/>
    <hyperlink ref="E35" r:id="rId50"/>
    <hyperlink ref="N35" r:id="rId51"/>
    <hyperlink ref="E36" r:id="rId52"/>
    <hyperlink ref="N36" r:id="rId53"/>
    <hyperlink ref="E37" r:id="rId54"/>
    <hyperlink ref="N37" r:id="rId55"/>
    <hyperlink ref="E38" r:id="rId56"/>
    <hyperlink ref="N38" r:id="rId57"/>
    <hyperlink ref="E39" r:id="rId58"/>
    <hyperlink ref="E40" r:id="rId59"/>
    <hyperlink ref="E41" r:id="rId60"/>
    <hyperlink ref="N41" r:id="rId61"/>
    <hyperlink ref="E42" r:id="rId62"/>
    <hyperlink ref="E43" r:id="rId63"/>
    <hyperlink ref="E44" r:id="rId64"/>
    <hyperlink ref="N44" r:id="rId65"/>
    <hyperlink ref="E45" r:id="rId66"/>
    <hyperlink ref="E46" r:id="rId67"/>
    <hyperlink ref="E47" r:id="rId68"/>
    <hyperlink ref="E48" r:id="rId69"/>
    <hyperlink ref="E49" r:id="rId70"/>
    <hyperlink ref="E50" r:id="rId71"/>
    <hyperlink ref="E51" r:id="rId72"/>
    <hyperlink ref="E52" r:id="rId73"/>
    <hyperlink ref="E53" r:id="rId74"/>
    <hyperlink ref="E54" r:id="rId75"/>
    <hyperlink ref="E56" r:id="rId76"/>
    <hyperlink ref="E57" r:id="rId77"/>
    <hyperlink ref="E58" r:id="rId78"/>
    <hyperlink ref="I60" r:id="rId79"/>
  </hyperlinks>
  <pageMargins left="0.7" right="0.7" top="0.75" bottom="0.75" header="0.3" footer="0.3"/>
  <legacyDrawing r:id="rId8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352</v>
      </c>
    </row>
    <row r="2" spans="1:1">
      <c r="A2" s="6" t="s">
        <v>353</v>
      </c>
    </row>
    <row r="3" spans="1:1">
      <c r="A3" s="5" t="s">
        <v>354</v>
      </c>
    </row>
    <row r="4" spans="1:1">
      <c r="A4" s="7" t="s">
        <v>355</v>
      </c>
    </row>
    <row r="5" spans="1:1">
      <c r="A5" s="11" t="s">
        <v>356</v>
      </c>
    </row>
    <row r="7" spans="1:1">
      <c r="A7" t="s">
        <v>357</v>
      </c>
    </row>
    <row r="8" spans="1:1">
      <c r="A8" s="31" t="s">
        <v>358</v>
      </c>
    </row>
    <row r="9" spans="1:1">
      <c r="A9" s="32" t="s">
        <v>359</v>
      </c>
    </row>
    <row r="10" spans="1:1">
      <c r="A10" s="33" t="s">
        <v>360</v>
      </c>
    </row>
    <row r="11" spans="1:1">
      <c r="A11" s="34" t="s">
        <v>361</v>
      </c>
    </row>
    <row r="12" spans="1:1">
      <c r="A12" s="35" t="s">
        <v>362</v>
      </c>
    </row>
    <row r="13" spans="1:1">
      <c r="A13" s="36" t="s">
        <v>363</v>
      </c>
    </row>
    <row r="14" spans="1:1">
      <c r="A14" s="37" t="s">
        <v>364</v>
      </c>
    </row>
    <row r="15" spans="1:1">
      <c r="A15" s="38" t="s">
        <v>365</v>
      </c>
    </row>
    <row r="16" spans="1:1">
      <c r="A16" s="24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BoM</vt:lpstr>
      <vt:lpstr>Costs</vt:lpstr>
      <vt:lpstr>Colors</vt:lpstr>
      <vt:lpstr>'Costs'!BoardQty</vt:lpstr>
      <vt:lpstr>BoM!Print_Titles</vt:lpstr>
      <vt:lpstr>'Costs'!PURCHASE_DESCRIPTION</vt:lpstr>
      <vt:lpstr>'Costs'!TotalCost</vt:lpstr>
      <vt:lpstr>'Costs'!USD_EUR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2025-10-16T10:51:35Z</dcterms:created>
  <dcterms:modified xsi:type="dcterms:W3CDTF">2025-10-16T10:51:35Z</dcterms:modified>
</cp:coreProperties>
</file>