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xml" ContentType="application/vnd.openxmlformats-officedocument.drawing+xml"/>
  <Override PartName="/xl/comments20.xml" ContentType="application/vnd.openxmlformats-officedocument.spreadsheetml.comments+xml"/>
  <Override PartName="/xl/drawings/drawing2.xml" ContentType="application/vnd.openxmlformats-officedocument.drawing+xml"/>
  <Override PartName="/xl/comments2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showInkAnnotation="0" codeName="ThisWorkbook" autoCompressPictures="0" defaultThemeVersion="124226"/>
  <mc:AlternateContent xmlns:mc="http://schemas.openxmlformats.org/markup-compatibility/2006">
    <mc:Choice Requires="x15">
      <x15ac:absPath xmlns:x15ac="http://schemas.microsoft.com/office/spreadsheetml/2010/11/ac" url="D:\VEDA\VEDA_Models\EU-TIMES\SubRES_TMPL\"/>
    </mc:Choice>
  </mc:AlternateContent>
  <xr:revisionPtr revIDLastSave="0" documentId="8_{4DDDEDED-C821-4011-86AB-DBCBCE18B6F6}" xr6:coauthVersionLast="45" xr6:coauthVersionMax="45" xr10:uidLastSave="{00000000-0000-0000-0000-000000000000}"/>
  <bookViews>
    <workbookView xWindow="3720" yWindow="570" windowWidth="25080" windowHeight="15030" tabRatio="940" activeTab="7"/>
  </bookViews>
  <sheets>
    <sheet name="Sources" sheetId="6" r:id="rId1"/>
    <sheet name="Assumptions" sheetId="145" r:id="rId2"/>
    <sheet name="Total Overview" sheetId="160" r:id="rId3"/>
    <sheet name="ELC_BG" sheetId="144" r:id="rId4"/>
    <sheet name="ELC_CZ" sheetId="151" r:id="rId5"/>
    <sheet name="ELC_HU" sheetId="150" r:id="rId6"/>
    <sheet name="ELC_RO" sheetId="149" r:id="rId7"/>
    <sheet name="ELC_SK" sheetId="148" r:id="rId8"/>
    <sheet name="ELC_SI" sheetId="147" r:id="rId9"/>
    <sheet name="ELC_BE" sheetId="146" r:id="rId10"/>
    <sheet name="ELC_FI" sheetId="152" r:id="rId11"/>
    <sheet name="ELC_FR" sheetId="153" r:id="rId12"/>
    <sheet name="ELC_DE" sheetId="154" r:id="rId13"/>
    <sheet name="ELC_NL" sheetId="155" r:id="rId14"/>
    <sheet name="ELC_ES" sheetId="156" r:id="rId15"/>
    <sheet name="ELC_SE" sheetId="157" r:id="rId16"/>
    <sheet name="ELC_CH" sheetId="158" r:id="rId17"/>
    <sheet name="ELC_UK" sheetId="159" r:id="rId18"/>
    <sheet name="ELC_IT" sheetId="161" r:id="rId19"/>
    <sheet name="ELC_LT" sheetId="164" r:id="rId20"/>
    <sheet name="ELC_PL" sheetId="163" r:id="rId21"/>
    <sheet name="BG-5" sheetId="7" r:id="rId22"/>
    <sheet name="BG-6" sheetId="8" r:id="rId23"/>
    <sheet name="CZ-4" sheetId="9" r:id="rId24"/>
    <sheet name="CZ-5" sheetId="10" r:id="rId25"/>
    <sheet name="CZ-8" sheetId="23" r:id="rId26"/>
    <sheet name="CZ-9" sheetId="22" r:id="rId27"/>
    <sheet name="CZ-23" sheetId="21" r:id="rId28"/>
    <sheet name="CZ-24" sheetId="20" r:id="rId29"/>
    <sheet name="HU-1" sheetId="19" r:id="rId30"/>
    <sheet name="HU-2" sheetId="18" r:id="rId31"/>
    <sheet name="HU-3" sheetId="17" r:id="rId32"/>
    <sheet name="HU-4" sheetId="16" r:id="rId33"/>
    <sheet name="RO-1" sheetId="15" r:id="rId34"/>
    <sheet name="RO-2" sheetId="14" r:id="rId35"/>
    <sheet name="SK-13" sheetId="13" r:id="rId36"/>
    <sheet name="SK-14" sheetId="12" r:id="rId37"/>
    <sheet name="SK-6" sheetId="34" r:id="rId38"/>
    <sheet name="SK-7" sheetId="33" r:id="rId39"/>
    <sheet name="SI-1" sheetId="32" r:id="rId40"/>
    <sheet name="BE-2" sheetId="31" r:id="rId41"/>
    <sheet name="BE-4" sheetId="30" r:id="rId42"/>
    <sheet name="BE-5" sheetId="29" r:id="rId43"/>
    <sheet name="BE-7" sheetId="28" r:id="rId44"/>
    <sheet name="BE-3" sheetId="27" r:id="rId45"/>
    <sheet name="BE-6" sheetId="26" r:id="rId46"/>
    <sheet name="BE-8" sheetId="25" r:id="rId47"/>
    <sheet name="FI-1" sheetId="3" r:id="rId48"/>
    <sheet name="FI-2" sheetId="4" r:id="rId49"/>
    <sheet name="FI-3" sheetId="2" r:id="rId50"/>
    <sheet name="FI-4" sheetId="1" r:id="rId51"/>
    <sheet name="FR-54" sheetId="113" r:id="rId52"/>
    <sheet name="FR-55" sheetId="114" r:id="rId53"/>
    <sheet name="FR-32" sheetId="115" r:id="rId54"/>
    <sheet name="FR-33" sheetId="116" r:id="rId55"/>
    <sheet name="FR-34" sheetId="117" r:id="rId56"/>
    <sheet name="FR-35" sheetId="118" r:id="rId57"/>
    <sheet name="FR-13" sheetId="119" r:id="rId58"/>
    <sheet name="FR-14" sheetId="121" r:id="rId59"/>
    <sheet name="FR-15" sheetId="122" r:id="rId60"/>
    <sheet name="FR-16" sheetId="123" r:id="rId61"/>
    <sheet name="FR-50" sheetId="120" r:id="rId62"/>
    <sheet name="FR-53" sheetId="124" r:id="rId63"/>
    <sheet name="FR-60" sheetId="125" r:id="rId64"/>
    <sheet name="FR-65" sheetId="126" r:id="rId65"/>
    <sheet name="FR-40" sheetId="127" r:id="rId66"/>
    <sheet name="FR-41" sheetId="128" r:id="rId67"/>
    <sheet name="FR-56" sheetId="129" r:id="rId68"/>
    <sheet name="FR-57" sheetId="130" r:id="rId69"/>
    <sheet name="FR-62" sheetId="131" r:id="rId70"/>
    <sheet name="FR-70" sheetId="132" r:id="rId71"/>
    <sheet name="FR-72" sheetId="133" r:id="rId72"/>
    <sheet name="FR-73" sheetId="134" r:id="rId73"/>
    <sheet name="FR-42" sheetId="135" r:id="rId74"/>
    <sheet name="FR-43" sheetId="136" r:id="rId75"/>
    <sheet name="FR-44" sheetId="137" r:id="rId76"/>
    <sheet name="FR-45" sheetId="138" r:id="rId77"/>
    <sheet name="FR-22" sheetId="139" r:id="rId78"/>
    <sheet name="FR-29" sheetId="95" r:id="rId79"/>
    <sheet name="FR-30" sheetId="104" r:id="rId80"/>
    <sheet name="FR-31" sheetId="105" r:id="rId81"/>
    <sheet name="FR-11" sheetId="106" r:id="rId82"/>
    <sheet name="FR-12" sheetId="107" r:id="rId83"/>
    <sheet name="FR-46" sheetId="108" r:id="rId84"/>
    <sheet name="FR-47" sheetId="109" r:id="rId85"/>
    <sheet name="FR-61" sheetId="110" r:id="rId86"/>
    <sheet name="FR-68" sheetId="111" r:id="rId87"/>
    <sheet name="FR-20" sheetId="112" r:id="rId88"/>
    <sheet name="FR-21" sheetId="96" r:id="rId89"/>
    <sheet name="FR-27" sheetId="97" r:id="rId90"/>
    <sheet name="FR-28" sheetId="98" r:id="rId91"/>
    <sheet name="FR-51" sheetId="99" r:id="rId92"/>
    <sheet name="FR-52" sheetId="100" r:id="rId93"/>
    <sheet name="FR-58" sheetId="101" r:id="rId94"/>
    <sheet name="FR-59" sheetId="102" r:id="rId95"/>
    <sheet name="FR-36" sheetId="103" r:id="rId96"/>
    <sheet name="FR-37" sheetId="86" r:id="rId97"/>
    <sheet name="FR-38" sheetId="87" r:id="rId98"/>
    <sheet name="FR-39" sheetId="88" r:id="rId99"/>
    <sheet name="FR-63" sheetId="89" r:id="rId100"/>
    <sheet name="FR-64" sheetId="90" r:id="rId101"/>
    <sheet name="FR-48" sheetId="91" r:id="rId102"/>
    <sheet name="FR-49" sheetId="92" r:id="rId103"/>
    <sheet name="FR-17" sheetId="93" r:id="rId104"/>
    <sheet name="FR-23" sheetId="140" r:id="rId105"/>
    <sheet name="FR-18" sheetId="141" r:id="rId106"/>
    <sheet name="FR-19" sheetId="142" r:id="rId107"/>
    <sheet name="FR-25" sheetId="143" r:id="rId108"/>
    <sheet name="FR-26" sheetId="94" r:id="rId109"/>
    <sheet name="DE-32" sheetId="48" r:id="rId110"/>
    <sheet name="DE-33" sheetId="47" r:id="rId111"/>
    <sheet name="DE-23" sheetId="46" r:id="rId112"/>
    <sheet name="DE-27" sheetId="45" r:id="rId113"/>
    <sheet name="DE-26" sheetId="44" r:id="rId114"/>
    <sheet name="DE-28" sheetId="43" r:id="rId115"/>
    <sheet name="DE-31" sheetId="42" r:id="rId116"/>
    <sheet name="DE-44" sheetId="41" r:id="rId117"/>
    <sheet name="DE-24" sheetId="39" r:id="rId118"/>
    <sheet name="NL-2" sheetId="38" r:id="rId119"/>
    <sheet name="ES-6" sheetId="37" r:id="rId120"/>
    <sheet name="ES-7" sheetId="36" r:id="rId121"/>
    <sheet name="ES-8" sheetId="35" r:id="rId122"/>
    <sheet name="ES-9" sheetId="24" r:id="rId123"/>
    <sheet name="ES-10" sheetId="77" r:id="rId124"/>
    <sheet name="ES-2" sheetId="76" r:id="rId125"/>
    <sheet name="ES-11" sheetId="75" r:id="rId126"/>
    <sheet name="ES-16" sheetId="74" r:id="rId127"/>
    <sheet name="SE-9" sheetId="73" r:id="rId128"/>
    <sheet name="SE-11" sheetId="72" r:id="rId129"/>
    <sheet name="SE-14" sheetId="71" r:id="rId130"/>
    <sheet name="SE-2" sheetId="70" r:id="rId131"/>
    <sheet name="SE-3" sheetId="69" r:id="rId132"/>
    <sheet name="SE-12" sheetId="68" r:id="rId133"/>
    <sheet name="SE-4" sheetId="67" r:id="rId134"/>
    <sheet name="SE-5" sheetId="65" r:id="rId135"/>
    <sheet name="SE-7" sheetId="66" r:id="rId136"/>
    <sheet name="SE-10" sheetId="64" r:id="rId137"/>
    <sheet name="CH-1" sheetId="63" r:id="rId138"/>
    <sheet name="CH-3" sheetId="62" r:id="rId139"/>
    <sheet name="CH-4" sheetId="60" r:id="rId140"/>
    <sheet name="CH-5" sheetId="58" r:id="rId141"/>
    <sheet name="CH-2" sheetId="61" r:id="rId142"/>
    <sheet name="GB-18A" sheetId="57" r:id="rId143"/>
    <sheet name="GB-18B" sheetId="56" r:id="rId144"/>
    <sheet name="GB-19A" sheetId="55" r:id="rId145"/>
    <sheet name="GB-19B" sheetId="54" r:id="rId146"/>
    <sheet name="GB-20A" sheetId="53" r:id="rId147"/>
    <sheet name="GB-20B" sheetId="52" r:id="rId148"/>
    <sheet name="GB-22A" sheetId="51" r:id="rId149"/>
    <sheet name="GB-22B" sheetId="50" r:id="rId150"/>
    <sheet name="GB-16A" sheetId="49" r:id="rId151"/>
    <sheet name="GB-16B" sheetId="84" r:id="rId152"/>
    <sheet name="GB-17A" sheetId="83" r:id="rId153"/>
    <sheet name="GB-17B" sheetId="82" r:id="rId154"/>
    <sheet name="GB-11A" sheetId="81" r:id="rId155"/>
    <sheet name="GB-24" sheetId="80" r:id="rId156"/>
    <sheet name="GB-23A" sheetId="79" r:id="rId157"/>
    <sheet name="GB-23B" sheetId="78" r:id="rId158"/>
    <sheet name="GB-13A" sheetId="85" r:id="rId159"/>
    <sheet name="GB-13B" sheetId="11" r:id="rId160"/>
  </sheets>
  <externalReferences>
    <externalReference r:id="rId161"/>
  </externalReferences>
  <definedNames>
    <definedName name="_xlnm.Print_Titles" localSheetId="47">'FI-1'!#REF!</definedName>
    <definedName name="_xlnm.Print_Titles" localSheetId="48">'FI-2'!#REF!</definedName>
    <definedName name="_xlnm.Print_Titles" localSheetId="49">'FI-3'!#REF!</definedName>
    <definedName name="_xlnm.Print_Titles" localSheetId="50">'FI-4'!#REF!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40" i="153" l="1"/>
  <c r="D142" i="153"/>
  <c r="D81" i="153"/>
  <c r="N26" i="159"/>
  <c r="N27" i="159"/>
  <c r="N28" i="159"/>
  <c r="N25" i="159"/>
  <c r="AF24" i="159"/>
  <c r="G24" i="159"/>
  <c r="I24" i="159"/>
  <c r="AE24" i="159" s="1"/>
  <c r="AG24" i="159" s="1"/>
  <c r="AH24" i="159" s="1"/>
  <c r="AI24" i="159" s="1"/>
  <c r="AD24" i="159"/>
  <c r="AB24" i="159"/>
  <c r="AC24" i="159" s="1"/>
  <c r="R24" i="159" s="1"/>
  <c r="S24" i="159" s="1"/>
  <c r="Z24" i="159"/>
  <c r="Y24" i="159"/>
  <c r="X24" i="159"/>
  <c r="AF19" i="159"/>
  <c r="G19" i="159"/>
  <c r="I19" i="159"/>
  <c r="AD19" i="159"/>
  <c r="AB19" i="159"/>
  <c r="E19" i="159"/>
  <c r="Z19" i="159"/>
  <c r="Y19" i="159"/>
  <c r="X19" i="159"/>
  <c r="G23" i="159"/>
  <c r="J23" i="159"/>
  <c r="AE23" i="159"/>
  <c r="AU16" i="85"/>
  <c r="AU13" i="85"/>
  <c r="AU19" i="85"/>
  <c r="AD23" i="159" s="1"/>
  <c r="AU18" i="85"/>
  <c r="AB23" i="159"/>
  <c r="G22" i="159"/>
  <c r="J22" i="159"/>
  <c r="AU16" i="78"/>
  <c r="AU13" i="78"/>
  <c r="AF22" i="159" s="1"/>
  <c r="AU19" i="78"/>
  <c r="AD22" i="159"/>
  <c r="AU18" i="78"/>
  <c r="AB22" i="159"/>
  <c r="G21" i="159"/>
  <c r="AE21" i="159" s="1"/>
  <c r="J21" i="159"/>
  <c r="AU16" i="79"/>
  <c r="AU13" i="79"/>
  <c r="AF21" i="159" s="1"/>
  <c r="AU19" i="79"/>
  <c r="AD21" i="159"/>
  <c r="AU18" i="79"/>
  <c r="AB21" i="159"/>
  <c r="G20" i="159"/>
  <c r="J20" i="159"/>
  <c r="AU16" i="80"/>
  <c r="AU13" i="80"/>
  <c r="AF20" i="159"/>
  <c r="AU19" i="80"/>
  <c r="AD20" i="159"/>
  <c r="AU18" i="80"/>
  <c r="AB20" i="159"/>
  <c r="G18" i="159"/>
  <c r="AE18" i="159" s="1"/>
  <c r="AG18" i="159" s="1"/>
  <c r="AH18" i="159" s="1"/>
  <c r="J18" i="159"/>
  <c r="AU16" i="82"/>
  <c r="AF18" i="159"/>
  <c r="AU13" i="82"/>
  <c r="AU19" i="82"/>
  <c r="AD18" i="159"/>
  <c r="AU18" i="82"/>
  <c r="AB18" i="159"/>
  <c r="AC18" i="159"/>
  <c r="R18" i="159" s="1"/>
  <c r="G17" i="159"/>
  <c r="J17" i="159"/>
  <c r="AE17" i="159"/>
  <c r="AU16" i="83"/>
  <c r="AU13" i="83"/>
  <c r="AF17" i="159" s="1"/>
  <c r="AU19" i="83"/>
  <c r="AD17" i="159"/>
  <c r="AU18" i="83"/>
  <c r="AB17" i="159"/>
  <c r="AC17" i="159"/>
  <c r="R17" i="159"/>
  <c r="S17" i="159" s="1"/>
  <c r="E17" i="159"/>
  <c r="G16" i="159"/>
  <c r="J16" i="159"/>
  <c r="AE16" i="159" s="1"/>
  <c r="AU16" i="84"/>
  <c r="AU13" i="84"/>
  <c r="AF16" i="159" s="1"/>
  <c r="AU19" i="84"/>
  <c r="AD16" i="159" s="1"/>
  <c r="AU18" i="84"/>
  <c r="AB16" i="159"/>
  <c r="G15" i="159"/>
  <c r="AE15" i="159" s="1"/>
  <c r="J15" i="159"/>
  <c r="AU16" i="49"/>
  <c r="AU13" i="49"/>
  <c r="AF15" i="159"/>
  <c r="AU19" i="49"/>
  <c r="AD15" i="159" s="1"/>
  <c r="AU18" i="49"/>
  <c r="AB15" i="159" s="1"/>
  <c r="AC15" i="159" s="1"/>
  <c r="R15" i="159" s="1"/>
  <c r="G14" i="159"/>
  <c r="J14" i="159"/>
  <c r="AE14" i="159"/>
  <c r="AU16" i="50"/>
  <c r="AU13" i="50"/>
  <c r="AU19" i="50"/>
  <c r="AD14" i="159"/>
  <c r="AU18" i="50"/>
  <c r="AB14" i="159" s="1"/>
  <c r="G13" i="159"/>
  <c r="AE13" i="159" s="1"/>
  <c r="J13" i="159"/>
  <c r="AU16" i="51"/>
  <c r="AF13" i="159" s="1"/>
  <c r="AU13" i="51"/>
  <c r="AU19" i="51"/>
  <c r="AD13" i="159"/>
  <c r="AU18" i="51"/>
  <c r="AB13" i="159"/>
  <c r="G12" i="159"/>
  <c r="AE12" i="159" s="1"/>
  <c r="J12" i="159"/>
  <c r="AU16" i="52"/>
  <c r="AF12" i="159" s="1"/>
  <c r="AU13" i="52"/>
  <c r="AU19" i="52"/>
  <c r="AD12" i="159"/>
  <c r="AU18" i="52"/>
  <c r="AB12" i="159"/>
  <c r="E12" i="159"/>
  <c r="G11" i="159"/>
  <c r="J11" i="159"/>
  <c r="AE11" i="159" s="1"/>
  <c r="AU16" i="53"/>
  <c r="AU13" i="53"/>
  <c r="AU19" i="53"/>
  <c r="AD11" i="159" s="1"/>
  <c r="AU18" i="53"/>
  <c r="AB11" i="159"/>
  <c r="G10" i="159"/>
  <c r="AE10" i="159"/>
  <c r="J10" i="159"/>
  <c r="AU16" i="54"/>
  <c r="AU13" i="54"/>
  <c r="AU19" i="54"/>
  <c r="AD10" i="159" s="1"/>
  <c r="AU18" i="54"/>
  <c r="AB10" i="159"/>
  <c r="G9" i="159"/>
  <c r="AE9" i="159" s="1"/>
  <c r="J9" i="159"/>
  <c r="AU16" i="55"/>
  <c r="AF9" i="159" s="1"/>
  <c r="AU13" i="55"/>
  <c r="AU19" i="55"/>
  <c r="AD9" i="159" s="1"/>
  <c r="AU18" i="55"/>
  <c r="AB9" i="159" s="1"/>
  <c r="G8" i="159"/>
  <c r="J8" i="159"/>
  <c r="AE8" i="159"/>
  <c r="AU16" i="56"/>
  <c r="AU13" i="56"/>
  <c r="AF8" i="159" s="1"/>
  <c r="AU19" i="56"/>
  <c r="AD8" i="159"/>
  <c r="AU18" i="56"/>
  <c r="AB8" i="159"/>
  <c r="G7" i="159"/>
  <c r="J7" i="159"/>
  <c r="AE7" i="159" s="1"/>
  <c r="AU16" i="57"/>
  <c r="AF7" i="159" s="1"/>
  <c r="AU13" i="57"/>
  <c r="AU19" i="57"/>
  <c r="AD7" i="159"/>
  <c r="AU18" i="57"/>
  <c r="AB7" i="159"/>
  <c r="F24" i="159"/>
  <c r="K24" i="159"/>
  <c r="F23" i="159"/>
  <c r="K23" i="159" s="1"/>
  <c r="K22" i="159"/>
  <c r="K21" i="159"/>
  <c r="F20" i="159"/>
  <c r="K20" i="159"/>
  <c r="F19" i="159"/>
  <c r="K19" i="159"/>
  <c r="F18" i="159"/>
  <c r="K18" i="159"/>
  <c r="F17" i="159"/>
  <c r="K17" i="159"/>
  <c r="F16" i="159"/>
  <c r="K16" i="159"/>
  <c r="F15" i="159"/>
  <c r="K15" i="159"/>
  <c r="K14" i="159"/>
  <c r="K13" i="159"/>
  <c r="F12" i="159"/>
  <c r="K12" i="159" s="1"/>
  <c r="F11" i="159"/>
  <c r="K11" i="159"/>
  <c r="K10" i="159"/>
  <c r="F9" i="159"/>
  <c r="K9" i="159"/>
  <c r="F8" i="159"/>
  <c r="K8" i="159" s="1"/>
  <c r="F7" i="159"/>
  <c r="K7" i="159"/>
  <c r="J24" i="159"/>
  <c r="I23" i="159"/>
  <c r="I22" i="159"/>
  <c r="I21" i="159"/>
  <c r="I20" i="159"/>
  <c r="J19" i="159"/>
  <c r="I18" i="159"/>
  <c r="I17" i="159"/>
  <c r="I16" i="159"/>
  <c r="I15" i="159"/>
  <c r="I14" i="159"/>
  <c r="I13" i="159"/>
  <c r="I12" i="159"/>
  <c r="I11" i="159"/>
  <c r="I10" i="159"/>
  <c r="I9" i="159"/>
  <c r="I8" i="159"/>
  <c r="I7" i="159"/>
  <c r="E31" i="159"/>
  <c r="N31" i="159" s="1"/>
  <c r="N30" i="159"/>
  <c r="E24" i="159"/>
  <c r="G14" i="157"/>
  <c r="G12" i="157"/>
  <c r="F12" i="157"/>
  <c r="G11" i="157"/>
  <c r="AE11" i="157" s="1"/>
  <c r="F11" i="157"/>
  <c r="G10" i="157"/>
  <c r="F10" i="157"/>
  <c r="G9" i="157"/>
  <c r="F9" i="157"/>
  <c r="G7" i="157"/>
  <c r="AU20" i="48"/>
  <c r="K10" i="152"/>
  <c r="AU20" i="19"/>
  <c r="I7" i="150"/>
  <c r="AU21" i="19"/>
  <c r="J7" i="150"/>
  <c r="AU17" i="19"/>
  <c r="F7" i="150"/>
  <c r="K7" i="150" s="1"/>
  <c r="AU20" i="18"/>
  <c r="I8" i="150" s="1"/>
  <c r="AU21" i="18"/>
  <c r="J8" i="150"/>
  <c r="AU17" i="18"/>
  <c r="F8" i="150"/>
  <c r="K8" i="150"/>
  <c r="AU20" i="17"/>
  <c r="I9" i="150"/>
  <c r="AU21" i="17"/>
  <c r="J9" i="150"/>
  <c r="AU17" i="17"/>
  <c r="F9" i="150" s="1"/>
  <c r="K9" i="150" s="1"/>
  <c r="AU20" i="16"/>
  <c r="I10" i="150"/>
  <c r="AU21" i="16"/>
  <c r="J10" i="150" s="1"/>
  <c r="AU17" i="16"/>
  <c r="F10" i="150"/>
  <c r="K10" i="150"/>
  <c r="F13" i="160"/>
  <c r="G13" i="160" s="1"/>
  <c r="F16" i="160"/>
  <c r="F12" i="160"/>
  <c r="F10" i="160"/>
  <c r="G10" i="160"/>
  <c r="E7" i="144"/>
  <c r="E8" i="144"/>
  <c r="AU18" i="7"/>
  <c r="AB9" i="144"/>
  <c r="E9" i="144" s="1"/>
  <c r="AU18" i="8"/>
  <c r="AB10" i="144" s="1"/>
  <c r="F11" i="160"/>
  <c r="G11" i="160"/>
  <c r="E18" i="160"/>
  <c r="AU17" i="7"/>
  <c r="F9" i="144"/>
  <c r="AU17" i="8"/>
  <c r="F10" i="144"/>
  <c r="F21" i="144" s="1"/>
  <c r="D4" i="160" s="1"/>
  <c r="H10" i="144"/>
  <c r="H9" i="144"/>
  <c r="AU16" i="8"/>
  <c r="AU16" i="7"/>
  <c r="G9" i="144"/>
  <c r="AU21" i="7"/>
  <c r="J9" i="144" s="1"/>
  <c r="AU21" i="8"/>
  <c r="AT21" i="8"/>
  <c r="AU20" i="8"/>
  <c r="I10" i="144" s="1"/>
  <c r="AT20" i="8"/>
  <c r="AU19" i="8"/>
  <c r="AT19" i="8"/>
  <c r="AT18" i="8"/>
  <c r="AT17" i="8"/>
  <c r="AU13" i="8"/>
  <c r="AT16" i="8"/>
  <c r="AT21" i="7"/>
  <c r="AU20" i="7"/>
  <c r="AT20" i="7"/>
  <c r="AU19" i="7"/>
  <c r="AT19" i="7"/>
  <c r="AT18" i="7"/>
  <c r="AT17" i="7"/>
  <c r="AT16" i="7"/>
  <c r="E8" i="160"/>
  <c r="E11" i="160"/>
  <c r="D13" i="160"/>
  <c r="D10" i="160"/>
  <c r="E3" i="160"/>
  <c r="E19" i="160"/>
  <c r="E17" i="160"/>
  <c r="F8" i="163"/>
  <c r="F7" i="163"/>
  <c r="F22" i="163"/>
  <c r="E13" i="160"/>
  <c r="F9" i="164"/>
  <c r="F22" i="164" s="1"/>
  <c r="F21" i="164"/>
  <c r="D11" i="160"/>
  <c r="C11" i="160" s="1"/>
  <c r="F8" i="161"/>
  <c r="F9" i="161"/>
  <c r="F10" i="161"/>
  <c r="F7" i="161"/>
  <c r="G25" i="159"/>
  <c r="G26" i="159"/>
  <c r="G27" i="159"/>
  <c r="G28" i="159"/>
  <c r="AE29" i="159"/>
  <c r="F13" i="144"/>
  <c r="F22" i="155"/>
  <c r="E12" i="160" s="1"/>
  <c r="S7" i="163"/>
  <c r="S8" i="163"/>
  <c r="S8" i="161"/>
  <c r="S9" i="161"/>
  <c r="S10" i="161"/>
  <c r="T30" i="159"/>
  <c r="T29" i="159"/>
  <c r="T28" i="159"/>
  <c r="AE25" i="159"/>
  <c r="T68" i="153"/>
  <c r="T12" i="152"/>
  <c r="T13" i="152"/>
  <c r="T10" i="149"/>
  <c r="T11" i="149"/>
  <c r="T15" i="151"/>
  <c r="D28" i="164"/>
  <c r="C28" i="164"/>
  <c r="C142" i="153"/>
  <c r="E7" i="163"/>
  <c r="M7" i="163" s="1"/>
  <c r="N29" i="159"/>
  <c r="E12" i="144"/>
  <c r="N12" i="144" s="1"/>
  <c r="O12" i="144" s="1"/>
  <c r="E11" i="144"/>
  <c r="N11" i="144" s="1"/>
  <c r="O11" i="144" s="1"/>
  <c r="E13" i="144"/>
  <c r="N13" i="144" s="1"/>
  <c r="AU20" i="121"/>
  <c r="I15" i="153" s="1"/>
  <c r="J15" i="153" s="1"/>
  <c r="AU21" i="121"/>
  <c r="J8" i="164"/>
  <c r="J7" i="164"/>
  <c r="AB8" i="164"/>
  <c r="Q8" i="164" s="1"/>
  <c r="R8" i="164" s="1"/>
  <c r="E8" i="164"/>
  <c r="AB7" i="164"/>
  <c r="Q7" i="164"/>
  <c r="R7" i="164" s="1"/>
  <c r="E7" i="164"/>
  <c r="E9" i="164"/>
  <c r="M9" i="164" s="1"/>
  <c r="AB9" i="164"/>
  <c r="AB8" i="161"/>
  <c r="Q8" i="161" s="1"/>
  <c r="E8" i="161"/>
  <c r="M8" i="161"/>
  <c r="AB9" i="161"/>
  <c r="Q9" i="161" s="1"/>
  <c r="E9" i="161"/>
  <c r="M9" i="161" s="1"/>
  <c r="AB10" i="161"/>
  <c r="Q10" i="161" s="1"/>
  <c r="E10" i="161"/>
  <c r="M10" i="161"/>
  <c r="AB7" i="161"/>
  <c r="Q7" i="161"/>
  <c r="E7" i="161"/>
  <c r="M7" i="161" s="1"/>
  <c r="D28" i="163"/>
  <c r="D27" i="163"/>
  <c r="AB8" i="163"/>
  <c r="Q8" i="163" s="1"/>
  <c r="R8" i="163" s="1"/>
  <c r="E8" i="163"/>
  <c r="M8" i="163" s="1"/>
  <c r="AB7" i="163"/>
  <c r="Q7" i="163" s="1"/>
  <c r="R7" i="163" s="1"/>
  <c r="F68" i="153"/>
  <c r="F66" i="153"/>
  <c r="M66" i="153"/>
  <c r="AU11" i="94"/>
  <c r="X68" i="153" s="1"/>
  <c r="AC68" i="153"/>
  <c r="R68" i="153"/>
  <c r="S68" i="153" s="1"/>
  <c r="E68" i="153"/>
  <c r="N68" i="153"/>
  <c r="N66" i="153"/>
  <c r="O66" i="153" s="1"/>
  <c r="G68" i="153"/>
  <c r="G66" i="153"/>
  <c r="D29" i="164"/>
  <c r="C29" i="164"/>
  <c r="D27" i="164"/>
  <c r="C27" i="164"/>
  <c r="C28" i="163"/>
  <c r="C27" i="163"/>
  <c r="D30" i="161"/>
  <c r="C30" i="161"/>
  <c r="D29" i="161"/>
  <c r="C29" i="161"/>
  <c r="D28" i="161"/>
  <c r="C28" i="161"/>
  <c r="D27" i="161"/>
  <c r="C27" i="161"/>
  <c r="AU17" i="11"/>
  <c r="F25" i="159"/>
  <c r="AU16" i="11"/>
  <c r="AU18" i="38"/>
  <c r="AB7" i="155"/>
  <c r="AC14" i="151"/>
  <c r="R14" i="151" s="1"/>
  <c r="S14" i="151" s="1"/>
  <c r="AC15" i="151"/>
  <c r="R15" i="151" s="1"/>
  <c r="AC13" i="151"/>
  <c r="R13" i="151"/>
  <c r="AU7" i="101"/>
  <c r="Z50" i="153" s="1"/>
  <c r="D124" i="153" s="1"/>
  <c r="C124" i="153"/>
  <c r="AU7" i="102"/>
  <c r="Z51" i="153"/>
  <c r="D125" i="153" s="1"/>
  <c r="C125" i="153"/>
  <c r="AU7" i="103"/>
  <c r="Z52" i="153"/>
  <c r="D126" i="153" s="1"/>
  <c r="C126" i="153"/>
  <c r="AU7" i="86"/>
  <c r="Z53" i="153"/>
  <c r="D127" i="153" s="1"/>
  <c r="C127" i="153"/>
  <c r="AU7" i="87"/>
  <c r="Z54" i="153"/>
  <c r="D128" i="153" s="1"/>
  <c r="C128" i="153"/>
  <c r="AU7" i="88"/>
  <c r="Z55" i="153" s="1"/>
  <c r="D129" i="153" s="1"/>
  <c r="C129" i="153"/>
  <c r="AU7" i="89"/>
  <c r="Z56" i="153"/>
  <c r="D130" i="153"/>
  <c r="C130" i="153"/>
  <c r="AU7" i="90"/>
  <c r="Z57" i="153" s="1"/>
  <c r="D131" i="153" s="1"/>
  <c r="C131" i="153"/>
  <c r="AU7" i="91"/>
  <c r="Z58" i="153" s="1"/>
  <c r="D132" i="153" s="1"/>
  <c r="C132" i="153"/>
  <c r="AU7" i="92"/>
  <c r="Z59" i="153"/>
  <c r="D133" i="153" s="1"/>
  <c r="C133" i="153"/>
  <c r="AU7" i="93"/>
  <c r="Z60" i="153"/>
  <c r="D134" i="153" s="1"/>
  <c r="C134" i="153"/>
  <c r="AU7" i="140"/>
  <c r="Z61" i="153"/>
  <c r="D135" i="153" s="1"/>
  <c r="C135" i="153"/>
  <c r="AU7" i="141"/>
  <c r="Z62" i="153"/>
  <c r="D136" i="153" s="1"/>
  <c r="C136" i="153"/>
  <c r="AU7" i="142"/>
  <c r="Z63" i="153" s="1"/>
  <c r="D137" i="153" s="1"/>
  <c r="C137" i="153"/>
  <c r="AU7" i="143"/>
  <c r="Z64" i="153"/>
  <c r="D138" i="153"/>
  <c r="C138" i="153"/>
  <c r="AU7" i="94"/>
  <c r="Z65" i="153" s="1"/>
  <c r="D139" i="153" s="1"/>
  <c r="C139" i="153"/>
  <c r="C140" i="153"/>
  <c r="AU7" i="131"/>
  <c r="Z26" i="153" s="1"/>
  <c r="D100" i="153" s="1"/>
  <c r="C100" i="153"/>
  <c r="AU7" i="132"/>
  <c r="Z27" i="153" s="1"/>
  <c r="D101" i="153" s="1"/>
  <c r="C101" i="153"/>
  <c r="AU7" i="133"/>
  <c r="Z28" i="153" s="1"/>
  <c r="D102" i="153" s="1"/>
  <c r="C102" i="153"/>
  <c r="AU7" i="134"/>
  <c r="Z29" i="153" s="1"/>
  <c r="D103" i="153" s="1"/>
  <c r="C103" i="153"/>
  <c r="AU7" i="135"/>
  <c r="Z30" i="153" s="1"/>
  <c r="D104" i="153" s="1"/>
  <c r="C104" i="153"/>
  <c r="AU7" i="136"/>
  <c r="Z31" i="153"/>
  <c r="D105" i="153" s="1"/>
  <c r="C105" i="153"/>
  <c r="AU7" i="137"/>
  <c r="Z32" i="153" s="1"/>
  <c r="D106" i="153" s="1"/>
  <c r="C106" i="153"/>
  <c r="AU7" i="138"/>
  <c r="Z33" i="153"/>
  <c r="D107" i="153"/>
  <c r="C107" i="153"/>
  <c r="AU7" i="139"/>
  <c r="Z34" i="153" s="1"/>
  <c r="D108" i="153" s="1"/>
  <c r="C108" i="153"/>
  <c r="AU7" i="95"/>
  <c r="Z35" i="153" s="1"/>
  <c r="D109" i="153" s="1"/>
  <c r="C109" i="153"/>
  <c r="AU7" i="104"/>
  <c r="Z36" i="153" s="1"/>
  <c r="D110" i="153" s="1"/>
  <c r="C110" i="153"/>
  <c r="AU7" i="105"/>
  <c r="Z37" i="153" s="1"/>
  <c r="D111" i="153" s="1"/>
  <c r="C111" i="153"/>
  <c r="AU7" i="106"/>
  <c r="Z38" i="153" s="1"/>
  <c r="D112" i="153" s="1"/>
  <c r="C112" i="153"/>
  <c r="AU7" i="107"/>
  <c r="Z39" i="153"/>
  <c r="D113" i="153" s="1"/>
  <c r="C113" i="153"/>
  <c r="AU7" i="108"/>
  <c r="Z40" i="153" s="1"/>
  <c r="D114" i="153" s="1"/>
  <c r="C114" i="153"/>
  <c r="AU7" i="109"/>
  <c r="Z41" i="153"/>
  <c r="D115" i="153"/>
  <c r="C115" i="153"/>
  <c r="AU7" i="110"/>
  <c r="Z42" i="153" s="1"/>
  <c r="D116" i="153" s="1"/>
  <c r="C116" i="153"/>
  <c r="AU7" i="111"/>
  <c r="Z43" i="153" s="1"/>
  <c r="D117" i="153" s="1"/>
  <c r="C117" i="153"/>
  <c r="AU7" i="112"/>
  <c r="Z44" i="153" s="1"/>
  <c r="D118" i="153" s="1"/>
  <c r="C118" i="153"/>
  <c r="AU7" i="96"/>
  <c r="Z45" i="153" s="1"/>
  <c r="D119" i="153" s="1"/>
  <c r="C119" i="153"/>
  <c r="AU7" i="97"/>
  <c r="Z46" i="153" s="1"/>
  <c r="D120" i="153" s="1"/>
  <c r="C120" i="153"/>
  <c r="AU7" i="98"/>
  <c r="Z47" i="153"/>
  <c r="D121" i="153" s="1"/>
  <c r="C121" i="153"/>
  <c r="AU7" i="99"/>
  <c r="Z48" i="153" s="1"/>
  <c r="D122" i="153" s="1"/>
  <c r="C122" i="153"/>
  <c r="AU7" i="100"/>
  <c r="Z49" i="153"/>
  <c r="D123" i="153"/>
  <c r="C123" i="153"/>
  <c r="AU7" i="113"/>
  <c r="Z8" i="153" s="1"/>
  <c r="D82" i="153" s="1"/>
  <c r="C82" i="153"/>
  <c r="AU7" i="114"/>
  <c r="Z9" i="153" s="1"/>
  <c r="D83" i="153" s="1"/>
  <c r="C83" i="153"/>
  <c r="AU7" i="115"/>
  <c r="Z10" i="153" s="1"/>
  <c r="D84" i="153" s="1"/>
  <c r="C84" i="153"/>
  <c r="AU7" i="116"/>
  <c r="Z11" i="153" s="1"/>
  <c r="D85" i="153" s="1"/>
  <c r="C85" i="153"/>
  <c r="AU7" i="117"/>
  <c r="Z12" i="153" s="1"/>
  <c r="D86" i="153" s="1"/>
  <c r="C86" i="153"/>
  <c r="AU7" i="118"/>
  <c r="Z13" i="153"/>
  <c r="D87" i="153" s="1"/>
  <c r="C87" i="153"/>
  <c r="AU7" i="119"/>
  <c r="Z14" i="153" s="1"/>
  <c r="D88" i="153" s="1"/>
  <c r="C88" i="153"/>
  <c r="AU7" i="121"/>
  <c r="Z15" i="153"/>
  <c r="D89" i="153"/>
  <c r="C89" i="153"/>
  <c r="AU7" i="122"/>
  <c r="Z16" i="153" s="1"/>
  <c r="D90" i="153" s="1"/>
  <c r="C90" i="153"/>
  <c r="AU7" i="123"/>
  <c r="Z17" i="153" s="1"/>
  <c r="D91" i="153" s="1"/>
  <c r="C91" i="153"/>
  <c r="AU7" i="120"/>
  <c r="Z18" i="153" s="1"/>
  <c r="D92" i="153" s="1"/>
  <c r="C92" i="153"/>
  <c r="AU7" i="124"/>
  <c r="Z19" i="153" s="1"/>
  <c r="D93" i="153" s="1"/>
  <c r="C93" i="153"/>
  <c r="AU7" i="125"/>
  <c r="Z20" i="153" s="1"/>
  <c r="D94" i="153" s="1"/>
  <c r="C94" i="153"/>
  <c r="AU7" i="126"/>
  <c r="Z21" i="153"/>
  <c r="D95" i="153" s="1"/>
  <c r="C95" i="153"/>
  <c r="AU7" i="127"/>
  <c r="Z22" i="153" s="1"/>
  <c r="D96" i="153" s="1"/>
  <c r="C96" i="153"/>
  <c r="AU7" i="128"/>
  <c r="Z23" i="153"/>
  <c r="D97" i="153"/>
  <c r="C97" i="153"/>
  <c r="AU7" i="129"/>
  <c r="Z24" i="153" s="1"/>
  <c r="D98" i="153" s="1"/>
  <c r="C98" i="153"/>
  <c r="AU7" i="130"/>
  <c r="Z25" i="153" s="1"/>
  <c r="D99" i="153" s="1"/>
  <c r="C99" i="153"/>
  <c r="C81" i="153"/>
  <c r="AU7" i="41"/>
  <c r="Z22" i="154" s="1"/>
  <c r="D38" i="154" s="1"/>
  <c r="C46" i="154"/>
  <c r="D46" i="154"/>
  <c r="AU7" i="39"/>
  <c r="Z23" i="154" s="1"/>
  <c r="D39" i="154" s="1"/>
  <c r="C47" i="154"/>
  <c r="D47" i="154"/>
  <c r="C32" i="154"/>
  <c r="AU7" i="47"/>
  <c r="Z16" i="154"/>
  <c r="D32" i="154" s="1"/>
  <c r="C33" i="154"/>
  <c r="AU7" i="46"/>
  <c r="Z17" i="154" s="1"/>
  <c r="D33" i="154" s="1"/>
  <c r="C34" i="154"/>
  <c r="AU7" i="45"/>
  <c r="Z18" i="154"/>
  <c r="D34" i="154"/>
  <c r="C35" i="154"/>
  <c r="AU7" i="44"/>
  <c r="Z19" i="154" s="1"/>
  <c r="D35" i="154" s="1"/>
  <c r="C36" i="154"/>
  <c r="AU7" i="43"/>
  <c r="Z20" i="154" s="1"/>
  <c r="D36" i="154" s="1"/>
  <c r="C37" i="154"/>
  <c r="AU7" i="42"/>
  <c r="Z21" i="154" s="1"/>
  <c r="D37" i="154" s="1"/>
  <c r="C38" i="154"/>
  <c r="AU7" i="48"/>
  <c r="Z15" i="154" s="1"/>
  <c r="D31" i="154" s="1"/>
  <c r="C39" i="154"/>
  <c r="C40" i="154"/>
  <c r="D40" i="154"/>
  <c r="C41" i="154"/>
  <c r="D41" i="154"/>
  <c r="C42" i="154"/>
  <c r="D42" i="154"/>
  <c r="C43" i="154"/>
  <c r="D43" i="154"/>
  <c r="C44" i="154"/>
  <c r="D44" i="154"/>
  <c r="C45" i="154"/>
  <c r="D45" i="154"/>
  <c r="C31" i="154"/>
  <c r="F11" i="152"/>
  <c r="M11" i="152"/>
  <c r="AC12" i="152"/>
  <c r="R12" i="152" s="1"/>
  <c r="S12" i="152" s="1"/>
  <c r="E12" i="152"/>
  <c r="AC13" i="152"/>
  <c r="R13" i="152"/>
  <c r="S13" i="152" s="1"/>
  <c r="E13" i="152"/>
  <c r="AC66" i="153"/>
  <c r="R66" i="153"/>
  <c r="S66" i="153" s="1"/>
  <c r="AU18" i="114"/>
  <c r="AB9" i="153"/>
  <c r="AC9" i="153"/>
  <c r="R9" i="153" s="1"/>
  <c r="AU18" i="115"/>
  <c r="AB10" i="153" s="1"/>
  <c r="AU18" i="116"/>
  <c r="AB11" i="153"/>
  <c r="AC11" i="153" s="1"/>
  <c r="R11" i="153" s="1"/>
  <c r="AU18" i="117"/>
  <c r="AB12" i="153"/>
  <c r="AC12" i="153"/>
  <c r="R12" i="153" s="1"/>
  <c r="S12" i="153" s="1"/>
  <c r="AU18" i="118"/>
  <c r="AB13" i="153" s="1"/>
  <c r="AU18" i="119"/>
  <c r="AB14" i="153" s="1"/>
  <c r="AU18" i="121"/>
  <c r="AB15" i="153"/>
  <c r="AC15" i="153" s="1"/>
  <c r="R15" i="153" s="1"/>
  <c r="S15" i="153" s="1"/>
  <c r="AU18" i="122"/>
  <c r="AB16" i="153"/>
  <c r="AC16" i="153" s="1"/>
  <c r="R16" i="153" s="1"/>
  <c r="S16" i="153" s="1"/>
  <c r="AU18" i="123"/>
  <c r="AB17" i="153"/>
  <c r="AC17" i="153" s="1"/>
  <c r="R17" i="153" s="1"/>
  <c r="S17" i="153" s="1"/>
  <c r="AU18" i="120"/>
  <c r="AB18" i="153"/>
  <c r="AC18" i="153" s="1"/>
  <c r="R18" i="153" s="1"/>
  <c r="S18" i="153" s="1"/>
  <c r="AU18" i="124"/>
  <c r="AB19" i="153"/>
  <c r="AC19" i="153" s="1"/>
  <c r="R19" i="153" s="1"/>
  <c r="S19" i="153" s="1"/>
  <c r="AU18" i="125"/>
  <c r="AB20" i="153" s="1"/>
  <c r="AU18" i="126"/>
  <c r="AB21" i="153"/>
  <c r="AC21" i="153"/>
  <c r="R21" i="153" s="1"/>
  <c r="S21" i="153" s="1"/>
  <c r="AU18" i="127"/>
  <c r="AB22" i="153" s="1"/>
  <c r="AU18" i="128"/>
  <c r="AB23" i="153" s="1"/>
  <c r="AC23" i="153" s="1"/>
  <c r="R23" i="153" s="1"/>
  <c r="S23" i="153" s="1"/>
  <c r="AU18" i="129"/>
  <c r="AB24" i="153" s="1"/>
  <c r="AU18" i="130"/>
  <c r="AB25" i="153" s="1"/>
  <c r="AU18" i="131"/>
  <c r="AB26" i="153" s="1"/>
  <c r="AU18" i="132"/>
  <c r="AB27" i="153" s="1"/>
  <c r="AU18" i="133"/>
  <c r="AB28" i="153"/>
  <c r="AC28" i="153" s="1"/>
  <c r="R28" i="153" s="1"/>
  <c r="S28" i="153" s="1"/>
  <c r="AU18" i="134"/>
  <c r="AB29" i="153" s="1"/>
  <c r="AU18" i="135"/>
  <c r="AB30" i="153"/>
  <c r="AC30" i="153"/>
  <c r="R30" i="153" s="1"/>
  <c r="S30" i="153" s="1"/>
  <c r="AU18" i="136"/>
  <c r="AB31" i="153"/>
  <c r="AC31" i="153" s="1"/>
  <c r="R31" i="153" s="1"/>
  <c r="S31" i="153" s="1"/>
  <c r="AU18" i="137"/>
  <c r="AB32" i="153"/>
  <c r="AC32" i="153" s="1"/>
  <c r="R32" i="153" s="1"/>
  <c r="AU18" i="138"/>
  <c r="AB33" i="153" s="1"/>
  <c r="AU18" i="139"/>
  <c r="AB34" i="153"/>
  <c r="AC34" i="153" s="1"/>
  <c r="R34" i="153" s="1"/>
  <c r="S34" i="153" s="1"/>
  <c r="AU18" i="95"/>
  <c r="AB35" i="153"/>
  <c r="AU18" i="104"/>
  <c r="AB36" i="153" s="1"/>
  <c r="AU18" i="105"/>
  <c r="AB37" i="153"/>
  <c r="AC37" i="153" s="1"/>
  <c r="R37" i="153" s="1"/>
  <c r="S37" i="153" s="1"/>
  <c r="AU18" i="106"/>
  <c r="AB38" i="153" s="1"/>
  <c r="AU18" i="107"/>
  <c r="AB39" i="153"/>
  <c r="AC39" i="153" s="1"/>
  <c r="R39" i="153" s="1"/>
  <c r="AU18" i="108"/>
  <c r="AB40" i="153"/>
  <c r="AU18" i="109"/>
  <c r="AB41" i="153"/>
  <c r="AC41" i="153" s="1"/>
  <c r="R41" i="153" s="1"/>
  <c r="S41" i="153" s="1"/>
  <c r="AU18" i="110"/>
  <c r="AB42" i="153" s="1"/>
  <c r="AU18" i="111"/>
  <c r="AB43" i="153"/>
  <c r="AC43" i="153" s="1"/>
  <c r="R43" i="153" s="1"/>
  <c r="AU18" i="112"/>
  <c r="AB44" i="153"/>
  <c r="AC44" i="153"/>
  <c r="R44" i="153" s="1"/>
  <c r="AU18" i="96"/>
  <c r="AB45" i="153" s="1"/>
  <c r="AU18" i="97"/>
  <c r="AB46" i="153" s="1"/>
  <c r="AU18" i="98"/>
  <c r="AB47" i="153"/>
  <c r="AC47" i="153" s="1"/>
  <c r="R47" i="153" s="1"/>
  <c r="AU18" i="99"/>
  <c r="AB48" i="153"/>
  <c r="AC48" i="153" s="1"/>
  <c r="R48" i="153" s="1"/>
  <c r="AU18" i="100"/>
  <c r="AB49" i="153"/>
  <c r="AC49" i="153" s="1"/>
  <c r="R49" i="153" s="1"/>
  <c r="S49" i="153" s="1"/>
  <c r="AU18" i="101"/>
  <c r="AB50" i="153" s="1"/>
  <c r="AU18" i="102"/>
  <c r="AB51" i="153"/>
  <c r="AC51" i="153" s="1"/>
  <c r="R51" i="153" s="1"/>
  <c r="S51" i="153" s="1"/>
  <c r="AU18" i="103"/>
  <c r="AB52" i="153"/>
  <c r="AC52" i="153" s="1"/>
  <c r="R52" i="153" s="1"/>
  <c r="AU18" i="86"/>
  <c r="AB53" i="153"/>
  <c r="AC53" i="153"/>
  <c r="R53" i="153" s="1"/>
  <c r="S53" i="153" s="1"/>
  <c r="AU18" i="87"/>
  <c r="AB54" i="153"/>
  <c r="AC54" i="153" s="1"/>
  <c r="R54" i="153" s="1"/>
  <c r="AU18" i="88"/>
  <c r="AB55" i="153" s="1"/>
  <c r="AU18" i="89"/>
  <c r="AB56" i="153" s="1"/>
  <c r="AU18" i="90"/>
  <c r="AB57" i="153" s="1"/>
  <c r="AU18" i="91"/>
  <c r="AB58" i="153"/>
  <c r="AU18" i="92"/>
  <c r="AB59" i="153" s="1"/>
  <c r="AU18" i="93"/>
  <c r="AB60" i="153"/>
  <c r="AU18" i="140"/>
  <c r="AB61" i="153" s="1"/>
  <c r="AU18" i="141"/>
  <c r="AB62" i="153" s="1"/>
  <c r="AU18" i="142"/>
  <c r="AB63" i="153" s="1"/>
  <c r="AU18" i="143"/>
  <c r="AB64" i="153"/>
  <c r="AC64" i="153" s="1"/>
  <c r="R64" i="153" s="1"/>
  <c r="AU18" i="94"/>
  <c r="AB65" i="153"/>
  <c r="AC65" i="153" s="1"/>
  <c r="R65" i="153" s="1"/>
  <c r="S65" i="153" s="1"/>
  <c r="AU18" i="113"/>
  <c r="AB8" i="153"/>
  <c r="AC8" i="153" s="1"/>
  <c r="R8" i="153" s="1"/>
  <c r="S8" i="153" s="1"/>
  <c r="R7" i="153"/>
  <c r="E7" i="153"/>
  <c r="AF7" i="153"/>
  <c r="K7" i="153"/>
  <c r="C64" i="159"/>
  <c r="D64" i="159"/>
  <c r="C58" i="159"/>
  <c r="D58" i="159"/>
  <c r="C59" i="159"/>
  <c r="D59" i="159"/>
  <c r="C60" i="159"/>
  <c r="D60" i="159"/>
  <c r="C61" i="159"/>
  <c r="D61" i="159"/>
  <c r="C62" i="159"/>
  <c r="D62" i="159"/>
  <c r="C63" i="159"/>
  <c r="D63" i="159"/>
  <c r="C28" i="155"/>
  <c r="D28" i="155"/>
  <c r="C32" i="152"/>
  <c r="D32" i="152"/>
  <c r="C33" i="152"/>
  <c r="D33" i="152"/>
  <c r="C37" i="148"/>
  <c r="D37" i="148"/>
  <c r="C39" i="148"/>
  <c r="D39" i="148"/>
  <c r="AU21" i="56"/>
  <c r="AU21" i="55"/>
  <c r="AU21" i="54"/>
  <c r="AU21" i="53"/>
  <c r="AU21" i="52"/>
  <c r="AU21" i="51"/>
  <c r="AU21" i="50"/>
  <c r="AU21" i="49"/>
  <c r="AU21" i="84"/>
  <c r="AU21" i="83"/>
  <c r="AU21" i="82"/>
  <c r="AU16" i="81"/>
  <c r="AU21" i="81"/>
  <c r="AU13" i="81"/>
  <c r="AU19" i="81"/>
  <c r="AU21" i="80"/>
  <c r="AU21" i="79"/>
  <c r="AU21" i="78"/>
  <c r="AU21" i="85"/>
  <c r="AU21" i="11"/>
  <c r="AU13" i="11"/>
  <c r="AU19" i="11"/>
  <c r="AU16" i="62"/>
  <c r="AU21" i="62"/>
  <c r="J8" i="158"/>
  <c r="AU13" i="62"/>
  <c r="AU19" i="62"/>
  <c r="AD8" i="158" s="1"/>
  <c r="AU16" i="60"/>
  <c r="G9" i="158" s="1"/>
  <c r="AU21" i="60"/>
  <c r="J9" i="158" s="1"/>
  <c r="AU13" i="60"/>
  <c r="AU19" i="60"/>
  <c r="AD9" i="158" s="1"/>
  <c r="AU16" i="58"/>
  <c r="AU21" i="58"/>
  <c r="J10" i="158"/>
  <c r="AU13" i="58"/>
  <c r="AU19" i="58"/>
  <c r="AD10" i="158" s="1"/>
  <c r="AU16" i="61"/>
  <c r="G11" i="158" s="1"/>
  <c r="AU21" i="61"/>
  <c r="J11" i="158" s="1"/>
  <c r="AU13" i="61"/>
  <c r="AU19" i="61"/>
  <c r="AD11" i="158"/>
  <c r="AU16" i="72"/>
  <c r="AU21" i="72"/>
  <c r="J8" i="157" s="1"/>
  <c r="AE8" i="157" s="1"/>
  <c r="AU13" i="72"/>
  <c r="AU19" i="72"/>
  <c r="AD8" i="157"/>
  <c r="AU16" i="71"/>
  <c r="AF9" i="157" s="1"/>
  <c r="AU21" i="71"/>
  <c r="J9" i="157"/>
  <c r="AE9" i="157" s="1"/>
  <c r="AU13" i="71"/>
  <c r="AU19" i="71"/>
  <c r="AD9" i="157" s="1"/>
  <c r="AU16" i="70"/>
  <c r="AU21" i="70"/>
  <c r="J10" i="157"/>
  <c r="AE10" i="157" s="1"/>
  <c r="AU13" i="70"/>
  <c r="AF10" i="157"/>
  <c r="AU19" i="70"/>
  <c r="AD10" i="157" s="1"/>
  <c r="AU16" i="69"/>
  <c r="AU21" i="69"/>
  <c r="J11" i="157"/>
  <c r="AU13" i="69"/>
  <c r="AU19" i="69"/>
  <c r="AD11" i="157" s="1"/>
  <c r="AU16" i="68"/>
  <c r="AU21" i="68"/>
  <c r="J12" i="157"/>
  <c r="AU13" i="68"/>
  <c r="AU19" i="68"/>
  <c r="AD12" i="157" s="1"/>
  <c r="AU16" i="67"/>
  <c r="AF13" i="157" s="1"/>
  <c r="AU21" i="67"/>
  <c r="J13" i="157"/>
  <c r="AE13" i="157"/>
  <c r="AU13" i="67"/>
  <c r="AU19" i="67"/>
  <c r="AD13" i="157"/>
  <c r="AU16" i="65"/>
  <c r="AF14" i="157"/>
  <c r="AU21" i="65"/>
  <c r="J14" i="157"/>
  <c r="AU13" i="65"/>
  <c r="AU19" i="65"/>
  <c r="AD14" i="157" s="1"/>
  <c r="AU16" i="66"/>
  <c r="AU21" i="66"/>
  <c r="J15" i="157"/>
  <c r="AE15" i="157" s="1"/>
  <c r="AU13" i="66"/>
  <c r="AU19" i="66"/>
  <c r="AD15" i="157"/>
  <c r="AU16" i="64"/>
  <c r="AU21" i="64"/>
  <c r="J16" i="157"/>
  <c r="AU13" i="64"/>
  <c r="AU19" i="64"/>
  <c r="AD16" i="157" s="1"/>
  <c r="AU16" i="36"/>
  <c r="G8" i="156"/>
  <c r="AU21" i="36"/>
  <c r="J8" i="156" s="1"/>
  <c r="AE8" i="156" s="1"/>
  <c r="AU13" i="36"/>
  <c r="AU19" i="36"/>
  <c r="AD8" i="156"/>
  <c r="AU16" i="35"/>
  <c r="G9" i="156"/>
  <c r="AU21" i="35"/>
  <c r="J9" i="156"/>
  <c r="AU13" i="35"/>
  <c r="AF9" i="156"/>
  <c r="AU19" i="35"/>
  <c r="AD9" i="156"/>
  <c r="AU16" i="24"/>
  <c r="AU21" i="24"/>
  <c r="J10" i="156" s="1"/>
  <c r="AE10" i="156" s="1"/>
  <c r="AG10" i="156" s="1"/>
  <c r="AU13" i="24"/>
  <c r="AU19" i="24"/>
  <c r="AD10" i="156" s="1"/>
  <c r="AU16" i="77"/>
  <c r="AU21" i="77"/>
  <c r="J11" i="156"/>
  <c r="AU13" i="77"/>
  <c r="AU19" i="77"/>
  <c r="AD11" i="156"/>
  <c r="AU16" i="76"/>
  <c r="AU21" i="76"/>
  <c r="J12" i="156" s="1"/>
  <c r="AU13" i="76"/>
  <c r="AU19" i="76"/>
  <c r="AD12" i="156" s="1"/>
  <c r="AU16" i="75"/>
  <c r="G13" i="156"/>
  <c r="AE13" i="156" s="1"/>
  <c r="AU21" i="75"/>
  <c r="J13" i="156"/>
  <c r="AU13" i="75"/>
  <c r="AU19" i="75"/>
  <c r="AD13" i="156" s="1"/>
  <c r="AU16" i="74"/>
  <c r="G14" i="156" s="1"/>
  <c r="AE14" i="156" s="1"/>
  <c r="AU21" i="74"/>
  <c r="J14" i="156"/>
  <c r="AU13" i="74"/>
  <c r="AU19" i="74"/>
  <c r="AD14" i="156" s="1"/>
  <c r="AU16" i="48"/>
  <c r="AU21" i="48"/>
  <c r="AU13" i="48"/>
  <c r="AU19" i="48"/>
  <c r="AD15" i="154"/>
  <c r="AU16" i="47"/>
  <c r="AU21" i="47"/>
  <c r="J16" i="154"/>
  <c r="AU13" i="47"/>
  <c r="AF16" i="154" s="1"/>
  <c r="AU19" i="47"/>
  <c r="AD16" i="154"/>
  <c r="AU16" i="46"/>
  <c r="AF17" i="154"/>
  <c r="AU21" i="46"/>
  <c r="J17" i="154" s="1"/>
  <c r="AU13" i="46"/>
  <c r="AU19" i="46"/>
  <c r="AD17" i="154" s="1"/>
  <c r="AU16" i="45"/>
  <c r="G18" i="154"/>
  <c r="AE18" i="154" s="1"/>
  <c r="AU21" i="45"/>
  <c r="J18" i="154" s="1"/>
  <c r="AU13" i="45"/>
  <c r="AU19" i="45"/>
  <c r="AD18" i="154"/>
  <c r="AU16" i="44"/>
  <c r="AU21" i="44"/>
  <c r="J19" i="154" s="1"/>
  <c r="AU13" i="44"/>
  <c r="AU19" i="44"/>
  <c r="AD19" i="154" s="1"/>
  <c r="AU16" i="43"/>
  <c r="AU21" i="43"/>
  <c r="J20" i="154" s="1"/>
  <c r="AE20" i="154" s="1"/>
  <c r="AU13" i="43"/>
  <c r="AU19" i="43"/>
  <c r="AD20" i="154"/>
  <c r="AU16" i="42"/>
  <c r="AU21" i="42"/>
  <c r="J21" i="154" s="1"/>
  <c r="AU13" i="42"/>
  <c r="AF21" i="154" s="1"/>
  <c r="AU19" i="42"/>
  <c r="AD21" i="154"/>
  <c r="AU16" i="41"/>
  <c r="G22" i="154" s="1"/>
  <c r="AU21" i="41"/>
  <c r="J22" i="154"/>
  <c r="AU13" i="41"/>
  <c r="AU19" i="41"/>
  <c r="AD22" i="154"/>
  <c r="AU16" i="39"/>
  <c r="AU21" i="39"/>
  <c r="J23" i="154" s="1"/>
  <c r="AU13" i="39"/>
  <c r="AU19" i="39"/>
  <c r="AD23" i="154"/>
  <c r="G8" i="154"/>
  <c r="G9" i="154"/>
  <c r="G10" i="154"/>
  <c r="G11" i="154"/>
  <c r="G12" i="154"/>
  <c r="G13" i="154"/>
  <c r="G14" i="154"/>
  <c r="AU16" i="109"/>
  <c r="AU21" i="109"/>
  <c r="J41" i="153"/>
  <c r="AU13" i="109"/>
  <c r="AU19" i="109"/>
  <c r="AD41" i="153" s="1"/>
  <c r="AU16" i="110"/>
  <c r="G42" i="153"/>
  <c r="AU21" i="110"/>
  <c r="J42" i="153"/>
  <c r="AU13" i="110"/>
  <c r="AU19" i="110"/>
  <c r="AD42" i="153"/>
  <c r="AU16" i="111"/>
  <c r="AU21" i="111"/>
  <c r="J43" i="153"/>
  <c r="AU13" i="111"/>
  <c r="AU19" i="111"/>
  <c r="AD43" i="153"/>
  <c r="AU16" i="112"/>
  <c r="AU21" i="112"/>
  <c r="J44" i="153" s="1"/>
  <c r="AE44" i="153" s="1"/>
  <c r="AU13" i="112"/>
  <c r="AU19" i="112"/>
  <c r="AD44" i="153"/>
  <c r="AU16" i="96"/>
  <c r="G45" i="153"/>
  <c r="AU21" i="96"/>
  <c r="J45" i="153"/>
  <c r="AU13" i="96"/>
  <c r="AU19" i="96"/>
  <c r="AD45" i="153"/>
  <c r="AU16" i="97"/>
  <c r="G46" i="153" s="1"/>
  <c r="AE46" i="153" s="1"/>
  <c r="AG46" i="153" s="1"/>
  <c r="AU21" i="97"/>
  <c r="J46" i="153"/>
  <c r="AU13" i="97"/>
  <c r="AU19" i="97"/>
  <c r="AD46" i="153"/>
  <c r="AU16" i="98"/>
  <c r="G47" i="153"/>
  <c r="AU21" i="98"/>
  <c r="J47" i="153"/>
  <c r="AU13" i="98"/>
  <c r="AU19" i="98"/>
  <c r="AD47" i="153" s="1"/>
  <c r="AU16" i="99"/>
  <c r="AU21" i="99"/>
  <c r="J48" i="153"/>
  <c r="AU13" i="99"/>
  <c r="AU19" i="99"/>
  <c r="AD48" i="153"/>
  <c r="AU16" i="100"/>
  <c r="AU21" i="100"/>
  <c r="J49" i="153" s="1"/>
  <c r="AU13" i="100"/>
  <c r="AU19" i="100"/>
  <c r="AD49" i="153"/>
  <c r="AU16" i="101"/>
  <c r="G50" i="153"/>
  <c r="AU21" i="101"/>
  <c r="J50" i="153" s="1"/>
  <c r="AE50" i="153" s="1"/>
  <c r="AU13" i="101"/>
  <c r="AU19" i="101"/>
  <c r="AD50" i="153" s="1"/>
  <c r="AU16" i="102"/>
  <c r="AF51" i="153" s="1"/>
  <c r="AG51" i="153" s="1"/>
  <c r="G51" i="153"/>
  <c r="AU21" i="102"/>
  <c r="J51" i="153"/>
  <c r="AU13" i="102"/>
  <c r="AU19" i="102"/>
  <c r="AD51" i="153"/>
  <c r="AU16" i="103"/>
  <c r="AU21" i="103"/>
  <c r="J52" i="153"/>
  <c r="AU13" i="103"/>
  <c r="AU19" i="103"/>
  <c r="AD52" i="153"/>
  <c r="AU16" i="86"/>
  <c r="AU21" i="86"/>
  <c r="J53" i="153"/>
  <c r="AU13" i="86"/>
  <c r="AU19" i="86"/>
  <c r="AD53" i="153" s="1"/>
  <c r="AU16" i="87"/>
  <c r="G54" i="153" s="1"/>
  <c r="AU21" i="87"/>
  <c r="J54" i="153" s="1"/>
  <c r="AU13" i="87"/>
  <c r="AU19" i="87"/>
  <c r="AD54" i="153"/>
  <c r="AU16" i="88"/>
  <c r="AF55" i="153" s="1"/>
  <c r="AU21" i="88"/>
  <c r="J55" i="153"/>
  <c r="AU13" i="88"/>
  <c r="AU19" i="88"/>
  <c r="AD55" i="153" s="1"/>
  <c r="AU16" i="89"/>
  <c r="AU21" i="89"/>
  <c r="J56" i="153"/>
  <c r="AU13" i="89"/>
  <c r="AU19" i="89"/>
  <c r="AD56" i="153"/>
  <c r="AU16" i="90"/>
  <c r="AU21" i="90"/>
  <c r="J57" i="153"/>
  <c r="AU13" i="90"/>
  <c r="AU19" i="90"/>
  <c r="AD57" i="153"/>
  <c r="AU16" i="91"/>
  <c r="G58" i="153"/>
  <c r="AU21" i="91"/>
  <c r="J58" i="153" s="1"/>
  <c r="AU13" i="91"/>
  <c r="AU19" i="91"/>
  <c r="AD58" i="153" s="1"/>
  <c r="AU16" i="92"/>
  <c r="AF59" i="153" s="1"/>
  <c r="AU21" i="92"/>
  <c r="J59" i="153" s="1"/>
  <c r="AU13" i="92"/>
  <c r="AU19" i="92"/>
  <c r="AD59" i="153" s="1"/>
  <c r="AU16" i="93"/>
  <c r="AU21" i="93"/>
  <c r="J60" i="153" s="1"/>
  <c r="AE60" i="153" s="1"/>
  <c r="AU13" i="93"/>
  <c r="AU19" i="93"/>
  <c r="AD60" i="153"/>
  <c r="AU16" i="140"/>
  <c r="G61" i="153"/>
  <c r="AU21" i="140"/>
  <c r="J61" i="153" s="1"/>
  <c r="AU13" i="140"/>
  <c r="AF61" i="153" s="1"/>
  <c r="AU19" i="140"/>
  <c r="AD61" i="153"/>
  <c r="AU16" i="141"/>
  <c r="G62" i="153" s="1"/>
  <c r="AU21" i="141"/>
  <c r="J62" i="153" s="1"/>
  <c r="AU13" i="141"/>
  <c r="AU19" i="141"/>
  <c r="AD62" i="153" s="1"/>
  <c r="AU16" i="142"/>
  <c r="G63" i="153" s="1"/>
  <c r="AU21" i="142"/>
  <c r="J63" i="153" s="1"/>
  <c r="AU13" i="142"/>
  <c r="AU19" i="142"/>
  <c r="AD63" i="153"/>
  <c r="AU16" i="143"/>
  <c r="AU21" i="143"/>
  <c r="J64" i="153" s="1"/>
  <c r="AU13" i="143"/>
  <c r="AU19" i="143"/>
  <c r="AD64" i="153"/>
  <c r="AU16" i="94"/>
  <c r="G65" i="153"/>
  <c r="AU21" i="94"/>
  <c r="J65" i="153"/>
  <c r="AU13" i="94"/>
  <c r="AF65" i="153"/>
  <c r="AU19" i="94"/>
  <c r="AD65" i="153" s="1"/>
  <c r="AU16" i="114"/>
  <c r="G9" i="153" s="1"/>
  <c r="AE9" i="153" s="1"/>
  <c r="AG9" i="153" s="1"/>
  <c r="AU21" i="114"/>
  <c r="J9" i="153"/>
  <c r="AU13" i="114"/>
  <c r="AU19" i="114"/>
  <c r="AD9" i="153"/>
  <c r="AU16" i="115"/>
  <c r="AU21" i="115"/>
  <c r="J10" i="153"/>
  <c r="AU13" i="115"/>
  <c r="AU19" i="115"/>
  <c r="AD10" i="153" s="1"/>
  <c r="AU16" i="116"/>
  <c r="AU21" i="116"/>
  <c r="J11" i="153"/>
  <c r="AU13" i="116"/>
  <c r="AU19" i="116"/>
  <c r="AD11" i="153" s="1"/>
  <c r="AU16" i="117"/>
  <c r="G12" i="153" s="1"/>
  <c r="AU21" i="117"/>
  <c r="J12" i="153"/>
  <c r="AU13" i="117"/>
  <c r="AU19" i="117"/>
  <c r="AD12" i="153"/>
  <c r="AU16" i="118"/>
  <c r="AU21" i="118"/>
  <c r="J13" i="153" s="1"/>
  <c r="AU13" i="118"/>
  <c r="AU19" i="118"/>
  <c r="AD13" i="153" s="1"/>
  <c r="AU16" i="119"/>
  <c r="G14" i="153" s="1"/>
  <c r="AE14" i="153" s="1"/>
  <c r="AU21" i="119"/>
  <c r="J14" i="153"/>
  <c r="AU13" i="119"/>
  <c r="AU19" i="119"/>
  <c r="AD14" i="153" s="1"/>
  <c r="AU16" i="121"/>
  <c r="G15" i="153" s="1"/>
  <c r="AF15" i="153"/>
  <c r="AU13" i="121"/>
  <c r="AU19" i="121"/>
  <c r="AD15" i="153"/>
  <c r="AU16" i="122"/>
  <c r="AU21" i="122"/>
  <c r="J16" i="153" s="1"/>
  <c r="AU13" i="122"/>
  <c r="AU19" i="122"/>
  <c r="AD16" i="153"/>
  <c r="AU16" i="123"/>
  <c r="AU21" i="123"/>
  <c r="J17" i="153"/>
  <c r="AU13" i="123"/>
  <c r="AU19" i="123"/>
  <c r="AD17" i="153"/>
  <c r="AU16" i="120"/>
  <c r="G18" i="153"/>
  <c r="AE18" i="153" s="1"/>
  <c r="AU21" i="120"/>
  <c r="J18" i="153"/>
  <c r="AU13" i="120"/>
  <c r="AU19" i="120"/>
  <c r="AD18" i="153" s="1"/>
  <c r="AU16" i="124"/>
  <c r="G19" i="153"/>
  <c r="AU21" i="124"/>
  <c r="J19" i="153" s="1"/>
  <c r="AU13" i="124"/>
  <c r="AU19" i="124"/>
  <c r="AD19" i="153"/>
  <c r="AU16" i="125"/>
  <c r="AU21" i="125"/>
  <c r="J20" i="153" s="1"/>
  <c r="AU13" i="125"/>
  <c r="AU19" i="125"/>
  <c r="AD20" i="153" s="1"/>
  <c r="AU16" i="126"/>
  <c r="G21" i="153" s="1"/>
  <c r="AU21" i="126"/>
  <c r="J21" i="153" s="1"/>
  <c r="AU13" i="126"/>
  <c r="AU19" i="126"/>
  <c r="AD21" i="153" s="1"/>
  <c r="AU16" i="127"/>
  <c r="G22" i="153" s="1"/>
  <c r="AF22" i="153"/>
  <c r="AU21" i="127"/>
  <c r="J22" i="153" s="1"/>
  <c r="AU13" i="127"/>
  <c r="AU19" i="127"/>
  <c r="AD22" i="153"/>
  <c r="AU16" i="128"/>
  <c r="G23" i="153" s="1"/>
  <c r="AU21" i="128"/>
  <c r="J23" i="153" s="1"/>
  <c r="AU13" i="128"/>
  <c r="AU19" i="128"/>
  <c r="AD23" i="153" s="1"/>
  <c r="AU16" i="129"/>
  <c r="AU21" i="129"/>
  <c r="J24" i="153" s="1"/>
  <c r="AU13" i="129"/>
  <c r="AU19" i="129"/>
  <c r="AD24" i="153" s="1"/>
  <c r="AU16" i="130"/>
  <c r="AU21" i="130"/>
  <c r="J25" i="153"/>
  <c r="AU13" i="130"/>
  <c r="AU19" i="130"/>
  <c r="AD25" i="153" s="1"/>
  <c r="AU16" i="131"/>
  <c r="AU21" i="131"/>
  <c r="J26" i="153"/>
  <c r="AU13" i="131"/>
  <c r="AU19" i="131"/>
  <c r="AD26" i="153"/>
  <c r="AU16" i="132"/>
  <c r="G27" i="153" s="1"/>
  <c r="AU21" i="132"/>
  <c r="J27" i="153" s="1"/>
  <c r="AU13" i="132"/>
  <c r="AU19" i="132"/>
  <c r="AD27" i="153"/>
  <c r="AU16" i="133"/>
  <c r="AU21" i="133"/>
  <c r="J28" i="153"/>
  <c r="AU13" i="133"/>
  <c r="AU19" i="133"/>
  <c r="AD28" i="153"/>
  <c r="AU16" i="134"/>
  <c r="G29" i="153" s="1"/>
  <c r="AU21" i="134"/>
  <c r="J29" i="153"/>
  <c r="AU13" i="134"/>
  <c r="AF29" i="153" s="1"/>
  <c r="AU19" i="134"/>
  <c r="AD29" i="153" s="1"/>
  <c r="AU16" i="135"/>
  <c r="AU21" i="135"/>
  <c r="J30" i="153" s="1"/>
  <c r="AU13" i="135"/>
  <c r="AU19" i="135"/>
  <c r="AD30" i="153"/>
  <c r="AU16" i="136"/>
  <c r="G31" i="153"/>
  <c r="AU21" i="136"/>
  <c r="J31" i="153" s="1"/>
  <c r="AU13" i="136"/>
  <c r="AU19" i="136"/>
  <c r="AD31" i="153" s="1"/>
  <c r="AU16" i="137"/>
  <c r="AU21" i="137"/>
  <c r="J32" i="153"/>
  <c r="AU13" i="137"/>
  <c r="AU19" i="137"/>
  <c r="AD32" i="153"/>
  <c r="AU16" i="138"/>
  <c r="AU21" i="138"/>
  <c r="J33" i="153" s="1"/>
  <c r="AU13" i="138"/>
  <c r="AU19" i="138"/>
  <c r="AD33" i="153" s="1"/>
  <c r="AU16" i="139"/>
  <c r="AF34" i="153"/>
  <c r="G34" i="153"/>
  <c r="AU21" i="139"/>
  <c r="J34" i="153"/>
  <c r="AU13" i="139"/>
  <c r="AU19" i="139"/>
  <c r="AD34" i="153" s="1"/>
  <c r="AU16" i="95"/>
  <c r="G35" i="153" s="1"/>
  <c r="AU21" i="95"/>
  <c r="J35" i="153" s="1"/>
  <c r="AU13" i="95"/>
  <c r="AU19" i="95"/>
  <c r="AD35" i="153"/>
  <c r="AU16" i="104"/>
  <c r="AU21" i="104"/>
  <c r="J36" i="153"/>
  <c r="AU13" i="104"/>
  <c r="AU19" i="104"/>
  <c r="AD36" i="153"/>
  <c r="AU16" i="105"/>
  <c r="G37" i="153"/>
  <c r="AU21" i="105"/>
  <c r="J37" i="153"/>
  <c r="AE37" i="153"/>
  <c r="AU13" i="105"/>
  <c r="AF37" i="153"/>
  <c r="AU19" i="105"/>
  <c r="AD37" i="153"/>
  <c r="AU16" i="106"/>
  <c r="G38" i="153" s="1"/>
  <c r="AU21" i="106"/>
  <c r="J38" i="153"/>
  <c r="AU13" i="106"/>
  <c r="AF38" i="153"/>
  <c r="AU19" i="106"/>
  <c r="AD38" i="153" s="1"/>
  <c r="AU16" i="107"/>
  <c r="G39" i="153" s="1"/>
  <c r="AU21" i="107"/>
  <c r="J39" i="153" s="1"/>
  <c r="AU13" i="107"/>
  <c r="AU19" i="107"/>
  <c r="AD39" i="153"/>
  <c r="AU16" i="108"/>
  <c r="AU21" i="108"/>
  <c r="J40" i="153" s="1"/>
  <c r="AU13" i="108"/>
  <c r="AU19" i="108"/>
  <c r="AD40" i="153"/>
  <c r="AU16" i="4"/>
  <c r="AU21" i="4"/>
  <c r="J8" i="152" s="1"/>
  <c r="AU13" i="4"/>
  <c r="AU19" i="4"/>
  <c r="AD8" i="152"/>
  <c r="AU16" i="2"/>
  <c r="G9" i="152" s="1"/>
  <c r="AU21" i="2"/>
  <c r="J9" i="152" s="1"/>
  <c r="AU13" i="2"/>
  <c r="AF9" i="152"/>
  <c r="AU19" i="2"/>
  <c r="AD9" i="152" s="1"/>
  <c r="AU16" i="1"/>
  <c r="AU21" i="1"/>
  <c r="J10" i="152"/>
  <c r="AE10" i="152"/>
  <c r="AU13" i="1"/>
  <c r="AU19" i="1"/>
  <c r="AD10" i="152" s="1"/>
  <c r="AU16" i="30"/>
  <c r="AU21" i="30"/>
  <c r="J8" i="146"/>
  <c r="AU13" i="30"/>
  <c r="AU19" i="30"/>
  <c r="AD8" i="146" s="1"/>
  <c r="AU16" i="29"/>
  <c r="G9" i="146" s="1"/>
  <c r="AU21" i="29"/>
  <c r="J9" i="146"/>
  <c r="AU13" i="29"/>
  <c r="AU19" i="29"/>
  <c r="AD9" i="146"/>
  <c r="AU16" i="28"/>
  <c r="G10" i="146"/>
  <c r="AU21" i="28"/>
  <c r="J10" i="146"/>
  <c r="AU13" i="28"/>
  <c r="AF10" i="146" s="1"/>
  <c r="AU19" i="28"/>
  <c r="AD10" i="146" s="1"/>
  <c r="AU16" i="27"/>
  <c r="G11" i="146"/>
  <c r="AU21" i="27"/>
  <c r="J11" i="146" s="1"/>
  <c r="AU13" i="27"/>
  <c r="AU19" i="27"/>
  <c r="AD11" i="146"/>
  <c r="AU16" i="26"/>
  <c r="AU21" i="26"/>
  <c r="J12" i="146" s="1"/>
  <c r="AU13" i="26"/>
  <c r="AU19" i="26"/>
  <c r="AD12" i="146" s="1"/>
  <c r="AU16" i="25"/>
  <c r="AU21" i="25"/>
  <c r="J13" i="146"/>
  <c r="AU13" i="25"/>
  <c r="AU19" i="25"/>
  <c r="AD13" i="146" s="1"/>
  <c r="AU16" i="13"/>
  <c r="AU21" i="13"/>
  <c r="J9" i="148"/>
  <c r="AU13" i="13"/>
  <c r="AU19" i="13"/>
  <c r="AD9" i="148"/>
  <c r="AU16" i="12"/>
  <c r="AU21" i="12"/>
  <c r="J10" i="148"/>
  <c r="AU13" i="12"/>
  <c r="AU19" i="12"/>
  <c r="AD10" i="148" s="1"/>
  <c r="AU16" i="34"/>
  <c r="G11" i="148"/>
  <c r="AU21" i="34"/>
  <c r="J11" i="148" s="1"/>
  <c r="AE11" i="148" s="1"/>
  <c r="AU13" i="34"/>
  <c r="AF11" i="148"/>
  <c r="AU19" i="34"/>
  <c r="AD11" i="148" s="1"/>
  <c r="AU16" i="33"/>
  <c r="AU21" i="33"/>
  <c r="J12" i="148"/>
  <c r="AU13" i="33"/>
  <c r="AU19" i="33"/>
  <c r="AD12" i="148" s="1"/>
  <c r="AU16" i="14"/>
  <c r="AF10" i="149" s="1"/>
  <c r="AU21" i="14"/>
  <c r="J8" i="149" s="1"/>
  <c r="AU13" i="14"/>
  <c r="AU19" i="14"/>
  <c r="AD8" i="149"/>
  <c r="AU16" i="32"/>
  <c r="G7" i="147"/>
  <c r="AU21" i="32"/>
  <c r="J7" i="147"/>
  <c r="AU13" i="32"/>
  <c r="AU19" i="32"/>
  <c r="AD7" i="147"/>
  <c r="AU16" i="31"/>
  <c r="G7" i="146"/>
  <c r="AU21" i="31"/>
  <c r="J7" i="146"/>
  <c r="AE7" i="146"/>
  <c r="AU13" i="31"/>
  <c r="AU19" i="31"/>
  <c r="AD7" i="146"/>
  <c r="AU16" i="3"/>
  <c r="AU21" i="3"/>
  <c r="J7" i="152"/>
  <c r="AU13" i="3"/>
  <c r="AU19" i="3"/>
  <c r="AD7" i="152" s="1"/>
  <c r="AU16" i="113"/>
  <c r="AU21" i="113"/>
  <c r="J8" i="153"/>
  <c r="AU13" i="113"/>
  <c r="AU19" i="113"/>
  <c r="AD8" i="153" s="1"/>
  <c r="G7" i="154"/>
  <c r="AU16" i="38"/>
  <c r="AU21" i="38"/>
  <c r="J7" i="155"/>
  <c r="AU13" i="38"/>
  <c r="AU19" i="38"/>
  <c r="AD7" i="155"/>
  <c r="AU16" i="37"/>
  <c r="AU21" i="37"/>
  <c r="J7" i="156" s="1"/>
  <c r="AE7" i="156" s="1"/>
  <c r="AU13" i="37"/>
  <c r="AF7" i="156" s="1"/>
  <c r="AU19" i="37"/>
  <c r="AD7" i="156" s="1"/>
  <c r="AU16" i="73"/>
  <c r="AU21" i="73"/>
  <c r="J7" i="157" s="1"/>
  <c r="AU13" i="73"/>
  <c r="AU19" i="73"/>
  <c r="AD7" i="157" s="1"/>
  <c r="AU16" i="63"/>
  <c r="AU21" i="63"/>
  <c r="J7" i="158" s="1"/>
  <c r="AU13" i="63"/>
  <c r="AU19" i="63"/>
  <c r="AD7" i="158"/>
  <c r="AU21" i="57"/>
  <c r="AU16" i="15"/>
  <c r="AF7" i="149" s="1"/>
  <c r="G7" i="149"/>
  <c r="AE7" i="149" s="1"/>
  <c r="AU21" i="15"/>
  <c r="J7" i="149"/>
  <c r="AU13" i="15"/>
  <c r="AU19" i="15"/>
  <c r="AD7" i="149"/>
  <c r="AC8" i="147"/>
  <c r="R8" i="147"/>
  <c r="G11" i="150"/>
  <c r="AE11" i="150"/>
  <c r="G12" i="150"/>
  <c r="F8" i="147"/>
  <c r="C28" i="147"/>
  <c r="D28" i="147"/>
  <c r="AC15" i="148"/>
  <c r="R15" i="148" s="1"/>
  <c r="E15" i="148"/>
  <c r="N15" i="148"/>
  <c r="O15" i="148" s="1"/>
  <c r="AC17" i="148"/>
  <c r="R17" i="148"/>
  <c r="E17" i="148"/>
  <c r="N17" i="148"/>
  <c r="S17" i="148"/>
  <c r="F17" i="148"/>
  <c r="L17" i="148" s="1"/>
  <c r="F14" i="148"/>
  <c r="F15" i="148"/>
  <c r="AU17" i="34"/>
  <c r="F11" i="148"/>
  <c r="AU17" i="33"/>
  <c r="F12" i="148"/>
  <c r="K12" i="148" s="1"/>
  <c r="F13" i="148"/>
  <c r="M13" i="148" s="1"/>
  <c r="M14" i="148"/>
  <c r="F10" i="149"/>
  <c r="F11" i="149" s="1"/>
  <c r="F22" i="149" s="1"/>
  <c r="E14" i="160" s="1"/>
  <c r="L10" i="149"/>
  <c r="F9" i="149"/>
  <c r="AC11" i="149"/>
  <c r="R11" i="149"/>
  <c r="E11" i="149"/>
  <c r="C31" i="149"/>
  <c r="D31" i="149"/>
  <c r="AU16" i="16"/>
  <c r="AC12" i="150"/>
  <c r="R12" i="150"/>
  <c r="S12" i="150" s="1"/>
  <c r="E12" i="150"/>
  <c r="N12" i="150"/>
  <c r="O12" i="150" s="1"/>
  <c r="AC11" i="150"/>
  <c r="R11" i="150"/>
  <c r="S11" i="150" s="1"/>
  <c r="C35" i="151"/>
  <c r="D35" i="151"/>
  <c r="C31" i="150"/>
  <c r="D31" i="150"/>
  <c r="C32" i="150"/>
  <c r="D32" i="150"/>
  <c r="AU16" i="18"/>
  <c r="AU13" i="18"/>
  <c r="AU19" i="18"/>
  <c r="AD8" i="150" s="1"/>
  <c r="AU16" i="17"/>
  <c r="AU13" i="17"/>
  <c r="AU19" i="17"/>
  <c r="AD9" i="150" s="1"/>
  <c r="AU13" i="16"/>
  <c r="AU19" i="16"/>
  <c r="AD10" i="150"/>
  <c r="AU16" i="19"/>
  <c r="AU13" i="19"/>
  <c r="AU19" i="19"/>
  <c r="AD7" i="150" s="1"/>
  <c r="AU17" i="20"/>
  <c r="F12" i="151" s="1"/>
  <c r="K12" i="151" s="1"/>
  <c r="AU16" i="20"/>
  <c r="G13" i="151"/>
  <c r="AE13" i="151" s="1"/>
  <c r="AU16" i="10"/>
  <c r="AF8" i="151" s="1"/>
  <c r="AU21" i="10"/>
  <c r="J8" i="151" s="1"/>
  <c r="AU13" i="10"/>
  <c r="AU19" i="10"/>
  <c r="AD8" i="151" s="1"/>
  <c r="AU16" i="23"/>
  <c r="AU21" i="23"/>
  <c r="J9" i="151"/>
  <c r="AU13" i="23"/>
  <c r="AU19" i="23"/>
  <c r="AD9" i="151" s="1"/>
  <c r="AU16" i="22"/>
  <c r="G10" i="151" s="1"/>
  <c r="AU21" i="22"/>
  <c r="J10" i="151" s="1"/>
  <c r="AU13" i="22"/>
  <c r="AF10" i="151"/>
  <c r="AU19" i="22"/>
  <c r="AD10" i="151" s="1"/>
  <c r="AU16" i="21"/>
  <c r="AU21" i="21"/>
  <c r="J11" i="151"/>
  <c r="AU13" i="21"/>
  <c r="AU19" i="21"/>
  <c r="AD11" i="151"/>
  <c r="AU21" i="20"/>
  <c r="J12" i="151"/>
  <c r="AU13" i="20"/>
  <c r="AU19" i="20"/>
  <c r="AD12" i="151"/>
  <c r="AU16" i="9"/>
  <c r="AU21" i="9"/>
  <c r="J7" i="151"/>
  <c r="AU13" i="9"/>
  <c r="AU19" i="9"/>
  <c r="AD7" i="151"/>
  <c r="AE7" i="144"/>
  <c r="AG7" i="144"/>
  <c r="AH7" i="144" s="1"/>
  <c r="AI7" i="144" s="1"/>
  <c r="AE8" i="144"/>
  <c r="AG8" i="144"/>
  <c r="AH8" i="144" s="1"/>
  <c r="AU13" i="7"/>
  <c r="AF9" i="144" s="1"/>
  <c r="AD9" i="144"/>
  <c r="J10" i="144"/>
  <c r="AD10" i="144"/>
  <c r="AE26" i="159"/>
  <c r="AF26" i="159"/>
  <c r="AE27" i="159"/>
  <c r="AF27" i="159"/>
  <c r="AE28" i="159"/>
  <c r="AF28" i="159"/>
  <c r="AE7" i="148"/>
  <c r="AF7" i="148"/>
  <c r="AE8" i="148"/>
  <c r="AF8" i="148"/>
  <c r="AG8" i="148"/>
  <c r="AH8" i="148" s="1"/>
  <c r="AU17" i="14"/>
  <c r="F8" i="149"/>
  <c r="AD9" i="149"/>
  <c r="AD10" i="149"/>
  <c r="AE11" i="149"/>
  <c r="G14" i="151"/>
  <c r="AE14" i="151"/>
  <c r="G15" i="151"/>
  <c r="AE15" i="151"/>
  <c r="F11" i="144"/>
  <c r="AF11" i="144"/>
  <c r="AF12" i="144"/>
  <c r="AC13" i="144"/>
  <c r="R13" i="144" s="1"/>
  <c r="S13" i="144" s="1"/>
  <c r="AU20" i="11"/>
  <c r="AC25" i="159"/>
  <c r="R25" i="159" s="1"/>
  <c r="S25" i="159" s="1"/>
  <c r="AC26" i="159"/>
  <c r="R26" i="159"/>
  <c r="S26" i="159" s="1"/>
  <c r="AC27" i="159"/>
  <c r="R27" i="159" s="1"/>
  <c r="S27" i="159" s="1"/>
  <c r="AC28" i="159"/>
  <c r="R28" i="159"/>
  <c r="S28" i="159"/>
  <c r="AC29" i="159"/>
  <c r="R29" i="159"/>
  <c r="S29" i="159" s="1"/>
  <c r="AC30" i="159"/>
  <c r="R30" i="159"/>
  <c r="S30" i="159" s="1"/>
  <c r="AC31" i="159"/>
  <c r="R31" i="159"/>
  <c r="S31" i="159" s="1"/>
  <c r="AC11" i="152"/>
  <c r="R11" i="152"/>
  <c r="S11" i="152" s="1"/>
  <c r="E11" i="152"/>
  <c r="N11" i="152" s="1"/>
  <c r="O11" i="152" s="1"/>
  <c r="N12" i="152"/>
  <c r="E11" i="150"/>
  <c r="N11" i="150" s="1"/>
  <c r="O11" i="150" s="1"/>
  <c r="AC13" i="148"/>
  <c r="R13" i="148"/>
  <c r="S13" i="148" s="1"/>
  <c r="E13" i="148"/>
  <c r="N13" i="148"/>
  <c r="O13" i="148"/>
  <c r="AC14" i="148"/>
  <c r="R14" i="148"/>
  <c r="S14" i="148" s="1"/>
  <c r="E14" i="148"/>
  <c r="N14" i="148" s="1"/>
  <c r="O14" i="148" s="1"/>
  <c r="AC10" i="149"/>
  <c r="R10" i="149" s="1"/>
  <c r="E10" i="149"/>
  <c r="AU18" i="81"/>
  <c r="AU18" i="11"/>
  <c r="AU17" i="53"/>
  <c r="AU17" i="52"/>
  <c r="AU17" i="51"/>
  <c r="AU17" i="50"/>
  <c r="AU17" i="49"/>
  <c r="AU17" i="84"/>
  <c r="AU17" i="83"/>
  <c r="AU17" i="82"/>
  <c r="AU17" i="81"/>
  <c r="AU17" i="80"/>
  <c r="AU17" i="79"/>
  <c r="AU17" i="78"/>
  <c r="AU17" i="85"/>
  <c r="AU18" i="61"/>
  <c r="AB11" i="158"/>
  <c r="AU17" i="61"/>
  <c r="F11" i="158"/>
  <c r="K11" i="158" s="1"/>
  <c r="AU18" i="70"/>
  <c r="AB10" i="157"/>
  <c r="AU18" i="69"/>
  <c r="AB11" i="157" s="1"/>
  <c r="E11" i="157" s="1"/>
  <c r="AU18" i="68"/>
  <c r="AB12" i="157" s="1"/>
  <c r="E12" i="157" s="1"/>
  <c r="AU18" i="67"/>
  <c r="AB13" i="157" s="1"/>
  <c r="E13" i="157" s="1"/>
  <c r="AU18" i="65"/>
  <c r="AB14" i="157" s="1"/>
  <c r="E14" i="157" s="1"/>
  <c r="AU18" i="66"/>
  <c r="AB15" i="157" s="1"/>
  <c r="AU18" i="64"/>
  <c r="AB16" i="157"/>
  <c r="E16" i="157" s="1"/>
  <c r="AU17" i="70"/>
  <c r="K10" i="157"/>
  <c r="AU17" i="69"/>
  <c r="K11" i="157"/>
  <c r="AU17" i="68"/>
  <c r="K12" i="157"/>
  <c r="AU17" i="67"/>
  <c r="K13" i="157"/>
  <c r="AU17" i="65"/>
  <c r="K14" i="157"/>
  <c r="AU17" i="66"/>
  <c r="K15" i="157"/>
  <c r="AU17" i="64"/>
  <c r="K16" i="157"/>
  <c r="AU17" i="77"/>
  <c r="F11" i="156"/>
  <c r="K11" i="156" s="1"/>
  <c r="AU18" i="77"/>
  <c r="AB11" i="156"/>
  <c r="AU17" i="76"/>
  <c r="F12" i="156" s="1"/>
  <c r="K12" i="156" s="1"/>
  <c r="AU18" i="76"/>
  <c r="AB12" i="156"/>
  <c r="AU17" i="75"/>
  <c r="F13" i="156"/>
  <c r="K13" i="156"/>
  <c r="AU18" i="75"/>
  <c r="AB13" i="156"/>
  <c r="AC13" i="156" s="1"/>
  <c r="R13" i="156" s="1"/>
  <c r="AU17" i="74"/>
  <c r="F14" i="156" s="1"/>
  <c r="K14" i="156" s="1"/>
  <c r="AU18" i="74"/>
  <c r="AB14" i="156" s="1"/>
  <c r="F11" i="154"/>
  <c r="K11" i="154"/>
  <c r="F12" i="154"/>
  <c r="K12" i="154"/>
  <c r="F13" i="154"/>
  <c r="K13" i="154"/>
  <c r="F14" i="154"/>
  <c r="K14" i="154"/>
  <c r="AU17" i="48"/>
  <c r="F15" i="154"/>
  <c r="K15" i="154"/>
  <c r="AU17" i="47"/>
  <c r="F16" i="154" s="1"/>
  <c r="K16" i="154" s="1"/>
  <c r="AU17" i="46"/>
  <c r="F17" i="154"/>
  <c r="K17" i="154" s="1"/>
  <c r="AU17" i="45"/>
  <c r="F18" i="154" s="1"/>
  <c r="K18" i="154" s="1"/>
  <c r="AU17" i="44"/>
  <c r="F19" i="154"/>
  <c r="K19" i="154"/>
  <c r="AU17" i="43"/>
  <c r="F20" i="154"/>
  <c r="K20" i="154" s="1"/>
  <c r="AU17" i="42"/>
  <c r="F21" i="154"/>
  <c r="K21" i="154" s="1"/>
  <c r="AU17" i="41"/>
  <c r="F22" i="154"/>
  <c r="K22" i="154" s="1"/>
  <c r="AU17" i="39"/>
  <c r="F23" i="154"/>
  <c r="K23" i="154" s="1"/>
  <c r="AU18" i="34"/>
  <c r="AB11" i="148" s="1"/>
  <c r="AU18" i="33"/>
  <c r="AB12" i="148" s="1"/>
  <c r="E12" i="148" s="1"/>
  <c r="K11" i="148"/>
  <c r="AU18" i="39"/>
  <c r="AB23" i="154"/>
  <c r="E10" i="154"/>
  <c r="S10" i="154"/>
  <c r="E11" i="154"/>
  <c r="S11" i="154" s="1"/>
  <c r="E12" i="154"/>
  <c r="S12" i="154" s="1"/>
  <c r="E13" i="154"/>
  <c r="S13" i="154" s="1"/>
  <c r="E14" i="154"/>
  <c r="S14" i="154" s="1"/>
  <c r="AU18" i="48"/>
  <c r="AB15" i="154" s="1"/>
  <c r="E15" i="154" s="1"/>
  <c r="AU18" i="47"/>
  <c r="AB16" i="154"/>
  <c r="E16" i="154" s="1"/>
  <c r="AU18" i="46"/>
  <c r="AB17" i="154"/>
  <c r="E17" i="154" s="1"/>
  <c r="AU18" i="45"/>
  <c r="AB18" i="154"/>
  <c r="E18" i="154" s="1"/>
  <c r="AU18" i="44"/>
  <c r="AB19" i="154"/>
  <c r="AU18" i="43"/>
  <c r="AB20" i="154"/>
  <c r="E20" i="154"/>
  <c r="AU18" i="42"/>
  <c r="AB21" i="154"/>
  <c r="AU18" i="41"/>
  <c r="AB22" i="154"/>
  <c r="E12" i="153"/>
  <c r="E15" i="153"/>
  <c r="E17" i="153"/>
  <c r="E18" i="153"/>
  <c r="E19" i="153"/>
  <c r="E21" i="153"/>
  <c r="E28" i="153"/>
  <c r="E30" i="153"/>
  <c r="E31" i="153"/>
  <c r="E34" i="153"/>
  <c r="E37" i="153"/>
  <c r="E39" i="153"/>
  <c r="E41" i="153"/>
  <c r="E43" i="153"/>
  <c r="E44" i="153"/>
  <c r="E48" i="153"/>
  <c r="E49" i="153"/>
  <c r="E51" i="153"/>
  <c r="E52" i="153"/>
  <c r="E53" i="153"/>
  <c r="E54" i="153"/>
  <c r="E65" i="153"/>
  <c r="AU17" i="117"/>
  <c r="F12" i="153"/>
  <c r="K12" i="153"/>
  <c r="AU17" i="118"/>
  <c r="F13" i="153"/>
  <c r="K13" i="153" s="1"/>
  <c r="AU17" i="119"/>
  <c r="F14" i="153" s="1"/>
  <c r="K14" i="153" s="1"/>
  <c r="AU17" i="121"/>
  <c r="F15" i="153"/>
  <c r="K15" i="153"/>
  <c r="AU17" i="122"/>
  <c r="F16" i="153" s="1"/>
  <c r="K16" i="153" s="1"/>
  <c r="AU17" i="123"/>
  <c r="F17" i="153"/>
  <c r="K17" i="153" s="1"/>
  <c r="AU17" i="120"/>
  <c r="F18" i="153"/>
  <c r="K18" i="153" s="1"/>
  <c r="AU17" i="124"/>
  <c r="F19" i="153"/>
  <c r="K19" i="153" s="1"/>
  <c r="AU17" i="125"/>
  <c r="F20" i="153" s="1"/>
  <c r="K20" i="153" s="1"/>
  <c r="AU17" i="126"/>
  <c r="F21" i="153" s="1"/>
  <c r="K21" i="153" s="1"/>
  <c r="AU17" i="127"/>
  <c r="F22" i="153" s="1"/>
  <c r="K22" i="153" s="1"/>
  <c r="AU17" i="128"/>
  <c r="F23" i="153" s="1"/>
  <c r="K23" i="153" s="1"/>
  <c r="AU17" i="129"/>
  <c r="F24" i="153"/>
  <c r="K24" i="153" s="1"/>
  <c r="AU17" i="130"/>
  <c r="F25" i="153" s="1"/>
  <c r="K25" i="153" s="1"/>
  <c r="AU17" i="131"/>
  <c r="F26" i="153"/>
  <c r="K26" i="153" s="1"/>
  <c r="AU17" i="132"/>
  <c r="F27" i="153"/>
  <c r="K27" i="153"/>
  <c r="AU17" i="133"/>
  <c r="F28" i="153"/>
  <c r="K28" i="153" s="1"/>
  <c r="AU17" i="134"/>
  <c r="F29" i="153" s="1"/>
  <c r="K29" i="153" s="1"/>
  <c r="AU17" i="135"/>
  <c r="F30" i="153" s="1"/>
  <c r="K30" i="153" s="1"/>
  <c r="AU17" i="136"/>
  <c r="F31" i="153"/>
  <c r="K31" i="153"/>
  <c r="AU17" i="137"/>
  <c r="F32" i="153" s="1"/>
  <c r="K32" i="153" s="1"/>
  <c r="AU17" i="138"/>
  <c r="F33" i="153"/>
  <c r="K33" i="153"/>
  <c r="AU17" i="139"/>
  <c r="F34" i="153"/>
  <c r="K34" i="153" s="1"/>
  <c r="AU17" i="95"/>
  <c r="F35" i="153" s="1"/>
  <c r="K35" i="153" s="1"/>
  <c r="AU17" i="104"/>
  <c r="F36" i="153"/>
  <c r="K36" i="153"/>
  <c r="AU17" i="105"/>
  <c r="F37" i="153" s="1"/>
  <c r="K37" i="153" s="1"/>
  <c r="AU17" i="106"/>
  <c r="F38" i="153"/>
  <c r="K38" i="153" s="1"/>
  <c r="AU17" i="107"/>
  <c r="F39" i="153" s="1"/>
  <c r="K39" i="153" s="1"/>
  <c r="AU17" i="108"/>
  <c r="F40" i="153"/>
  <c r="K40" i="153"/>
  <c r="AU17" i="109"/>
  <c r="F41" i="153"/>
  <c r="K41" i="153" s="1"/>
  <c r="AU17" i="110"/>
  <c r="F42" i="153"/>
  <c r="K42" i="153" s="1"/>
  <c r="AU17" i="111"/>
  <c r="F43" i="153"/>
  <c r="K43" i="153" s="1"/>
  <c r="AU17" i="112"/>
  <c r="F44" i="153"/>
  <c r="K44" i="153" s="1"/>
  <c r="AU17" i="96"/>
  <c r="F45" i="153" s="1"/>
  <c r="K45" i="153" s="1"/>
  <c r="AU17" i="97"/>
  <c r="F46" i="153" s="1"/>
  <c r="K46" i="153" s="1"/>
  <c r="AU17" i="98"/>
  <c r="F47" i="153"/>
  <c r="K47" i="153" s="1"/>
  <c r="AU17" i="99"/>
  <c r="F48" i="153"/>
  <c r="K48" i="153"/>
  <c r="AU17" i="100"/>
  <c r="F49" i="153"/>
  <c r="K49" i="153" s="1"/>
  <c r="AU17" i="101"/>
  <c r="F50" i="153"/>
  <c r="K50" i="153"/>
  <c r="AU17" i="102"/>
  <c r="F51" i="153"/>
  <c r="K51" i="153" s="1"/>
  <c r="AU17" i="103"/>
  <c r="F52" i="153"/>
  <c r="K52" i="153" s="1"/>
  <c r="AU17" i="86"/>
  <c r="F53" i="153"/>
  <c r="K53" i="153" s="1"/>
  <c r="AU17" i="87"/>
  <c r="F54" i="153" s="1"/>
  <c r="K54" i="153" s="1"/>
  <c r="AU17" i="88"/>
  <c r="F55" i="153"/>
  <c r="K55" i="153" s="1"/>
  <c r="AU17" i="89"/>
  <c r="F56" i="153" s="1"/>
  <c r="K56" i="153" s="1"/>
  <c r="AU17" i="90"/>
  <c r="F57" i="153"/>
  <c r="K57" i="153" s="1"/>
  <c r="AU17" i="91"/>
  <c r="F58" i="153"/>
  <c r="K58" i="153" s="1"/>
  <c r="AU17" i="92"/>
  <c r="F59" i="153" s="1"/>
  <c r="K59" i="153" s="1"/>
  <c r="AU17" i="93"/>
  <c r="F60" i="153"/>
  <c r="K60" i="153"/>
  <c r="AU17" i="140"/>
  <c r="F61" i="153"/>
  <c r="K61" i="153" s="1"/>
  <c r="AU17" i="141"/>
  <c r="F62" i="153"/>
  <c r="K62" i="153" s="1"/>
  <c r="AU17" i="142"/>
  <c r="F63" i="153"/>
  <c r="K63" i="153" s="1"/>
  <c r="AU17" i="143"/>
  <c r="F64" i="153"/>
  <c r="K64" i="153" s="1"/>
  <c r="AU17" i="94"/>
  <c r="F65" i="153" s="1"/>
  <c r="K65" i="153" s="1"/>
  <c r="AU17" i="28"/>
  <c r="F10" i="146" s="1"/>
  <c r="K10" i="146" s="1"/>
  <c r="AU17" i="27"/>
  <c r="F11" i="146"/>
  <c r="K11" i="146" s="1"/>
  <c r="AU17" i="26"/>
  <c r="F12" i="146"/>
  <c r="K12" i="146"/>
  <c r="AU17" i="25"/>
  <c r="F13" i="146"/>
  <c r="K13" i="146" s="1"/>
  <c r="AU18" i="27"/>
  <c r="AB11" i="146" s="1"/>
  <c r="AU18" i="26"/>
  <c r="AB12" i="146"/>
  <c r="E12" i="146" s="1"/>
  <c r="AU18" i="25"/>
  <c r="AB13" i="146"/>
  <c r="AU18" i="28"/>
  <c r="AB10" i="146" s="1"/>
  <c r="E10" i="146" s="1"/>
  <c r="S7" i="144"/>
  <c r="AU17" i="9"/>
  <c r="AU18" i="14"/>
  <c r="AB8" i="149"/>
  <c r="AC9" i="149"/>
  <c r="R9" i="149" s="1"/>
  <c r="S9" i="149" s="1"/>
  <c r="E9" i="149"/>
  <c r="E8" i="148"/>
  <c r="S8" i="148"/>
  <c r="AU18" i="13"/>
  <c r="AB9" i="148"/>
  <c r="E9" i="148" s="1"/>
  <c r="S9" i="148" s="1"/>
  <c r="R9" i="148"/>
  <c r="AU18" i="12"/>
  <c r="AB10" i="148"/>
  <c r="AC10" i="148"/>
  <c r="E8" i="147"/>
  <c r="N8" i="147"/>
  <c r="AU18" i="30"/>
  <c r="AB8" i="146"/>
  <c r="AU18" i="29"/>
  <c r="AB9" i="146"/>
  <c r="AC9" i="146"/>
  <c r="R9" i="146" s="1"/>
  <c r="S9" i="146" s="1"/>
  <c r="AU18" i="4"/>
  <c r="AB8" i="152" s="1"/>
  <c r="AU18" i="2"/>
  <c r="AB9" i="152"/>
  <c r="AU18" i="1"/>
  <c r="AB10" i="152" s="1"/>
  <c r="AC10" i="152" s="1"/>
  <c r="R10" i="152" s="1"/>
  <c r="E9" i="153"/>
  <c r="S9" i="153"/>
  <c r="E8" i="154"/>
  <c r="S8" i="154" s="1"/>
  <c r="E9" i="154"/>
  <c r="S9" i="154" s="1"/>
  <c r="E8" i="155"/>
  <c r="N8" i="155" s="1"/>
  <c r="AC8" i="155"/>
  <c r="R8" i="155"/>
  <c r="S8" i="155" s="1"/>
  <c r="AU18" i="36"/>
  <c r="AB8" i="156" s="1"/>
  <c r="AU18" i="35"/>
  <c r="AB9" i="156"/>
  <c r="E9" i="156" s="1"/>
  <c r="H22" i="156" s="1"/>
  <c r="F17" i="160" s="1"/>
  <c r="AU18" i="24"/>
  <c r="AB10" i="156" s="1"/>
  <c r="E10" i="156" s="1"/>
  <c r="AU18" i="72"/>
  <c r="AB8" i="157" s="1"/>
  <c r="AU18" i="71"/>
  <c r="AB9" i="157"/>
  <c r="AU18" i="62"/>
  <c r="AB8" i="158"/>
  <c r="AU18" i="60"/>
  <c r="AB9" i="158"/>
  <c r="AU18" i="58"/>
  <c r="AB10" i="158" s="1"/>
  <c r="AU18" i="18"/>
  <c r="AB8" i="150"/>
  <c r="AC8" i="150" s="1"/>
  <c r="R8" i="150" s="1"/>
  <c r="AU18" i="17"/>
  <c r="AB9" i="150" s="1"/>
  <c r="AU18" i="16"/>
  <c r="AB10" i="150" s="1"/>
  <c r="AU18" i="15"/>
  <c r="AB7" i="149" s="1"/>
  <c r="AC7" i="149" s="1"/>
  <c r="E7" i="148"/>
  <c r="S7" i="148" s="1"/>
  <c r="AU18" i="32"/>
  <c r="AB7" i="147" s="1"/>
  <c r="AC7" i="147" s="1"/>
  <c r="AU18" i="31"/>
  <c r="AB7" i="146" s="1"/>
  <c r="AU18" i="3"/>
  <c r="AB7" i="152"/>
  <c r="AC7" i="152" s="1"/>
  <c r="R7" i="152" s="1"/>
  <c r="E8" i="153"/>
  <c r="E7" i="154"/>
  <c r="E19" i="154"/>
  <c r="E22" i="154"/>
  <c r="F7" i="154"/>
  <c r="K7" i="154" s="1"/>
  <c r="F8" i="154"/>
  <c r="K8" i="154"/>
  <c r="F9" i="154"/>
  <c r="F10" i="154"/>
  <c r="K10" i="154" s="1"/>
  <c r="AU18" i="37"/>
  <c r="AB7" i="156"/>
  <c r="AU18" i="73"/>
  <c r="AB7" i="157" s="1"/>
  <c r="E10" i="157"/>
  <c r="AU18" i="63"/>
  <c r="AB7" i="158"/>
  <c r="AU18" i="19"/>
  <c r="AB7" i="150" s="1"/>
  <c r="AC7" i="150" s="1"/>
  <c r="K8" i="148"/>
  <c r="AU17" i="13"/>
  <c r="F9" i="148"/>
  <c r="K9" i="148" s="1"/>
  <c r="AU17" i="12"/>
  <c r="F10" i="148" s="1"/>
  <c r="K10" i="148" s="1"/>
  <c r="AU17" i="30"/>
  <c r="F8" i="146"/>
  <c r="K8" i="146" s="1"/>
  <c r="AU17" i="29"/>
  <c r="F9" i="146" s="1"/>
  <c r="K9" i="146" s="1"/>
  <c r="AU17" i="4"/>
  <c r="K8" i="152"/>
  <c r="AU17" i="2"/>
  <c r="F9" i="152"/>
  <c r="K9" i="152" s="1"/>
  <c r="AU17" i="1"/>
  <c r="AU17" i="114"/>
  <c r="F9" i="153" s="1"/>
  <c r="K9" i="153" s="1"/>
  <c r="AU17" i="115"/>
  <c r="F10" i="153"/>
  <c r="K10" i="153" s="1"/>
  <c r="AU17" i="116"/>
  <c r="F11" i="153" s="1"/>
  <c r="K11" i="153" s="1"/>
  <c r="AU17" i="36"/>
  <c r="F8" i="156" s="1"/>
  <c r="K8" i="156" s="1"/>
  <c r="AU17" i="35"/>
  <c r="F9" i="156"/>
  <c r="K9" i="156" s="1"/>
  <c r="AU17" i="24"/>
  <c r="F10" i="156" s="1"/>
  <c r="K10" i="156" s="1"/>
  <c r="AU17" i="72"/>
  <c r="K8" i="157"/>
  <c r="AU17" i="71"/>
  <c r="K9" i="157"/>
  <c r="AU17" i="62"/>
  <c r="F8" i="158" s="1"/>
  <c r="K8" i="158" s="1"/>
  <c r="AU17" i="60"/>
  <c r="K9" i="158"/>
  <c r="AU17" i="58"/>
  <c r="K10" i="158"/>
  <c r="AU17" i="56"/>
  <c r="AU17" i="55"/>
  <c r="AU17" i="54"/>
  <c r="AU17" i="15"/>
  <c r="F7" i="149"/>
  <c r="K7" i="149" s="1"/>
  <c r="K7" i="148"/>
  <c r="AU17" i="32"/>
  <c r="F7" i="147"/>
  <c r="F21" i="147" s="1"/>
  <c r="AU17" i="31"/>
  <c r="F7" i="146"/>
  <c r="K7" i="146" s="1"/>
  <c r="AU17" i="3"/>
  <c r="K7" i="152"/>
  <c r="AU17" i="113"/>
  <c r="F8" i="153"/>
  <c r="AU17" i="38"/>
  <c r="F7" i="155"/>
  <c r="AU17" i="37"/>
  <c r="F7" i="156"/>
  <c r="K7" i="156"/>
  <c r="AU17" i="73"/>
  <c r="AU17" i="63"/>
  <c r="F7" i="158" s="1"/>
  <c r="AU17" i="57"/>
  <c r="AC8" i="148"/>
  <c r="AC8" i="154"/>
  <c r="AC7" i="148"/>
  <c r="AC7" i="154"/>
  <c r="AU18" i="10"/>
  <c r="AB8" i="151"/>
  <c r="E8" i="151"/>
  <c r="AU18" i="23"/>
  <c r="AB9" i="151"/>
  <c r="E9" i="151" s="1"/>
  <c r="AU18" i="22"/>
  <c r="AB10" i="151" s="1"/>
  <c r="E10" i="151" s="1"/>
  <c r="AU18" i="21"/>
  <c r="AB11" i="151" s="1"/>
  <c r="AU18" i="20"/>
  <c r="AB12" i="151"/>
  <c r="E12" i="151" s="1"/>
  <c r="AU18" i="9"/>
  <c r="AB7" i="151" s="1"/>
  <c r="E13" i="151"/>
  <c r="N13" i="151" s="1"/>
  <c r="O13" i="151" s="1"/>
  <c r="E14" i="151"/>
  <c r="N14" i="151" s="1"/>
  <c r="O14" i="151" s="1"/>
  <c r="E15" i="151"/>
  <c r="N15" i="151" s="1"/>
  <c r="AU20" i="20"/>
  <c r="I12" i="151" s="1"/>
  <c r="AU17" i="10"/>
  <c r="K8" i="151"/>
  <c r="AU17" i="23"/>
  <c r="K9" i="151"/>
  <c r="AU17" i="22"/>
  <c r="K10" i="151"/>
  <c r="AU17" i="21"/>
  <c r="F11" i="151"/>
  <c r="K11" i="151" s="1"/>
  <c r="M12" i="144"/>
  <c r="K8" i="144"/>
  <c r="K7" i="144"/>
  <c r="C33" i="144"/>
  <c r="D33" i="144"/>
  <c r="S8" i="144"/>
  <c r="AC11" i="144"/>
  <c r="R11" i="144" s="1"/>
  <c r="S11" i="144" s="1"/>
  <c r="AC12" i="144"/>
  <c r="R12" i="144"/>
  <c r="S12" i="144" s="1"/>
  <c r="I7" i="154"/>
  <c r="I9" i="154"/>
  <c r="AC9" i="154"/>
  <c r="I10" i="154"/>
  <c r="AC10" i="154"/>
  <c r="I8" i="154"/>
  <c r="I11" i="154"/>
  <c r="AC11" i="154"/>
  <c r="I12" i="154"/>
  <c r="AC12" i="154"/>
  <c r="I13" i="154"/>
  <c r="AC13" i="154"/>
  <c r="I14" i="154"/>
  <c r="AC14" i="154"/>
  <c r="G11" i="152"/>
  <c r="AE11" i="152"/>
  <c r="AF11" i="152"/>
  <c r="G14" i="148"/>
  <c r="G13" i="148"/>
  <c r="D29" i="148"/>
  <c r="D30" i="148"/>
  <c r="C29" i="148"/>
  <c r="C30" i="148"/>
  <c r="AE12" i="150"/>
  <c r="AE13" i="144"/>
  <c r="C30" i="149"/>
  <c r="D29" i="149"/>
  <c r="AC7" i="144"/>
  <c r="AC8" i="144"/>
  <c r="C29" i="149"/>
  <c r="D30" i="149"/>
  <c r="C33" i="151"/>
  <c r="D33" i="151"/>
  <c r="C34" i="151"/>
  <c r="D34" i="151"/>
  <c r="D95" i="6"/>
  <c r="C28" i="144"/>
  <c r="D28" i="144"/>
  <c r="D31" i="144"/>
  <c r="D32" i="144"/>
  <c r="D27" i="144"/>
  <c r="C27" i="144"/>
  <c r="D31" i="152"/>
  <c r="AF66" i="153"/>
  <c r="X66" i="153"/>
  <c r="C31" i="152"/>
  <c r="D35" i="148"/>
  <c r="D36" i="148"/>
  <c r="AF14" i="148"/>
  <c r="AF13" i="148"/>
  <c r="C35" i="148"/>
  <c r="C36" i="148"/>
  <c r="AU11" i="34"/>
  <c r="X13" i="148" s="1"/>
  <c r="AU12" i="34"/>
  <c r="Y13" i="148" s="1"/>
  <c r="AU11" i="33"/>
  <c r="X14" i="148"/>
  <c r="AU12" i="33"/>
  <c r="Y14" i="148" s="1"/>
  <c r="C32" i="144"/>
  <c r="C31" i="144"/>
  <c r="Y22" i="160"/>
  <c r="W22" i="160"/>
  <c r="U22" i="160"/>
  <c r="S22" i="160"/>
  <c r="Q22" i="160"/>
  <c r="O22" i="160"/>
  <c r="M22" i="160"/>
  <c r="K22" i="160"/>
  <c r="AA22" i="160" s="1"/>
  <c r="X22" i="160"/>
  <c r="V22" i="160"/>
  <c r="P22" i="160"/>
  <c r="R22" i="160"/>
  <c r="T22" i="160"/>
  <c r="AU7" i="62"/>
  <c r="Z8" i="158" s="1"/>
  <c r="D28" i="158" s="1"/>
  <c r="C28" i="158"/>
  <c r="AU7" i="60"/>
  <c r="Z9" i="158" s="1"/>
  <c r="D29" i="158" s="1"/>
  <c r="C29" i="158"/>
  <c r="AU7" i="58"/>
  <c r="Z10" i="158" s="1"/>
  <c r="D30" i="158" s="1"/>
  <c r="C30" i="158"/>
  <c r="AU7" i="61"/>
  <c r="Z11" i="158"/>
  <c r="D31" i="158"/>
  <c r="C31" i="158"/>
  <c r="AU7" i="63"/>
  <c r="Z7" i="158" s="1"/>
  <c r="D27" i="158" s="1"/>
  <c r="AU7" i="72"/>
  <c r="Z8" i="157"/>
  <c r="D28" i="157"/>
  <c r="C28" i="157"/>
  <c r="AU7" i="71"/>
  <c r="Z9" i="157" s="1"/>
  <c r="D29" i="157" s="1"/>
  <c r="C29" i="157"/>
  <c r="AU7" i="70"/>
  <c r="Z10" i="157" s="1"/>
  <c r="D30" i="157" s="1"/>
  <c r="C30" i="157"/>
  <c r="AU7" i="69"/>
  <c r="Z11" i="157"/>
  <c r="D31" i="157" s="1"/>
  <c r="C31" i="157"/>
  <c r="AU7" i="68"/>
  <c r="Z12" i="157"/>
  <c r="D32" i="157" s="1"/>
  <c r="C32" i="157"/>
  <c r="AU7" i="67"/>
  <c r="Z13" i="157"/>
  <c r="D33" i="157" s="1"/>
  <c r="C33" i="157"/>
  <c r="AU7" i="65"/>
  <c r="Z14" i="157" s="1"/>
  <c r="D34" i="157" s="1"/>
  <c r="C34" i="157"/>
  <c r="AU7" i="66"/>
  <c r="Z15" i="157"/>
  <c r="D35" i="157" s="1"/>
  <c r="C35" i="157"/>
  <c r="AU7" i="64"/>
  <c r="Z16" i="157"/>
  <c r="D36" i="157"/>
  <c r="C36" i="157"/>
  <c r="AU7" i="73"/>
  <c r="Z7" i="157" s="1"/>
  <c r="D27" i="157" s="1"/>
  <c r="AU7" i="36"/>
  <c r="Z8" i="156" s="1"/>
  <c r="D28" i="156" s="1"/>
  <c r="C28" i="156"/>
  <c r="AU7" i="35"/>
  <c r="Z9" i="156"/>
  <c r="D29" i="156"/>
  <c r="C29" i="156"/>
  <c r="AU7" i="24"/>
  <c r="Z10" i="156" s="1"/>
  <c r="D30" i="156" s="1"/>
  <c r="C30" i="156"/>
  <c r="AU7" i="77"/>
  <c r="Z11" i="156" s="1"/>
  <c r="D31" i="156" s="1"/>
  <c r="C31" i="156"/>
  <c r="AU7" i="76"/>
  <c r="Z12" i="156" s="1"/>
  <c r="D32" i="156" s="1"/>
  <c r="C32" i="156"/>
  <c r="AU7" i="75"/>
  <c r="Z13" i="156" s="1"/>
  <c r="D33" i="156" s="1"/>
  <c r="C33" i="156"/>
  <c r="AU7" i="74"/>
  <c r="Z14" i="156" s="1"/>
  <c r="D34" i="156" s="1"/>
  <c r="C34" i="156"/>
  <c r="AU7" i="37"/>
  <c r="Z7" i="156"/>
  <c r="D27" i="156" s="1"/>
  <c r="AU7" i="32"/>
  <c r="Z7" i="147"/>
  <c r="D27" i="147" s="1"/>
  <c r="AU7" i="30"/>
  <c r="Z8" i="146"/>
  <c r="D28" i="146" s="1"/>
  <c r="AU7" i="29"/>
  <c r="Z9" i="146"/>
  <c r="D29" i="146" s="1"/>
  <c r="AU7" i="28"/>
  <c r="Z10" i="146" s="1"/>
  <c r="D30" i="146" s="1"/>
  <c r="AU7" i="27"/>
  <c r="Z11" i="146"/>
  <c r="D31" i="146" s="1"/>
  <c r="AU7" i="26"/>
  <c r="Z12" i="146" s="1"/>
  <c r="D32" i="146" s="1"/>
  <c r="AU7" i="25"/>
  <c r="Z13" i="146" s="1"/>
  <c r="D33" i="146" s="1"/>
  <c r="AU7" i="31"/>
  <c r="Z7" i="146" s="1"/>
  <c r="D27" i="146" s="1"/>
  <c r="C28" i="146"/>
  <c r="C29" i="146"/>
  <c r="C30" i="146"/>
  <c r="C31" i="146"/>
  <c r="C32" i="146"/>
  <c r="C33" i="146"/>
  <c r="C27" i="146"/>
  <c r="C27" i="147"/>
  <c r="C27" i="156"/>
  <c r="C27" i="157"/>
  <c r="C27" i="158"/>
  <c r="AU7" i="56"/>
  <c r="Z8" i="159"/>
  <c r="D41" i="159" s="1"/>
  <c r="AU7" i="55"/>
  <c r="Z9" i="159"/>
  <c r="D42" i="159" s="1"/>
  <c r="AU7" i="54"/>
  <c r="Z10" i="159" s="1"/>
  <c r="D43" i="159" s="1"/>
  <c r="AU7" i="53"/>
  <c r="Z11" i="159"/>
  <c r="D44" i="159" s="1"/>
  <c r="AU7" i="52"/>
  <c r="Z12" i="159" s="1"/>
  <c r="D45" i="159" s="1"/>
  <c r="AU7" i="51"/>
  <c r="Z13" i="159" s="1"/>
  <c r="D46" i="159" s="1"/>
  <c r="AU7" i="50"/>
  <c r="Z14" i="159" s="1"/>
  <c r="D47" i="159" s="1"/>
  <c r="AU7" i="49"/>
  <c r="Z15" i="159"/>
  <c r="D48" i="159" s="1"/>
  <c r="AU7" i="84"/>
  <c r="Z16" i="159"/>
  <c r="D49" i="159" s="1"/>
  <c r="AU7" i="83"/>
  <c r="Z17" i="159" s="1"/>
  <c r="D50" i="159" s="1"/>
  <c r="AU7" i="82"/>
  <c r="Z18" i="159" s="1"/>
  <c r="D51" i="159" s="1"/>
  <c r="AU7" i="81"/>
  <c r="D52" i="159"/>
  <c r="AU7" i="80"/>
  <c r="Z20" i="159"/>
  <c r="D53" i="159" s="1"/>
  <c r="AU7" i="79"/>
  <c r="Z21" i="159" s="1"/>
  <c r="D54" i="159" s="1"/>
  <c r="AU7" i="78"/>
  <c r="Z22" i="159"/>
  <c r="D55" i="159" s="1"/>
  <c r="AU7" i="85"/>
  <c r="Z23" i="159" s="1"/>
  <c r="D56" i="159" s="1"/>
  <c r="AU7" i="11"/>
  <c r="D57" i="159"/>
  <c r="AU7" i="57"/>
  <c r="Z7" i="159"/>
  <c r="D40" i="159" s="1"/>
  <c r="C41" i="159"/>
  <c r="C42" i="159"/>
  <c r="C43" i="159"/>
  <c r="C44" i="159"/>
  <c r="C45" i="159"/>
  <c r="C46" i="159"/>
  <c r="C47" i="159"/>
  <c r="C48" i="159"/>
  <c r="C49" i="159"/>
  <c r="C50" i="159"/>
  <c r="C51" i="159"/>
  <c r="C52" i="159"/>
  <c r="C53" i="159"/>
  <c r="C54" i="159"/>
  <c r="C55" i="159"/>
  <c r="C56" i="159"/>
  <c r="C57" i="159"/>
  <c r="C40" i="159"/>
  <c r="AU12" i="11"/>
  <c r="AU11" i="11"/>
  <c r="AU12" i="85"/>
  <c r="Y23" i="159" s="1"/>
  <c r="AU11" i="85"/>
  <c r="X23" i="159" s="1"/>
  <c r="AU20" i="85"/>
  <c r="AU12" i="78"/>
  <c r="Y22" i="159" s="1"/>
  <c r="AU11" i="78"/>
  <c r="X22" i="159" s="1"/>
  <c r="AU20" i="78"/>
  <c r="AU12" i="79"/>
  <c r="Y21" i="159" s="1"/>
  <c r="AU11" i="79"/>
  <c r="X21" i="159" s="1"/>
  <c r="AU20" i="79"/>
  <c r="AU12" i="80"/>
  <c r="Y20" i="159"/>
  <c r="AU11" i="80"/>
  <c r="X20" i="159" s="1"/>
  <c r="AU20" i="80"/>
  <c r="AU12" i="81"/>
  <c r="AU11" i="81"/>
  <c r="AU20" i="81"/>
  <c r="AU12" i="82"/>
  <c r="Y18" i="159" s="1"/>
  <c r="AU11" i="82"/>
  <c r="X18" i="159" s="1"/>
  <c r="AU20" i="82"/>
  <c r="AU12" i="83"/>
  <c r="Y17" i="159" s="1"/>
  <c r="AU11" i="83"/>
  <c r="X17" i="159" s="1"/>
  <c r="AU20" i="83"/>
  <c r="AU12" i="84"/>
  <c r="Y16" i="159"/>
  <c r="AU11" i="84"/>
  <c r="X16" i="159"/>
  <c r="AU20" i="84"/>
  <c r="AU12" i="49"/>
  <c r="Y15" i="159" s="1"/>
  <c r="AU11" i="49"/>
  <c r="X15" i="159"/>
  <c r="AU20" i="49"/>
  <c r="AU12" i="50"/>
  <c r="Y14" i="159"/>
  <c r="AU11" i="50"/>
  <c r="X14" i="159"/>
  <c r="AU20" i="50"/>
  <c r="AU12" i="51"/>
  <c r="Y13" i="159"/>
  <c r="AU11" i="51"/>
  <c r="X13" i="159"/>
  <c r="AU20" i="51"/>
  <c r="AU12" i="52"/>
  <c r="Y12" i="159"/>
  <c r="AU11" i="52"/>
  <c r="X12" i="159" s="1"/>
  <c r="AU20" i="52"/>
  <c r="AU12" i="53"/>
  <c r="Y11" i="159"/>
  <c r="AU11" i="53"/>
  <c r="X11" i="159" s="1"/>
  <c r="AU20" i="53"/>
  <c r="AU12" i="54"/>
  <c r="Y10" i="159"/>
  <c r="AU11" i="54"/>
  <c r="X10" i="159"/>
  <c r="AU20" i="54"/>
  <c r="AU12" i="55"/>
  <c r="Y9" i="159" s="1"/>
  <c r="AU11" i="55"/>
  <c r="X9" i="159" s="1"/>
  <c r="AU20" i="55"/>
  <c r="AU12" i="56"/>
  <c r="Y8" i="159"/>
  <c r="AU11" i="56"/>
  <c r="X8" i="159" s="1"/>
  <c r="AU20" i="56"/>
  <c r="AU12" i="57"/>
  <c r="Y7" i="159" s="1"/>
  <c r="AU11" i="57"/>
  <c r="X7" i="159"/>
  <c r="AU20" i="57"/>
  <c r="AU12" i="61"/>
  <c r="Y11" i="158" s="1"/>
  <c r="AU11" i="61"/>
  <c r="X11" i="158"/>
  <c r="AU20" i="61"/>
  <c r="I11" i="158" s="1"/>
  <c r="AU12" i="58"/>
  <c r="Y10" i="158" s="1"/>
  <c r="AU11" i="58"/>
  <c r="X10" i="158"/>
  <c r="AU20" i="58"/>
  <c r="I10" i="158"/>
  <c r="AU12" i="60"/>
  <c r="Y9" i="158"/>
  <c r="AU11" i="60"/>
  <c r="X9" i="158"/>
  <c r="AU20" i="60"/>
  <c r="I9" i="158"/>
  <c r="AU12" i="63"/>
  <c r="Y7" i="158" s="1"/>
  <c r="AU11" i="63"/>
  <c r="X7" i="158"/>
  <c r="AU20" i="63"/>
  <c r="I7" i="158"/>
  <c r="AU12" i="62"/>
  <c r="Y8" i="158" s="1"/>
  <c r="AU11" i="62"/>
  <c r="X8" i="158"/>
  <c r="AU20" i="62"/>
  <c r="I8" i="158"/>
  <c r="AU12" i="64"/>
  <c r="Y16" i="157" s="1"/>
  <c r="AU11" i="64"/>
  <c r="X16" i="157" s="1"/>
  <c r="AU20" i="64"/>
  <c r="I16" i="157"/>
  <c r="AU12" i="66"/>
  <c r="Y15" i="157" s="1"/>
  <c r="AU11" i="66"/>
  <c r="X15" i="157" s="1"/>
  <c r="AU20" i="66"/>
  <c r="I15" i="157"/>
  <c r="AU12" i="65"/>
  <c r="Y14" i="157"/>
  <c r="AU11" i="65"/>
  <c r="X14" i="157" s="1"/>
  <c r="AU20" i="65"/>
  <c r="I14" i="157"/>
  <c r="AU12" i="67"/>
  <c r="Y13" i="157"/>
  <c r="AU11" i="67"/>
  <c r="X13" i="157" s="1"/>
  <c r="AU20" i="67"/>
  <c r="I13" i="157"/>
  <c r="AU12" i="68"/>
  <c r="Y12" i="157"/>
  <c r="AU11" i="68"/>
  <c r="X12" i="157" s="1"/>
  <c r="AU20" i="68"/>
  <c r="I12" i="157"/>
  <c r="AU12" i="69"/>
  <c r="Y11" i="157"/>
  <c r="AU11" i="69"/>
  <c r="X11" i="157" s="1"/>
  <c r="AU20" i="69"/>
  <c r="I11" i="157" s="1"/>
  <c r="AU12" i="70"/>
  <c r="Y10" i="157"/>
  <c r="AU11" i="70"/>
  <c r="X10" i="157" s="1"/>
  <c r="AU20" i="70"/>
  <c r="I10" i="157" s="1"/>
  <c r="AU12" i="71"/>
  <c r="Y9" i="157"/>
  <c r="AU11" i="71"/>
  <c r="X9" i="157"/>
  <c r="AU20" i="71"/>
  <c r="I9" i="157" s="1"/>
  <c r="AU12" i="72"/>
  <c r="Y8" i="157"/>
  <c r="AU11" i="72"/>
  <c r="X8" i="157"/>
  <c r="AU20" i="72"/>
  <c r="I8" i="157" s="1"/>
  <c r="AU12" i="73"/>
  <c r="Y7" i="157"/>
  <c r="AU11" i="73"/>
  <c r="X7" i="157"/>
  <c r="AU20" i="73"/>
  <c r="I7" i="157" s="1"/>
  <c r="AU12" i="77"/>
  <c r="Y11" i="156"/>
  <c r="AU11" i="77"/>
  <c r="X11" i="156"/>
  <c r="AU20" i="77"/>
  <c r="I11" i="156" s="1"/>
  <c r="AU12" i="76"/>
  <c r="Y12" i="156" s="1"/>
  <c r="AU11" i="76"/>
  <c r="X12" i="156"/>
  <c r="AU20" i="76"/>
  <c r="I12" i="156" s="1"/>
  <c r="AU12" i="75"/>
  <c r="Y13" i="156" s="1"/>
  <c r="AU11" i="75"/>
  <c r="X13" i="156"/>
  <c r="AU20" i="75"/>
  <c r="I13" i="156"/>
  <c r="AU12" i="74"/>
  <c r="Y14" i="156" s="1"/>
  <c r="AU11" i="74"/>
  <c r="X14" i="156"/>
  <c r="AU20" i="74"/>
  <c r="I14" i="156"/>
  <c r="AU12" i="24"/>
  <c r="Y10" i="156" s="1"/>
  <c r="AU11" i="24"/>
  <c r="X10" i="156"/>
  <c r="AU20" i="24"/>
  <c r="I10" i="156"/>
  <c r="AU12" i="35"/>
  <c r="Y9" i="156" s="1"/>
  <c r="AU11" i="35"/>
  <c r="X9" i="156"/>
  <c r="AU20" i="35"/>
  <c r="I9" i="156"/>
  <c r="AU12" i="36"/>
  <c r="Y8" i="156" s="1"/>
  <c r="AU11" i="36"/>
  <c r="X8" i="156" s="1"/>
  <c r="AU20" i="36"/>
  <c r="I8" i="156"/>
  <c r="AU12" i="37"/>
  <c r="Y7" i="156" s="1"/>
  <c r="AU11" i="37"/>
  <c r="X7" i="156" s="1"/>
  <c r="AU20" i="37"/>
  <c r="I7" i="156"/>
  <c r="AU7" i="38"/>
  <c r="Z7" i="155"/>
  <c r="D27" i="155" s="1"/>
  <c r="AU12" i="38"/>
  <c r="Y7" i="155"/>
  <c r="AU11" i="38"/>
  <c r="X7" i="155" s="1"/>
  <c r="AU20" i="38"/>
  <c r="I7" i="155" s="1"/>
  <c r="AU12" i="39"/>
  <c r="Y23" i="154"/>
  <c r="AU11" i="39"/>
  <c r="X23" i="154"/>
  <c r="AU20" i="39"/>
  <c r="I23" i="154" s="1"/>
  <c r="AU12" i="41"/>
  <c r="Y22" i="154" s="1"/>
  <c r="AU11" i="41"/>
  <c r="X22" i="154" s="1"/>
  <c r="AU20" i="41"/>
  <c r="I22" i="154"/>
  <c r="AU12" i="42"/>
  <c r="Y21" i="154"/>
  <c r="AU11" i="42"/>
  <c r="X21" i="154"/>
  <c r="AU20" i="42"/>
  <c r="I21" i="154" s="1"/>
  <c r="AU12" i="43"/>
  <c r="Y20" i="154"/>
  <c r="AU11" i="43"/>
  <c r="X20" i="154"/>
  <c r="AU20" i="43"/>
  <c r="I20" i="154" s="1"/>
  <c r="AU12" i="44"/>
  <c r="Y19" i="154" s="1"/>
  <c r="AU11" i="44"/>
  <c r="X19" i="154"/>
  <c r="AU20" i="44"/>
  <c r="I19" i="154" s="1"/>
  <c r="AU12" i="45"/>
  <c r="Y18" i="154" s="1"/>
  <c r="AU11" i="45"/>
  <c r="X18" i="154"/>
  <c r="AU20" i="45"/>
  <c r="I18" i="154"/>
  <c r="AU12" i="46"/>
  <c r="Y17" i="154" s="1"/>
  <c r="AU11" i="46"/>
  <c r="X17" i="154" s="1"/>
  <c r="AU20" i="46"/>
  <c r="I17" i="154" s="1"/>
  <c r="AU12" i="47"/>
  <c r="Y16" i="154"/>
  <c r="AU11" i="47"/>
  <c r="X16" i="154"/>
  <c r="AU20" i="47"/>
  <c r="I16" i="154"/>
  <c r="AU12" i="48"/>
  <c r="Y15" i="154" s="1"/>
  <c r="AU11" i="48"/>
  <c r="X15" i="154"/>
  <c r="I15" i="154"/>
  <c r="AU12" i="94"/>
  <c r="Y65" i="153"/>
  <c r="X65" i="153"/>
  <c r="AU20" i="94"/>
  <c r="I65" i="153" s="1"/>
  <c r="AU12" i="143"/>
  <c r="Y64" i="153"/>
  <c r="AU11" i="143"/>
  <c r="X64" i="153" s="1"/>
  <c r="AU20" i="143"/>
  <c r="I64" i="153" s="1"/>
  <c r="AU12" i="142"/>
  <c r="Y63" i="153"/>
  <c r="AU11" i="142"/>
  <c r="X63" i="153"/>
  <c r="AU20" i="142"/>
  <c r="I63" i="153" s="1"/>
  <c r="AU12" i="141"/>
  <c r="Y62" i="153" s="1"/>
  <c r="AU11" i="141"/>
  <c r="X62" i="153" s="1"/>
  <c r="AU20" i="141"/>
  <c r="I62" i="153"/>
  <c r="AU12" i="140"/>
  <c r="Y61" i="153"/>
  <c r="AU11" i="140"/>
  <c r="X61" i="153"/>
  <c r="AU20" i="140"/>
  <c r="I61" i="153" s="1"/>
  <c r="AU12" i="93"/>
  <c r="Y60" i="153"/>
  <c r="AU11" i="93"/>
  <c r="X60" i="153"/>
  <c r="AU20" i="93"/>
  <c r="I60" i="153" s="1"/>
  <c r="AU12" i="92"/>
  <c r="Y59" i="153" s="1"/>
  <c r="AU11" i="92"/>
  <c r="X59" i="153"/>
  <c r="AU20" i="92"/>
  <c r="I59" i="153" s="1"/>
  <c r="AU12" i="91"/>
  <c r="Y58" i="153" s="1"/>
  <c r="AU11" i="91"/>
  <c r="X58" i="153"/>
  <c r="AU20" i="91"/>
  <c r="I58" i="153"/>
  <c r="AU12" i="90"/>
  <c r="Y57" i="153" s="1"/>
  <c r="AU11" i="90"/>
  <c r="X57" i="153" s="1"/>
  <c r="AU20" i="90"/>
  <c r="I57" i="153" s="1"/>
  <c r="AU12" i="89"/>
  <c r="Y56" i="153"/>
  <c r="AU11" i="89"/>
  <c r="X56" i="153"/>
  <c r="AU20" i="89"/>
  <c r="I56" i="153"/>
  <c r="AU12" i="88"/>
  <c r="Y55" i="153" s="1"/>
  <c r="AU11" i="88"/>
  <c r="X55" i="153"/>
  <c r="AU20" i="88"/>
  <c r="I55" i="153"/>
  <c r="AU12" i="87"/>
  <c r="Y54" i="153" s="1"/>
  <c r="AU11" i="87"/>
  <c r="X54" i="153" s="1"/>
  <c r="AU20" i="87"/>
  <c r="I54" i="153"/>
  <c r="AU12" i="86"/>
  <c r="Y53" i="153" s="1"/>
  <c r="AU11" i="86"/>
  <c r="X53" i="153" s="1"/>
  <c r="AU20" i="86"/>
  <c r="I53" i="153"/>
  <c r="AU12" i="103"/>
  <c r="Y52" i="153"/>
  <c r="AU11" i="103"/>
  <c r="X52" i="153" s="1"/>
  <c r="AU20" i="103"/>
  <c r="I52" i="153" s="1"/>
  <c r="AU12" i="102"/>
  <c r="Y51" i="153" s="1"/>
  <c r="AU11" i="102"/>
  <c r="X51" i="153"/>
  <c r="AU20" i="102"/>
  <c r="I51" i="153"/>
  <c r="AU12" i="101"/>
  <c r="Y50" i="153"/>
  <c r="AU11" i="101"/>
  <c r="X50" i="153" s="1"/>
  <c r="AU20" i="101"/>
  <c r="I50" i="153"/>
  <c r="AU12" i="100"/>
  <c r="Y49" i="153"/>
  <c r="AU11" i="100"/>
  <c r="X49" i="153" s="1"/>
  <c r="AU20" i="100"/>
  <c r="I49" i="153" s="1"/>
  <c r="AU12" i="99"/>
  <c r="Y48" i="153"/>
  <c r="AU11" i="99"/>
  <c r="X48" i="153" s="1"/>
  <c r="AU20" i="99"/>
  <c r="I48" i="153" s="1"/>
  <c r="AU12" i="98"/>
  <c r="Y47" i="153"/>
  <c r="AU11" i="98"/>
  <c r="X47" i="153"/>
  <c r="AU20" i="98"/>
  <c r="I47" i="153" s="1"/>
  <c r="AU12" i="97"/>
  <c r="Y46" i="153" s="1"/>
  <c r="AU11" i="97"/>
  <c r="X46" i="153" s="1"/>
  <c r="AU20" i="97"/>
  <c r="I46" i="153"/>
  <c r="AU12" i="96"/>
  <c r="Y45" i="153"/>
  <c r="AU11" i="96"/>
  <c r="X45" i="153"/>
  <c r="AU20" i="96"/>
  <c r="I45" i="153" s="1"/>
  <c r="AU12" i="112"/>
  <c r="Y44" i="153"/>
  <c r="AU11" i="112"/>
  <c r="X44" i="153"/>
  <c r="AU20" i="112"/>
  <c r="I44" i="153" s="1"/>
  <c r="AU12" i="111"/>
  <c r="Y43" i="153" s="1"/>
  <c r="AU11" i="111"/>
  <c r="X43" i="153"/>
  <c r="AU20" i="111"/>
  <c r="I43" i="153" s="1"/>
  <c r="AU12" i="110"/>
  <c r="Y42" i="153" s="1"/>
  <c r="AU11" i="110"/>
  <c r="X42" i="153"/>
  <c r="AU20" i="110"/>
  <c r="I42" i="153"/>
  <c r="AU12" i="109"/>
  <c r="Y41" i="153" s="1"/>
  <c r="AU11" i="109"/>
  <c r="X41" i="153" s="1"/>
  <c r="AU20" i="109"/>
  <c r="I41" i="153" s="1"/>
  <c r="AU12" i="108"/>
  <c r="Y40" i="153"/>
  <c r="AU11" i="108"/>
  <c r="X40" i="153"/>
  <c r="AU20" i="108"/>
  <c r="I40" i="153"/>
  <c r="AU12" i="107"/>
  <c r="Y39" i="153" s="1"/>
  <c r="AU11" i="107"/>
  <c r="X39" i="153"/>
  <c r="AU20" i="107"/>
  <c r="I39" i="153"/>
  <c r="AU12" i="106"/>
  <c r="Y38" i="153" s="1"/>
  <c r="AU11" i="106"/>
  <c r="X38" i="153" s="1"/>
  <c r="AU20" i="106"/>
  <c r="I38" i="153"/>
  <c r="AU12" i="105"/>
  <c r="Y37" i="153" s="1"/>
  <c r="AU11" i="105"/>
  <c r="X37" i="153" s="1"/>
  <c r="AU20" i="105"/>
  <c r="I37" i="153"/>
  <c r="AU12" i="104"/>
  <c r="Y36" i="153"/>
  <c r="AU11" i="104"/>
  <c r="X36" i="153" s="1"/>
  <c r="AU20" i="104"/>
  <c r="I36" i="153" s="1"/>
  <c r="AU12" i="95"/>
  <c r="Y35" i="153" s="1"/>
  <c r="AU11" i="95"/>
  <c r="X35" i="153"/>
  <c r="AU20" i="95"/>
  <c r="I35" i="153"/>
  <c r="AU12" i="139"/>
  <c r="Y34" i="153"/>
  <c r="AU11" i="139"/>
  <c r="X34" i="153" s="1"/>
  <c r="AU20" i="139"/>
  <c r="I34" i="153"/>
  <c r="AU12" i="138"/>
  <c r="Y33" i="153"/>
  <c r="AU11" i="138"/>
  <c r="X33" i="153" s="1"/>
  <c r="AU20" i="138"/>
  <c r="I33" i="153" s="1"/>
  <c r="AU12" i="137"/>
  <c r="Y32" i="153"/>
  <c r="AU11" i="137"/>
  <c r="X32" i="153" s="1"/>
  <c r="AU20" i="137"/>
  <c r="I32" i="153" s="1"/>
  <c r="AU12" i="136"/>
  <c r="Y31" i="153"/>
  <c r="AU11" i="136"/>
  <c r="X31" i="153"/>
  <c r="AU20" i="136"/>
  <c r="I31" i="153" s="1"/>
  <c r="AU12" i="135"/>
  <c r="Y30" i="153" s="1"/>
  <c r="AU11" i="135"/>
  <c r="X30" i="153" s="1"/>
  <c r="AU20" i="135"/>
  <c r="I30" i="153"/>
  <c r="AU12" i="134"/>
  <c r="Y29" i="153"/>
  <c r="AU11" i="134"/>
  <c r="X29" i="153"/>
  <c r="AU20" i="134"/>
  <c r="I29" i="153" s="1"/>
  <c r="AU12" i="133"/>
  <c r="Y28" i="153"/>
  <c r="AU11" i="133"/>
  <c r="X28" i="153"/>
  <c r="AU20" i="133"/>
  <c r="I28" i="153" s="1"/>
  <c r="AU12" i="132"/>
  <c r="Y27" i="153" s="1"/>
  <c r="AU11" i="132"/>
  <c r="X27" i="153"/>
  <c r="AU20" i="132"/>
  <c r="I27" i="153" s="1"/>
  <c r="AU12" i="131"/>
  <c r="Y26" i="153" s="1"/>
  <c r="AU11" i="131"/>
  <c r="X26" i="153"/>
  <c r="AU20" i="131"/>
  <c r="I26" i="153"/>
  <c r="AU12" i="130"/>
  <c r="Y25" i="153" s="1"/>
  <c r="AU11" i="130"/>
  <c r="X25" i="153" s="1"/>
  <c r="AU20" i="130"/>
  <c r="I25" i="153" s="1"/>
  <c r="AU12" i="129"/>
  <c r="Y24" i="153"/>
  <c r="AU11" i="129"/>
  <c r="X24" i="153"/>
  <c r="AU20" i="129"/>
  <c r="I24" i="153"/>
  <c r="AU12" i="128"/>
  <c r="Y23" i="153" s="1"/>
  <c r="AU11" i="128"/>
  <c r="X23" i="153"/>
  <c r="AU20" i="128"/>
  <c r="I23" i="153"/>
  <c r="AU12" i="127"/>
  <c r="Y22" i="153" s="1"/>
  <c r="AU11" i="127"/>
  <c r="X22" i="153" s="1"/>
  <c r="AU20" i="127"/>
  <c r="I22" i="153"/>
  <c r="AU12" i="126"/>
  <c r="Y21" i="153" s="1"/>
  <c r="AU11" i="126"/>
  <c r="X21" i="153" s="1"/>
  <c r="AU20" i="126"/>
  <c r="I21" i="153" s="1"/>
  <c r="AU12" i="125"/>
  <c r="Y20" i="153"/>
  <c r="AU11" i="125"/>
  <c r="X20" i="153" s="1"/>
  <c r="AU20" i="125"/>
  <c r="I20" i="153" s="1"/>
  <c r="AU12" i="124"/>
  <c r="Y19" i="153" s="1"/>
  <c r="AU11" i="124"/>
  <c r="X19" i="153"/>
  <c r="AU20" i="124"/>
  <c r="I19" i="153"/>
  <c r="AU12" i="120"/>
  <c r="Y18" i="153"/>
  <c r="AU11" i="120"/>
  <c r="X18" i="153" s="1"/>
  <c r="AU20" i="120"/>
  <c r="I18" i="153"/>
  <c r="AU12" i="123"/>
  <c r="Y17" i="153"/>
  <c r="AU11" i="123"/>
  <c r="X17" i="153" s="1"/>
  <c r="AU20" i="123"/>
  <c r="I17" i="153" s="1"/>
  <c r="AU12" i="122"/>
  <c r="Y16" i="153"/>
  <c r="AU11" i="122"/>
  <c r="X16" i="153" s="1"/>
  <c r="AU20" i="122"/>
  <c r="I16" i="153" s="1"/>
  <c r="AU12" i="121"/>
  <c r="Y15" i="153" s="1"/>
  <c r="AU11" i="121"/>
  <c r="X15" i="153"/>
  <c r="AU12" i="119"/>
  <c r="Y14" i="153" s="1"/>
  <c r="AU11" i="119"/>
  <c r="X14" i="153" s="1"/>
  <c r="AU20" i="119"/>
  <c r="I14" i="153" s="1"/>
  <c r="AU12" i="118"/>
  <c r="Y13" i="153"/>
  <c r="AU11" i="118"/>
  <c r="X13" i="153"/>
  <c r="AU20" i="118"/>
  <c r="I13" i="153"/>
  <c r="AU12" i="117"/>
  <c r="Y12" i="153" s="1"/>
  <c r="AU11" i="117"/>
  <c r="X12" i="153"/>
  <c r="AU20" i="117"/>
  <c r="I12" i="153"/>
  <c r="AU12" i="116"/>
  <c r="Y11" i="153" s="1"/>
  <c r="AU11" i="116"/>
  <c r="X11" i="153" s="1"/>
  <c r="AU20" i="116"/>
  <c r="I11" i="153"/>
  <c r="AU12" i="115"/>
  <c r="Y10" i="153" s="1"/>
  <c r="AU11" i="115"/>
  <c r="X10" i="153" s="1"/>
  <c r="AU20" i="115"/>
  <c r="I10" i="153" s="1"/>
  <c r="AU12" i="114"/>
  <c r="Y9" i="153"/>
  <c r="AU11" i="114"/>
  <c r="X9" i="153" s="1"/>
  <c r="AU20" i="114"/>
  <c r="I9" i="153" s="1"/>
  <c r="AU12" i="113"/>
  <c r="Y8" i="153" s="1"/>
  <c r="AU11" i="113"/>
  <c r="X8" i="153"/>
  <c r="AU20" i="113"/>
  <c r="I8" i="153"/>
  <c r="AU7" i="1"/>
  <c r="Z10" i="152"/>
  <c r="D30" i="152"/>
  <c r="AU12" i="1"/>
  <c r="Y10" i="152" s="1"/>
  <c r="AU11" i="1"/>
  <c r="X10" i="152" s="1"/>
  <c r="AU20" i="1"/>
  <c r="I10" i="152"/>
  <c r="AU7" i="2"/>
  <c r="Z9" i="152"/>
  <c r="D29" i="152" s="1"/>
  <c r="AU12" i="2"/>
  <c r="Y9" i="152"/>
  <c r="AU11" i="2"/>
  <c r="X9" i="152" s="1"/>
  <c r="AU20" i="2"/>
  <c r="I9" i="152" s="1"/>
  <c r="AU7" i="4"/>
  <c r="Z8" i="152" s="1"/>
  <c r="D28" i="152" s="1"/>
  <c r="AU12" i="4"/>
  <c r="Y8" i="152"/>
  <c r="AU11" i="4"/>
  <c r="X8" i="152" s="1"/>
  <c r="AU20" i="4"/>
  <c r="I8" i="152"/>
  <c r="AU7" i="3"/>
  <c r="Z7" i="152"/>
  <c r="D27" i="152"/>
  <c r="AU12" i="3"/>
  <c r="Y7" i="152"/>
  <c r="AU11" i="3"/>
  <c r="X7" i="152"/>
  <c r="AU20" i="3"/>
  <c r="I7" i="152" s="1"/>
  <c r="AU12" i="25"/>
  <c r="Y13" i="146"/>
  <c r="AU11" i="25"/>
  <c r="X13" i="146"/>
  <c r="AU20" i="25"/>
  <c r="I13" i="146" s="1"/>
  <c r="AU12" i="26"/>
  <c r="Y12" i="146" s="1"/>
  <c r="AU11" i="26"/>
  <c r="X12" i="146"/>
  <c r="AU20" i="26"/>
  <c r="I12" i="146" s="1"/>
  <c r="AU12" i="27"/>
  <c r="Y11" i="146" s="1"/>
  <c r="AU11" i="27"/>
  <c r="X11" i="146" s="1"/>
  <c r="AU20" i="27"/>
  <c r="I11" i="146"/>
  <c r="AU12" i="28"/>
  <c r="Y10" i="146" s="1"/>
  <c r="AU11" i="28"/>
  <c r="X10" i="146" s="1"/>
  <c r="AU20" i="28"/>
  <c r="I10" i="146" s="1"/>
  <c r="AU12" i="29"/>
  <c r="Y9" i="146"/>
  <c r="AU11" i="29"/>
  <c r="X9" i="146"/>
  <c r="AU20" i="29"/>
  <c r="I9" i="146"/>
  <c r="AU12" i="30"/>
  <c r="Y8" i="146" s="1"/>
  <c r="AU11" i="30"/>
  <c r="X8" i="146"/>
  <c r="AU20" i="30"/>
  <c r="I8" i="146"/>
  <c r="AU12" i="31"/>
  <c r="Y7" i="146" s="1"/>
  <c r="AU11" i="31"/>
  <c r="X7" i="146" s="1"/>
  <c r="AU20" i="31"/>
  <c r="I7" i="146"/>
  <c r="AU12" i="32"/>
  <c r="Y7" i="147" s="1"/>
  <c r="AU11" i="32"/>
  <c r="X7" i="147" s="1"/>
  <c r="AU20" i="32"/>
  <c r="I7" i="147" s="1"/>
  <c r="AU7" i="33"/>
  <c r="Z12" i="148"/>
  <c r="D34" i="148"/>
  <c r="Y12" i="148"/>
  <c r="X12" i="148"/>
  <c r="AU20" i="33"/>
  <c r="I12" i="148"/>
  <c r="AU7" i="34"/>
  <c r="Z11" i="148"/>
  <c r="D33" i="148"/>
  <c r="Y11" i="148"/>
  <c r="X11" i="148"/>
  <c r="AU20" i="34"/>
  <c r="I11" i="148"/>
  <c r="AU7" i="12"/>
  <c r="Z10" i="148" s="1"/>
  <c r="D32" i="148" s="1"/>
  <c r="AU12" i="12"/>
  <c r="Y10" i="148" s="1"/>
  <c r="AU11" i="12"/>
  <c r="X10" i="148"/>
  <c r="AU20" i="12"/>
  <c r="I10" i="148"/>
  <c r="AU7" i="13"/>
  <c r="Z9" i="148"/>
  <c r="D31" i="148"/>
  <c r="AU12" i="13"/>
  <c r="Y9" i="148" s="1"/>
  <c r="AU11" i="13"/>
  <c r="X9" i="148" s="1"/>
  <c r="AU20" i="13"/>
  <c r="I9" i="148" s="1"/>
  <c r="C27" i="155"/>
  <c r="C30" i="152"/>
  <c r="C29" i="152"/>
  <c r="C28" i="152"/>
  <c r="C27" i="152"/>
  <c r="C34" i="148"/>
  <c r="C33" i="148"/>
  <c r="C32" i="148"/>
  <c r="C31" i="148"/>
  <c r="J22" i="160"/>
  <c r="L22" i="160"/>
  <c r="AU7" i="14"/>
  <c r="Z8" i="149" s="1"/>
  <c r="D28" i="149" s="1"/>
  <c r="AU12" i="14"/>
  <c r="Y8" i="149" s="1"/>
  <c r="AU11" i="14"/>
  <c r="X8" i="149"/>
  <c r="AU7" i="15"/>
  <c r="Z7" i="149"/>
  <c r="D27" i="149"/>
  <c r="AU12" i="15"/>
  <c r="Y7" i="149"/>
  <c r="AU11" i="15"/>
  <c r="X7" i="149"/>
  <c r="AU20" i="15"/>
  <c r="I7" i="149" s="1"/>
  <c r="AU7" i="16"/>
  <c r="Z10" i="150"/>
  <c r="D30" i="150" s="1"/>
  <c r="AU12" i="16"/>
  <c r="Y10" i="150" s="1"/>
  <c r="AU11" i="16"/>
  <c r="X10" i="150"/>
  <c r="AU7" i="17"/>
  <c r="Z9" i="150" s="1"/>
  <c r="D29" i="150" s="1"/>
  <c r="AU12" i="17"/>
  <c r="Y9" i="150"/>
  <c r="AU11" i="17"/>
  <c r="X9" i="150"/>
  <c r="C29" i="150"/>
  <c r="C30" i="150"/>
  <c r="AU7" i="18"/>
  <c r="Z8" i="150" s="1"/>
  <c r="D28" i="150" s="1"/>
  <c r="AU12" i="18"/>
  <c r="Y8" i="150" s="1"/>
  <c r="AU11" i="18"/>
  <c r="X8" i="150"/>
  <c r="AU7" i="19"/>
  <c r="Z7" i="150"/>
  <c r="D27" i="150"/>
  <c r="AU12" i="19"/>
  <c r="Y7" i="150"/>
  <c r="AU11" i="19"/>
  <c r="X7" i="150"/>
  <c r="AU7" i="20"/>
  <c r="Z12" i="151" s="1"/>
  <c r="D32" i="151" s="1"/>
  <c r="AU12" i="20"/>
  <c r="Y12" i="151" s="1"/>
  <c r="AU11" i="20"/>
  <c r="X12" i="151" s="1"/>
  <c r="AU7" i="21"/>
  <c r="Z11" i="151"/>
  <c r="D31" i="151"/>
  <c r="AU12" i="21"/>
  <c r="Y11" i="151" s="1"/>
  <c r="AU11" i="21"/>
  <c r="X11" i="151"/>
  <c r="AU20" i="21"/>
  <c r="I11" i="151"/>
  <c r="AU7" i="22"/>
  <c r="Z10" i="151" s="1"/>
  <c r="D30" i="151" s="1"/>
  <c r="AU12" i="22"/>
  <c r="Y10" i="151"/>
  <c r="AU11" i="22"/>
  <c r="X10" i="151" s="1"/>
  <c r="AU20" i="22"/>
  <c r="I10" i="151"/>
  <c r="AU7" i="23"/>
  <c r="Z9" i="151"/>
  <c r="D29" i="151"/>
  <c r="AU12" i="23"/>
  <c r="Y9" i="151"/>
  <c r="AU11" i="23"/>
  <c r="X9" i="151"/>
  <c r="AU20" i="23"/>
  <c r="I9" i="151" s="1"/>
  <c r="C29" i="151"/>
  <c r="C30" i="151"/>
  <c r="C31" i="151"/>
  <c r="C32" i="151"/>
  <c r="AU7" i="10"/>
  <c r="Z8" i="151"/>
  <c r="D28" i="151"/>
  <c r="AU7" i="9"/>
  <c r="Z7" i="151" s="1"/>
  <c r="D27" i="151" s="1"/>
  <c r="AU12" i="10"/>
  <c r="Y8" i="151"/>
  <c r="AU11" i="10"/>
  <c r="X8" i="151"/>
  <c r="AU20" i="10"/>
  <c r="I8" i="151" s="1"/>
  <c r="AU12" i="9"/>
  <c r="Y7" i="151" s="1"/>
  <c r="AU11" i="9"/>
  <c r="X7" i="151"/>
  <c r="AU20" i="9"/>
  <c r="I7" i="151" s="1"/>
  <c r="C28" i="151"/>
  <c r="C27" i="151"/>
  <c r="C28" i="150"/>
  <c r="C27" i="150"/>
  <c r="C28" i="149"/>
  <c r="C27" i="149"/>
  <c r="AU7" i="8"/>
  <c r="Z10" i="144"/>
  <c r="D30" i="144"/>
  <c r="AU7" i="7"/>
  <c r="Z9" i="144" s="1"/>
  <c r="D29" i="144" s="1"/>
  <c r="AU12" i="8"/>
  <c r="Y10" i="144"/>
  <c r="AU12" i="7"/>
  <c r="Y9" i="144"/>
  <c r="AU11" i="8"/>
  <c r="X10" i="144"/>
  <c r="AU11" i="7"/>
  <c r="X9" i="144" s="1"/>
  <c r="I9" i="144"/>
  <c r="C30" i="144"/>
  <c r="C29" i="144"/>
  <c r="AT21" i="54"/>
  <c r="AT20" i="54"/>
  <c r="AT19" i="54"/>
  <c r="AT18" i="54"/>
  <c r="AT17" i="54"/>
  <c r="AT16" i="54"/>
  <c r="AT13" i="54"/>
  <c r="AT12" i="54"/>
  <c r="AT11" i="54"/>
  <c r="AT21" i="55"/>
  <c r="AT20" i="55"/>
  <c r="AT19" i="55"/>
  <c r="AT18" i="55"/>
  <c r="AT17" i="55"/>
  <c r="AT16" i="55"/>
  <c r="AT13" i="55"/>
  <c r="AT12" i="55"/>
  <c r="AT11" i="55"/>
  <c r="AT21" i="53"/>
  <c r="AT20" i="53"/>
  <c r="AT19" i="53"/>
  <c r="AT18" i="53"/>
  <c r="AT17" i="53"/>
  <c r="AT16" i="53"/>
  <c r="AT13" i="53"/>
  <c r="AT12" i="53"/>
  <c r="AT11" i="53"/>
  <c r="AT21" i="52"/>
  <c r="AT20" i="52"/>
  <c r="AT19" i="52"/>
  <c r="AT18" i="52"/>
  <c r="AT17" i="52"/>
  <c r="AT16" i="52"/>
  <c r="AT13" i="52"/>
  <c r="AT12" i="52"/>
  <c r="AT11" i="52"/>
  <c r="AT21" i="51"/>
  <c r="AT20" i="51"/>
  <c r="AT19" i="51"/>
  <c r="AT18" i="51"/>
  <c r="AT17" i="51"/>
  <c r="AT16" i="51"/>
  <c r="AT13" i="51"/>
  <c r="AT12" i="51"/>
  <c r="AT11" i="51"/>
  <c r="AT21" i="50"/>
  <c r="AT20" i="50"/>
  <c r="AT19" i="50"/>
  <c r="AT18" i="50"/>
  <c r="AT17" i="50"/>
  <c r="AT16" i="50"/>
  <c r="AT13" i="50"/>
  <c r="AT12" i="50"/>
  <c r="AT11" i="50"/>
  <c r="AT21" i="49"/>
  <c r="AT20" i="49"/>
  <c r="AT19" i="49"/>
  <c r="AT18" i="49"/>
  <c r="AT17" i="49"/>
  <c r="AT16" i="49"/>
  <c r="AT13" i="49"/>
  <c r="AT12" i="49"/>
  <c r="AT11" i="49"/>
  <c r="AT21" i="84"/>
  <c r="AT20" i="84"/>
  <c r="AT19" i="84"/>
  <c r="AT18" i="84"/>
  <c r="AT17" i="84"/>
  <c r="AT16" i="84"/>
  <c r="AT13" i="84"/>
  <c r="AT12" i="84"/>
  <c r="AT11" i="84"/>
  <c r="AT21" i="83"/>
  <c r="AT20" i="83"/>
  <c r="AT19" i="83"/>
  <c r="AT18" i="83"/>
  <c r="AT17" i="83"/>
  <c r="AT16" i="83"/>
  <c r="AT13" i="83"/>
  <c r="AT12" i="83"/>
  <c r="AT11" i="83"/>
  <c r="AT21" i="82"/>
  <c r="AT20" i="82"/>
  <c r="AT19" i="82"/>
  <c r="AT18" i="82"/>
  <c r="AT17" i="82"/>
  <c r="AT16" i="82"/>
  <c r="AT13" i="82"/>
  <c r="AT12" i="82"/>
  <c r="AT11" i="82"/>
  <c r="AT21" i="81"/>
  <c r="AT20" i="81"/>
  <c r="AT19" i="81"/>
  <c r="AT18" i="81"/>
  <c r="AT17" i="81"/>
  <c r="AT16" i="81"/>
  <c r="AT13" i="81"/>
  <c r="AT12" i="81"/>
  <c r="AT11" i="81"/>
  <c r="AT21" i="80"/>
  <c r="AT20" i="80"/>
  <c r="AT19" i="80"/>
  <c r="AT18" i="80"/>
  <c r="AT17" i="80"/>
  <c r="AT16" i="80"/>
  <c r="AT13" i="80"/>
  <c r="AT12" i="80"/>
  <c r="AT11" i="80"/>
  <c r="AT21" i="79"/>
  <c r="AT20" i="79"/>
  <c r="AT19" i="79"/>
  <c r="AT18" i="79"/>
  <c r="AT17" i="79"/>
  <c r="AT16" i="79"/>
  <c r="AT13" i="79"/>
  <c r="AT12" i="79"/>
  <c r="AT11" i="79"/>
  <c r="AT21" i="78"/>
  <c r="AT20" i="78"/>
  <c r="AT19" i="78"/>
  <c r="AT18" i="78"/>
  <c r="AT17" i="78"/>
  <c r="AT16" i="78"/>
  <c r="AT13" i="78"/>
  <c r="AT12" i="78"/>
  <c r="AT11" i="78"/>
  <c r="AT21" i="85"/>
  <c r="AT20" i="85"/>
  <c r="AT19" i="85"/>
  <c r="AT18" i="85"/>
  <c r="AT17" i="85"/>
  <c r="AT16" i="85"/>
  <c r="AT13" i="85"/>
  <c r="AT12" i="85"/>
  <c r="AT11" i="85"/>
  <c r="AT21" i="11"/>
  <c r="AT20" i="11"/>
  <c r="AT19" i="11"/>
  <c r="AT18" i="11"/>
  <c r="AT17" i="11"/>
  <c r="AT16" i="11"/>
  <c r="AT13" i="11"/>
  <c r="AT12" i="11"/>
  <c r="AT11" i="11"/>
  <c r="AT21" i="56"/>
  <c r="AT20" i="56"/>
  <c r="AT19" i="56"/>
  <c r="AT18" i="56"/>
  <c r="AT17" i="56"/>
  <c r="AT16" i="56"/>
  <c r="AT13" i="56"/>
  <c r="AT12" i="56"/>
  <c r="AT11" i="56"/>
  <c r="AT21" i="57"/>
  <c r="AT20" i="57"/>
  <c r="AT19" i="57"/>
  <c r="AT18" i="57"/>
  <c r="AT11" i="57"/>
  <c r="AT17" i="57"/>
  <c r="AT16" i="57"/>
  <c r="AT13" i="57"/>
  <c r="AT12" i="57"/>
  <c r="AT21" i="61"/>
  <c r="AT20" i="61"/>
  <c r="AT19" i="61"/>
  <c r="AT18" i="61"/>
  <c r="AT17" i="61"/>
  <c r="AT16" i="61"/>
  <c r="AT13" i="61"/>
  <c r="AT12" i="61"/>
  <c r="AT11" i="61"/>
  <c r="AT21" i="58"/>
  <c r="AT20" i="58"/>
  <c r="AT19" i="58"/>
  <c r="AT18" i="58"/>
  <c r="AT17" i="58"/>
  <c r="AT16" i="58"/>
  <c r="AT13" i="58"/>
  <c r="AT12" i="58"/>
  <c r="AT11" i="58"/>
  <c r="AT21" i="60"/>
  <c r="AT20" i="60"/>
  <c r="AT19" i="60"/>
  <c r="AT18" i="60"/>
  <c r="AT17" i="60"/>
  <c r="AT16" i="60"/>
  <c r="AT13" i="60"/>
  <c r="AT12" i="60"/>
  <c r="AT11" i="60"/>
  <c r="AT21" i="62"/>
  <c r="AT20" i="62"/>
  <c r="AT19" i="62"/>
  <c r="AT18" i="62"/>
  <c r="AT17" i="62"/>
  <c r="AT16" i="62"/>
  <c r="AT13" i="62"/>
  <c r="AT12" i="62"/>
  <c r="AT11" i="62"/>
  <c r="AT21" i="63"/>
  <c r="AT20" i="63"/>
  <c r="AT19" i="63"/>
  <c r="AT18" i="63"/>
  <c r="AT17" i="63"/>
  <c r="AT16" i="63"/>
  <c r="AT13" i="63"/>
  <c r="AT12" i="63"/>
  <c r="AT11" i="63"/>
  <c r="AT21" i="117"/>
  <c r="AT20" i="117"/>
  <c r="AT19" i="117"/>
  <c r="AT18" i="117"/>
  <c r="AT17" i="117"/>
  <c r="AT16" i="117"/>
  <c r="AT13" i="117"/>
  <c r="AT12" i="117"/>
  <c r="AT11" i="117"/>
  <c r="AT21" i="118"/>
  <c r="AT20" i="118"/>
  <c r="AT19" i="118"/>
  <c r="AT18" i="118"/>
  <c r="AT17" i="118"/>
  <c r="AT16" i="118"/>
  <c r="AT13" i="118"/>
  <c r="AT12" i="118"/>
  <c r="AT11" i="118"/>
  <c r="AT21" i="119"/>
  <c r="AT20" i="119"/>
  <c r="AT19" i="119"/>
  <c r="AT18" i="119"/>
  <c r="AT17" i="119"/>
  <c r="AT16" i="119"/>
  <c r="AT13" i="119"/>
  <c r="AT12" i="119"/>
  <c r="AT11" i="119"/>
  <c r="AT21" i="121"/>
  <c r="AT20" i="121"/>
  <c r="AT19" i="121"/>
  <c r="AT18" i="121"/>
  <c r="AT17" i="121"/>
  <c r="AT16" i="121"/>
  <c r="AT13" i="121"/>
  <c r="AT12" i="121"/>
  <c r="AT11" i="121"/>
  <c r="AT21" i="122"/>
  <c r="AT20" i="122"/>
  <c r="AT19" i="122"/>
  <c r="AT18" i="122"/>
  <c r="AT17" i="122"/>
  <c r="AT16" i="122"/>
  <c r="AT13" i="122"/>
  <c r="AT12" i="122"/>
  <c r="AT11" i="122"/>
  <c r="AT21" i="123"/>
  <c r="AT20" i="123"/>
  <c r="AT19" i="123"/>
  <c r="AT18" i="123"/>
  <c r="AT17" i="123"/>
  <c r="AT16" i="123"/>
  <c r="AT13" i="123"/>
  <c r="AT12" i="123"/>
  <c r="AT11" i="123"/>
  <c r="AT21" i="120"/>
  <c r="AT20" i="120"/>
  <c r="AT19" i="120"/>
  <c r="AT18" i="120"/>
  <c r="AT17" i="120"/>
  <c r="AT16" i="120"/>
  <c r="AT13" i="120"/>
  <c r="AT12" i="120"/>
  <c r="AT11" i="120"/>
  <c r="AT21" i="124"/>
  <c r="AT20" i="124"/>
  <c r="AT19" i="124"/>
  <c r="AT18" i="124"/>
  <c r="AT17" i="124"/>
  <c r="AT16" i="124"/>
  <c r="AT13" i="124"/>
  <c r="AT12" i="124"/>
  <c r="AT11" i="124"/>
  <c r="AT21" i="125"/>
  <c r="AT20" i="125"/>
  <c r="AT19" i="125"/>
  <c r="AT18" i="125"/>
  <c r="AT17" i="125"/>
  <c r="AT16" i="125"/>
  <c r="AT13" i="125"/>
  <c r="AT12" i="125"/>
  <c r="AT11" i="125"/>
  <c r="AT21" i="126"/>
  <c r="AT20" i="126"/>
  <c r="AT19" i="126"/>
  <c r="AT18" i="126"/>
  <c r="AT17" i="126"/>
  <c r="AT16" i="126"/>
  <c r="AT13" i="126"/>
  <c r="AT12" i="126"/>
  <c r="AT11" i="126"/>
  <c r="AT21" i="127"/>
  <c r="AT20" i="127"/>
  <c r="AT19" i="127"/>
  <c r="AT18" i="127"/>
  <c r="AT17" i="127"/>
  <c r="AT16" i="127"/>
  <c r="AT13" i="127"/>
  <c r="AT12" i="127"/>
  <c r="AT11" i="127"/>
  <c r="AT21" i="128"/>
  <c r="AT20" i="128"/>
  <c r="AT19" i="128"/>
  <c r="AT18" i="128"/>
  <c r="AT17" i="128"/>
  <c r="AT16" i="128"/>
  <c r="AT13" i="128"/>
  <c r="AT12" i="128"/>
  <c r="AT11" i="128"/>
  <c r="AT21" i="129"/>
  <c r="AT20" i="129"/>
  <c r="AT19" i="129"/>
  <c r="AT18" i="129"/>
  <c r="AT17" i="129"/>
  <c r="AT16" i="129"/>
  <c r="AT13" i="129"/>
  <c r="AT12" i="129"/>
  <c r="AT11" i="129"/>
  <c r="AT21" i="130"/>
  <c r="AT20" i="130"/>
  <c r="AT19" i="130"/>
  <c r="AT18" i="130"/>
  <c r="AT17" i="130"/>
  <c r="AT16" i="130"/>
  <c r="AT13" i="130"/>
  <c r="AT12" i="130"/>
  <c r="AT11" i="130"/>
  <c r="AT21" i="131"/>
  <c r="AT20" i="131"/>
  <c r="AT19" i="131"/>
  <c r="AT18" i="131"/>
  <c r="AT17" i="131"/>
  <c r="AT16" i="131"/>
  <c r="AT13" i="131"/>
  <c r="AT12" i="131"/>
  <c r="AT11" i="131"/>
  <c r="AT21" i="132"/>
  <c r="AT20" i="132"/>
  <c r="AT19" i="132"/>
  <c r="AT18" i="132"/>
  <c r="AT17" i="132"/>
  <c r="AT16" i="132"/>
  <c r="AT13" i="132"/>
  <c r="AT12" i="132"/>
  <c r="AT11" i="132"/>
  <c r="AT21" i="133"/>
  <c r="AT20" i="133"/>
  <c r="AT19" i="133"/>
  <c r="AT18" i="133"/>
  <c r="AT17" i="133"/>
  <c r="AT16" i="133"/>
  <c r="AT13" i="133"/>
  <c r="AT12" i="133"/>
  <c r="AT11" i="133"/>
  <c r="AT21" i="134"/>
  <c r="AT20" i="134"/>
  <c r="AT19" i="134"/>
  <c r="AT18" i="134"/>
  <c r="AT17" i="134"/>
  <c r="AT16" i="134"/>
  <c r="AT13" i="134"/>
  <c r="AT12" i="134"/>
  <c r="AT11" i="134"/>
  <c r="AT21" i="135"/>
  <c r="AT20" i="135"/>
  <c r="AT19" i="135"/>
  <c r="AT18" i="135"/>
  <c r="AT17" i="135"/>
  <c r="AT16" i="135"/>
  <c r="AT13" i="135"/>
  <c r="AT12" i="135"/>
  <c r="AT11" i="135"/>
  <c r="AT21" i="136"/>
  <c r="AT20" i="136"/>
  <c r="AT19" i="136"/>
  <c r="AT18" i="136"/>
  <c r="AT17" i="136"/>
  <c r="AT16" i="136"/>
  <c r="AT13" i="136"/>
  <c r="AT12" i="136"/>
  <c r="AT11" i="136"/>
  <c r="AT21" i="137"/>
  <c r="AT20" i="137"/>
  <c r="AT19" i="137"/>
  <c r="AT18" i="137"/>
  <c r="AT17" i="137"/>
  <c r="AT16" i="137"/>
  <c r="AT13" i="137"/>
  <c r="AT12" i="137"/>
  <c r="AT11" i="137"/>
  <c r="AT21" i="138"/>
  <c r="AT20" i="138"/>
  <c r="AT19" i="138"/>
  <c r="AT18" i="138"/>
  <c r="AT17" i="138"/>
  <c r="AT16" i="138"/>
  <c r="AT13" i="138"/>
  <c r="AT12" i="138"/>
  <c r="AT11" i="138"/>
  <c r="AT21" i="139"/>
  <c r="AT20" i="139"/>
  <c r="AT19" i="139"/>
  <c r="AT18" i="139"/>
  <c r="AT17" i="139"/>
  <c r="AT16" i="139"/>
  <c r="AT13" i="139"/>
  <c r="AT12" i="139"/>
  <c r="AT11" i="139"/>
  <c r="AT21" i="95"/>
  <c r="AT20" i="95"/>
  <c r="AT19" i="95"/>
  <c r="AT18" i="95"/>
  <c r="AT17" i="95"/>
  <c r="AT16" i="95"/>
  <c r="AT13" i="95"/>
  <c r="AT12" i="95"/>
  <c r="AT11" i="95"/>
  <c r="AT21" i="104"/>
  <c r="AT20" i="104"/>
  <c r="AT19" i="104"/>
  <c r="AT18" i="104"/>
  <c r="AT17" i="104"/>
  <c r="AT16" i="104"/>
  <c r="AT13" i="104"/>
  <c r="AT12" i="104"/>
  <c r="AT11" i="104"/>
  <c r="AT21" i="105"/>
  <c r="AT20" i="105"/>
  <c r="AT19" i="105"/>
  <c r="AT18" i="105"/>
  <c r="AT17" i="105"/>
  <c r="AT16" i="105"/>
  <c r="AT13" i="105"/>
  <c r="AT12" i="105"/>
  <c r="AT11" i="105"/>
  <c r="AT21" i="106"/>
  <c r="AT20" i="106"/>
  <c r="AT19" i="106"/>
  <c r="AT18" i="106"/>
  <c r="AT17" i="106"/>
  <c r="AT16" i="106"/>
  <c r="AT13" i="106"/>
  <c r="AT12" i="106"/>
  <c r="AT11" i="106"/>
  <c r="AT21" i="107"/>
  <c r="AT20" i="107"/>
  <c r="AT19" i="107"/>
  <c r="AT18" i="107"/>
  <c r="AT17" i="107"/>
  <c r="AT16" i="107"/>
  <c r="AT13" i="107"/>
  <c r="AT12" i="107"/>
  <c r="AT11" i="107"/>
  <c r="AT21" i="108"/>
  <c r="AT20" i="108"/>
  <c r="AT19" i="108"/>
  <c r="AT18" i="108"/>
  <c r="AT17" i="108"/>
  <c r="AT16" i="108"/>
  <c r="AT13" i="108"/>
  <c r="AT12" i="108"/>
  <c r="AT11" i="108"/>
  <c r="AT21" i="109"/>
  <c r="AT20" i="109"/>
  <c r="AT19" i="109"/>
  <c r="AT18" i="109"/>
  <c r="AT17" i="109"/>
  <c r="AT16" i="109"/>
  <c r="AT13" i="109"/>
  <c r="AT12" i="109"/>
  <c r="AT11" i="109"/>
  <c r="AT21" i="110"/>
  <c r="AT20" i="110"/>
  <c r="AT19" i="110"/>
  <c r="AT18" i="110"/>
  <c r="AT17" i="110"/>
  <c r="AT16" i="110"/>
  <c r="AT13" i="110"/>
  <c r="AT12" i="110"/>
  <c r="AT11" i="110"/>
  <c r="AT21" i="111"/>
  <c r="AT20" i="111"/>
  <c r="AT19" i="111"/>
  <c r="AT18" i="111"/>
  <c r="AT17" i="111"/>
  <c r="AT16" i="111"/>
  <c r="AT13" i="111"/>
  <c r="AT12" i="111"/>
  <c r="AT11" i="111"/>
  <c r="AT21" i="112"/>
  <c r="AT20" i="112"/>
  <c r="AT19" i="112"/>
  <c r="AT18" i="112"/>
  <c r="AT17" i="112"/>
  <c r="AT16" i="112"/>
  <c r="AT13" i="112"/>
  <c r="AT12" i="112"/>
  <c r="AT11" i="112"/>
  <c r="AT21" i="96"/>
  <c r="AT20" i="96"/>
  <c r="AT19" i="96"/>
  <c r="AT18" i="96"/>
  <c r="AT17" i="96"/>
  <c r="AT16" i="96"/>
  <c r="AT13" i="96"/>
  <c r="AT12" i="96"/>
  <c r="AT11" i="96"/>
  <c r="AT21" i="97"/>
  <c r="AT20" i="97"/>
  <c r="AT19" i="97"/>
  <c r="AT18" i="97"/>
  <c r="AT17" i="97"/>
  <c r="AT16" i="97"/>
  <c r="AT13" i="97"/>
  <c r="AT12" i="97"/>
  <c r="AT11" i="97"/>
  <c r="AT21" i="98"/>
  <c r="AT20" i="98"/>
  <c r="AT19" i="98"/>
  <c r="AT18" i="98"/>
  <c r="AT17" i="98"/>
  <c r="AT16" i="98"/>
  <c r="AT13" i="98"/>
  <c r="AT12" i="98"/>
  <c r="AT11" i="98"/>
  <c r="AT21" i="99"/>
  <c r="AT20" i="99"/>
  <c r="AT19" i="99"/>
  <c r="AT18" i="99"/>
  <c r="AT17" i="99"/>
  <c r="AT16" i="99"/>
  <c r="AT13" i="99"/>
  <c r="AT12" i="99"/>
  <c r="AT11" i="99"/>
  <c r="AT21" i="100"/>
  <c r="AT20" i="100"/>
  <c r="AT19" i="100"/>
  <c r="AT18" i="100"/>
  <c r="AT17" i="100"/>
  <c r="AT16" i="100"/>
  <c r="AT13" i="100"/>
  <c r="AT12" i="100"/>
  <c r="AT11" i="100"/>
  <c r="AT21" i="101"/>
  <c r="AT20" i="101"/>
  <c r="AT19" i="101"/>
  <c r="AT18" i="101"/>
  <c r="AT17" i="101"/>
  <c r="AT16" i="101"/>
  <c r="AT13" i="101"/>
  <c r="AT12" i="101"/>
  <c r="AT11" i="101"/>
  <c r="AT21" i="102"/>
  <c r="AT20" i="102"/>
  <c r="AT19" i="102"/>
  <c r="AT18" i="102"/>
  <c r="AT17" i="102"/>
  <c r="AT16" i="102"/>
  <c r="AT13" i="102"/>
  <c r="AT12" i="102"/>
  <c r="AT11" i="102"/>
  <c r="AT21" i="103"/>
  <c r="AT20" i="103"/>
  <c r="AT19" i="103"/>
  <c r="AT18" i="103"/>
  <c r="AT17" i="103"/>
  <c r="AT16" i="103"/>
  <c r="AT13" i="103"/>
  <c r="AT12" i="103"/>
  <c r="AT11" i="103"/>
  <c r="AT21" i="86"/>
  <c r="AT20" i="86"/>
  <c r="AT19" i="86"/>
  <c r="AT18" i="86"/>
  <c r="AT17" i="86"/>
  <c r="AT16" i="86"/>
  <c r="AT13" i="86"/>
  <c r="AT12" i="86"/>
  <c r="AT11" i="86"/>
  <c r="AT21" i="87"/>
  <c r="AT20" i="87"/>
  <c r="AT19" i="87"/>
  <c r="AT18" i="87"/>
  <c r="AT17" i="87"/>
  <c r="AT16" i="87"/>
  <c r="AT13" i="87"/>
  <c r="AT12" i="87"/>
  <c r="AT11" i="87"/>
  <c r="AT21" i="88"/>
  <c r="AT20" i="88"/>
  <c r="AT19" i="88"/>
  <c r="AT18" i="88"/>
  <c r="AT17" i="88"/>
  <c r="AT16" i="88"/>
  <c r="AT13" i="88"/>
  <c r="AT12" i="88"/>
  <c r="AT11" i="88"/>
  <c r="AT21" i="89"/>
  <c r="AT20" i="89"/>
  <c r="AT19" i="89"/>
  <c r="AT18" i="89"/>
  <c r="AT17" i="89"/>
  <c r="AT16" i="89"/>
  <c r="AT13" i="89"/>
  <c r="AT12" i="89"/>
  <c r="AT11" i="89"/>
  <c r="AT21" i="90"/>
  <c r="AT20" i="90"/>
  <c r="AT19" i="90"/>
  <c r="AT18" i="90"/>
  <c r="AT17" i="90"/>
  <c r="AT16" i="90"/>
  <c r="AT13" i="90"/>
  <c r="AT12" i="90"/>
  <c r="AT11" i="90"/>
  <c r="AT21" i="91"/>
  <c r="AT20" i="91"/>
  <c r="AT19" i="91"/>
  <c r="AT18" i="91"/>
  <c r="AT17" i="91"/>
  <c r="AT16" i="91"/>
  <c r="AT13" i="91"/>
  <c r="AT12" i="91"/>
  <c r="AT11" i="91"/>
  <c r="AT21" i="92"/>
  <c r="AT20" i="92"/>
  <c r="AT19" i="92"/>
  <c r="AT18" i="92"/>
  <c r="AT17" i="92"/>
  <c r="AT16" i="92"/>
  <c r="AT13" i="92"/>
  <c r="AT12" i="92"/>
  <c r="AT11" i="92"/>
  <c r="AT21" i="93"/>
  <c r="AT20" i="93"/>
  <c r="AT19" i="93"/>
  <c r="AT18" i="93"/>
  <c r="AT17" i="93"/>
  <c r="AT16" i="93"/>
  <c r="AT13" i="93"/>
  <c r="AT12" i="93"/>
  <c r="AT11" i="93"/>
  <c r="AT21" i="140"/>
  <c r="AT20" i="140"/>
  <c r="AT19" i="140"/>
  <c r="AT18" i="140"/>
  <c r="AT17" i="140"/>
  <c r="AT16" i="140"/>
  <c r="AT13" i="140"/>
  <c r="AT12" i="140"/>
  <c r="AT11" i="140"/>
  <c r="AT21" i="141"/>
  <c r="AT20" i="141"/>
  <c r="AT19" i="141"/>
  <c r="AT18" i="141"/>
  <c r="AT17" i="141"/>
  <c r="AT16" i="141"/>
  <c r="AT13" i="141"/>
  <c r="AT12" i="141"/>
  <c r="AT11" i="141"/>
  <c r="AT21" i="142"/>
  <c r="AT20" i="142"/>
  <c r="AT19" i="142"/>
  <c r="AT18" i="142"/>
  <c r="AT17" i="142"/>
  <c r="AT16" i="142"/>
  <c r="AT13" i="142"/>
  <c r="AT12" i="142"/>
  <c r="AT11" i="142"/>
  <c r="AT21" i="143"/>
  <c r="AT20" i="143"/>
  <c r="AT19" i="143"/>
  <c r="AT18" i="143"/>
  <c r="AT17" i="143"/>
  <c r="AT16" i="143"/>
  <c r="AT13" i="143"/>
  <c r="AT12" i="143"/>
  <c r="AT11" i="143"/>
  <c r="AT21" i="94"/>
  <c r="AT20" i="94"/>
  <c r="AT19" i="94"/>
  <c r="AT18" i="94"/>
  <c r="AT17" i="94"/>
  <c r="AT16" i="94"/>
  <c r="AT13" i="94"/>
  <c r="AT12" i="94"/>
  <c r="AT11" i="94"/>
  <c r="AT21" i="48"/>
  <c r="AT20" i="48"/>
  <c r="AT19" i="48"/>
  <c r="AT18" i="48"/>
  <c r="AT17" i="48"/>
  <c r="AT16" i="48"/>
  <c r="AT13" i="48"/>
  <c r="AT12" i="48"/>
  <c r="AT11" i="48"/>
  <c r="AT21" i="47"/>
  <c r="AT20" i="47"/>
  <c r="AT19" i="47"/>
  <c r="AT18" i="47"/>
  <c r="AT17" i="47"/>
  <c r="AT16" i="47"/>
  <c r="AT13" i="47"/>
  <c r="AT12" i="47"/>
  <c r="AT11" i="47"/>
  <c r="AT21" i="46"/>
  <c r="AT20" i="46"/>
  <c r="AT19" i="46"/>
  <c r="AT18" i="46"/>
  <c r="AT17" i="46"/>
  <c r="AT16" i="46"/>
  <c r="AT13" i="46"/>
  <c r="AT12" i="46"/>
  <c r="AT11" i="46"/>
  <c r="AT21" i="45"/>
  <c r="AT20" i="45"/>
  <c r="AT19" i="45"/>
  <c r="AT18" i="45"/>
  <c r="AT17" i="45"/>
  <c r="AT16" i="45"/>
  <c r="AT13" i="45"/>
  <c r="AT12" i="45"/>
  <c r="AT11" i="45"/>
  <c r="AT21" i="44"/>
  <c r="AT20" i="44"/>
  <c r="AT19" i="44"/>
  <c r="AT18" i="44"/>
  <c r="AT17" i="44"/>
  <c r="AT16" i="44"/>
  <c r="AT13" i="44"/>
  <c r="AT12" i="44"/>
  <c r="AT11" i="44"/>
  <c r="AT21" i="43"/>
  <c r="AT20" i="43"/>
  <c r="AT19" i="43"/>
  <c r="AT18" i="43"/>
  <c r="AT17" i="43"/>
  <c r="AT16" i="43"/>
  <c r="AT13" i="43"/>
  <c r="AT12" i="43"/>
  <c r="AT11" i="43"/>
  <c r="AT21" i="42"/>
  <c r="AT20" i="42"/>
  <c r="AT19" i="42"/>
  <c r="AT18" i="42"/>
  <c r="AT17" i="42"/>
  <c r="AT16" i="42"/>
  <c r="AT13" i="42"/>
  <c r="AT12" i="42"/>
  <c r="AT11" i="42"/>
  <c r="AT21" i="41"/>
  <c r="AT20" i="41"/>
  <c r="AT19" i="41"/>
  <c r="AT18" i="41"/>
  <c r="AT17" i="41"/>
  <c r="AT16" i="41"/>
  <c r="AT13" i="41"/>
  <c r="AT12" i="41"/>
  <c r="AT11" i="41"/>
  <c r="AT21" i="39"/>
  <c r="AT20" i="39"/>
  <c r="AT19" i="39"/>
  <c r="AT18" i="39"/>
  <c r="AT17" i="39"/>
  <c r="AT16" i="39"/>
  <c r="AT13" i="39"/>
  <c r="AT12" i="39"/>
  <c r="AT11" i="39"/>
  <c r="AT21" i="116"/>
  <c r="AT20" i="116"/>
  <c r="AT19" i="116"/>
  <c r="AT18" i="116"/>
  <c r="AT17" i="116"/>
  <c r="AT16" i="116"/>
  <c r="AT13" i="116"/>
  <c r="AT12" i="116"/>
  <c r="AT11" i="116"/>
  <c r="AT21" i="115"/>
  <c r="AT20" i="115"/>
  <c r="AT19" i="115"/>
  <c r="AT18" i="115"/>
  <c r="AT17" i="115"/>
  <c r="AT16" i="115"/>
  <c r="AT13" i="115"/>
  <c r="AT12" i="115"/>
  <c r="AT11" i="115"/>
  <c r="AT21" i="25"/>
  <c r="AT20" i="25"/>
  <c r="AT19" i="25"/>
  <c r="AT18" i="25"/>
  <c r="AT17" i="25"/>
  <c r="AT16" i="25"/>
  <c r="AT13" i="25"/>
  <c r="AT12" i="25"/>
  <c r="AT11" i="25"/>
  <c r="AT21" i="26"/>
  <c r="AT20" i="26"/>
  <c r="AT19" i="26"/>
  <c r="AT18" i="26"/>
  <c r="AT17" i="26"/>
  <c r="AT16" i="26"/>
  <c r="AT13" i="26"/>
  <c r="AT12" i="26"/>
  <c r="AT11" i="26"/>
  <c r="AT21" i="14"/>
  <c r="AT19" i="14"/>
  <c r="AT18" i="14"/>
  <c r="AT17" i="14"/>
  <c r="AT16" i="14"/>
  <c r="AT13" i="14"/>
  <c r="AT12" i="14"/>
  <c r="AT11" i="14"/>
  <c r="AT21" i="12"/>
  <c r="AT20" i="12"/>
  <c r="AT19" i="12"/>
  <c r="AT18" i="12"/>
  <c r="AT17" i="12"/>
  <c r="AT16" i="12"/>
  <c r="AT13" i="12"/>
  <c r="AT12" i="12"/>
  <c r="AT11" i="12"/>
  <c r="AT21" i="13"/>
  <c r="AT20" i="13"/>
  <c r="AT19" i="13"/>
  <c r="AT18" i="13"/>
  <c r="AT17" i="13"/>
  <c r="AT16" i="13"/>
  <c r="AT13" i="13"/>
  <c r="AT12" i="13"/>
  <c r="AT11" i="13"/>
  <c r="AT21" i="15"/>
  <c r="AT20" i="15"/>
  <c r="AT19" i="15"/>
  <c r="AT18" i="15"/>
  <c r="AT17" i="15"/>
  <c r="AT16" i="15"/>
  <c r="AT13" i="15"/>
  <c r="AT12" i="15"/>
  <c r="AT11" i="15"/>
  <c r="AT21" i="16"/>
  <c r="AT20" i="16"/>
  <c r="AT19" i="16"/>
  <c r="AT18" i="16"/>
  <c r="AT17" i="16"/>
  <c r="AT16" i="16"/>
  <c r="AT13" i="16"/>
  <c r="AT12" i="16"/>
  <c r="AT11" i="16"/>
  <c r="AT21" i="17"/>
  <c r="AT20" i="17"/>
  <c r="AT19" i="17"/>
  <c r="AT18" i="17"/>
  <c r="AT17" i="17"/>
  <c r="AT16" i="17"/>
  <c r="AT13" i="17"/>
  <c r="AT12" i="17"/>
  <c r="AT11" i="17"/>
  <c r="AT21" i="18"/>
  <c r="AT20" i="18"/>
  <c r="AT19" i="18"/>
  <c r="AT18" i="18"/>
  <c r="AT17" i="18"/>
  <c r="AT16" i="18"/>
  <c r="AT13" i="18"/>
  <c r="AT12" i="18"/>
  <c r="AT11" i="18"/>
  <c r="AT21" i="33"/>
  <c r="AT20" i="33"/>
  <c r="AT19" i="33"/>
  <c r="AT18" i="33"/>
  <c r="AT17" i="33"/>
  <c r="AT16" i="33"/>
  <c r="AT13" i="33"/>
  <c r="AT12" i="33"/>
  <c r="AT11" i="33"/>
  <c r="AT21" i="27"/>
  <c r="AT20" i="27"/>
  <c r="AT19" i="27"/>
  <c r="AT18" i="27"/>
  <c r="AT17" i="27"/>
  <c r="AT16" i="27"/>
  <c r="AT13" i="27"/>
  <c r="AT12" i="27"/>
  <c r="AT11" i="27"/>
  <c r="AT21" i="32"/>
  <c r="AT20" i="32"/>
  <c r="AT19" i="32"/>
  <c r="AT18" i="32"/>
  <c r="AT17" i="32"/>
  <c r="AT16" i="32"/>
  <c r="AT13" i="32"/>
  <c r="AT12" i="32"/>
  <c r="AT11" i="32"/>
  <c r="AT21" i="31"/>
  <c r="AT20" i="31"/>
  <c r="AT19" i="31"/>
  <c r="AT18" i="31"/>
  <c r="AT17" i="31"/>
  <c r="AT16" i="31"/>
  <c r="AT13" i="31"/>
  <c r="AT12" i="31"/>
  <c r="AT11" i="31"/>
  <c r="AT21" i="30"/>
  <c r="AT20" i="30"/>
  <c r="AT19" i="30"/>
  <c r="AT18" i="30"/>
  <c r="AT17" i="30"/>
  <c r="AT16" i="30"/>
  <c r="AT13" i="30"/>
  <c r="AT12" i="30"/>
  <c r="AT11" i="30"/>
  <c r="AT21" i="29"/>
  <c r="AT20" i="29"/>
  <c r="AT19" i="29"/>
  <c r="AT18" i="29"/>
  <c r="AT17" i="29"/>
  <c r="AT16" i="29"/>
  <c r="AT13" i="29"/>
  <c r="AT12" i="29"/>
  <c r="AT11" i="29"/>
  <c r="AT21" i="28"/>
  <c r="AT20" i="28"/>
  <c r="AT19" i="28"/>
  <c r="AT18" i="28"/>
  <c r="AT17" i="28"/>
  <c r="AT16" i="28"/>
  <c r="AT13" i="28"/>
  <c r="AT12" i="28"/>
  <c r="AT11" i="28"/>
  <c r="AT21" i="3"/>
  <c r="AT20" i="3"/>
  <c r="AT19" i="3"/>
  <c r="AT18" i="3"/>
  <c r="AT17" i="3"/>
  <c r="AT16" i="3"/>
  <c r="AT13" i="3"/>
  <c r="AT12" i="3"/>
  <c r="AT11" i="3"/>
  <c r="AT21" i="4"/>
  <c r="AT20" i="4"/>
  <c r="AT19" i="4"/>
  <c r="AT18" i="4"/>
  <c r="AT17" i="4"/>
  <c r="AT16" i="4"/>
  <c r="AT13" i="4"/>
  <c r="AT12" i="4"/>
  <c r="AT11" i="4"/>
  <c r="AT21" i="2"/>
  <c r="AT20" i="2"/>
  <c r="AT19" i="2"/>
  <c r="AT18" i="2"/>
  <c r="AT17" i="2"/>
  <c r="AT16" i="2"/>
  <c r="AT13" i="2"/>
  <c r="AT12" i="2"/>
  <c r="AT11" i="2"/>
  <c r="AT21" i="1"/>
  <c r="AT20" i="1"/>
  <c r="AT19" i="1"/>
  <c r="AT18" i="1"/>
  <c r="AT17" i="1"/>
  <c r="AT16" i="1"/>
  <c r="AT13" i="1"/>
  <c r="AT12" i="1"/>
  <c r="AT11" i="1"/>
  <c r="AT21" i="113"/>
  <c r="AT20" i="113"/>
  <c r="AT19" i="113"/>
  <c r="AT18" i="113"/>
  <c r="AT17" i="113"/>
  <c r="AT16" i="113"/>
  <c r="AT13" i="113"/>
  <c r="AT12" i="113"/>
  <c r="AT11" i="113"/>
  <c r="AT21" i="114"/>
  <c r="AT20" i="114"/>
  <c r="AT19" i="114"/>
  <c r="AT18" i="114"/>
  <c r="AT17" i="114"/>
  <c r="AT16" i="114"/>
  <c r="AT13" i="114"/>
  <c r="AT12" i="114"/>
  <c r="AT11" i="114"/>
  <c r="AT21" i="38"/>
  <c r="AT20" i="38"/>
  <c r="AT19" i="38"/>
  <c r="AT18" i="38"/>
  <c r="AT17" i="38"/>
  <c r="AT16" i="38"/>
  <c r="AT13" i="38"/>
  <c r="AT12" i="38"/>
  <c r="AT11" i="38"/>
  <c r="AT21" i="37"/>
  <c r="AT20" i="37"/>
  <c r="AT19" i="37"/>
  <c r="AT18" i="37"/>
  <c r="AT17" i="37"/>
  <c r="AT16" i="37"/>
  <c r="AT13" i="37"/>
  <c r="AT12" i="37"/>
  <c r="AT11" i="37"/>
  <c r="AT21" i="36"/>
  <c r="AT20" i="36"/>
  <c r="AT19" i="36"/>
  <c r="AT18" i="36"/>
  <c r="AT17" i="36"/>
  <c r="AT16" i="36"/>
  <c r="AT13" i="36"/>
  <c r="AT12" i="36"/>
  <c r="AT11" i="36"/>
  <c r="AT21" i="35"/>
  <c r="AT20" i="35"/>
  <c r="AT19" i="35"/>
  <c r="AT18" i="35"/>
  <c r="AT17" i="35"/>
  <c r="AT16" i="35"/>
  <c r="AT13" i="35"/>
  <c r="AT12" i="35"/>
  <c r="AT11" i="35"/>
  <c r="AT21" i="24"/>
  <c r="AT20" i="24"/>
  <c r="AT19" i="24"/>
  <c r="AT18" i="24"/>
  <c r="AT17" i="24"/>
  <c r="AT16" i="24"/>
  <c r="AT13" i="24"/>
  <c r="AT12" i="24"/>
  <c r="AT11" i="24"/>
  <c r="AT21" i="77"/>
  <c r="AT20" i="77"/>
  <c r="AT19" i="77"/>
  <c r="AT18" i="77"/>
  <c r="AT17" i="77"/>
  <c r="AT16" i="77"/>
  <c r="AT13" i="77"/>
  <c r="AT12" i="77"/>
  <c r="AT11" i="77"/>
  <c r="AT21" i="76"/>
  <c r="AT20" i="76"/>
  <c r="AT19" i="76"/>
  <c r="AT18" i="76"/>
  <c r="AT17" i="76"/>
  <c r="AT16" i="76"/>
  <c r="AT13" i="76"/>
  <c r="AT12" i="76"/>
  <c r="AT11" i="76"/>
  <c r="AT21" i="75"/>
  <c r="AT20" i="75"/>
  <c r="AT19" i="75"/>
  <c r="AT18" i="75"/>
  <c r="AT17" i="75"/>
  <c r="AT16" i="75"/>
  <c r="AT13" i="75"/>
  <c r="AT12" i="75"/>
  <c r="AT11" i="75"/>
  <c r="AT21" i="74"/>
  <c r="AT20" i="74"/>
  <c r="AT19" i="74"/>
  <c r="AT18" i="74"/>
  <c r="AT17" i="74"/>
  <c r="AT16" i="74"/>
  <c r="AT13" i="74"/>
  <c r="AT12" i="74"/>
  <c r="AT11" i="74"/>
  <c r="AT21" i="73"/>
  <c r="AT20" i="73"/>
  <c r="AT19" i="73"/>
  <c r="AT18" i="73"/>
  <c r="AT17" i="73"/>
  <c r="AT16" i="73"/>
  <c r="AT13" i="73"/>
  <c r="AT12" i="73"/>
  <c r="AT11" i="73"/>
  <c r="AT21" i="72"/>
  <c r="AT20" i="72"/>
  <c r="AT19" i="72"/>
  <c r="AT18" i="72"/>
  <c r="AT17" i="72"/>
  <c r="AT16" i="72"/>
  <c r="AT13" i="72"/>
  <c r="AT12" i="72"/>
  <c r="AT11" i="72"/>
  <c r="AT21" i="71"/>
  <c r="AT20" i="71"/>
  <c r="AT19" i="71"/>
  <c r="AT18" i="71"/>
  <c r="AT17" i="71"/>
  <c r="AT16" i="71"/>
  <c r="AT13" i="71"/>
  <c r="AT12" i="71"/>
  <c r="AT11" i="71"/>
  <c r="AT21" i="70"/>
  <c r="AT20" i="70"/>
  <c r="AT19" i="70"/>
  <c r="AT18" i="70"/>
  <c r="AT17" i="70"/>
  <c r="AT16" i="70"/>
  <c r="AT13" i="70"/>
  <c r="AT12" i="70"/>
  <c r="AT11" i="70"/>
  <c r="AT21" i="69"/>
  <c r="AT20" i="69"/>
  <c r="AT19" i="69"/>
  <c r="AT18" i="69"/>
  <c r="AT17" i="69"/>
  <c r="AT16" i="69"/>
  <c r="AT13" i="69"/>
  <c r="AT12" i="69"/>
  <c r="AT11" i="69"/>
  <c r="AT21" i="68"/>
  <c r="AT20" i="68"/>
  <c r="AT19" i="68"/>
  <c r="AT18" i="68"/>
  <c r="AT17" i="68"/>
  <c r="AT16" i="68"/>
  <c r="AT13" i="68"/>
  <c r="AT12" i="68"/>
  <c r="AT11" i="68"/>
  <c r="AT21" i="67"/>
  <c r="AT20" i="67"/>
  <c r="AT19" i="67"/>
  <c r="AT18" i="67"/>
  <c r="AT17" i="67"/>
  <c r="AT16" i="67"/>
  <c r="AT13" i="67"/>
  <c r="AT12" i="67"/>
  <c r="AT11" i="67"/>
  <c r="AT21" i="65"/>
  <c r="AT20" i="65"/>
  <c r="AT19" i="65"/>
  <c r="AT18" i="65"/>
  <c r="AT17" i="65"/>
  <c r="AT16" i="65"/>
  <c r="AT13" i="65"/>
  <c r="AT12" i="65"/>
  <c r="AT11" i="65"/>
  <c r="AT21" i="66"/>
  <c r="AT20" i="66"/>
  <c r="AT19" i="66"/>
  <c r="AT18" i="66"/>
  <c r="AT17" i="66"/>
  <c r="AT16" i="66"/>
  <c r="AT13" i="66"/>
  <c r="AT12" i="66"/>
  <c r="AT11" i="66"/>
  <c r="AT21" i="64"/>
  <c r="AT20" i="64"/>
  <c r="AT19" i="64"/>
  <c r="AT18" i="64"/>
  <c r="AT17" i="64"/>
  <c r="AT16" i="64"/>
  <c r="AT13" i="64"/>
  <c r="AT12" i="64"/>
  <c r="AT11" i="64"/>
  <c r="AT21" i="34"/>
  <c r="AT20" i="34"/>
  <c r="AT19" i="34"/>
  <c r="AT18" i="34"/>
  <c r="AT17" i="34"/>
  <c r="AT16" i="34"/>
  <c r="AT13" i="34"/>
  <c r="AT12" i="34"/>
  <c r="AT11" i="34"/>
  <c r="AT21" i="19"/>
  <c r="AT20" i="19"/>
  <c r="AT19" i="19"/>
  <c r="AT18" i="19"/>
  <c r="AT17" i="19"/>
  <c r="AT16" i="19"/>
  <c r="AT13" i="19"/>
  <c r="AT12" i="19"/>
  <c r="AT11" i="19"/>
  <c r="AT21" i="20"/>
  <c r="AT20" i="20"/>
  <c r="AT19" i="20"/>
  <c r="AT18" i="20"/>
  <c r="AT17" i="20"/>
  <c r="AT16" i="20"/>
  <c r="AT13" i="20"/>
  <c r="AT12" i="20"/>
  <c r="AT11" i="20"/>
  <c r="AT21" i="21"/>
  <c r="AT20" i="21"/>
  <c r="AT19" i="21"/>
  <c r="AT18" i="21"/>
  <c r="AT17" i="21"/>
  <c r="AT16" i="21"/>
  <c r="AT13" i="21"/>
  <c r="AT12" i="21"/>
  <c r="AT11" i="21"/>
  <c r="AT21" i="9"/>
  <c r="AT21" i="10"/>
  <c r="AT21" i="23"/>
  <c r="AT21" i="22"/>
  <c r="AT20" i="9"/>
  <c r="AT20" i="10"/>
  <c r="AT20" i="23"/>
  <c r="AT20" i="22"/>
  <c r="AT19" i="9"/>
  <c r="AT19" i="10"/>
  <c r="AT19" i="23"/>
  <c r="AT19" i="22"/>
  <c r="AT18" i="9"/>
  <c r="AT18" i="10"/>
  <c r="AT18" i="23"/>
  <c r="AT18" i="22"/>
  <c r="AT13" i="10"/>
  <c r="AT13" i="23"/>
  <c r="AT13" i="22"/>
  <c r="AT13" i="9"/>
  <c r="AT12" i="10"/>
  <c r="AT12" i="23"/>
  <c r="AT12" i="22"/>
  <c r="AT12" i="9"/>
  <c r="AT11" i="10"/>
  <c r="AT11" i="23"/>
  <c r="AT11" i="22"/>
  <c r="AT11" i="9"/>
  <c r="AT12" i="8"/>
  <c r="AT11" i="8"/>
  <c r="AT17" i="9"/>
  <c r="AT17" i="10"/>
  <c r="AT17" i="23"/>
  <c r="AT17" i="22"/>
  <c r="AT16" i="9"/>
  <c r="AT16" i="10"/>
  <c r="AT16" i="23"/>
  <c r="AT16" i="22"/>
  <c r="AT13" i="8"/>
  <c r="AT13" i="7"/>
  <c r="AT12" i="7"/>
  <c r="AT11" i="7"/>
  <c r="N22" i="160"/>
  <c r="AC15" i="154"/>
  <c r="R15" i="154"/>
  <c r="S15" i="154" s="1"/>
  <c r="AC35" i="153"/>
  <c r="R35" i="153"/>
  <c r="S35" i="153" s="1"/>
  <c r="E35" i="153"/>
  <c r="AF60" i="153"/>
  <c r="G60" i="153"/>
  <c r="AG60" i="153"/>
  <c r="AH60" i="153" s="1"/>
  <c r="AI60" i="153" s="1"/>
  <c r="AI8" i="144"/>
  <c r="AC11" i="156"/>
  <c r="R11" i="156" s="1"/>
  <c r="S11" i="156" s="1"/>
  <c r="E11" i="156"/>
  <c r="AE8" i="152"/>
  <c r="AF8" i="152"/>
  <c r="F21" i="146"/>
  <c r="D3" i="160" s="1"/>
  <c r="AC10" i="156"/>
  <c r="R10" i="156" s="1"/>
  <c r="S10" i="156" s="1"/>
  <c r="G25" i="153"/>
  <c r="AE25" i="153"/>
  <c r="AF25" i="153"/>
  <c r="AC58" i="153"/>
  <c r="R58" i="153"/>
  <c r="S58" i="153" s="1"/>
  <c r="E58" i="153"/>
  <c r="E9" i="158"/>
  <c r="S9" i="158" s="1"/>
  <c r="AC9" i="158"/>
  <c r="G33" i="153"/>
  <c r="AE33" i="153" s="1"/>
  <c r="AG33" i="153" s="1"/>
  <c r="AH33" i="153" s="1"/>
  <c r="AI33" i="153" s="1"/>
  <c r="AF33" i="153"/>
  <c r="E7" i="150"/>
  <c r="R7" i="150"/>
  <c r="S7" i="150"/>
  <c r="AC12" i="148"/>
  <c r="R12" i="148"/>
  <c r="S12" i="148" s="1"/>
  <c r="AC14" i="157"/>
  <c r="R14" i="157"/>
  <c r="S14" i="157"/>
  <c r="E11" i="158"/>
  <c r="S11" i="158"/>
  <c r="AC11" i="158"/>
  <c r="G13" i="146"/>
  <c r="AE13" i="146" s="1"/>
  <c r="AF13" i="146"/>
  <c r="G17" i="153"/>
  <c r="AE17" i="153"/>
  <c r="AG17" i="153" s="1"/>
  <c r="AH17" i="153" s="1"/>
  <c r="AF17" i="153"/>
  <c r="AF8" i="157"/>
  <c r="AC7" i="158"/>
  <c r="E7" i="158"/>
  <c r="E8" i="158"/>
  <c r="S8" i="158"/>
  <c r="AC9" i="156"/>
  <c r="R9" i="156" s="1"/>
  <c r="S9" i="156" s="1"/>
  <c r="AC22" i="154"/>
  <c r="R22" i="154"/>
  <c r="S22" i="154"/>
  <c r="AC20" i="154"/>
  <c r="R20" i="154"/>
  <c r="S20" i="154" s="1"/>
  <c r="AC16" i="157"/>
  <c r="R16" i="157"/>
  <c r="S16" i="157" s="1"/>
  <c r="G7" i="150"/>
  <c r="AE7" i="150"/>
  <c r="AF7" i="150"/>
  <c r="G10" i="153"/>
  <c r="AE10" i="153"/>
  <c r="AG10" i="153" s="1"/>
  <c r="AH10" i="153" s="1"/>
  <c r="AF10" i="153"/>
  <c r="AE16" i="157"/>
  <c r="AF16" i="157"/>
  <c r="AG16" i="157" s="1"/>
  <c r="AH16" i="157" s="1"/>
  <c r="AC9" i="144"/>
  <c r="R9" i="144"/>
  <c r="S9" i="144" s="1"/>
  <c r="AC9" i="151"/>
  <c r="R9" i="151"/>
  <c r="S9" i="151" s="1"/>
  <c r="F21" i="155"/>
  <c r="H21" i="155" s="1"/>
  <c r="K7" i="155"/>
  <c r="AC8" i="158"/>
  <c r="AC9" i="152"/>
  <c r="R9" i="152"/>
  <c r="E9" i="152"/>
  <c r="F21" i="151"/>
  <c r="K7" i="151"/>
  <c r="AC19" i="154"/>
  <c r="R19" i="154"/>
  <c r="S19" i="154" s="1"/>
  <c r="AC10" i="157"/>
  <c r="R10" i="157" s="1"/>
  <c r="S10" i="157" s="1"/>
  <c r="F22" i="144"/>
  <c r="E4" i="160" s="1"/>
  <c r="M11" i="144"/>
  <c r="G10" i="150"/>
  <c r="AE10" i="150"/>
  <c r="AG10" i="150" s="1"/>
  <c r="AH10" i="150" s="1"/>
  <c r="AF10" i="150"/>
  <c r="AF11" i="150"/>
  <c r="AG11" i="150" s="1"/>
  <c r="AF12" i="150"/>
  <c r="AG12" i="150"/>
  <c r="AH12" i="150" s="1"/>
  <c r="AF64" i="153"/>
  <c r="AG64" i="153" s="1"/>
  <c r="AH64" i="153" s="1"/>
  <c r="G64" i="153"/>
  <c r="AE64" i="153" s="1"/>
  <c r="F21" i="157"/>
  <c r="D18" i="160"/>
  <c r="C18" i="160" s="1"/>
  <c r="K7" i="157"/>
  <c r="AC17" i="154"/>
  <c r="R17" i="154" s="1"/>
  <c r="S17" i="154" s="1"/>
  <c r="AC18" i="154"/>
  <c r="R18" i="154"/>
  <c r="S18" i="154"/>
  <c r="AC16" i="154"/>
  <c r="R16" i="154"/>
  <c r="S16" i="154"/>
  <c r="AC13" i="157"/>
  <c r="R13" i="157" s="1"/>
  <c r="S13" i="157" s="1"/>
  <c r="G12" i="151"/>
  <c r="AE12" i="151" s="1"/>
  <c r="AF13" i="151"/>
  <c r="AG13" i="151" s="1"/>
  <c r="AH13" i="151" s="1"/>
  <c r="AI13" i="151" s="1"/>
  <c r="AF12" i="151"/>
  <c r="AF14" i="151"/>
  <c r="AF15" i="151"/>
  <c r="AG15" i="151" s="1"/>
  <c r="AH15" i="151" s="1"/>
  <c r="G7" i="158"/>
  <c r="AE7" i="158" s="1"/>
  <c r="AF7" i="158"/>
  <c r="AF11" i="149"/>
  <c r="AG11" i="149"/>
  <c r="AH11" i="149" s="1"/>
  <c r="AJ11" i="149" s="1"/>
  <c r="AK11" i="149" s="1"/>
  <c r="AF9" i="149"/>
  <c r="G8" i="149"/>
  <c r="AF9" i="158"/>
  <c r="N13" i="152"/>
  <c r="AG7" i="148"/>
  <c r="AH7" i="148" s="1"/>
  <c r="AG27" i="159"/>
  <c r="AH27" i="159"/>
  <c r="AE7" i="151"/>
  <c r="AE9" i="151"/>
  <c r="AF9" i="151"/>
  <c r="AE7" i="157"/>
  <c r="AG7" i="157"/>
  <c r="AH7" i="157"/>
  <c r="AI7" i="157" s="1"/>
  <c r="AF7" i="157"/>
  <c r="G40" i="153"/>
  <c r="AE40" i="153" s="1"/>
  <c r="AF40" i="153"/>
  <c r="G24" i="153"/>
  <c r="AE24" i="153" s="1"/>
  <c r="AG24" i="153" s="1"/>
  <c r="AH24" i="153" s="1"/>
  <c r="AI24" i="153" s="1"/>
  <c r="AF24" i="153"/>
  <c r="AE62" i="153"/>
  <c r="AG62" i="153" s="1"/>
  <c r="AH62" i="153" s="1"/>
  <c r="AF48" i="153"/>
  <c r="G48" i="153"/>
  <c r="AE48" i="153"/>
  <c r="AG48" i="153"/>
  <c r="AH48" i="153" s="1"/>
  <c r="E16" i="153"/>
  <c r="AC12" i="151"/>
  <c r="R12" i="151"/>
  <c r="S12" i="151" s="1"/>
  <c r="AC8" i="151"/>
  <c r="R8" i="151"/>
  <c r="S8" i="151" s="1"/>
  <c r="F34" i="159"/>
  <c r="D20" i="160" s="1"/>
  <c r="E11" i="153"/>
  <c r="S11" i="153"/>
  <c r="E32" i="153"/>
  <c r="S32" i="153" s="1"/>
  <c r="AG28" i="159"/>
  <c r="AH28" i="159" s="1"/>
  <c r="AG26" i="159"/>
  <c r="AH26" i="159"/>
  <c r="AI26" i="159" s="1"/>
  <c r="G11" i="151"/>
  <c r="AE11" i="151"/>
  <c r="AF11" i="151"/>
  <c r="AG11" i="151" s="1"/>
  <c r="AH11" i="151" s="1"/>
  <c r="AE10" i="151"/>
  <c r="AG10" i="151" s="1"/>
  <c r="AH10" i="151" s="1"/>
  <c r="AI10" i="151" s="1"/>
  <c r="AF9" i="150"/>
  <c r="G9" i="150"/>
  <c r="AE9" i="150"/>
  <c r="F11" i="150"/>
  <c r="F12" i="150"/>
  <c r="S8" i="147"/>
  <c r="G32" i="153"/>
  <c r="AE32" i="153" s="1"/>
  <c r="AF32" i="153"/>
  <c r="G16" i="153"/>
  <c r="AE16" i="153" s="1"/>
  <c r="AF16" i="153"/>
  <c r="AE51" i="153"/>
  <c r="AF44" i="153"/>
  <c r="AG44" i="153" s="1"/>
  <c r="AH44" i="153" s="1"/>
  <c r="G44" i="153"/>
  <c r="S15" i="151"/>
  <c r="S13" i="151"/>
  <c r="F21" i="150"/>
  <c r="D9" i="160" s="1"/>
  <c r="C9" i="160" s="1"/>
  <c r="K7" i="147"/>
  <c r="F22" i="147"/>
  <c r="E16" i="160"/>
  <c r="L8" i="147"/>
  <c r="G12" i="148"/>
  <c r="AE12" i="148"/>
  <c r="AF12" i="148"/>
  <c r="AG12" i="148" s="1"/>
  <c r="AH12" i="148" s="1"/>
  <c r="G8" i="146"/>
  <c r="AE8" i="146"/>
  <c r="AF8" i="146"/>
  <c r="G36" i="153"/>
  <c r="AE36" i="153"/>
  <c r="AF36" i="153"/>
  <c r="AG36" i="153" s="1"/>
  <c r="AH36" i="153" s="1"/>
  <c r="G28" i="153"/>
  <c r="AE28" i="153"/>
  <c r="AF28" i="153"/>
  <c r="AG28" i="153" s="1"/>
  <c r="AH28" i="153" s="1"/>
  <c r="G20" i="153"/>
  <c r="AE20" i="153" s="1"/>
  <c r="AF20" i="153"/>
  <c r="G13" i="153"/>
  <c r="AE13" i="153"/>
  <c r="AF13" i="153"/>
  <c r="AF52" i="153"/>
  <c r="G52" i="153"/>
  <c r="AE52" i="153" s="1"/>
  <c r="AG52" i="153"/>
  <c r="AH52" i="153"/>
  <c r="AI52" i="153" s="1"/>
  <c r="G15" i="154"/>
  <c r="AE15" i="154" s="1"/>
  <c r="AF15" i="154"/>
  <c r="AE7" i="152"/>
  <c r="AG7" i="152" s="1"/>
  <c r="AH7" i="152" s="1"/>
  <c r="AF7" i="152"/>
  <c r="AE7" i="147"/>
  <c r="AG37" i="153"/>
  <c r="AH37" i="153"/>
  <c r="AF56" i="153"/>
  <c r="G56" i="153"/>
  <c r="AE56" i="153" s="1"/>
  <c r="AF54" i="153"/>
  <c r="G23" i="154"/>
  <c r="AE23" i="154" s="1"/>
  <c r="AG23" i="154" s="1"/>
  <c r="AH23" i="154"/>
  <c r="AF23" i="154"/>
  <c r="G7" i="155"/>
  <c r="AE7" i="155"/>
  <c r="AG7" i="155"/>
  <c r="AH7" i="155" s="1"/>
  <c r="AI7" i="155" s="1"/>
  <c r="AF7" i="155"/>
  <c r="AF10" i="148"/>
  <c r="G10" i="148"/>
  <c r="AE10" i="148" s="1"/>
  <c r="G9" i="148"/>
  <c r="AE9" i="148" s="1"/>
  <c r="AF9" i="148"/>
  <c r="AF11" i="146"/>
  <c r="AF10" i="152"/>
  <c r="AG10" i="152" s="1"/>
  <c r="AH10" i="152" s="1"/>
  <c r="AF39" i="153"/>
  <c r="AG39" i="153" s="1"/>
  <c r="AH39" i="153" s="1"/>
  <c r="AF35" i="153"/>
  <c r="AG35" i="153" s="1"/>
  <c r="AH35" i="153" s="1"/>
  <c r="AF31" i="153"/>
  <c r="AG31" i="153" s="1"/>
  <c r="AH31" i="153" s="1"/>
  <c r="AF27" i="153"/>
  <c r="AF23" i="153"/>
  <c r="AF19" i="153"/>
  <c r="AF12" i="153"/>
  <c r="AF9" i="153"/>
  <c r="AF62" i="153"/>
  <c r="AF58" i="153"/>
  <c r="AF50" i="153"/>
  <c r="AF46" i="153"/>
  <c r="AH46" i="153"/>
  <c r="AF42" i="153"/>
  <c r="AE65" i="153"/>
  <c r="AG65" i="153" s="1"/>
  <c r="AH65" i="153" s="1"/>
  <c r="AI65" i="153" s="1"/>
  <c r="AE61" i="153"/>
  <c r="AG61" i="153" s="1"/>
  <c r="AE45" i="153"/>
  <c r="G19" i="154"/>
  <c r="AE19" i="154" s="1"/>
  <c r="AG19" i="154" s="1"/>
  <c r="AH19" i="154" s="1"/>
  <c r="AI19" i="154" s="1"/>
  <c r="AF19" i="154"/>
  <c r="AE11" i="156"/>
  <c r="AF11" i="156"/>
  <c r="AE12" i="157"/>
  <c r="AF12" i="157"/>
  <c r="G8" i="158"/>
  <c r="AE8" i="158"/>
  <c r="AG8" i="158" s="1"/>
  <c r="AH8" i="158" s="1"/>
  <c r="AF8" i="158"/>
  <c r="AF22" i="154"/>
  <c r="AF18" i="154"/>
  <c r="AF14" i="156"/>
  <c r="AF10" i="156"/>
  <c r="AF15" i="157"/>
  <c r="AG15" i="157" s="1"/>
  <c r="AH15" i="157" s="1"/>
  <c r="AF11" i="157"/>
  <c r="AG11" i="157"/>
  <c r="AH11" i="157" s="1"/>
  <c r="AF11" i="158"/>
  <c r="M68" i="153"/>
  <c r="F76" i="153"/>
  <c r="E7" i="160"/>
  <c r="S7" i="153"/>
  <c r="F12" i="152"/>
  <c r="F22" i="152" s="1"/>
  <c r="E6" i="160"/>
  <c r="M25" i="159"/>
  <c r="F26" i="159"/>
  <c r="F27" i="159"/>
  <c r="AE15" i="153"/>
  <c r="AJ15" i="153" s="1"/>
  <c r="AK15" i="153" s="1"/>
  <c r="T15" i="153" s="1"/>
  <c r="AF25" i="159"/>
  <c r="AG25" i="159" s="1"/>
  <c r="AH25" i="159" s="1"/>
  <c r="F13" i="151"/>
  <c r="M13" i="151"/>
  <c r="AJ10" i="150"/>
  <c r="AK10" i="150"/>
  <c r="T10" i="150" s="1"/>
  <c r="T11" i="150" s="1"/>
  <c r="T12" i="150" s="1"/>
  <c r="K9" i="144"/>
  <c r="AJ24" i="159"/>
  <c r="AK24" i="159"/>
  <c r="T24" i="159"/>
  <c r="R7" i="161"/>
  <c r="R10" i="161"/>
  <c r="R9" i="161"/>
  <c r="R8" i="161"/>
  <c r="F22" i="161"/>
  <c r="E10" i="160"/>
  <c r="C10" i="160"/>
  <c r="Q9" i="164"/>
  <c r="S7" i="158"/>
  <c r="AJ7" i="157"/>
  <c r="AK7" i="157"/>
  <c r="T7" i="157"/>
  <c r="AG13" i="157"/>
  <c r="AH13" i="157"/>
  <c r="AI13" i="157" s="1"/>
  <c r="AG10" i="157"/>
  <c r="AH10" i="157" s="1"/>
  <c r="AI10" i="157" s="1"/>
  <c r="AG9" i="157"/>
  <c r="AH9" i="157"/>
  <c r="AJ9" i="157" s="1"/>
  <c r="AK9" i="157" s="1"/>
  <c r="T9" i="157" s="1"/>
  <c r="AH10" i="156"/>
  <c r="AJ10" i="156" s="1"/>
  <c r="AK10" i="156" s="1"/>
  <c r="T10" i="156" s="1"/>
  <c r="AG7" i="156"/>
  <c r="AH7" i="156" s="1"/>
  <c r="E13" i="156"/>
  <c r="S13" i="156"/>
  <c r="D12" i="160"/>
  <c r="AG18" i="154"/>
  <c r="AH18" i="154" s="1"/>
  <c r="S7" i="154"/>
  <c r="AE12" i="153"/>
  <c r="AG12" i="153" s="1"/>
  <c r="AH12" i="153" s="1"/>
  <c r="F21" i="152"/>
  <c r="D6" i="160" s="1"/>
  <c r="AG8" i="152"/>
  <c r="AH8" i="152"/>
  <c r="AI8" i="152" s="1"/>
  <c r="AG11" i="152"/>
  <c r="AH11" i="152" s="1"/>
  <c r="E7" i="152"/>
  <c r="AG8" i="146"/>
  <c r="AH8" i="146"/>
  <c r="AI8" i="146" s="1"/>
  <c r="AJ8" i="146"/>
  <c r="AK8" i="146" s="1"/>
  <c r="T8" i="146" s="1"/>
  <c r="E9" i="146"/>
  <c r="AC12" i="146"/>
  <c r="R12" i="146"/>
  <c r="S12" i="146"/>
  <c r="D16" i="160"/>
  <c r="G16" i="160" s="1"/>
  <c r="H21" i="147"/>
  <c r="AI10" i="150"/>
  <c r="AH11" i="150"/>
  <c r="AI11" i="150" s="1"/>
  <c r="AJ11" i="150"/>
  <c r="AK11" i="150" s="1"/>
  <c r="D5" i="160"/>
  <c r="AJ8" i="152"/>
  <c r="AK8" i="152" s="1"/>
  <c r="T8" i="152" s="1"/>
  <c r="F21" i="149"/>
  <c r="D14" i="160"/>
  <c r="C14" i="160" s="1"/>
  <c r="K8" i="149"/>
  <c r="S52" i="153"/>
  <c r="AE23" i="153"/>
  <c r="S44" i="153"/>
  <c r="S39" i="153"/>
  <c r="AE38" i="153"/>
  <c r="AG38" i="153" s="1"/>
  <c r="AH38" i="153" s="1"/>
  <c r="S48" i="153"/>
  <c r="AG23" i="153"/>
  <c r="AH23" i="153" s="1"/>
  <c r="S54" i="153"/>
  <c r="AE34" i="153"/>
  <c r="AE27" i="153"/>
  <c r="AE21" i="153"/>
  <c r="AE31" i="153"/>
  <c r="AE19" i="153"/>
  <c r="AG19" i="153" s="1"/>
  <c r="AH19" i="153" s="1"/>
  <c r="AI19" i="153" s="1"/>
  <c r="AE22" i="153"/>
  <c r="AJ26" i="159"/>
  <c r="AK26" i="159"/>
  <c r="E23" i="153"/>
  <c r="M12" i="150"/>
  <c r="M11" i="150"/>
  <c r="AC61" i="153"/>
  <c r="R61" i="153" s="1"/>
  <c r="S61" i="153" s="1"/>
  <c r="E61" i="153"/>
  <c r="AI46" i="153"/>
  <c r="AJ46" i="153"/>
  <c r="AK46" i="153" s="1"/>
  <c r="T46" i="153" s="1"/>
  <c r="F22" i="150"/>
  <c r="AH61" i="153"/>
  <c r="AC40" i="153"/>
  <c r="R40" i="153"/>
  <c r="E40" i="153"/>
  <c r="AI10" i="156"/>
  <c r="AH51" i="153"/>
  <c r="AI51" i="153" s="1"/>
  <c r="AJ27" i="159"/>
  <c r="AK27" i="159" s="1"/>
  <c r="AI27" i="159"/>
  <c r="AG56" i="153"/>
  <c r="AH56" i="153"/>
  <c r="AG8" i="157"/>
  <c r="AH8" i="157"/>
  <c r="AI8" i="157" s="1"/>
  <c r="AC9" i="157"/>
  <c r="R9" i="157"/>
  <c r="E9" i="157"/>
  <c r="G9" i="149"/>
  <c r="AE8" i="149"/>
  <c r="AH9" i="153"/>
  <c r="AC10" i="146"/>
  <c r="R10" i="146" s="1"/>
  <c r="S10" i="146" s="1"/>
  <c r="E7" i="157"/>
  <c r="AC7" i="157"/>
  <c r="R7" i="157"/>
  <c r="S7" i="157"/>
  <c r="E8" i="150"/>
  <c r="E13" i="146"/>
  <c r="AC13" i="146"/>
  <c r="R13" i="146"/>
  <c r="AC7" i="156"/>
  <c r="R7" i="156" s="1"/>
  <c r="E7" i="156"/>
  <c r="R7" i="149"/>
  <c r="E7" i="149"/>
  <c r="H22" i="149" s="1"/>
  <c r="R7" i="147"/>
  <c r="S7" i="147" s="1"/>
  <c r="E7" i="147"/>
  <c r="E10" i="150"/>
  <c r="H22" i="150" s="1"/>
  <c r="H21" i="150" s="1"/>
  <c r="F9" i="160" s="1"/>
  <c r="AC10" i="150"/>
  <c r="R10" i="150"/>
  <c r="S10" i="150" s="1"/>
  <c r="AC11" i="151"/>
  <c r="R11" i="151" s="1"/>
  <c r="S11" i="151" s="1"/>
  <c r="E11" i="151"/>
  <c r="AJ7" i="144"/>
  <c r="AK7" i="144" s="1"/>
  <c r="AE39" i="153"/>
  <c r="AE35" i="153"/>
  <c r="AF57" i="153"/>
  <c r="G8" i="153"/>
  <c r="AE8" i="153" s="1"/>
  <c r="AF8" i="153"/>
  <c r="E11" i="148"/>
  <c r="AC11" i="148"/>
  <c r="R11" i="148" s="1"/>
  <c r="S11" i="148" s="1"/>
  <c r="AE29" i="153"/>
  <c r="J15" i="154"/>
  <c r="J11" i="154"/>
  <c r="AE11" i="154"/>
  <c r="AG11" i="154"/>
  <c r="AH11" i="154" s="1"/>
  <c r="J9" i="154"/>
  <c r="AE9" i="154" s="1"/>
  <c r="J12" i="154"/>
  <c r="J10" i="154"/>
  <c r="AE10" i="154"/>
  <c r="J7" i="154"/>
  <c r="AE7" i="154"/>
  <c r="J13" i="154"/>
  <c r="AE13" i="154"/>
  <c r="J8" i="154"/>
  <c r="AE8" i="154"/>
  <c r="AG8" i="154"/>
  <c r="AH8" i="154" s="1"/>
  <c r="J14" i="154"/>
  <c r="AE14" i="154" s="1"/>
  <c r="AE10" i="146"/>
  <c r="G11" i="153"/>
  <c r="AE11" i="153"/>
  <c r="AG11" i="153"/>
  <c r="AH11" i="153"/>
  <c r="AJ11" i="153" s="1"/>
  <c r="AK11" i="153" s="1"/>
  <c r="T11" i="153" s="1"/>
  <c r="AF11" i="153"/>
  <c r="AC23" i="154"/>
  <c r="R23" i="154" s="1"/>
  <c r="E23" i="154"/>
  <c r="F23" i="148"/>
  <c r="E15" i="160"/>
  <c r="AG7" i="149"/>
  <c r="AH7" i="149" s="1"/>
  <c r="AJ7" i="149"/>
  <c r="AK7" i="149"/>
  <c r="T7" i="149" s="1"/>
  <c r="AC14" i="156"/>
  <c r="R14" i="156" s="1"/>
  <c r="S14" i="156" s="1"/>
  <c r="E14" i="156"/>
  <c r="AC12" i="156"/>
  <c r="R12" i="156" s="1"/>
  <c r="S12" i="156" s="1"/>
  <c r="E12" i="156"/>
  <c r="G30" i="153"/>
  <c r="AE30" i="153"/>
  <c r="AG30" i="153" s="1"/>
  <c r="AH30" i="153" s="1"/>
  <c r="AI30" i="153" s="1"/>
  <c r="AF30" i="153"/>
  <c r="S10" i="149"/>
  <c r="AF7" i="146"/>
  <c r="AG7" i="146" s="1"/>
  <c r="AH7" i="146" s="1"/>
  <c r="AF9" i="146"/>
  <c r="AF21" i="153"/>
  <c r="AG21" i="153"/>
  <c r="AH21" i="153" s="1"/>
  <c r="AF18" i="153"/>
  <c r="AG18" i="153" s="1"/>
  <c r="AH18" i="153" s="1"/>
  <c r="AF63" i="153"/>
  <c r="AE42" i="153"/>
  <c r="E10" i="159"/>
  <c r="AC10" i="159"/>
  <c r="R10" i="159" s="1"/>
  <c r="S10" i="159" s="1"/>
  <c r="AG15" i="159"/>
  <c r="AH15" i="159" s="1"/>
  <c r="AF7" i="147"/>
  <c r="AG7" i="147"/>
  <c r="AH7" i="147" s="1"/>
  <c r="AE47" i="153"/>
  <c r="H11" i="154"/>
  <c r="H14" i="154"/>
  <c r="H13" i="154"/>
  <c r="H12" i="154"/>
  <c r="H10" i="154"/>
  <c r="H9" i="154"/>
  <c r="H8" i="154"/>
  <c r="H7" i="154"/>
  <c r="AG17" i="159"/>
  <c r="AH17" i="159" s="1"/>
  <c r="AJ8" i="144"/>
  <c r="AK8" i="144" s="1"/>
  <c r="G8" i="151"/>
  <c r="AE8" i="151" s="1"/>
  <c r="G59" i="153"/>
  <c r="AE59" i="153" s="1"/>
  <c r="G57" i="153"/>
  <c r="AE57" i="153" s="1"/>
  <c r="AE22" i="154"/>
  <c r="AE9" i="156"/>
  <c r="E7" i="155"/>
  <c r="AC7" i="155"/>
  <c r="R7" i="155" s="1"/>
  <c r="S7" i="155" s="1"/>
  <c r="C13" i="160"/>
  <c r="AE9" i="144"/>
  <c r="AG12" i="159"/>
  <c r="AH12" i="159"/>
  <c r="AJ12" i="159" s="1"/>
  <c r="AK12" i="159" s="1"/>
  <c r="T12" i="159" s="1"/>
  <c r="E16" i="159"/>
  <c r="AC16" i="159"/>
  <c r="R16" i="159"/>
  <c r="S16" i="159" s="1"/>
  <c r="G43" i="153"/>
  <c r="AE43" i="153" s="1"/>
  <c r="AF43" i="153"/>
  <c r="AG43" i="153"/>
  <c r="AH43" i="153" s="1"/>
  <c r="AE12" i="154"/>
  <c r="AJ12" i="154" s="1"/>
  <c r="AK12" i="154" s="1"/>
  <c r="T12" i="154" s="1"/>
  <c r="AG12" i="154"/>
  <c r="AH12" i="154"/>
  <c r="AI12" i="154" s="1"/>
  <c r="G12" i="156"/>
  <c r="AE12" i="156" s="1"/>
  <c r="AF12" i="156"/>
  <c r="AF10" i="159"/>
  <c r="AF53" i="153"/>
  <c r="G53" i="153"/>
  <c r="AE53" i="153"/>
  <c r="AG53" i="153" s="1"/>
  <c r="AH53" i="153" s="1"/>
  <c r="AI53" i="153" s="1"/>
  <c r="G41" i="153"/>
  <c r="AE41" i="153"/>
  <c r="AF41" i="153"/>
  <c r="AG10" i="159"/>
  <c r="AH10" i="159"/>
  <c r="AI10" i="159" s="1"/>
  <c r="AF20" i="154"/>
  <c r="G20" i="154"/>
  <c r="AI18" i="159"/>
  <c r="AE20" i="159"/>
  <c r="AG21" i="159"/>
  <c r="AH21" i="159"/>
  <c r="AJ21" i="159" s="1"/>
  <c r="AK21" i="159" s="1"/>
  <c r="T21" i="159" s="1"/>
  <c r="AI21" i="159"/>
  <c r="E23" i="159"/>
  <c r="AC23" i="159"/>
  <c r="R23" i="159"/>
  <c r="S23" i="159"/>
  <c r="AG9" i="159"/>
  <c r="AH9" i="159" s="1"/>
  <c r="E21" i="159"/>
  <c r="AC21" i="159"/>
  <c r="R21" i="159" s="1"/>
  <c r="S21" i="159" s="1"/>
  <c r="E22" i="159"/>
  <c r="AC22" i="159"/>
  <c r="R22" i="159"/>
  <c r="G21" i="154"/>
  <c r="AE21" i="154"/>
  <c r="AG21" i="154"/>
  <c r="AH21" i="154"/>
  <c r="AI21" i="154" s="1"/>
  <c r="G16" i="154"/>
  <c r="AE16" i="154" s="1"/>
  <c r="AC12" i="159"/>
  <c r="R12" i="159" s="1"/>
  <c r="S12" i="159" s="1"/>
  <c r="AE19" i="159"/>
  <c r="AG19" i="159" s="1"/>
  <c r="AH19" i="159" s="1"/>
  <c r="AE14" i="157"/>
  <c r="AF23" i="159"/>
  <c r="AG23" i="159"/>
  <c r="AH23" i="159" s="1"/>
  <c r="AE22" i="159"/>
  <c r="AG22" i="159" s="1"/>
  <c r="AH22" i="159" s="1"/>
  <c r="AF8" i="156"/>
  <c r="E15" i="159"/>
  <c r="S15" i="159" s="1"/>
  <c r="AF13" i="156"/>
  <c r="AG13" i="156" s="1"/>
  <c r="AH13" i="156" s="1"/>
  <c r="AF14" i="159"/>
  <c r="AG14" i="159"/>
  <c r="AH14" i="159" s="1"/>
  <c r="AJ52" i="153"/>
  <c r="AK52" i="153" s="1"/>
  <c r="T52" i="153" s="1"/>
  <c r="AG13" i="154"/>
  <c r="AH13" i="154"/>
  <c r="AI13" i="154" s="1"/>
  <c r="S40" i="153"/>
  <c r="AG9" i="144"/>
  <c r="AH9" i="144" s="1"/>
  <c r="AJ18" i="159"/>
  <c r="AK18" i="159"/>
  <c r="T18" i="159"/>
  <c r="AG10" i="146"/>
  <c r="AH10" i="146" s="1"/>
  <c r="S8" i="150"/>
  <c r="G10" i="149"/>
  <c r="AE10" i="149" s="1"/>
  <c r="AE9" i="149"/>
  <c r="AG9" i="149" s="1"/>
  <c r="AH9" i="149" s="1"/>
  <c r="AI9" i="149" s="1"/>
  <c r="AJ56" i="153"/>
  <c r="AK56" i="153"/>
  <c r="T56" i="153" s="1"/>
  <c r="AI56" i="153"/>
  <c r="AG9" i="156"/>
  <c r="AH9" i="156"/>
  <c r="AI9" i="156" s="1"/>
  <c r="AG42" i="153"/>
  <c r="AH42" i="153" s="1"/>
  <c r="AI7" i="149"/>
  <c r="AG14" i="157"/>
  <c r="AH14" i="157" s="1"/>
  <c r="AG29" i="153"/>
  <c r="AH29" i="153" s="1"/>
  <c r="AI61" i="153"/>
  <c r="AJ61" i="153"/>
  <c r="AK61" i="153"/>
  <c r="T61" i="153"/>
  <c r="AG57" i="153"/>
  <c r="AH57" i="153" s="1"/>
  <c r="AI57" i="153" s="1"/>
  <c r="AI9" i="153"/>
  <c r="AJ9" i="153"/>
  <c r="AK9" i="153"/>
  <c r="T9" i="153"/>
  <c r="AG59" i="153"/>
  <c r="AH59" i="153" s="1"/>
  <c r="AI59" i="153" s="1"/>
  <c r="S23" i="154"/>
  <c r="AI17" i="153"/>
  <c r="AJ17" i="153"/>
  <c r="AK17" i="153" s="1"/>
  <c r="T17" i="153" s="1"/>
  <c r="AI12" i="159"/>
  <c r="AJ8" i="154"/>
  <c r="AK8" i="154"/>
  <c r="T8" i="154" s="1"/>
  <c r="AI8" i="154"/>
  <c r="K7" i="158"/>
  <c r="F21" i="158"/>
  <c r="D19" i="160" s="1"/>
  <c r="C19" i="160" s="1"/>
  <c r="AG12" i="157"/>
  <c r="AH12" i="157"/>
  <c r="AJ12" i="157" s="1"/>
  <c r="AK12" i="157" s="1"/>
  <c r="T12" i="157" s="1"/>
  <c r="AI12" i="157"/>
  <c r="AJ21" i="154"/>
  <c r="AK21" i="154"/>
  <c r="T21" i="154" s="1"/>
  <c r="K8" i="153"/>
  <c r="AI23" i="154"/>
  <c r="AJ23" i="154"/>
  <c r="AK23" i="154"/>
  <c r="T23" i="154"/>
  <c r="AJ37" i="153"/>
  <c r="AK37" i="153" s="1"/>
  <c r="T37" i="153" s="1"/>
  <c r="AI37" i="153"/>
  <c r="AG22" i="153"/>
  <c r="AH22" i="153" s="1"/>
  <c r="AI12" i="150"/>
  <c r="AJ12" i="150"/>
  <c r="AK12" i="150"/>
  <c r="S7" i="156"/>
  <c r="C6" i="160"/>
  <c r="S13" i="146"/>
  <c r="AI62" i="153"/>
  <c r="AJ62" i="153"/>
  <c r="AK62" i="153" s="1"/>
  <c r="T62" i="153" s="1"/>
  <c r="AI7" i="148"/>
  <c r="AJ7" i="148"/>
  <c r="AK7" i="148" s="1"/>
  <c r="AI28" i="159"/>
  <c r="AJ28" i="159"/>
  <c r="AK28" i="159"/>
  <c r="AG12" i="151"/>
  <c r="AH12" i="151"/>
  <c r="AI12" i="151" s="1"/>
  <c r="AG25" i="153"/>
  <c r="AH25" i="153" s="1"/>
  <c r="AG15" i="153"/>
  <c r="AH15" i="153"/>
  <c r="AI15" i="153" s="1"/>
  <c r="AG9" i="151"/>
  <c r="AH9" i="151"/>
  <c r="AJ9" i="151" s="1"/>
  <c r="AK9" i="151" s="1"/>
  <c r="T9" i="151" s="1"/>
  <c r="S22" i="159"/>
  <c r="F28" i="159"/>
  <c r="M27" i="159"/>
  <c r="E9" i="160"/>
  <c r="AG13" i="146"/>
  <c r="AH13" i="146" s="1"/>
  <c r="AI13" i="146" s="1"/>
  <c r="AG13" i="153"/>
  <c r="AH13" i="153"/>
  <c r="AI13" i="153"/>
  <c r="AJ13" i="153"/>
  <c r="AK13" i="153"/>
  <c r="T13" i="153" s="1"/>
  <c r="E8" i="156"/>
  <c r="AC8" i="156"/>
  <c r="R8" i="156"/>
  <c r="S8" i="156" s="1"/>
  <c r="F14" i="151"/>
  <c r="M14" i="151" s="1"/>
  <c r="AG9" i="150"/>
  <c r="AH9" i="150" s="1"/>
  <c r="E7" i="146"/>
  <c r="AC7" i="146"/>
  <c r="R7" i="146"/>
  <c r="E9" i="150"/>
  <c r="AC9" i="150"/>
  <c r="R9" i="150"/>
  <c r="S9" i="150"/>
  <c r="M26" i="159"/>
  <c r="E8" i="146"/>
  <c r="AC8" i="146"/>
  <c r="R8" i="146" s="1"/>
  <c r="S8" i="146" s="1"/>
  <c r="AC10" i="158"/>
  <c r="E10" i="158"/>
  <c r="H22" i="158" s="1"/>
  <c r="F19" i="160" s="1"/>
  <c r="E10" i="152"/>
  <c r="S43" i="153"/>
  <c r="AC8" i="149"/>
  <c r="R8" i="149" s="1"/>
  <c r="S8" i="149" s="1"/>
  <c r="E8" i="149"/>
  <c r="AF8" i="150"/>
  <c r="G8" i="150"/>
  <c r="AE8" i="150"/>
  <c r="K9" i="154"/>
  <c r="S11" i="149"/>
  <c r="N11" i="149"/>
  <c r="AC21" i="154"/>
  <c r="R21" i="154"/>
  <c r="E21" i="154"/>
  <c r="H26" i="154"/>
  <c r="AF7" i="151"/>
  <c r="AG7" i="151" s="1"/>
  <c r="AH7" i="151" s="1"/>
  <c r="AE9" i="146"/>
  <c r="AG9" i="146" s="1"/>
  <c r="AH9" i="146" s="1"/>
  <c r="AE9" i="152"/>
  <c r="AG9" i="152" s="1"/>
  <c r="AH9" i="152" s="1"/>
  <c r="AI9" i="152" s="1"/>
  <c r="G10" i="158"/>
  <c r="AE10" i="158" s="1"/>
  <c r="AF10" i="158"/>
  <c r="AE11" i="146"/>
  <c r="AC22" i="153"/>
  <c r="R22" i="153"/>
  <c r="E22" i="153"/>
  <c r="S15" i="148"/>
  <c r="AF26" i="153"/>
  <c r="G26" i="153"/>
  <c r="AE26" i="153"/>
  <c r="AG26" i="153" s="1"/>
  <c r="AH26" i="153" s="1"/>
  <c r="AF49" i="153"/>
  <c r="G49" i="153"/>
  <c r="AE49" i="153" s="1"/>
  <c r="AC60" i="153"/>
  <c r="R60" i="153" s="1"/>
  <c r="S60" i="153" s="1"/>
  <c r="E60" i="153"/>
  <c r="L9" i="149"/>
  <c r="AF8" i="149"/>
  <c r="AG8" i="149" s="1"/>
  <c r="AH8" i="149" s="1"/>
  <c r="AG8" i="159"/>
  <c r="AH8" i="159"/>
  <c r="AJ8" i="159" s="1"/>
  <c r="AK8" i="159" s="1"/>
  <c r="T8" i="159" s="1"/>
  <c r="AC11" i="159"/>
  <c r="R11" i="159" s="1"/>
  <c r="S11" i="159" s="1"/>
  <c r="E11" i="159"/>
  <c r="AG16" i="159"/>
  <c r="AH16" i="159"/>
  <c r="AJ16" i="159" s="1"/>
  <c r="AK16" i="159" s="1"/>
  <c r="T16" i="159" s="1"/>
  <c r="T26" i="159" s="1"/>
  <c r="AI16" i="159"/>
  <c r="AF47" i="153"/>
  <c r="AG47" i="153"/>
  <c r="AH47" i="153" s="1"/>
  <c r="AF45" i="153"/>
  <c r="AG45" i="153" s="1"/>
  <c r="AH45" i="153" s="1"/>
  <c r="E9" i="159"/>
  <c r="AC9" i="159"/>
  <c r="R9" i="159"/>
  <c r="S9" i="159" s="1"/>
  <c r="E8" i="159"/>
  <c r="AC8" i="159"/>
  <c r="R8" i="159" s="1"/>
  <c r="S8" i="159" s="1"/>
  <c r="AF11" i="159"/>
  <c r="AG11" i="159"/>
  <c r="AH11" i="159" s="1"/>
  <c r="E20" i="159"/>
  <c r="AC20" i="159"/>
  <c r="R20" i="159"/>
  <c r="S20" i="159"/>
  <c r="G10" i="144"/>
  <c r="AE10" i="144" s="1"/>
  <c r="AF10" i="144"/>
  <c r="AC7" i="159"/>
  <c r="R7" i="159"/>
  <c r="S7" i="159" s="1"/>
  <c r="E7" i="159"/>
  <c r="E13" i="159"/>
  <c r="AC13" i="159"/>
  <c r="R13" i="159" s="1"/>
  <c r="S13" i="159" s="1"/>
  <c r="G55" i="153"/>
  <c r="AE55" i="153"/>
  <c r="G17" i="154"/>
  <c r="AE17" i="154"/>
  <c r="E18" i="159"/>
  <c r="S18" i="159" s="1"/>
  <c r="AC19" i="159"/>
  <c r="R19" i="159"/>
  <c r="S19" i="159"/>
  <c r="S10" i="158"/>
  <c r="F29" i="159"/>
  <c r="F30" i="159"/>
  <c r="F31" i="159" s="1"/>
  <c r="F35" i="159" s="1"/>
  <c r="E20" i="160" s="1"/>
  <c r="C20" i="160" s="1"/>
  <c r="M28" i="159"/>
  <c r="S22" i="153"/>
  <c r="S21" i="154"/>
  <c r="AG11" i="146"/>
  <c r="AH11" i="146" s="1"/>
  <c r="AG17" i="154"/>
  <c r="AH17" i="154" s="1"/>
  <c r="S10" i="152"/>
  <c r="AI9" i="151"/>
  <c r="F8" i="160"/>
  <c r="AG11" i="148"/>
  <c r="AH11" i="148" s="1"/>
  <c r="AG9" i="148"/>
  <c r="AH9" i="148"/>
  <c r="AJ9" i="148" s="1"/>
  <c r="AK9" i="148" s="1"/>
  <c r="T9" i="148" s="1"/>
  <c r="T15" i="148" s="1"/>
  <c r="AI9" i="148"/>
  <c r="AG10" i="148"/>
  <c r="AH10" i="148"/>
  <c r="AI10" i="148" s="1"/>
  <c r="AJ8" i="148"/>
  <c r="AK8" i="148"/>
  <c r="AI8" i="148"/>
  <c r="R10" i="148"/>
  <c r="E10" i="148"/>
  <c r="S10" i="148" s="1"/>
  <c r="AC9" i="148"/>
  <c r="AJ10" i="148"/>
  <c r="AK10" i="148" s="1"/>
  <c r="T10" i="148" s="1"/>
  <c r="T17" i="148" s="1"/>
  <c r="AG20" i="154" l="1"/>
  <c r="AH20" i="154" s="1"/>
  <c r="AI20" i="154" s="1"/>
  <c r="AJ20" i="154"/>
  <c r="AK20" i="154" s="1"/>
  <c r="T20" i="154" s="1"/>
  <c r="AJ13" i="146"/>
  <c r="AK13" i="146" s="1"/>
  <c r="T13" i="146" s="1"/>
  <c r="AI9" i="159"/>
  <c r="AJ9" i="159"/>
  <c r="AK9" i="159" s="1"/>
  <c r="T9" i="159" s="1"/>
  <c r="AG7" i="158"/>
  <c r="AH7" i="158" s="1"/>
  <c r="AI7" i="158" s="1"/>
  <c r="AI48" i="153"/>
  <c r="AJ48" i="153"/>
  <c r="AK48" i="153" s="1"/>
  <c r="T48" i="153" s="1"/>
  <c r="AI11" i="154"/>
  <c r="AJ11" i="154"/>
  <c r="AK11" i="154" s="1"/>
  <c r="T11" i="154" s="1"/>
  <c r="AI12" i="153"/>
  <c r="AJ12" i="153"/>
  <c r="AK12" i="153" s="1"/>
  <c r="T12" i="153" s="1"/>
  <c r="AI15" i="151"/>
  <c r="AJ15" i="151"/>
  <c r="AK15" i="151" s="1"/>
  <c r="AJ10" i="154"/>
  <c r="AK10" i="154" s="1"/>
  <c r="T10" i="154" s="1"/>
  <c r="AJ8" i="150"/>
  <c r="AK8" i="150" s="1"/>
  <c r="T8" i="150" s="1"/>
  <c r="AJ25" i="159"/>
  <c r="AK25" i="159" s="1"/>
  <c r="AI25" i="159"/>
  <c r="AJ9" i="144"/>
  <c r="AK9" i="144" s="1"/>
  <c r="T9" i="144" s="1"/>
  <c r="AI9" i="144"/>
  <c r="AI18" i="154"/>
  <c r="AJ18" i="154"/>
  <c r="AK18" i="154" s="1"/>
  <c r="T18" i="154" s="1"/>
  <c r="AI7" i="152"/>
  <c r="AJ7" i="152"/>
  <c r="AK7" i="152" s="1"/>
  <c r="T7" i="152" s="1"/>
  <c r="AJ44" i="153"/>
  <c r="AK44" i="153" s="1"/>
  <c r="T44" i="153" s="1"/>
  <c r="AI44" i="153"/>
  <c r="AI16" i="157"/>
  <c r="AJ16" i="157"/>
  <c r="AK16" i="157" s="1"/>
  <c r="T16" i="157" s="1"/>
  <c r="AI11" i="152"/>
  <c r="AJ11" i="152"/>
  <c r="AK11" i="152" s="1"/>
  <c r="G19" i="160"/>
  <c r="AI23" i="153"/>
  <c r="AJ23" i="153"/>
  <c r="AK23" i="153" s="1"/>
  <c r="T23" i="153" s="1"/>
  <c r="AJ25" i="153"/>
  <c r="AK25" i="153" s="1"/>
  <c r="T25" i="153" s="1"/>
  <c r="AI25" i="153"/>
  <c r="AJ55" i="153"/>
  <c r="AK55" i="153" s="1"/>
  <c r="T55" i="153" s="1"/>
  <c r="AJ57" i="153"/>
  <c r="AK57" i="153" s="1"/>
  <c r="T57" i="153" s="1"/>
  <c r="AG15" i="154"/>
  <c r="AH15" i="154" s="1"/>
  <c r="AI15" i="154" s="1"/>
  <c r="AJ11" i="146"/>
  <c r="AK11" i="146" s="1"/>
  <c r="T11" i="146" s="1"/>
  <c r="AI11" i="146"/>
  <c r="AJ59" i="153"/>
  <c r="AK59" i="153" s="1"/>
  <c r="T59" i="153" s="1"/>
  <c r="AI38" i="153"/>
  <c r="AJ38" i="153"/>
  <c r="AK38" i="153" s="1"/>
  <c r="T38" i="153" s="1"/>
  <c r="AG16" i="153"/>
  <c r="AH16" i="153" s="1"/>
  <c r="AI16" i="153" s="1"/>
  <c r="AI10" i="153"/>
  <c r="AJ10" i="153"/>
  <c r="AK10" i="153" s="1"/>
  <c r="T10" i="153" s="1"/>
  <c r="AG49" i="153"/>
  <c r="AH49" i="153" s="1"/>
  <c r="AI49" i="153" s="1"/>
  <c r="AG8" i="151"/>
  <c r="AH8" i="151" s="1"/>
  <c r="AI8" i="151" s="1"/>
  <c r="AJ8" i="151"/>
  <c r="AK8" i="151" s="1"/>
  <c r="T8" i="151" s="1"/>
  <c r="AJ7" i="156"/>
  <c r="AK7" i="156" s="1"/>
  <c r="T7" i="156" s="1"/>
  <c r="AI7" i="156"/>
  <c r="AJ40" i="153"/>
  <c r="AK40" i="153" s="1"/>
  <c r="T40" i="153" s="1"/>
  <c r="AJ9" i="154"/>
  <c r="AK9" i="154" s="1"/>
  <c r="T9" i="154" s="1"/>
  <c r="AG9" i="154"/>
  <c r="AH9" i="154" s="1"/>
  <c r="AI9" i="154" s="1"/>
  <c r="AJ8" i="149"/>
  <c r="AK8" i="149" s="1"/>
  <c r="T8" i="149" s="1"/>
  <c r="AI8" i="149"/>
  <c r="AJ14" i="159"/>
  <c r="AK14" i="159" s="1"/>
  <c r="T14" i="159" s="1"/>
  <c r="AI14" i="159"/>
  <c r="AG8" i="153"/>
  <c r="AH8" i="153" s="1"/>
  <c r="AI8" i="153" s="1"/>
  <c r="AJ8" i="153"/>
  <c r="AK8" i="153" s="1"/>
  <c r="T8" i="153" s="1"/>
  <c r="AG32" i="153"/>
  <c r="AH32" i="153" s="1"/>
  <c r="AI32" i="153" s="1"/>
  <c r="AJ32" i="153"/>
  <c r="AK32" i="153" s="1"/>
  <c r="T32" i="153" s="1"/>
  <c r="AJ10" i="146"/>
  <c r="AK10" i="146" s="1"/>
  <c r="T10" i="146" s="1"/>
  <c r="AI10" i="146"/>
  <c r="AJ17" i="159"/>
  <c r="AK17" i="159" s="1"/>
  <c r="T17" i="159" s="1"/>
  <c r="AI17" i="159"/>
  <c r="AI21" i="153"/>
  <c r="AJ21" i="153"/>
  <c r="AK21" i="153" s="1"/>
  <c r="T21" i="153" s="1"/>
  <c r="AJ13" i="156"/>
  <c r="AK13" i="156" s="1"/>
  <c r="T13" i="156" s="1"/>
  <c r="AI13" i="156"/>
  <c r="AG10" i="149"/>
  <c r="AH10" i="149" s="1"/>
  <c r="AI10" i="149" s="1"/>
  <c r="AJ26" i="153"/>
  <c r="AK26" i="153" s="1"/>
  <c r="T26" i="153" s="1"/>
  <c r="AI26" i="153"/>
  <c r="AJ64" i="153"/>
  <c r="AK64" i="153" s="1"/>
  <c r="T64" i="153" s="1"/>
  <c r="AI64" i="153"/>
  <c r="AJ41" i="153"/>
  <c r="AK41" i="153" s="1"/>
  <c r="T41" i="153" s="1"/>
  <c r="AI31" i="153"/>
  <c r="AJ31" i="153"/>
  <c r="AK31" i="153" s="1"/>
  <c r="T31" i="153" s="1"/>
  <c r="AI18" i="153"/>
  <c r="AJ18" i="153"/>
  <c r="AK18" i="153" s="1"/>
  <c r="T18" i="153" s="1"/>
  <c r="AG10" i="144"/>
  <c r="AH10" i="144" s="1"/>
  <c r="AI10" i="144" s="1"/>
  <c r="AI22" i="159"/>
  <c r="AJ22" i="159"/>
  <c r="AK22" i="159" s="1"/>
  <c r="T22" i="159" s="1"/>
  <c r="AJ35" i="153"/>
  <c r="AK35" i="153" s="1"/>
  <c r="T35" i="153" s="1"/>
  <c r="AI35" i="153"/>
  <c r="AJ7" i="146"/>
  <c r="AK7" i="146" s="1"/>
  <c r="T7" i="146" s="1"/>
  <c r="AI7" i="146"/>
  <c r="AJ23" i="159"/>
  <c r="AK23" i="159" s="1"/>
  <c r="T23" i="159" s="1"/>
  <c r="AI23" i="159"/>
  <c r="AI11" i="157"/>
  <c r="AJ11" i="157"/>
  <c r="AK11" i="157" s="1"/>
  <c r="T11" i="157" s="1"/>
  <c r="AI39" i="153"/>
  <c r="AJ39" i="153"/>
  <c r="AK39" i="153" s="1"/>
  <c r="T39" i="153" s="1"/>
  <c r="AG20" i="153"/>
  <c r="AH20" i="153" s="1"/>
  <c r="AI20" i="153" s="1"/>
  <c r="AI12" i="148"/>
  <c r="AJ12" i="148"/>
  <c r="AK12" i="148" s="1"/>
  <c r="T12" i="148" s="1"/>
  <c r="AJ45" i="153"/>
  <c r="AK45" i="153" s="1"/>
  <c r="T45" i="153" s="1"/>
  <c r="AI45" i="153"/>
  <c r="AI10" i="152"/>
  <c r="AJ10" i="152"/>
  <c r="AK10" i="152" s="1"/>
  <c r="T10" i="152" s="1"/>
  <c r="AI28" i="153"/>
  <c r="AJ28" i="153"/>
  <c r="AK28" i="153" s="1"/>
  <c r="T28" i="153" s="1"/>
  <c r="H22" i="146"/>
  <c r="AI9" i="150"/>
  <c r="AJ9" i="150"/>
  <c r="AK9" i="150" s="1"/>
  <c r="T9" i="150" s="1"/>
  <c r="AI15" i="157"/>
  <c r="AJ15" i="157"/>
  <c r="AK15" i="157" s="1"/>
  <c r="T15" i="157" s="1"/>
  <c r="AI11" i="151"/>
  <c r="AJ11" i="151"/>
  <c r="AK11" i="151" s="1"/>
  <c r="T11" i="151" s="1"/>
  <c r="AI19" i="159"/>
  <c r="AJ19" i="159"/>
  <c r="AK19" i="159" s="1"/>
  <c r="T19" i="159" s="1"/>
  <c r="G9" i="160"/>
  <c r="AI43" i="153"/>
  <c r="AJ43" i="153"/>
  <c r="AK43" i="153" s="1"/>
  <c r="T43" i="153" s="1"/>
  <c r="AJ11" i="159"/>
  <c r="AK11" i="159" s="1"/>
  <c r="T11" i="159" s="1"/>
  <c r="AI11" i="159"/>
  <c r="AG10" i="158"/>
  <c r="AH10" i="158" s="1"/>
  <c r="AI10" i="158" s="1"/>
  <c r="AJ10" i="158"/>
  <c r="AK10" i="158" s="1"/>
  <c r="T10" i="158" s="1"/>
  <c r="AI36" i="153"/>
  <c r="AJ36" i="153"/>
  <c r="AK36" i="153" s="1"/>
  <c r="T36" i="153" s="1"/>
  <c r="AJ47" i="153"/>
  <c r="AK47" i="153" s="1"/>
  <c r="T47" i="153" s="1"/>
  <c r="AI47" i="153"/>
  <c r="AI11" i="148"/>
  <c r="AJ11" i="148"/>
  <c r="AK11" i="148" s="1"/>
  <c r="T11" i="148" s="1"/>
  <c r="AI22" i="153"/>
  <c r="AJ22" i="153"/>
  <c r="AK22" i="153" s="1"/>
  <c r="T22" i="153" s="1"/>
  <c r="AI29" i="153"/>
  <c r="AJ29" i="153"/>
  <c r="AK29" i="153" s="1"/>
  <c r="T29" i="153" s="1"/>
  <c r="AG16" i="154"/>
  <c r="AH16" i="154" s="1"/>
  <c r="AI16" i="154" s="1"/>
  <c r="AJ16" i="154"/>
  <c r="AK16" i="154" s="1"/>
  <c r="T16" i="154" s="1"/>
  <c r="AG12" i="156"/>
  <c r="AH12" i="156" s="1"/>
  <c r="AI12" i="156" s="1"/>
  <c r="AI7" i="147"/>
  <c r="AJ7" i="147"/>
  <c r="AK7" i="147" s="1"/>
  <c r="T7" i="147" s="1"/>
  <c r="C3" i="160"/>
  <c r="AJ9" i="146"/>
  <c r="AK9" i="146" s="1"/>
  <c r="T9" i="146" s="1"/>
  <c r="AI9" i="146"/>
  <c r="AI14" i="157"/>
  <c r="AJ14" i="157"/>
  <c r="AK14" i="157" s="1"/>
  <c r="T14" i="157" s="1"/>
  <c r="AG14" i="154"/>
  <c r="AH14" i="154" s="1"/>
  <c r="AI14" i="154" s="1"/>
  <c r="AJ14" i="154"/>
  <c r="AK14" i="154" s="1"/>
  <c r="T14" i="154" s="1"/>
  <c r="F14" i="160"/>
  <c r="G14" i="160" s="1"/>
  <c r="H21" i="149"/>
  <c r="AI17" i="154"/>
  <c r="AJ17" i="154"/>
  <c r="AK17" i="154" s="1"/>
  <c r="T17" i="154" s="1"/>
  <c r="AI7" i="151"/>
  <c r="AJ7" i="151"/>
  <c r="AK7" i="151" s="1"/>
  <c r="T7" i="151" s="1"/>
  <c r="AJ15" i="159"/>
  <c r="AK15" i="159" s="1"/>
  <c r="T15" i="159" s="1"/>
  <c r="T25" i="159" s="1"/>
  <c r="AI15" i="159"/>
  <c r="AJ42" i="153"/>
  <c r="AK42" i="153" s="1"/>
  <c r="T42" i="153" s="1"/>
  <c r="AI42" i="153"/>
  <c r="AJ8" i="158"/>
  <c r="AK8" i="158" s="1"/>
  <c r="T8" i="158" s="1"/>
  <c r="AI8" i="158"/>
  <c r="AJ14" i="156"/>
  <c r="AK14" i="156" s="1"/>
  <c r="T14" i="156" s="1"/>
  <c r="E63" i="153"/>
  <c r="AC63" i="153"/>
  <c r="R63" i="153" s="1"/>
  <c r="S63" i="153" s="1"/>
  <c r="S9" i="157"/>
  <c r="AC62" i="153"/>
  <c r="R62" i="153" s="1"/>
  <c r="S62" i="153" s="1"/>
  <c r="E62" i="153"/>
  <c r="AE58" i="153"/>
  <c r="AE9" i="158"/>
  <c r="E42" i="153"/>
  <c r="AC42" i="153"/>
  <c r="R42" i="153" s="1"/>
  <c r="S42" i="153" s="1"/>
  <c r="AJ65" i="153"/>
  <c r="AK65" i="153" s="1"/>
  <c r="T65" i="153" s="1"/>
  <c r="AG22" i="154"/>
  <c r="AH22" i="154" s="1"/>
  <c r="AI22" i="154" s="1"/>
  <c r="AG7" i="154"/>
  <c r="AH7" i="154" s="1"/>
  <c r="AI7" i="154" s="1"/>
  <c r="AG34" i="153"/>
  <c r="AH34" i="153" s="1"/>
  <c r="AI34" i="153" s="1"/>
  <c r="AG8" i="156"/>
  <c r="AH8" i="156" s="1"/>
  <c r="AI8" i="156" s="1"/>
  <c r="AC59" i="153"/>
  <c r="R59" i="153" s="1"/>
  <c r="S59" i="153" s="1"/>
  <c r="E59" i="153"/>
  <c r="E20" i="153"/>
  <c r="AC20" i="153"/>
  <c r="R20" i="153" s="1"/>
  <c r="S20" i="153" s="1"/>
  <c r="AJ30" i="153"/>
  <c r="AK30" i="153" s="1"/>
  <c r="T30" i="153" s="1"/>
  <c r="S7" i="149"/>
  <c r="E10" i="144"/>
  <c r="H22" i="144" s="1"/>
  <c r="AC10" i="144"/>
  <c r="R10" i="144" s="1"/>
  <c r="S10" i="144" s="1"/>
  <c r="AG8" i="150"/>
  <c r="AH8" i="150" s="1"/>
  <c r="AI8" i="150" s="1"/>
  <c r="AJ13" i="157"/>
  <c r="AK13" i="157" s="1"/>
  <c r="T13" i="157" s="1"/>
  <c r="AJ19" i="154"/>
  <c r="AK19" i="154" s="1"/>
  <c r="T19" i="154" s="1"/>
  <c r="AG40" i="153"/>
  <c r="AH40" i="153" s="1"/>
  <c r="AI40" i="153" s="1"/>
  <c r="AG7" i="150"/>
  <c r="AH7" i="150" s="1"/>
  <c r="AI7" i="150" s="1"/>
  <c r="AJ7" i="150"/>
  <c r="AK7" i="150" s="1"/>
  <c r="T7" i="150" s="1"/>
  <c r="E11" i="146"/>
  <c r="AC11" i="146"/>
  <c r="R11" i="146" s="1"/>
  <c r="S11" i="146" s="1"/>
  <c r="G12" i="146"/>
  <c r="AE12" i="146" s="1"/>
  <c r="AF12" i="146"/>
  <c r="AC57" i="153"/>
  <c r="R57" i="153" s="1"/>
  <c r="E57" i="153"/>
  <c r="AI8" i="159"/>
  <c r="AJ9" i="149"/>
  <c r="AK9" i="149" s="1"/>
  <c r="AC56" i="153"/>
  <c r="R56" i="153" s="1"/>
  <c r="S56" i="153" s="1"/>
  <c r="E56" i="153"/>
  <c r="E38" i="153"/>
  <c r="AC38" i="153"/>
  <c r="R38" i="153" s="1"/>
  <c r="S38" i="153" s="1"/>
  <c r="S7" i="146"/>
  <c r="AC55" i="153"/>
  <c r="R55" i="153" s="1"/>
  <c r="S55" i="153" s="1"/>
  <c r="E55" i="153"/>
  <c r="AG7" i="159"/>
  <c r="AH7" i="159" s="1"/>
  <c r="AJ10" i="159"/>
  <c r="AK10" i="159" s="1"/>
  <c r="T10" i="159" s="1"/>
  <c r="AJ10" i="157"/>
  <c r="AK10" i="157" s="1"/>
  <c r="T10" i="157" s="1"/>
  <c r="AE63" i="153"/>
  <c r="AJ9" i="156"/>
  <c r="AK9" i="156" s="1"/>
  <c r="T9" i="156" s="1"/>
  <c r="AG11" i="156"/>
  <c r="AH11" i="156" s="1"/>
  <c r="AC11" i="157"/>
  <c r="R11" i="157" s="1"/>
  <c r="S11" i="157" s="1"/>
  <c r="AC36" i="153"/>
  <c r="R36" i="153" s="1"/>
  <c r="S36" i="153" s="1"/>
  <c r="E36" i="153"/>
  <c r="G11" i="144"/>
  <c r="H23" i="148"/>
  <c r="F15" i="160" s="1"/>
  <c r="S7" i="152"/>
  <c r="E8" i="152"/>
  <c r="H22" i="152" s="1"/>
  <c r="AC8" i="152"/>
  <c r="R8" i="152" s="1"/>
  <c r="S8" i="152" s="1"/>
  <c r="AG50" i="153"/>
  <c r="AH50" i="153" s="1"/>
  <c r="F15" i="151"/>
  <c r="L15" i="151" s="1"/>
  <c r="AG10" i="154"/>
  <c r="AH10" i="154" s="1"/>
  <c r="AI10" i="154" s="1"/>
  <c r="AJ7" i="155"/>
  <c r="AK7" i="155" s="1"/>
  <c r="T7" i="155" s="1"/>
  <c r="T8" i="155" s="1"/>
  <c r="AJ12" i="151"/>
  <c r="AK12" i="151" s="1"/>
  <c r="T12" i="151" s="1"/>
  <c r="AJ19" i="153"/>
  <c r="AK19" i="153" s="1"/>
  <c r="T19" i="153" s="1"/>
  <c r="AC14" i="153"/>
  <c r="R14" i="153" s="1"/>
  <c r="E14" i="153"/>
  <c r="AJ53" i="153"/>
  <c r="AK53" i="153" s="1"/>
  <c r="T53" i="153" s="1"/>
  <c r="AG41" i="153"/>
  <c r="AH41" i="153" s="1"/>
  <c r="AI41" i="153" s="1"/>
  <c r="AJ10" i="151"/>
  <c r="AK10" i="151" s="1"/>
  <c r="T10" i="151" s="1"/>
  <c r="AC33" i="153"/>
  <c r="R33" i="153" s="1"/>
  <c r="S33" i="153" s="1"/>
  <c r="E33" i="153"/>
  <c r="E13" i="153"/>
  <c r="AC13" i="153"/>
  <c r="R13" i="153" s="1"/>
  <c r="S13" i="153" s="1"/>
  <c r="AJ13" i="154"/>
  <c r="AK13" i="154" s="1"/>
  <c r="T13" i="154" s="1"/>
  <c r="AJ24" i="153"/>
  <c r="AK24" i="153" s="1"/>
  <c r="T24" i="153" s="1"/>
  <c r="F75" i="153"/>
  <c r="AJ9" i="152"/>
  <c r="AK9" i="152" s="1"/>
  <c r="T9" i="152" s="1"/>
  <c r="H21" i="158"/>
  <c r="AI9" i="157"/>
  <c r="AG20" i="159"/>
  <c r="AH20" i="159" s="1"/>
  <c r="AI20" i="159" s="1"/>
  <c r="AI11" i="153"/>
  <c r="C12" i="160"/>
  <c r="G12" i="160"/>
  <c r="AJ13" i="151"/>
  <c r="AK13" i="151" s="1"/>
  <c r="AC12" i="157"/>
  <c r="R12" i="157" s="1"/>
  <c r="S12" i="157" s="1"/>
  <c r="AC50" i="153"/>
  <c r="R50" i="153" s="1"/>
  <c r="E50" i="153"/>
  <c r="AG55" i="153"/>
  <c r="AH55" i="153" s="1"/>
  <c r="AI55" i="153" s="1"/>
  <c r="AJ8" i="157"/>
  <c r="AK8" i="157" s="1"/>
  <c r="T8" i="157" s="1"/>
  <c r="AG14" i="156"/>
  <c r="AH14" i="156" s="1"/>
  <c r="AI14" i="156" s="1"/>
  <c r="S9" i="152"/>
  <c r="E10" i="153"/>
  <c r="AC10" i="153"/>
  <c r="R10" i="153" s="1"/>
  <c r="S10" i="153" s="1"/>
  <c r="AC10" i="151"/>
  <c r="R10" i="151" s="1"/>
  <c r="S10" i="151" s="1"/>
  <c r="AE54" i="153"/>
  <c r="AE11" i="158"/>
  <c r="E29" i="153"/>
  <c r="AC29" i="153"/>
  <c r="R29" i="153" s="1"/>
  <c r="S29" i="153" s="1"/>
  <c r="AJ51" i="153"/>
  <c r="AK51" i="153" s="1"/>
  <c r="T51" i="153" s="1"/>
  <c r="AG14" i="151"/>
  <c r="AH14" i="151" s="1"/>
  <c r="AG13" i="159"/>
  <c r="AH13" i="159" s="1"/>
  <c r="F21" i="156"/>
  <c r="E46" i="153"/>
  <c r="AC46" i="153"/>
  <c r="R46" i="153" s="1"/>
  <c r="S46" i="153" s="1"/>
  <c r="E14" i="159"/>
  <c r="H35" i="159" s="1"/>
  <c r="AC14" i="159"/>
  <c r="R14" i="159" s="1"/>
  <c r="S14" i="159" s="1"/>
  <c r="AJ33" i="153"/>
  <c r="AK33" i="153" s="1"/>
  <c r="T33" i="153" s="1"/>
  <c r="C16" i="160"/>
  <c r="E7" i="151"/>
  <c r="H22" i="151" s="1"/>
  <c r="F5" i="160" s="1"/>
  <c r="G5" i="160" s="1"/>
  <c r="AC7" i="151"/>
  <c r="R7" i="151" s="1"/>
  <c r="S7" i="151" s="1"/>
  <c r="E45" i="153"/>
  <c r="AC45" i="153"/>
  <c r="R45" i="153" s="1"/>
  <c r="S45" i="153" s="1"/>
  <c r="AC27" i="153"/>
  <c r="R27" i="153" s="1"/>
  <c r="S27" i="153" s="1"/>
  <c r="E27" i="153"/>
  <c r="AG27" i="153"/>
  <c r="AH27" i="153" s="1"/>
  <c r="AC15" i="157"/>
  <c r="R15" i="157" s="1"/>
  <c r="S15" i="157" s="1"/>
  <c r="E15" i="157"/>
  <c r="AC26" i="153"/>
  <c r="R26" i="153" s="1"/>
  <c r="S26" i="153" s="1"/>
  <c r="E26" i="153"/>
  <c r="AJ60" i="153"/>
  <c r="AK60" i="153" s="1"/>
  <c r="T60" i="153" s="1"/>
  <c r="E8" i="157"/>
  <c r="H22" i="157" s="1"/>
  <c r="AC8" i="157"/>
  <c r="R8" i="157" s="1"/>
  <c r="S8" i="157" s="1"/>
  <c r="AC25" i="153"/>
  <c r="R25" i="153" s="1"/>
  <c r="S25" i="153" s="1"/>
  <c r="E25" i="153"/>
  <c r="AC24" i="153"/>
  <c r="R24" i="153" s="1"/>
  <c r="S24" i="153" s="1"/>
  <c r="E24" i="153"/>
  <c r="C4" i="160"/>
  <c r="E64" i="153"/>
  <c r="S64" i="153" s="1"/>
  <c r="AF14" i="153"/>
  <c r="AG14" i="153" s="1"/>
  <c r="AH14" i="153" s="1"/>
  <c r="F25" i="154"/>
  <c r="K10" i="144"/>
  <c r="F22" i="148"/>
  <c r="E47" i="153"/>
  <c r="S47" i="153" s="1"/>
  <c r="AG13" i="144"/>
  <c r="AH13" i="144" s="1"/>
  <c r="AJ13" i="144" s="1"/>
  <c r="AK13" i="144" s="1"/>
  <c r="AI14" i="153" l="1"/>
  <c r="AJ14" i="153"/>
  <c r="AK14" i="153" s="1"/>
  <c r="T14" i="153" s="1"/>
  <c r="F20" i="160"/>
  <c r="G20" i="160" s="1"/>
  <c r="H34" i="159"/>
  <c r="AJ10" i="144"/>
  <c r="AK10" i="144" s="1"/>
  <c r="T10" i="144" s="1"/>
  <c r="T13" i="144" s="1"/>
  <c r="H21" i="156"/>
  <c r="D17" i="160"/>
  <c r="AJ12" i="156"/>
  <c r="AK12" i="156" s="1"/>
  <c r="T12" i="156" s="1"/>
  <c r="D7" i="160"/>
  <c r="AJ34" i="153"/>
  <c r="AK34" i="153" s="1"/>
  <c r="T34" i="153" s="1"/>
  <c r="AJ10" i="149"/>
  <c r="AK10" i="149" s="1"/>
  <c r="AJ20" i="153"/>
  <c r="AK20" i="153" s="1"/>
  <c r="T20" i="153" s="1"/>
  <c r="AJ15" i="154"/>
  <c r="AK15" i="154" s="1"/>
  <c r="T15" i="154" s="1"/>
  <c r="AJ16" i="153"/>
  <c r="AK16" i="153" s="1"/>
  <c r="T16" i="153" s="1"/>
  <c r="AI14" i="151"/>
  <c r="AJ14" i="151"/>
  <c r="AK14" i="151" s="1"/>
  <c r="AG9" i="158"/>
  <c r="AH9" i="158" s="1"/>
  <c r="AI9" i="158" s="1"/>
  <c r="AJ20" i="159"/>
  <c r="AK20" i="159" s="1"/>
  <c r="T20" i="159" s="1"/>
  <c r="AI11" i="156"/>
  <c r="AJ11" i="156"/>
  <c r="AK11" i="156" s="1"/>
  <c r="T11" i="156" s="1"/>
  <c r="AI13" i="159"/>
  <c r="AJ13" i="159"/>
  <c r="AK13" i="159" s="1"/>
  <c r="T13" i="159" s="1"/>
  <c r="D8" i="160"/>
  <c r="H25" i="154"/>
  <c r="AG11" i="158"/>
  <c r="AH11" i="158" s="1"/>
  <c r="AI11" i="158" s="1"/>
  <c r="AJ7" i="158"/>
  <c r="AK7" i="158" s="1"/>
  <c r="T7" i="158" s="1"/>
  <c r="F3" i="160"/>
  <c r="G3" i="160" s="1"/>
  <c r="H21" i="146"/>
  <c r="F18" i="160"/>
  <c r="G18" i="160" s="1"/>
  <c r="H21" i="157"/>
  <c r="D15" i="160"/>
  <c r="C15" i="160" s="1"/>
  <c r="H22" i="148"/>
  <c r="AG63" i="153"/>
  <c r="AH63" i="153" s="1"/>
  <c r="AI63" i="153" s="1"/>
  <c r="AI7" i="159"/>
  <c r="AJ7" i="159"/>
  <c r="AK7" i="159" s="1"/>
  <c r="T7" i="159" s="1"/>
  <c r="AJ49" i="153"/>
  <c r="AK49" i="153" s="1"/>
  <c r="T49" i="153" s="1"/>
  <c r="S57" i="153"/>
  <c r="AJ22" i="154"/>
  <c r="AK22" i="154" s="1"/>
  <c r="T22" i="154" s="1"/>
  <c r="AJ7" i="154"/>
  <c r="AK7" i="154" s="1"/>
  <c r="T7" i="154" s="1"/>
  <c r="S14" i="153"/>
  <c r="AG12" i="146"/>
  <c r="AH12" i="146" s="1"/>
  <c r="AI12" i="146" s="1"/>
  <c r="F6" i="160"/>
  <c r="G6" i="160" s="1"/>
  <c r="H21" i="152"/>
  <c r="AJ8" i="156"/>
  <c r="AK8" i="156" s="1"/>
  <c r="T8" i="156" s="1"/>
  <c r="AG58" i="153"/>
  <c r="AH58" i="153" s="1"/>
  <c r="AI58" i="153" s="1"/>
  <c r="H76" i="153"/>
  <c r="F7" i="160" s="1"/>
  <c r="G7" i="160" s="1"/>
  <c r="S50" i="153"/>
  <c r="AG54" i="153"/>
  <c r="AH54" i="153" s="1"/>
  <c r="AI54" i="153" s="1"/>
  <c r="H21" i="151"/>
  <c r="G15" i="160"/>
  <c r="F22" i="151"/>
  <c r="E5" i="160" s="1"/>
  <c r="AJ50" i="153"/>
  <c r="AK50" i="153" s="1"/>
  <c r="T50" i="153" s="1"/>
  <c r="AI50" i="153"/>
  <c r="AI27" i="153"/>
  <c r="AJ27" i="153"/>
  <c r="AK27" i="153" s="1"/>
  <c r="T27" i="153" s="1"/>
  <c r="AE11" i="144"/>
  <c r="G12" i="144"/>
  <c r="AE12" i="144" s="1"/>
  <c r="H21" i="144"/>
  <c r="F4" i="160"/>
  <c r="G4" i="160" s="1"/>
  <c r="AJ11" i="158" l="1"/>
  <c r="AK11" i="158" s="1"/>
  <c r="T11" i="158" s="1"/>
  <c r="AJ54" i="153"/>
  <c r="AK54" i="153" s="1"/>
  <c r="T54" i="153" s="1"/>
  <c r="C8" i="160"/>
  <c r="G8" i="160"/>
  <c r="AG11" i="144"/>
  <c r="AH11" i="144" s="1"/>
  <c r="AI11" i="144" s="1"/>
  <c r="E22" i="160"/>
  <c r="C5" i="160"/>
  <c r="AJ58" i="153"/>
  <c r="AK58" i="153" s="1"/>
  <c r="T58" i="153" s="1"/>
  <c r="AJ9" i="158"/>
  <c r="AK9" i="158" s="1"/>
  <c r="T9" i="158" s="1"/>
  <c r="AJ12" i="146"/>
  <c r="AK12" i="146" s="1"/>
  <c r="T12" i="146" s="1"/>
  <c r="H75" i="153"/>
  <c r="C17" i="160"/>
  <c r="G17" i="160"/>
  <c r="C7" i="160"/>
  <c r="D22" i="160"/>
  <c r="AJ63" i="153"/>
  <c r="AK63" i="153" s="1"/>
  <c r="T63" i="153" s="1"/>
  <c r="AG12" i="144"/>
  <c r="AH12" i="144" s="1"/>
  <c r="AI12" i="144" s="1"/>
  <c r="C22" i="160" l="1"/>
  <c r="AJ12" i="144"/>
  <c r="AK12" i="144" s="1"/>
  <c r="G23" i="160"/>
  <c r="G22" i="160"/>
  <c r="AJ11" i="144"/>
  <c r="AK11" i="144" s="1"/>
</calcChain>
</file>

<file path=xl/comments1.xml><?xml version="1.0" encoding="utf-8"?>
<comments xmlns="http://schemas.openxmlformats.org/spreadsheetml/2006/main">
  <authors>
    <author>JRC</author>
  </authors>
  <commentList>
    <comment ref="B18" authorId="0" shapeId="0">
      <text>
        <r>
          <rPr>
            <b/>
            <sz val="8"/>
            <color indexed="81"/>
            <rFont val="Tahoma"/>
            <family val="2"/>
          </rPr>
          <t>tepesda:</t>
        </r>
        <r>
          <rPr>
            <sz val="8"/>
            <color indexed="81"/>
            <rFont val="Tahoma"/>
            <family val="2"/>
          </rPr>
          <t xml:space="preserve">
 (source:http://www.world-nuclear.org/info/inf87.html)</t>
        </r>
      </text>
    </comment>
  </commentList>
</comments>
</file>

<file path=xl/comments2.xml><?xml version="1.0" encoding="utf-8"?>
<comments xmlns="http://schemas.openxmlformats.org/spreadsheetml/2006/main">
  <authors>
    <author>JRC</author>
    <author>tepesda</author>
    <author>Paul Tepes</author>
    <author>Amit</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J3" authorId="0" shapeId="0">
      <text>
        <r>
          <rPr>
            <b/>
            <sz val="8"/>
            <color indexed="81"/>
            <rFont val="Tahoma"/>
            <family val="2"/>
          </rPr>
          <t>tepesda:</t>
        </r>
        <r>
          <rPr>
            <sz val="8"/>
            <color indexed="81"/>
            <rFont val="Tahoma"/>
            <family val="2"/>
          </rPr>
          <t xml:space="preserve">
I suggest to use a lifetime average capacity factor alternatively</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A3" authorId="2" shapeId="0">
      <text>
        <r>
          <rPr>
            <b/>
            <sz val="9"/>
            <color indexed="81"/>
            <rFont val="Arial"/>
            <family val="2"/>
          </rPr>
          <t>Paul Tepes:</t>
        </r>
        <r>
          <rPr>
            <sz val="9"/>
            <color indexed="81"/>
            <rFont val="Arial"/>
            <family val="2"/>
          </rPr>
          <t xml:space="preserve">
initial license, extensions to be entered in col "Prov. Phase out year"</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E4" authorId="0" shapeId="0">
      <text>
        <r>
          <rPr>
            <b/>
            <sz val="8"/>
            <color indexed="81"/>
            <rFont val="Tahoma"/>
            <family val="2"/>
          </rPr>
          <t>tepesda:</t>
        </r>
        <r>
          <rPr>
            <sz val="8"/>
            <color indexed="81"/>
            <rFont val="Tahoma"/>
            <family val="2"/>
          </rPr>
          <t xml:space="preserve">
hay que definir EUR09 en syssettings</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5" authorId="3" shapeId="0">
      <text>
        <r>
          <rPr>
            <b/>
            <sz val="8"/>
            <color indexed="81"/>
            <rFont val="Tahoma"/>
            <family val="2"/>
          </rPr>
          <t>Amit:</t>
        </r>
        <r>
          <rPr>
            <sz val="8"/>
            <color indexed="81"/>
            <rFont val="Tahoma"/>
            <family val="2"/>
          </rPr>
          <t xml:space="preserve">
1/10/2012
I have removed the links from TechName as there were spaces. Could not retain a macro in the template… will be possible in future.</t>
        </r>
      </text>
    </comment>
    <comment ref="B7" authorId="0" shapeId="0">
      <text>
        <r>
          <rPr>
            <b/>
            <sz val="8"/>
            <color indexed="81"/>
            <rFont val="Tahoma"/>
            <family val="2"/>
          </rPr>
          <t xml:space="preserve">tepesda:
</t>
        </r>
        <r>
          <rPr>
            <sz val="8"/>
            <color indexed="81"/>
            <rFont val="Tahoma"/>
            <family val="2"/>
          </rPr>
          <t>Kozludoy 3 +4:</t>
        </r>
        <r>
          <rPr>
            <b/>
            <sz val="8"/>
            <color indexed="81"/>
            <rFont val="Tahoma"/>
            <family val="2"/>
          </rPr>
          <t xml:space="preserve">
</t>
        </r>
        <r>
          <rPr>
            <sz val="8"/>
            <color indexed="81"/>
            <rFont val="Tahoma"/>
            <family val="2"/>
          </rPr>
          <t xml:space="preserve">shutdown in 2006 was a condition for joining the EU. 
Bulgaria's EU accession agreement says that in a national crisis the country has the right to resume power generation at Kozloduy 3 and 4 
</t>
        </r>
      </text>
    </comment>
    <comment ref="R7" authorId="0" shapeId="0">
      <text>
        <r>
          <rPr>
            <b/>
            <sz val="8"/>
            <color indexed="81"/>
            <rFont val="Tahoma"/>
            <family val="2"/>
          </rPr>
          <t xml:space="preserve">tepesda:
</t>
        </r>
        <r>
          <rPr>
            <sz val="8"/>
            <color indexed="81"/>
            <rFont val="Tahoma"/>
            <family val="2"/>
          </rPr>
          <t xml:space="preserve">
K3 + 4
shutdown in 2006 was a condition for joining the EU. 
</t>
        </r>
      </text>
    </comment>
    <comment ref="T7" authorId="0" shapeId="0">
      <text>
        <r>
          <rPr>
            <b/>
            <sz val="8"/>
            <color indexed="81"/>
            <rFont val="Tahoma"/>
            <family val="2"/>
          </rPr>
          <t xml:space="preserve">tepesda:
</t>
        </r>
        <r>
          <rPr>
            <sz val="8"/>
            <color indexed="81"/>
            <rFont val="Tahoma"/>
            <family val="2"/>
          </rPr>
          <t xml:space="preserve">based on 2005 data, taken from old NUC SubRes file
</t>
        </r>
      </text>
    </comment>
    <comment ref="Y7" authorId="0" shapeId="0">
      <text>
        <r>
          <rPr>
            <b/>
            <sz val="8"/>
            <color indexed="81"/>
            <rFont val="Tahoma"/>
            <family val="2"/>
          </rPr>
          <t>tepesda:</t>
        </r>
        <r>
          <rPr>
            <sz val="8"/>
            <color indexed="81"/>
            <rFont val="Tahoma"/>
            <family val="2"/>
          </rPr>
          <t xml:space="preserve">
enhanced (Kozloduy 3+4)</t>
        </r>
      </text>
    </comment>
    <comment ref="T8" authorId="0" shapeId="0">
      <text>
        <r>
          <rPr>
            <b/>
            <sz val="8"/>
            <color indexed="81"/>
            <rFont val="Tahoma"/>
            <family val="2"/>
          </rPr>
          <t xml:space="preserve">tepesda:
</t>
        </r>
        <r>
          <rPr>
            <sz val="8"/>
            <color indexed="81"/>
            <rFont val="Tahoma"/>
            <family val="2"/>
          </rPr>
          <t>based on 2005 data, taken from old NUC SubRes file</t>
        </r>
        <r>
          <rPr>
            <sz val="8"/>
            <color indexed="81"/>
            <rFont val="Tahoma"/>
            <family val="2"/>
          </rPr>
          <t xml:space="preserve">
</t>
        </r>
      </text>
    </comment>
    <comment ref="B9" authorId="0" shapeId="0">
      <text>
        <r>
          <rPr>
            <b/>
            <sz val="8"/>
            <color indexed="81"/>
            <rFont val="Tahoma"/>
            <family val="2"/>
          </rPr>
          <t>tepesda:</t>
        </r>
        <r>
          <rPr>
            <sz val="8"/>
            <color indexed="81"/>
            <rFont val="Tahoma"/>
            <family val="2"/>
          </rPr>
          <t xml:space="preserve">
Kozludoy 5 + 6 : there are plans to extend the operating lifetime beyond the current 30 years to 50 years (source: http://www.world-nuclear.org/info/inf87.html)
I changed the decommissioning curves of K5 and 6 from repectively 2020 and 2025 to 2015 for both following the new discussed methodology for start year and end year (given 5 year steps in TIMES). 
Potential changes of license mentioned above have to be followed 
</t>
        </r>
      </text>
    </comment>
    <comment ref="R10" authorId="0" shapeId="0">
      <text>
        <r>
          <rPr>
            <b/>
            <sz val="8"/>
            <color indexed="81"/>
            <rFont val="Tahoma"/>
            <family val="2"/>
          </rPr>
          <t xml:space="preserve">tepesda:
</t>
        </r>
        <r>
          <rPr>
            <sz val="8"/>
            <color indexed="81"/>
            <rFont val="Tahoma"/>
            <family val="2"/>
          </rPr>
          <t>Corrected from 2021:</t>
        </r>
        <r>
          <rPr>
            <b/>
            <sz val="8"/>
            <color indexed="81"/>
            <rFont val="Tahoma"/>
            <family val="2"/>
          </rPr>
          <t xml:space="preserve">
"</t>
        </r>
        <r>
          <rPr>
            <sz val="8"/>
            <color indexed="81"/>
            <rFont val="Tahoma"/>
            <family val="2"/>
          </rPr>
          <t xml:space="preserve">The units are currently licensed to 2017 and 2019" , WNA, country notes, Bulgaria
</t>
        </r>
      </text>
    </comment>
    <comment ref="B11" authorId="0" shapeId="0">
      <text>
        <r>
          <rPr>
            <b/>
            <sz val="8"/>
            <color indexed="81"/>
            <rFont val="Tahoma"/>
            <family val="2"/>
          </rPr>
          <t xml:space="preserve">tepesda:
</t>
        </r>
        <r>
          <rPr>
            <sz val="8"/>
            <color indexed="81"/>
            <rFont val="Tahoma"/>
            <family val="2"/>
          </rPr>
          <t>Belene 1 + 2: planned (Approvals, funding or major commitment in place, mostly expected in operation within 8-10 years)</t>
        </r>
        <r>
          <rPr>
            <b/>
            <sz val="8"/>
            <color indexed="81"/>
            <rFont val="Tahoma"/>
            <family val="2"/>
          </rPr>
          <t xml:space="preserve">
</t>
        </r>
        <r>
          <rPr>
            <sz val="8"/>
            <color indexed="81"/>
            <rFont val="Tahoma"/>
            <family val="2"/>
          </rPr>
          <t>http://belene-npp.com/index.php?lang=2&amp;pid=1
http://en.wikipedia.org/wiki/Belene_Nuclear_Power_Plant
data provisional</t>
        </r>
      </text>
    </comment>
    <comment ref="E11" authorId="0" shapeId="0">
      <text>
        <r>
          <rPr>
            <b/>
            <sz val="8"/>
            <color indexed="81"/>
            <rFont val="Tahoma"/>
            <family val="2"/>
          </rPr>
          <t xml:space="preserve">tepesda:
</t>
        </r>
        <r>
          <rPr>
            <sz val="8"/>
            <color indexed="81"/>
            <rFont val="Tahoma"/>
            <family val="2"/>
          </rPr>
          <t xml:space="preserve">
Prime Minister Stanishev and Minister Dimitrov also called the project "a Renaissance for Bulgaria's nuclear energy" and "the largest industrial project in Bulgaria in the last eighteen years". More than 10,000 construction workers would be employed in the project, with the first reactor expected to be operating by the end of 2013, the second by the end of 2014
http://en.wikipedia.org/wiki/Belene_Nuclear_Power_Plant</t>
        </r>
      </text>
    </comment>
    <comment ref="F11" authorId="0" shapeId="0">
      <text>
        <r>
          <rPr>
            <b/>
            <sz val="8"/>
            <color indexed="81"/>
            <rFont val="Tahoma"/>
            <family val="2"/>
          </rPr>
          <t>tepesda:</t>
        </r>
        <r>
          <rPr>
            <sz val="8"/>
            <color indexed="81"/>
            <rFont val="Tahoma"/>
            <family val="2"/>
          </rPr>
          <t xml:space="preserve">
source: 
WNA, go to "Sources"tab, click on "Bulgaria"</t>
        </r>
      </text>
    </comment>
    <comment ref="G11" authorId="0" shapeId="0">
      <text>
        <r>
          <rPr>
            <b/>
            <sz val="8"/>
            <color indexed="81"/>
            <rFont val="Tahoma"/>
            <family val="2"/>
          </rPr>
          <t>tepesda:</t>
        </r>
        <r>
          <rPr>
            <sz val="8"/>
            <color indexed="81"/>
            <rFont val="Tahoma"/>
            <family val="2"/>
          </rPr>
          <t xml:space="preserve">
approx</t>
        </r>
      </text>
    </comment>
    <comment ref="T11" authorId="4"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t>
        </r>
      </text>
    </comment>
    <comment ref="Y11" authorId="0" shapeId="0">
      <text>
        <r>
          <rPr>
            <b/>
            <sz val="8"/>
            <color indexed="81"/>
            <rFont val="Tahoma"/>
            <family val="2"/>
          </rPr>
          <t>tepesda:</t>
        </r>
        <r>
          <rPr>
            <sz val="8"/>
            <color indexed="81"/>
            <rFont val="Tahoma"/>
            <family val="2"/>
          </rPr>
          <t xml:space="preserve">
GEN III (Belene 1+2)
</t>
        </r>
      </text>
    </comment>
    <comment ref="AA11" authorId="0" shapeId="0">
      <text>
        <r>
          <rPr>
            <b/>
            <sz val="8"/>
            <color indexed="81"/>
            <rFont val="Tahoma"/>
            <family val="2"/>
          </rPr>
          <t xml:space="preserve">tepesda:
</t>
        </r>
        <r>
          <rPr>
            <sz val="8"/>
            <color indexed="81"/>
            <rFont val="Tahoma"/>
            <family val="2"/>
          </rPr>
          <t xml:space="preserve">WNA, see Sources tab, click on "Bulgaria"
</t>
        </r>
      </text>
    </comment>
    <comment ref="AB11" authorId="0" shapeId="0">
      <text>
        <r>
          <rPr>
            <b/>
            <sz val="8"/>
            <color indexed="81"/>
            <rFont val="Tahoma"/>
            <family val="2"/>
          </rPr>
          <t xml:space="preserve">tepesda:
</t>
        </r>
        <r>
          <rPr>
            <sz val="8"/>
            <color indexed="81"/>
            <rFont val="Tahoma"/>
            <family val="2"/>
          </rPr>
          <t xml:space="preserve">
Prime Minister Stanishev and Minister Dimitrov also called the project "a Renaissance for Bulgaria's nuclear energy" and "the largest industrial project in Bulgaria in the last eighteen years". More than 10,000 construction workers would be employed in the project, with the first reactor expected to be operating by the end of 2013, the second by the end of 2014
http://en.wikipedia.org/wiki/Belene_Nuclear_Power_Plant</t>
        </r>
      </text>
    </comment>
    <comment ref="AF11" authorId="0" shapeId="0">
      <text>
        <r>
          <rPr>
            <b/>
            <sz val="8"/>
            <color indexed="81"/>
            <rFont val="Tahoma"/>
            <family val="2"/>
          </rPr>
          <t>tepesda:</t>
        </r>
        <r>
          <rPr>
            <sz val="8"/>
            <color indexed="81"/>
            <rFont val="Tahoma"/>
            <family val="2"/>
          </rPr>
          <t xml:space="preserve">
net el / net thermal 
source: http://en.wikipedia.org/wiki/Belene_Nuclear_Power_Plant
I took WNA as a source for the electric capacity; this increases a little bit the eff</t>
        </r>
      </text>
    </comment>
    <comment ref="T12" authorId="4"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t>
        </r>
      </text>
    </comment>
    <comment ref="B13" authorId="0" shapeId="0">
      <text>
        <r>
          <rPr>
            <b/>
            <sz val="8"/>
            <color indexed="81"/>
            <rFont val="Tahoma"/>
            <family val="2"/>
          </rPr>
          <t>tepesda:</t>
        </r>
        <r>
          <rPr>
            <sz val="8"/>
            <color indexed="81"/>
            <rFont val="Tahoma"/>
            <family val="2"/>
          </rPr>
          <t xml:space="preserve">
Early in 2010, a joint assessment by Kozloduy and Spain's Iberdrola reported that a seventh unit at the site would be viable, and the government is considering this, and a possible eighth unit, independently of plans for Belene. Westinghouse and GE have expressed interest in the project, using the AP1000 or a GE design respectively.
</t>
        </r>
      </text>
    </comment>
    <comment ref="E13" authorId="0" shapeId="0">
      <text>
        <r>
          <rPr>
            <b/>
            <sz val="8"/>
            <color indexed="81"/>
            <rFont val="Tahoma"/>
            <family val="2"/>
          </rPr>
          <t xml:space="preserve">tepesda:
</t>
        </r>
        <r>
          <rPr>
            <sz val="8"/>
            <color indexed="81"/>
            <rFont val="Tahoma"/>
            <family val="2"/>
          </rPr>
          <t xml:space="preserve">
this is proposed, so I calculated 15 years from 2011 for the start following WNA definition of "proposed"</t>
        </r>
        <r>
          <rPr>
            <sz val="8"/>
            <color indexed="81"/>
            <rFont val="Tahoma"/>
            <family val="2"/>
          </rPr>
          <t xml:space="preserve">
</t>
        </r>
      </text>
    </comment>
    <comment ref="F13" authorId="4" shapeId="0">
      <text>
        <r>
          <rPr>
            <b/>
            <sz val="9"/>
            <color indexed="81"/>
            <rFont val="Tahoma"/>
            <family val="2"/>
          </rPr>
          <t>SIMOES Sofia (JRC-PETTEN):</t>
        </r>
        <r>
          <rPr>
            <sz val="9"/>
            <color indexed="81"/>
            <rFont val="Tahoma"/>
            <family val="2"/>
          </rPr>
          <t xml:space="preserve">
There was no value here, assumed identical to row above 8 March 2013
</t>
        </r>
      </text>
    </comment>
    <comment ref="L13" authorId="0" shapeId="0">
      <text>
        <r>
          <rPr>
            <b/>
            <sz val="8"/>
            <color indexed="81"/>
            <rFont val="Tahoma"/>
            <family val="2"/>
          </rPr>
          <t>tepesda:</t>
        </r>
        <r>
          <rPr>
            <sz val="8"/>
            <color indexed="81"/>
            <rFont val="Tahoma"/>
            <family val="2"/>
          </rPr>
          <t xml:space="preserve">
random</t>
        </r>
      </text>
    </comment>
    <comment ref="T13" authorId="4"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3" authorId="0" shapeId="0">
      <text>
        <r>
          <rPr>
            <b/>
            <sz val="8"/>
            <color indexed="81"/>
            <rFont val="Tahoma"/>
            <family val="2"/>
          </rPr>
          <t>tepesda:</t>
        </r>
        <r>
          <rPr>
            <sz val="8"/>
            <color indexed="81"/>
            <rFont val="Tahoma"/>
            <family val="2"/>
          </rPr>
          <t xml:space="preserve">
assumed</t>
        </r>
      </text>
    </comment>
    <comment ref="AB13" authorId="0" shapeId="0">
      <text>
        <r>
          <rPr>
            <b/>
            <sz val="8"/>
            <color indexed="81"/>
            <rFont val="Tahoma"/>
            <family val="2"/>
          </rPr>
          <t xml:space="preserve">tepesda:
</t>
        </r>
        <r>
          <rPr>
            <sz val="8"/>
            <color indexed="81"/>
            <rFont val="Tahoma"/>
            <family val="2"/>
          </rPr>
          <t xml:space="preserve">
this is proposed, so I calculated 15 years from 2011 for the start following WNA definition of "proposed"</t>
        </r>
        <r>
          <rPr>
            <sz val="8"/>
            <color indexed="81"/>
            <rFont val="Tahoma"/>
            <family val="2"/>
          </rPr>
          <t xml:space="preserve">
</t>
        </r>
      </text>
    </comment>
  </commentList>
</comments>
</file>

<file path=xl/comments3.xml><?xml version="1.0" encoding="utf-8"?>
<comments xmlns="http://schemas.openxmlformats.org/spreadsheetml/2006/main">
  <authors>
    <author>JRC</author>
    <author>tepesda</author>
    <author>Paul Tepes</author>
    <author>SIMOES Sofia (JRC-PETTEN)</author>
  </authors>
  <commentList>
    <comment ref="B1" authorId="0" shapeId="0">
      <text>
        <r>
          <rPr>
            <b/>
            <sz val="8"/>
            <color indexed="81"/>
            <rFont val="Tahoma"/>
            <family val="2"/>
          </rPr>
          <t xml:space="preserve">tepesda:
</t>
        </r>
        <r>
          <rPr>
            <sz val="8"/>
            <color indexed="81"/>
            <rFont val="Tahoma"/>
            <family val="2"/>
          </rPr>
          <t xml:space="preserve">
A 2011 draft national energy policy to 2060 involves a major increase in nuclear power, to 13.9 GWe or up to 18.9 GWe in the case of major adoption of electric vehicles. It would then provide some 60% of the country's power.
</t>
        </r>
      </text>
    </commen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A3" authorId="2" shapeId="0">
      <text>
        <r>
          <rPr>
            <b/>
            <sz val="9"/>
            <color indexed="81"/>
            <rFont val="Arial"/>
            <family val="2"/>
          </rPr>
          <t>Paul Tepes:</t>
        </r>
        <r>
          <rPr>
            <sz val="9"/>
            <color indexed="81"/>
            <rFont val="Arial"/>
            <family val="2"/>
          </rPr>
          <t xml:space="preserve">
initial license, extensions to be entered in col "Prov. Phase out year"</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Dukovany 1-4: 
At the beginning of 2009, CEZ commenced its Long-Term­Operation project to expand the operation by 10 years (until 2025). Further extension to 60 years (until 2045) is under consideration.
Source: "Status of advanced
light water reactor designs
2004", IAEA, MAy 2004</t>
        </r>
      </text>
    </comment>
    <comment ref="AA11" authorId="0" shapeId="0">
      <text>
        <r>
          <rPr>
            <b/>
            <sz val="8"/>
            <color indexed="81"/>
            <rFont val="Tahoma"/>
            <family val="2"/>
          </rPr>
          <t>tepesda:</t>
        </r>
        <r>
          <rPr>
            <sz val="8"/>
            <color indexed="81"/>
            <rFont val="Tahoma"/>
            <family val="2"/>
          </rPr>
          <t xml:space="preserve">
T1 + T2: 
lifetime estimated based on wiki decommissioning year estimates (these have no sources but seam reasonable taking into account recent construction)</t>
        </r>
      </text>
    </comment>
    <comment ref="AC11" authorId="0" shapeId="0">
      <text>
        <r>
          <rPr>
            <b/>
            <sz val="8"/>
            <color indexed="81"/>
            <rFont val="Tahoma"/>
            <family val="2"/>
          </rPr>
          <t>tepesda:</t>
        </r>
        <r>
          <rPr>
            <sz val="8"/>
            <color indexed="81"/>
            <rFont val="Tahoma"/>
            <family val="2"/>
          </rPr>
          <t xml:space="preserve">
for temelin 1+2, I did not find any information in WNA about license going to 2035/ 2040 respectively (these years were previously taken by TIMES).
 I decided to take wiki as source (they mention 2042 and 2043 as decommissioning years), sounds reasonable given recent construction.
http://en.wikipedia.org/wiki/Temel%C3%ADn_Nuclear_Power_Station</t>
        </r>
      </text>
    </comment>
    <comment ref="E13" authorId="0" shapeId="0">
      <text>
        <r>
          <rPr>
            <b/>
            <sz val="8"/>
            <color indexed="81"/>
            <rFont val="Tahoma"/>
            <family val="2"/>
          </rPr>
          <t>tepesda:</t>
        </r>
        <r>
          <rPr>
            <sz val="8"/>
            <color indexed="81"/>
            <rFont val="Tahoma"/>
            <family val="2"/>
          </rPr>
          <t xml:space="preserve">
T3+4: 
WNA country notes, see sources tab</t>
        </r>
      </text>
    </comment>
    <comment ref="F13" authorId="0" shapeId="0">
      <text>
        <r>
          <rPr>
            <b/>
            <sz val="8"/>
            <color indexed="81"/>
            <rFont val="Tahoma"/>
            <family val="2"/>
          </rPr>
          <t>tepesda:</t>
        </r>
        <r>
          <rPr>
            <sz val="8"/>
            <color indexed="81"/>
            <rFont val="Tahoma"/>
            <family val="2"/>
          </rPr>
          <t xml:space="preserve">
Rough estimation based on TEMELIN-2</t>
        </r>
      </text>
    </comment>
    <comment ref="G13" authorId="0" shapeId="0">
      <text>
        <r>
          <rPr>
            <b/>
            <sz val="8"/>
            <color indexed="81"/>
            <rFont val="Tahoma"/>
            <family val="2"/>
          </rPr>
          <t>tepesda:</t>
        </r>
        <r>
          <rPr>
            <sz val="8"/>
            <color indexed="81"/>
            <rFont val="Tahoma"/>
            <family val="2"/>
          </rPr>
          <t xml:space="preserve">
approx
WNA, refer to country notes in "Sources" tab, click "Czech"</t>
        </r>
      </text>
    </comment>
    <comment ref="T13" authorId="3"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3" authorId="0" shapeId="0">
      <text>
        <r>
          <rPr>
            <b/>
            <sz val="8"/>
            <color indexed="81"/>
            <rFont val="Tahoma"/>
            <family val="2"/>
          </rPr>
          <t>tepesda:</t>
        </r>
        <r>
          <rPr>
            <sz val="8"/>
            <color indexed="81"/>
            <rFont val="Tahoma"/>
            <family val="2"/>
          </rPr>
          <t xml:space="preserve">
assumed for temelin 3, 4 and dukovany 5</t>
        </r>
      </text>
    </comment>
    <comment ref="AB13" authorId="0" shapeId="0">
      <text>
        <r>
          <rPr>
            <b/>
            <sz val="8"/>
            <color indexed="81"/>
            <rFont val="Tahoma"/>
            <family val="2"/>
          </rPr>
          <t>tepesda:</t>
        </r>
        <r>
          <rPr>
            <sz val="8"/>
            <color indexed="81"/>
            <rFont val="Tahoma"/>
            <family val="2"/>
          </rPr>
          <t xml:space="preserve">
WNA country notes, see sources tab</t>
        </r>
      </text>
    </comment>
    <comment ref="T14" authorId="3"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B14" authorId="0" shapeId="0">
      <text>
        <r>
          <rPr>
            <b/>
            <sz val="8"/>
            <color indexed="81"/>
            <rFont val="Tahoma"/>
            <family val="2"/>
          </rPr>
          <t>tepesda:</t>
        </r>
        <r>
          <rPr>
            <sz val="8"/>
            <color indexed="81"/>
            <rFont val="Tahoma"/>
            <family val="2"/>
          </rPr>
          <t xml:space="preserve">
WNA country notes, see sources tab</t>
        </r>
      </text>
    </comment>
    <comment ref="E15" authorId="0" shapeId="0">
      <text>
        <r>
          <rPr>
            <b/>
            <sz val="8"/>
            <color indexed="81"/>
            <rFont val="Tahoma"/>
            <family val="2"/>
          </rPr>
          <t>tepesda:</t>
        </r>
        <r>
          <rPr>
            <sz val="8"/>
            <color indexed="81"/>
            <rFont val="Tahoma"/>
            <family val="2"/>
          </rPr>
          <t xml:space="preserve">
WNA country notes, see sources tab</t>
        </r>
      </text>
    </comment>
    <comment ref="G15" authorId="0" shapeId="0">
      <text>
        <r>
          <rPr>
            <b/>
            <sz val="8"/>
            <color indexed="81"/>
            <rFont val="Tahoma"/>
            <family val="2"/>
          </rPr>
          <t>tepesda:</t>
        </r>
        <r>
          <rPr>
            <sz val="8"/>
            <color indexed="81"/>
            <rFont val="Tahoma"/>
            <family val="2"/>
          </rPr>
          <t xml:space="preserve">
WNA, refer to country notes in "Sources" tab, click "Czech"
this capacity is assumed</t>
        </r>
      </text>
    </comment>
    <comment ref="T15" authorId="3"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B15" authorId="0" shapeId="0">
      <text>
        <r>
          <rPr>
            <b/>
            <sz val="8"/>
            <color indexed="81"/>
            <rFont val="Tahoma"/>
            <family val="2"/>
          </rPr>
          <t>tepesda:</t>
        </r>
        <r>
          <rPr>
            <sz val="8"/>
            <color indexed="81"/>
            <rFont val="Tahoma"/>
            <family val="2"/>
          </rPr>
          <t xml:space="preserve">
WNA country notes, see sources tab</t>
        </r>
      </text>
    </comment>
  </commentList>
</comments>
</file>

<file path=xl/comments4.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Paks 1-4:
A feasibility study on extending the operational lifetimes of the units by 20 years carried out in 2000 (and updated in 2005) found no technical or safety objection to a 50-year service life. In November 2005, the Hungarian Parliament overwhelmingly supported a 20-year life extension project for Paks.
source: WNA, country notes, see "Sources"tab
I have left the plants running until 2030/35 but this has to be followed-up</t>
        </r>
      </text>
    </comment>
    <comment ref="R7" authorId="0" shapeId="0">
      <text>
        <r>
          <rPr>
            <b/>
            <sz val="8"/>
            <color indexed="81"/>
            <rFont val="Tahoma"/>
            <family val="2"/>
          </rPr>
          <t>tepesda:</t>
        </r>
        <r>
          <rPr>
            <sz val="8"/>
            <color indexed="81"/>
            <rFont val="Tahoma"/>
            <family val="2"/>
          </rPr>
          <t xml:space="preserve">
lifetime extension by 20 years carried out in 2000</t>
        </r>
      </text>
    </comment>
    <comment ref="B11" authorId="0" shapeId="0">
      <text>
        <r>
          <rPr>
            <b/>
            <sz val="8"/>
            <color indexed="81"/>
            <rFont val="Tahoma"/>
            <family val="2"/>
          </rPr>
          <t xml:space="preserve">tepesda:
Paks 5 +6:
</t>
        </r>
        <r>
          <rPr>
            <sz val="8"/>
            <color indexed="81"/>
            <rFont val="Tahoma"/>
            <family val="2"/>
          </rPr>
          <t xml:space="preserve">
Paks expects to issue an invitation to tender early in 2012, with a decision in 2013 and is considering five reactor types: Areva's EPR; the Areva-Mitsubishi Atmea1; Atomstroyexport's VVER-1200;  the Westinghouse AP10003and Korea's APR-1400. The first unit is expected to begin operation sometime after 2020, the second after 2025. 
Source: WNA, Sources tab</t>
        </r>
      </text>
    </comment>
    <comment ref="E11" authorId="0" shapeId="0">
      <text>
        <r>
          <rPr>
            <b/>
            <sz val="8"/>
            <color indexed="81"/>
            <rFont val="Tahoma"/>
            <family val="2"/>
          </rPr>
          <t>tepesda:</t>
        </r>
        <r>
          <rPr>
            <sz val="8"/>
            <color indexed="81"/>
            <rFont val="Tahoma"/>
            <family val="2"/>
          </rPr>
          <t xml:space="preserve">
Paks 5, 6: 
these units are just proposed </t>
        </r>
      </text>
    </comment>
    <comment ref="F11" authorId="0" shapeId="0">
      <text>
        <r>
          <rPr>
            <b/>
            <sz val="8"/>
            <color indexed="81"/>
            <rFont val="Tahoma"/>
            <family val="2"/>
          </rPr>
          <t>JRC:</t>
        </r>
        <r>
          <rPr>
            <sz val="8"/>
            <color indexed="81"/>
            <rFont val="Tahoma"/>
            <family val="2"/>
          </rPr>
          <t xml:space="preserve">
approx
</t>
        </r>
      </text>
    </comment>
    <comment ref="G11" authorId="0" shapeId="0">
      <text>
        <r>
          <rPr>
            <b/>
            <sz val="8"/>
            <color indexed="81"/>
            <rFont val="Tahoma"/>
            <family val="2"/>
          </rPr>
          <t>tepesda:</t>
        </r>
        <r>
          <rPr>
            <sz val="8"/>
            <color indexed="81"/>
            <rFont val="Tahoma"/>
            <family val="2"/>
          </rPr>
          <t xml:space="preserve">
approx, source WNA</t>
        </r>
      </text>
    </comment>
    <comment ref="T11"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1" authorId="0" shapeId="0">
      <text>
        <r>
          <rPr>
            <b/>
            <sz val="8"/>
            <color indexed="81"/>
            <rFont val="Tahoma"/>
            <family val="2"/>
          </rPr>
          <t xml:space="preserve">tepesda:
</t>
        </r>
        <r>
          <rPr>
            <sz val="8"/>
            <color indexed="81"/>
            <rFont val="Tahoma"/>
            <family val="2"/>
          </rPr>
          <t xml:space="preserve">rough estimation
</t>
        </r>
      </text>
    </comment>
    <comment ref="T12"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5.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R7" authorId="0" shapeId="0">
      <text>
        <r>
          <rPr>
            <b/>
            <sz val="8"/>
            <color indexed="81"/>
            <rFont val="Tahoma"/>
            <family val="2"/>
          </rPr>
          <t>tepesda:</t>
        </r>
        <r>
          <rPr>
            <sz val="8"/>
            <color indexed="81"/>
            <rFont val="Tahoma"/>
            <family val="2"/>
          </rPr>
          <t xml:space="preserve">
previously in TIMES run until 2035, I don 't see any source mentionning a licence extension for this unit, so I changed it to reflect technical lifetime</t>
        </r>
      </text>
    </comment>
    <comment ref="B8" authorId="0" shapeId="0">
      <text>
        <r>
          <rPr>
            <b/>
            <sz val="8"/>
            <color indexed="81"/>
            <rFont val="Tahoma"/>
            <family val="2"/>
          </rPr>
          <t>tepesda:</t>
        </r>
        <r>
          <rPr>
            <sz val="8"/>
            <color indexed="81"/>
            <rFont val="Tahoma"/>
            <family val="2"/>
          </rPr>
          <t xml:space="preserve">
operating since 2007;
also provides district heating (176 GJ in 2006)</t>
        </r>
      </text>
    </comment>
    <comment ref="B9" authorId="0" shapeId="0">
      <text>
        <r>
          <rPr>
            <b/>
            <sz val="8"/>
            <color indexed="81"/>
            <rFont val="Tahoma"/>
            <family val="2"/>
          </rPr>
          <t>tepesda:</t>
        </r>
        <r>
          <rPr>
            <sz val="8"/>
            <color indexed="81"/>
            <rFont val="Tahoma"/>
            <family val="2"/>
          </rPr>
          <t xml:space="preserve">
cernavoda 3+4 planned for 2016 and 2017, 
In February 2010 Energonuclear signed an agreement with AECL to assess the viability of the project and define what is required to complete and commission units 3 &amp; 4.  In December 2010 the European Commission approved the project.  In August 2011 SNN said that China Nuclear Power Engineering Co. (CNPEC, a subsidiary of CGNPC) was interested in investing in the two new Cernavoda units, and later a South Korean consortium also expressed interest. Bids are open until mid November to partner with SNN, Enel and ArcelorMittal in Energonuclear, with the new investor taking about 45% of the project.
Source, WNA, country notes, see "Sources" tab
</t>
        </r>
      </text>
    </comment>
    <comment ref="E9" authorId="0" shapeId="0">
      <text>
        <r>
          <rPr>
            <sz val="8"/>
            <color indexed="81"/>
            <rFont val="Tahoma"/>
            <family val="2"/>
          </rPr>
          <t>tepesda:
cernavoda 2&amp;3 , expected starting dates are 2016 and 2017, source WNA, ctry notes, see "Sources" , click on Romania</t>
        </r>
      </text>
    </comment>
    <comment ref="F9" authorId="0" shapeId="0">
      <text>
        <r>
          <rPr>
            <b/>
            <sz val="8"/>
            <color indexed="81"/>
            <rFont val="Tahoma"/>
            <family val="2"/>
          </rPr>
          <t>tepesda:</t>
        </r>
        <r>
          <rPr>
            <sz val="8"/>
            <color indexed="81"/>
            <rFont val="Tahoma"/>
            <family val="2"/>
          </rPr>
          <t xml:space="preserve">
C3+4 net capacity assumed, source WNA, check "Sources"tab</t>
        </r>
      </text>
    </comment>
    <comment ref="T9"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9" authorId="0" shapeId="0">
      <text>
        <r>
          <rPr>
            <b/>
            <sz val="8"/>
            <color indexed="81"/>
            <rFont val="Tahoma"/>
            <family val="2"/>
          </rPr>
          <t xml:space="preserve">tepesda:
</t>
        </r>
        <r>
          <rPr>
            <sz val="8"/>
            <color indexed="81"/>
            <rFont val="Tahoma"/>
            <family val="2"/>
          </rPr>
          <t xml:space="preserve">assumed (no source)
</t>
        </r>
      </text>
    </comment>
    <comment ref="AD9" authorId="0" shapeId="0">
      <text>
        <r>
          <rPr>
            <b/>
            <sz val="8"/>
            <color indexed="81"/>
            <rFont val="Tahoma"/>
            <family val="2"/>
          </rPr>
          <t>tepesda:</t>
        </r>
        <r>
          <rPr>
            <sz val="8"/>
            <color indexed="81"/>
            <rFont val="Tahoma"/>
            <family val="2"/>
          </rPr>
          <t xml:space="preserve">
assumed, no source</t>
        </r>
      </text>
    </comment>
    <comment ref="T10"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11" authorId="0" shapeId="0">
      <text>
        <r>
          <rPr>
            <b/>
            <sz val="8"/>
            <color indexed="81"/>
            <rFont val="Tahoma"/>
            <family val="2"/>
          </rPr>
          <t xml:space="preserve">tepesda:
</t>
        </r>
        <r>
          <rPr>
            <sz val="8"/>
            <color indexed="81"/>
            <rFont val="Tahoma"/>
            <family val="2"/>
          </rPr>
          <t>proposed for 2030, not planned, so not included for the modelling</t>
        </r>
      </text>
    </comment>
    <comment ref="F11" authorId="2" shapeId="0">
      <text>
        <r>
          <rPr>
            <b/>
            <sz val="9"/>
            <color indexed="81"/>
            <rFont val="Tahoma"/>
            <family val="2"/>
          </rPr>
          <t>SIMOES Sofia (JRC-PETTEN):</t>
        </r>
        <r>
          <rPr>
            <sz val="9"/>
            <color indexed="81"/>
            <rFont val="Tahoma"/>
            <family val="2"/>
          </rPr>
          <t xml:space="preserve">
There was no capacity here, Sofia Simoes assumed identical to above row in 8 March 2013</t>
        </r>
      </text>
    </comment>
    <comment ref="L11" authorId="0" shapeId="0">
      <text>
        <r>
          <rPr>
            <b/>
            <sz val="8"/>
            <color indexed="81"/>
            <rFont val="Tahoma"/>
            <family val="2"/>
          </rPr>
          <t xml:space="preserve">tepesda:
</t>
        </r>
        <r>
          <rPr>
            <sz val="8"/>
            <color indexed="81"/>
            <rFont val="Tahoma"/>
            <family val="2"/>
          </rPr>
          <t xml:space="preserve">roughly, no source
</t>
        </r>
      </text>
    </comment>
    <comment ref="T11"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1" authorId="0" shapeId="0">
      <text>
        <r>
          <rPr>
            <b/>
            <sz val="8"/>
            <color indexed="81"/>
            <rFont val="Tahoma"/>
            <family val="2"/>
          </rPr>
          <t xml:space="preserve">tepesda:
</t>
        </r>
        <r>
          <rPr>
            <sz val="8"/>
            <color indexed="81"/>
            <rFont val="Tahoma"/>
            <family val="2"/>
          </rPr>
          <t xml:space="preserve">rough estimation
</t>
        </r>
      </text>
    </comment>
  </commentList>
</comments>
</file>

<file path=xl/comments6.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Bohunice-1 and 2
Despite major upgrade work on the two V1 unitse, the units were shut down at the end of 2006 (unit 1) and 2008 (unit 2) as a condition of Slovakia's accession to the European Union (see section below on EU accession).
These units were producing electricity at half the average cost for all Slovak sources, and their closure before Mochovce units 3 &amp; 4 are on line (expected in 2012 and 2013) has left the country short of power. Unit 1 was closed at the end of December 2006, eliminating about 9% of Slovakia's electricity supply. The second unit of the V1 plant was closed at the end of 2008. The Prime Minister said that he respected the decision to shut down the plant, but considered it as "energy treason" by the previous government, with Slovakia becoming an electricity importer. </t>
        </r>
        <r>
          <rPr>
            <sz val="8"/>
            <color indexed="10"/>
            <rFont val="Tahoma"/>
            <family val="2"/>
          </rPr>
          <t>He suggested that it might be possible to restart the V1 units in future</t>
        </r>
        <r>
          <rPr>
            <sz val="8"/>
            <color indexed="81"/>
            <rFont val="Tahoma"/>
            <family val="2"/>
          </rPr>
          <t xml:space="preserve">i.
source, WNA, goto "Sources" tab, Slovakia. 
</t>
        </r>
      </text>
    </comment>
    <comment ref="T7" authorId="0" shapeId="0">
      <text>
        <r>
          <rPr>
            <b/>
            <sz val="8"/>
            <color indexed="81"/>
            <rFont val="Tahoma"/>
            <family val="2"/>
          </rPr>
          <t xml:space="preserve">tepesda:
</t>
        </r>
        <r>
          <rPr>
            <sz val="8"/>
            <color indexed="81"/>
            <rFont val="Tahoma"/>
            <family val="2"/>
          </rPr>
          <t xml:space="preserve">based on 2005 data, taken from old NUC SubRes file
</t>
        </r>
      </text>
    </comment>
    <comment ref="T8" authorId="0" shapeId="0">
      <text>
        <r>
          <rPr>
            <b/>
            <sz val="8"/>
            <color indexed="81"/>
            <rFont val="Tahoma"/>
            <family val="2"/>
          </rPr>
          <t xml:space="preserve">tepesda:
</t>
        </r>
        <r>
          <rPr>
            <sz val="8"/>
            <color indexed="81"/>
            <rFont val="Tahoma"/>
            <family val="2"/>
          </rPr>
          <t>based on 2005 data, taken from old NUC SubRes file</t>
        </r>
        <r>
          <rPr>
            <sz val="8"/>
            <color indexed="81"/>
            <rFont val="Tahoma"/>
            <family val="2"/>
          </rPr>
          <t xml:space="preserve">
</t>
        </r>
      </text>
    </comment>
    <comment ref="B9" authorId="0" shapeId="0">
      <text>
        <r>
          <rPr>
            <b/>
            <sz val="8"/>
            <color indexed="81"/>
            <rFont val="Tahoma"/>
            <family val="2"/>
          </rPr>
          <t xml:space="preserve">tepesda:
</t>
        </r>
        <r>
          <rPr>
            <sz val="8"/>
            <color indexed="81"/>
            <rFont val="Tahoma"/>
            <family val="2"/>
          </rPr>
          <t xml:space="preserve">
From 2005 to 2008, operator Slovak Electric, SE carried out a major modernization program on the two Bohunice V2 units (=B3+4), to improve seismic resistance, cooling systems, and instrumentation and control (I&amp;C) systems with a view to extending operational life to 40 years (2025).
source, WNA, see "Sources"tab, Slovakia link</t>
        </r>
      </text>
    </comment>
    <comment ref="G9" authorId="0" shapeId="0">
      <text>
        <r>
          <rPr>
            <b/>
            <sz val="8"/>
            <color indexed="81"/>
            <rFont val="Tahoma"/>
            <family val="2"/>
          </rPr>
          <t>tepesda:</t>
        </r>
        <r>
          <rPr>
            <sz val="8"/>
            <color indexed="81"/>
            <rFont val="Tahoma"/>
            <family val="2"/>
          </rPr>
          <t xml:space="preserve">
Uprates at Bohunice V2 (3+4) and Mochovce 1 &amp; 2 by 2010 (180 MWe gross).
Source WNA, check "Sources"</t>
        </r>
      </text>
    </comment>
    <comment ref="R9" authorId="0" shapeId="0">
      <text>
        <r>
          <rPr>
            <b/>
            <sz val="8"/>
            <color indexed="81"/>
            <rFont val="Tahoma"/>
            <family val="2"/>
          </rPr>
          <t>tepesda:</t>
        </r>
        <r>
          <rPr>
            <sz val="8"/>
            <color indexed="81"/>
            <rFont val="Tahoma"/>
            <family val="2"/>
          </rPr>
          <t xml:space="preserve">
license extension until 2025, see note od cell B9</t>
        </r>
      </text>
    </comment>
    <comment ref="T9" authorId="0" shapeId="0">
      <text>
        <r>
          <rPr>
            <b/>
            <sz val="8"/>
            <color indexed="81"/>
            <rFont val="Tahoma"/>
            <family val="2"/>
          </rPr>
          <t xml:space="preserve">tepesda:
</t>
        </r>
        <r>
          <rPr>
            <sz val="8"/>
            <color indexed="81"/>
            <rFont val="Tahoma"/>
            <family val="2"/>
          </rPr>
          <t xml:space="preserve">these efficiencies are quite higher than in the old file
</t>
        </r>
      </text>
    </comment>
    <comment ref="R11" authorId="0" shapeId="0">
      <text>
        <r>
          <rPr>
            <b/>
            <sz val="8"/>
            <color indexed="81"/>
            <rFont val="Tahoma"/>
            <family val="2"/>
          </rPr>
          <t>tepesda:</t>
        </r>
        <r>
          <rPr>
            <sz val="8"/>
            <color indexed="81"/>
            <rFont val="Tahoma"/>
            <family val="2"/>
          </rPr>
          <t xml:space="preserve">
M1+2, no notes on license extension, techn lifetime taken</t>
        </r>
      </text>
    </comment>
    <comment ref="R12" authorId="0" shapeId="0">
      <text>
        <r>
          <rPr>
            <sz val="8"/>
            <color indexed="81"/>
            <rFont val="Tahoma"/>
            <family val="2"/>
          </rPr>
          <t xml:space="preserve">tepesda:
Iextended liftime up to 2030 following  wiki:
source:
http://en.wikipedia.org/wiki/Mochovce_Nuclear_Power_Plants
</t>
        </r>
      </text>
    </comment>
    <comment ref="B13" authorId="0" shapeId="0">
      <text>
        <r>
          <rPr>
            <b/>
            <sz val="8"/>
            <color indexed="81"/>
            <rFont val="Tahoma"/>
            <family val="2"/>
          </rPr>
          <t>tepesda:</t>
        </r>
        <r>
          <rPr>
            <sz val="8"/>
            <color indexed="81"/>
            <rFont val="Tahoma"/>
            <family val="2"/>
          </rPr>
          <t xml:space="preserve">
Construction of units 3 &amp; 4 of Mochovce was reactivated in mid-2009 and the units are expected to commence operation in 2012 and 2013. â‚¬2775 million has been allocated to the completion project.
Source WNA, see "Sources"
</t>
        </r>
      </text>
    </comment>
    <comment ref="G13" authorId="0" shapeId="0">
      <text>
        <r>
          <rPr>
            <b/>
            <sz val="8"/>
            <color indexed="81"/>
            <rFont val="Tahoma"/>
            <family val="2"/>
          </rPr>
          <t>tepesda:</t>
        </r>
        <r>
          <rPr>
            <sz val="8"/>
            <color indexed="81"/>
            <rFont val="Tahoma"/>
            <family val="2"/>
          </rPr>
          <t xml:space="preserve">
M3+4:
uprating is planned by 2015, adding 62 MWe total to the original 880 MWe gross
source: WNA</t>
        </r>
      </text>
    </comment>
    <comment ref="T13"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T14"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15" authorId="0" shapeId="0">
      <text>
        <r>
          <rPr>
            <b/>
            <sz val="8"/>
            <color indexed="81"/>
            <rFont val="Tahoma"/>
            <family val="2"/>
          </rPr>
          <t>tepesda:</t>
        </r>
        <r>
          <rPr>
            <sz val="8"/>
            <color indexed="81"/>
            <rFont val="Tahoma"/>
            <family val="2"/>
          </rPr>
          <t xml:space="preserve">
In August 2010 the newly-elected government said it was keen for the Bohunice project to proceed but would not offer any financial support for it. It was not expected to be operational before 2025, but the Minister of Economy said in May 2011 that it could be operational by 2020.
source, WNA, check "Sources"tab</t>
        </r>
      </text>
    </comment>
    <comment ref="F15" authorId="2" shapeId="0">
      <text>
        <r>
          <rPr>
            <b/>
            <sz val="9"/>
            <color indexed="81"/>
            <rFont val="Tahoma"/>
            <family val="2"/>
          </rPr>
          <t>SIMOES Sofia (JRC-PETTEN):</t>
        </r>
        <r>
          <rPr>
            <sz val="9"/>
            <color indexed="81"/>
            <rFont val="Tahoma"/>
            <family val="2"/>
          </rPr>
          <t xml:space="preserve">
There was no value here, Sofia Simoes included a capacity in 8 March 2013 identical to row above</t>
        </r>
      </text>
    </comment>
    <comment ref="L15" authorId="0" shapeId="0">
      <text>
        <r>
          <rPr>
            <b/>
            <sz val="8"/>
            <color indexed="81"/>
            <rFont val="Tahoma"/>
            <family val="2"/>
          </rPr>
          <t>tepesda:</t>
        </r>
        <r>
          <rPr>
            <sz val="8"/>
            <color indexed="81"/>
            <rFont val="Tahoma"/>
            <family val="2"/>
          </rPr>
          <t xml:space="preserve">
rough etimation, no source</t>
        </r>
      </text>
    </comment>
    <comment ref="T15"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5" authorId="0" shapeId="0">
      <text>
        <r>
          <rPr>
            <b/>
            <sz val="8"/>
            <color indexed="81"/>
            <rFont val="Tahoma"/>
            <family val="2"/>
          </rPr>
          <t xml:space="preserve">tepesda:
</t>
        </r>
        <r>
          <rPr>
            <sz val="8"/>
            <color indexed="81"/>
            <rFont val="Tahoma"/>
            <family val="2"/>
          </rPr>
          <t xml:space="preserve">rough estimation
</t>
        </r>
      </text>
    </comment>
    <comment ref="B17" authorId="0" shapeId="0">
      <text>
        <r>
          <rPr>
            <b/>
            <sz val="8"/>
            <color indexed="81"/>
            <rFont val="Tahoma"/>
            <family val="2"/>
          </rPr>
          <t xml:space="preserve">tepesda:
</t>
        </r>
        <r>
          <rPr>
            <sz val="8"/>
            <color indexed="81"/>
            <rFont val="Tahoma"/>
            <family val="2"/>
          </rPr>
          <t xml:space="preserve">
Kecerovce is named in the 2008 Energy Security Strategy as the site for a proposed 1200 MWe nuclear plant costing â‚¬3870 million. The plant is mainly intended to replace the nuclear capacity that will be lost when the Bohunice V2 units (3+4) are shut down in 2025, depending on whether the 40-year operational lifetime of Bohunice V2 is extended.
WNA, "Sources" tab, Slovakia</t>
        </r>
      </text>
    </comment>
    <comment ref="F17" authorId="0" shapeId="0">
      <text>
        <r>
          <rPr>
            <b/>
            <sz val="8"/>
            <color indexed="81"/>
            <rFont val="Tahoma"/>
            <family val="2"/>
          </rPr>
          <t xml:space="preserve">tepesda:
</t>
        </r>
        <r>
          <rPr>
            <sz val="8"/>
            <color indexed="81"/>
            <rFont val="Tahoma"/>
            <family val="2"/>
          </rPr>
          <t xml:space="preserve">see reactor note
</t>
        </r>
      </text>
    </comment>
    <comment ref="T17"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7.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T7" authorId="0" shapeId="0">
      <text>
        <r>
          <rPr>
            <b/>
            <sz val="8"/>
            <color indexed="81"/>
            <rFont val="Tahoma"/>
            <family val="2"/>
          </rPr>
          <t xml:space="preserve">tepesda:
</t>
        </r>
        <r>
          <rPr>
            <sz val="8"/>
            <color indexed="81"/>
            <rFont val="Tahoma"/>
            <family val="2"/>
          </rPr>
          <t xml:space="preserve">efficiency quite higher than on old file
</t>
        </r>
      </text>
    </comment>
    <comment ref="AA7" authorId="0" shapeId="0">
      <text>
        <r>
          <rPr>
            <b/>
            <sz val="8"/>
            <color indexed="81"/>
            <rFont val="Tahoma"/>
            <family val="2"/>
          </rPr>
          <t>tepesda:</t>
        </r>
        <r>
          <rPr>
            <sz val="8"/>
            <color indexed="81"/>
            <rFont val="Tahoma"/>
            <family val="2"/>
          </rPr>
          <t xml:space="preserve">
initially 40 years,  but a 20-year extension is being sought.
WNA, "Sources" tab, Slovenia</t>
        </r>
      </text>
    </comment>
    <comment ref="F8" authorId="0" shapeId="0">
      <text>
        <r>
          <rPr>
            <b/>
            <sz val="8"/>
            <color indexed="81"/>
            <rFont val="Tahoma"/>
            <family val="2"/>
          </rPr>
          <t>tepesda:</t>
        </r>
        <r>
          <rPr>
            <sz val="8"/>
            <color indexed="81"/>
            <rFont val="Tahoma"/>
            <family val="2"/>
          </rPr>
          <t xml:space="preserve">
1100-1600 ?
See WNA, "Sources"tab, Slovenia</t>
        </r>
      </text>
    </comment>
    <comment ref="T8"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8" authorId="0" shapeId="0">
      <text>
        <r>
          <rPr>
            <b/>
            <sz val="8"/>
            <color indexed="81"/>
            <rFont val="Tahoma"/>
            <family val="2"/>
          </rPr>
          <t xml:space="preserve">tepesda:
</t>
        </r>
        <r>
          <rPr>
            <sz val="8"/>
            <color indexed="81"/>
            <rFont val="Tahoma"/>
            <family val="2"/>
          </rPr>
          <t xml:space="preserve">rough estimation
</t>
        </r>
      </text>
    </comment>
    <comment ref="AB8" authorId="0" shapeId="0">
      <text>
        <r>
          <rPr>
            <b/>
            <sz val="8"/>
            <color indexed="81"/>
            <rFont val="Tahoma"/>
            <family val="2"/>
          </rPr>
          <t xml:space="preserve">tepesda:
</t>
        </r>
        <r>
          <rPr>
            <sz val="8"/>
            <color indexed="81"/>
            <rFont val="Tahoma"/>
            <family val="2"/>
          </rPr>
          <t xml:space="preserve">"proposed" -&gt; considering the definition of WNA, 15 years from 2011
</t>
        </r>
      </text>
    </comment>
  </commentList>
</comments>
</file>

<file path=xl/comments8.xml><?xml version="1.0" encoding="utf-8"?>
<comments xmlns="http://schemas.openxmlformats.org/spreadsheetml/2006/main">
  <authors>
    <author>JRC</author>
    <author>tepesda</author>
  </authors>
  <commentList>
    <comment ref="B1" authorId="0" shapeId="0">
      <text>
        <r>
          <rPr>
            <b/>
            <sz val="8"/>
            <color indexed="81"/>
            <rFont val="Tahoma"/>
            <family val="2"/>
          </rPr>
          <t xml:space="preserve">tepesda:
</t>
        </r>
        <r>
          <rPr>
            <sz val="8"/>
            <color indexed="81"/>
            <rFont val="Tahoma"/>
            <family val="2"/>
          </rPr>
          <t xml:space="preserve">
In October 2009, the government received a further report from a commissioned panele. This recommended a ten-year life extension for the three oldest nuclear power reactors to 2025 and a 20-year life extension for the other four. The government then agreed to postpone the phase-out by ten years, so that it does not begin before 2025. [...]
However, an election in April 2010 occurred before the agreed proposals were passed by parliament and the nuclear phase-out law remains in place.Â</t>
        </r>
        <r>
          <rPr>
            <sz val="8"/>
            <color indexed="10"/>
            <rFont val="Tahoma"/>
            <family val="2"/>
          </rPr>
          <t xml:space="preserve"> In October 2011 several political parties negotiating to form a new government agreed that the 2003 nuclear phase-out law closing three reactors by 2015 and the others by 2025 should be implemented if adequate power could be secured from other sources and prices would not rise unduly.</t>
        </r>
        <r>
          <rPr>
            <sz val="8"/>
            <color indexed="81"/>
            <rFont val="Tahoma"/>
            <family val="2"/>
          </rPr>
          <t xml:space="preserve">
</t>
        </r>
        <r>
          <rPr>
            <sz val="8"/>
            <color indexed="81"/>
            <rFont val="Tahoma"/>
            <family val="2"/>
          </rPr>
          <t xml:space="preserve">
</t>
        </r>
      </text>
    </commen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T7" authorId="0" shapeId="0">
      <text>
        <r>
          <rPr>
            <b/>
            <sz val="8"/>
            <color indexed="81"/>
            <rFont val="Tahoma"/>
            <family val="2"/>
          </rPr>
          <t xml:space="preserve">tepesda:
</t>
        </r>
        <r>
          <rPr>
            <sz val="8"/>
            <color indexed="81"/>
            <rFont val="Tahoma"/>
            <family val="2"/>
          </rPr>
          <t xml:space="preserve">these efficiencies are significantly higher compared to the old model
</t>
        </r>
      </text>
    </comment>
  </commentList>
</comments>
</file>

<file path=xl/comments9.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They have an expected operating lifetime of 50 years, though were originally designed for only 30. A 20-year licence extension was granted by the Radiation and Nuclear Safety Authority (STUK) in mid-2007, taking them to 2027 and 2030, subject to safety evaluation in 2015 and 2023.
WNA, "Sources" tab , Finland</t>
        </r>
      </text>
    </comment>
    <comment ref="R7" authorId="0" shapeId="0">
      <text>
        <r>
          <rPr>
            <b/>
            <sz val="8"/>
            <color indexed="81"/>
            <rFont val="Tahoma"/>
            <family val="2"/>
          </rPr>
          <t>tepesda:</t>
        </r>
        <r>
          <rPr>
            <sz val="8"/>
            <color indexed="81"/>
            <rFont val="Tahoma"/>
            <family val="2"/>
          </rPr>
          <t xml:space="preserve">
L1+2:  lifetime extension by 20 years
WNA, "Sources" tab, Finland</t>
        </r>
      </text>
    </comment>
    <comment ref="T7" authorId="0" shapeId="0">
      <text>
        <r>
          <rPr>
            <b/>
            <sz val="8"/>
            <color indexed="81"/>
            <rFont val="Tahoma"/>
            <family val="2"/>
          </rPr>
          <t xml:space="preserve">tepesda:
</t>
        </r>
        <r>
          <rPr>
            <sz val="8"/>
            <color indexed="81"/>
            <rFont val="Tahoma"/>
            <family val="2"/>
          </rPr>
          <t xml:space="preserve">
the efficiencies are higher than in the old model (1.05-1.08)</t>
        </r>
      </text>
    </comment>
    <comment ref="B9" authorId="0" shapeId="0">
      <text>
        <r>
          <rPr>
            <b/>
            <sz val="8"/>
            <color indexed="81"/>
            <rFont val="Tahoma"/>
            <family val="2"/>
          </rPr>
          <t>tepesda:</t>
        </r>
        <r>
          <rPr>
            <sz val="8"/>
            <color indexed="81"/>
            <rFont val="Tahoma"/>
            <family val="2"/>
          </rPr>
          <t xml:space="preserve">
TVO now proposes progressively to uprate O1+2 further to 1000 MWe each. A 25 MWe uprate of Olkiluoto 1 over May-June 2010 was part of this, and involved replacement of low-pressure turbines. A similar uprate of unit 2 to almost 910 MWe gross was undertaken over May-June 2011.
WNA, "Sources" tab, Finland</t>
        </r>
      </text>
    </comment>
    <comment ref="R9" authorId="0" shapeId="0">
      <text>
        <r>
          <rPr>
            <b/>
            <sz val="8"/>
            <color indexed="81"/>
            <rFont val="Tahoma"/>
            <family val="2"/>
          </rPr>
          <t>tepesda:</t>
        </r>
        <r>
          <rPr>
            <sz val="8"/>
            <color indexed="81"/>
            <rFont val="Tahoma"/>
            <family val="2"/>
          </rPr>
          <t xml:space="preserve">
O1+2:  lifetime had been extended to 60 years, subject to safety evaluation every decade
WNA, "Sources" tab, Finland</t>
        </r>
      </text>
    </comment>
    <comment ref="B11" authorId="0" shapeId="0">
      <text>
        <r>
          <rPr>
            <b/>
            <sz val="8"/>
            <color indexed="81"/>
            <rFont val="Tahoma"/>
            <family val="2"/>
          </rPr>
          <t xml:space="preserve">tepesda:
</t>
        </r>
        <r>
          <rPr>
            <sz val="8"/>
            <color indexed="81"/>
            <rFont val="Tahoma"/>
            <family val="2"/>
          </rPr>
          <t>Construction started May 2005 but delays have been encountered, particularly on the reactor section. Fuel loading is expected at the end of 2012 with commercial operation in 2013.
WNA, "Sources" tab, Finland</t>
        </r>
      </text>
    </comment>
    <comment ref="E11" authorId="0" shapeId="0">
      <text>
        <r>
          <rPr>
            <b/>
            <sz val="8"/>
            <color indexed="81"/>
            <rFont val="Tahoma"/>
            <family val="2"/>
          </rPr>
          <t>tepesda:</t>
        </r>
        <r>
          <rPr>
            <sz val="8"/>
            <color indexed="81"/>
            <rFont val="Tahoma"/>
            <family val="2"/>
          </rPr>
          <t xml:space="preserve">
commercial date</t>
        </r>
      </text>
    </comment>
    <comment ref="T11"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1" authorId="0" shapeId="0">
      <text>
        <r>
          <rPr>
            <b/>
            <sz val="8"/>
            <color indexed="81"/>
            <rFont val="Tahoma"/>
            <family val="2"/>
          </rPr>
          <t>tepesda:</t>
        </r>
        <r>
          <rPr>
            <sz val="8"/>
            <color indexed="81"/>
            <rFont val="Tahoma"/>
            <family val="2"/>
          </rPr>
          <t xml:space="preserve">
estimated</t>
        </r>
      </text>
    </comment>
    <comment ref="B12" authorId="0" shapeId="0">
      <text>
        <r>
          <rPr>
            <b/>
            <sz val="8"/>
            <color indexed="81"/>
            <rFont val="Tahoma"/>
            <family val="2"/>
          </rPr>
          <t xml:space="preserve">tepesda:
</t>
        </r>
        <r>
          <rPr>
            <sz val="8"/>
            <color indexed="81"/>
            <rFont val="Tahoma"/>
            <family val="2"/>
          </rPr>
          <t xml:space="preserve">
After two days of intense debate, Finland's parliament in July 2010 approved construction of the TVO Olkiluoto 4 reactor by 120 votes to 74…….
WNA, "Sources" tab, Finland</t>
        </r>
      </text>
    </comment>
    <comment ref="E12" authorId="0" shapeId="0">
      <text>
        <r>
          <rPr>
            <b/>
            <sz val="8"/>
            <color indexed="81"/>
            <rFont val="Tahoma"/>
            <family val="2"/>
          </rPr>
          <t>tepesda:</t>
        </r>
        <r>
          <rPr>
            <sz val="8"/>
            <color indexed="81"/>
            <rFont val="Tahoma"/>
            <family val="2"/>
          </rPr>
          <t xml:space="preserve">
construction starts in 2012, I estimated 2020 as starting date</t>
        </r>
      </text>
    </comment>
    <comment ref="F12" authorId="2" shapeId="0">
      <text>
        <r>
          <rPr>
            <b/>
            <sz val="9"/>
            <color indexed="81"/>
            <rFont val="Tahoma"/>
            <family val="2"/>
          </rPr>
          <t>SIMOES Sofia (JRC-PETTEN):</t>
        </r>
        <r>
          <rPr>
            <sz val="9"/>
            <color indexed="81"/>
            <rFont val="Tahoma"/>
            <family val="2"/>
          </rPr>
          <t xml:space="preserve">
There was no capacity here, Sofia Simoes assumed identical to above row in 8 March 2013</t>
        </r>
      </text>
    </comment>
    <comment ref="L12" authorId="0" shapeId="0">
      <text>
        <r>
          <rPr>
            <b/>
            <sz val="8"/>
            <color indexed="81"/>
            <rFont val="Tahoma"/>
            <family val="2"/>
          </rPr>
          <t>tepesda:</t>
        </r>
        <r>
          <rPr>
            <sz val="8"/>
            <color indexed="81"/>
            <rFont val="Tahoma"/>
            <family val="2"/>
          </rPr>
          <t xml:space="preserve">
1450-1650 net, 1500-1770 gross, see WNA</t>
        </r>
      </text>
    </comment>
    <comment ref="AA12" authorId="0" shapeId="0">
      <text>
        <r>
          <rPr>
            <b/>
            <sz val="8"/>
            <color indexed="81"/>
            <rFont val="Tahoma"/>
            <family val="2"/>
          </rPr>
          <t xml:space="preserve">tepesda:
</t>
        </r>
        <r>
          <rPr>
            <sz val="8"/>
            <color indexed="81"/>
            <rFont val="Tahoma"/>
            <family val="2"/>
          </rPr>
          <t xml:space="preserve">estimation
</t>
        </r>
      </text>
    </comment>
    <comment ref="B13" authorId="0" shapeId="0">
      <text>
        <r>
          <rPr>
            <b/>
            <sz val="8"/>
            <color indexed="81"/>
            <rFont val="Tahoma"/>
            <family val="2"/>
          </rPr>
          <t>tepesda:</t>
        </r>
        <r>
          <rPr>
            <sz val="8"/>
            <color indexed="81"/>
            <rFont val="Tahoma"/>
            <family val="2"/>
          </rPr>
          <t xml:space="preserve">
also to provide district heating (? GJ)
WNA, "Sources" tab, Finland</t>
        </r>
      </text>
    </comment>
    <comment ref="E13" authorId="0" shapeId="0">
      <text>
        <r>
          <rPr>
            <b/>
            <sz val="8"/>
            <color indexed="81"/>
            <rFont val="Tahoma"/>
            <family val="2"/>
          </rPr>
          <t>tepesda:</t>
        </r>
        <r>
          <rPr>
            <sz val="8"/>
            <color indexed="81"/>
            <rFont val="Tahoma"/>
            <family val="2"/>
          </rPr>
          <t xml:space="preserve">
construction starts in 2014, commercial by 2020 
WNA, "Sources" tab, Finland
</t>
        </r>
      </text>
    </comment>
    <comment ref="L13" authorId="0" shapeId="0">
      <text>
        <r>
          <rPr>
            <b/>
            <sz val="8"/>
            <color indexed="81"/>
            <rFont val="Tahoma"/>
            <family val="2"/>
          </rPr>
          <t xml:space="preserve">tepesda:
</t>
        </r>
        <r>
          <rPr>
            <sz val="8"/>
            <color indexed="81"/>
            <rFont val="Tahoma"/>
            <family val="2"/>
          </rPr>
          <t xml:space="preserve">1250-1650 net, 1290-1800 gross, see WNA
</t>
        </r>
      </text>
    </comment>
  </commentList>
</comments>
</file>

<file path=xl/comments10.xml><?xml version="1.0" encoding="utf-8"?>
<comments xmlns="http://schemas.openxmlformats.org/spreadsheetml/2006/main">
  <authors>
    <author>JRC</author>
    <author>tepesda</author>
    <author>SIMOES Sofia (JRC-PETTEN)</author>
  </authors>
  <commentList>
    <comment ref="H1" authorId="0" shapeId="0">
      <text>
        <r>
          <rPr>
            <b/>
            <sz val="8"/>
            <color indexed="81"/>
            <rFont val="Tahoma"/>
            <family val="2"/>
          </rPr>
          <t xml:space="preserve">tepesda:
</t>
        </r>
        <r>
          <rPr>
            <sz val="8"/>
            <color indexed="81"/>
            <rFont val="Tahoma"/>
            <family val="2"/>
          </rPr>
          <t xml:space="preserve">
All French units are now PWRs of three standard types designed by Framatome - now Areva NP (the first two derived from US Westinghouse types): 900 MWe (34), 1300 MWe (20) and 1450 MWe N4 type (4). This is a higher degree of standardisation than anywhere else in the world. (There have been two fast reactor - Phenix which ran for over 30 years, and Super Phenix, which was commissioned but then closed for political reasons.)
</t>
        </r>
        <r>
          <rPr>
            <b/>
            <sz val="8"/>
            <color indexed="81"/>
            <rFont val="Tahoma"/>
            <family val="2"/>
          </rPr>
          <t>Licence renewal:</t>
        </r>
        <r>
          <rPr>
            <sz val="8"/>
            <color indexed="81"/>
            <rFont val="Tahoma"/>
            <family val="2"/>
          </rPr>
          <t xml:space="preserve"> </t>
        </r>
        <r>
          <rPr>
            <b/>
            <sz val="8"/>
            <color indexed="81"/>
            <rFont val="Tahoma"/>
            <family val="2"/>
          </rPr>
          <t xml:space="preserve"> </t>
        </r>
        <r>
          <rPr>
            <sz val="8"/>
            <color indexed="81"/>
            <rFont val="Tahoma"/>
            <family val="2"/>
          </rPr>
          <t xml:space="preserve">The 900 MWe reactors all had their lifetimes extended by ten years in 2002, after their second 10-yearly review. Most started up late 1970s to early 1980s, and they are reviewed together in a process that takes four months at each unit. A review of the 1300 MWe class followed and in October 2006 the regulatory authority cleared all 20 units for an extra ten years' operation conditional upon minor modifications at their 20-year outages over 2005-14.  The 3rd ten-year inspections of the 900 MWe series began in 2009 and run to 2020.  The 3rd ten-year inspections of the 1300 MWe series run from 2015 to 2024.
In July 2009 the Nuclear Safety Authority (ASN) approved EdF's safety case for 40-year operation of the 900 MWe units, based on generic assessment of the 34 reactors.  Each individual unit will now be subject to inspection during their 30-year outage, starting with Tricastin-1.  In December 2010 ASN extended its licence by ten years, to 2020. In July 2011 ASN approved a ten-year licence extension for Fessenheim 1, the oldest operating reactor (1977 start-up), subject to making its 1.5 m thick basemat more robust and resistant to possible corium assault (possibly doubling its thickness), as well provision for fuel decay heat removal in the event of losing the external heat exchanger. EdF will consider the cost-benefit situation following the outcome of EU stress tests later in the year.
</t>
        </r>
        <r>
          <rPr>
            <b/>
            <sz val="8"/>
            <color indexed="81"/>
            <rFont val="Tahoma"/>
            <family val="2"/>
          </rPr>
          <t>In July 2010 EdF said that it was assessing the prospect of 60-year lifetimes for all its existing reactors.</t>
        </r>
        <r>
          <rPr>
            <sz val="8"/>
            <color indexed="81"/>
            <rFont val="Tahoma"/>
            <family val="2"/>
          </rPr>
          <t xml:space="preserve"> This would involve replacement of all steam generators (3 in each 900 MWe reactor, 4 in each 1300 MWe unit) and other refurbishment, costing EUR 400-600 million per unit to take them beyond 40 years.  EdF has replaced the steam generators at 22 of its 900 MWe units and is currently replacing those at two units per year, and plans to increase this to three units in 2016. In 2011 it ordered 44 steam generators for 11 of the 1300 MWe units, for EUR 1.5 billion, and will proceed also with the other nine.
</t>
        </r>
        <r>
          <rPr>
            <b/>
            <sz val="8"/>
            <color indexed="81"/>
            <rFont val="Tahoma"/>
            <family val="2"/>
          </rPr>
          <t xml:space="preserve">Uprates: </t>
        </r>
        <r>
          <rPr>
            <sz val="8"/>
            <color indexed="81"/>
            <rFont val="Tahoma"/>
            <family val="2"/>
          </rPr>
          <t xml:space="preserve"> In the light of operating experience, EdF uprated its four Chooz and Civaux N4 reactors from 1455 to 1500 MWe each in 2003.  Over 2008-10 EdF plans to uprate five of its 900 MWe reactors by 3%.  Then in 2007 EdF announced that the twenty 1300 MWe reactors would be uprated some 7% from 2015, within existing licence limits, and adding about 15 TWh/yr to output.
</t>
        </r>
        <r>
          <rPr>
            <b/>
            <sz val="8"/>
            <color indexed="81"/>
            <rFont val="Tahoma"/>
            <family val="2"/>
          </rPr>
          <t>Source: WNA db</t>
        </r>
      </text>
    </commen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tepesda:</t>
        </r>
        <r>
          <rPr>
            <sz val="8"/>
            <color indexed="81"/>
            <rFont val="Tahoma"/>
            <family val="2"/>
          </rPr>
          <t xml:space="preserve">
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T7" authorId="0" shapeId="0">
      <text>
        <r>
          <rPr>
            <b/>
            <sz val="8"/>
            <color indexed="81"/>
            <rFont val="Tahoma"/>
            <family val="2"/>
          </rPr>
          <t xml:space="preserve">tepesda:
</t>
        </r>
        <r>
          <rPr>
            <sz val="8"/>
            <color indexed="81"/>
            <rFont val="Tahoma"/>
            <family val="2"/>
          </rPr>
          <t>output/input based on 2005,</t>
        </r>
        <r>
          <rPr>
            <b/>
            <sz val="8"/>
            <color indexed="81"/>
            <rFont val="Tahoma"/>
            <family val="2"/>
          </rPr>
          <t xml:space="preserve"> </t>
        </r>
        <r>
          <rPr>
            <sz val="8"/>
            <color indexed="81"/>
            <rFont val="Tahoma"/>
            <family val="2"/>
          </rPr>
          <t>taken from earlier version file</t>
        </r>
        <r>
          <rPr>
            <sz val="8"/>
            <color indexed="81"/>
            <rFont val="Tahoma"/>
            <family val="2"/>
          </rPr>
          <t xml:space="preserve">
</t>
        </r>
      </text>
    </comment>
    <comment ref="T8" authorId="0" shapeId="0">
      <text>
        <r>
          <rPr>
            <b/>
            <sz val="8"/>
            <color indexed="81"/>
            <rFont val="Tahoma"/>
            <family val="2"/>
          </rPr>
          <t>tepesda:</t>
        </r>
        <r>
          <rPr>
            <sz val="8"/>
            <color indexed="81"/>
            <rFont val="Tahoma"/>
            <family val="2"/>
          </rPr>
          <t xml:space="preserve">
efficiencies quite higher than old file (</t>
        </r>
      </text>
    </comment>
    <comment ref="J15" authorId="0" shapeId="0">
      <text>
        <r>
          <rPr>
            <b/>
            <sz val="8"/>
            <color indexed="81"/>
            <rFont val="Tahoma"/>
            <family val="2"/>
          </rPr>
          <t xml:space="preserve">tepesda:
</t>
        </r>
        <r>
          <rPr>
            <sz val="8"/>
            <color indexed="81"/>
            <rFont val="Tahoma"/>
            <family val="2"/>
          </rPr>
          <t xml:space="preserve">in 2010 the reactor was down due to maintanance, so I took the 2005 value (to be updated)
</t>
        </r>
      </text>
    </comment>
    <comment ref="F66" authorId="0" shapeId="0">
      <text>
        <r>
          <rPr>
            <b/>
            <sz val="8"/>
            <color indexed="81"/>
            <rFont val="Tahoma"/>
            <family val="2"/>
          </rPr>
          <t xml:space="preserve">tepesda:
</t>
        </r>
        <r>
          <rPr>
            <sz val="8"/>
            <color indexed="81"/>
            <rFont val="Tahoma"/>
            <family val="2"/>
          </rPr>
          <t xml:space="preserve">
WNA db, see sources tab
</t>
        </r>
      </text>
    </comment>
    <comment ref="G66" authorId="0" shapeId="0">
      <text>
        <r>
          <rPr>
            <b/>
            <sz val="8"/>
            <color indexed="81"/>
            <rFont val="Tahoma"/>
            <family val="2"/>
          </rPr>
          <t xml:space="preserve">tepesda:
</t>
        </r>
        <r>
          <rPr>
            <sz val="8"/>
            <color indexed="81"/>
            <rFont val="Tahoma"/>
            <family val="2"/>
          </rPr>
          <t xml:space="preserve">
WNA db, see sources tab</t>
        </r>
      </text>
    </comment>
    <comment ref="T66"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66" authorId="0" shapeId="0">
      <text>
        <r>
          <rPr>
            <b/>
            <sz val="8"/>
            <color indexed="81"/>
            <rFont val="Tahoma"/>
            <family val="2"/>
          </rPr>
          <t>tepesda:</t>
        </r>
        <r>
          <rPr>
            <sz val="8"/>
            <color indexed="81"/>
            <rFont val="Tahoma"/>
            <family val="2"/>
          </rPr>
          <t xml:space="preserve">
assumed</t>
        </r>
      </text>
    </comment>
    <comment ref="F68" authorId="0" shapeId="0">
      <text>
        <r>
          <rPr>
            <b/>
            <sz val="8"/>
            <color indexed="81"/>
            <rFont val="Tahoma"/>
            <family val="2"/>
          </rPr>
          <t xml:space="preserve">tepesda:
</t>
        </r>
        <r>
          <rPr>
            <sz val="8"/>
            <color indexed="81"/>
            <rFont val="Tahoma"/>
            <family val="2"/>
          </rPr>
          <t xml:space="preserve">
WNA db, see sources tab</t>
        </r>
      </text>
    </comment>
    <comment ref="G68" authorId="0" shapeId="0">
      <text>
        <r>
          <rPr>
            <b/>
            <sz val="8"/>
            <color indexed="81"/>
            <rFont val="Tahoma"/>
            <family val="2"/>
          </rPr>
          <t xml:space="preserve">tepesda:
</t>
        </r>
        <r>
          <rPr>
            <sz val="8"/>
            <color indexed="81"/>
            <rFont val="Tahoma"/>
            <family val="2"/>
          </rPr>
          <t xml:space="preserve">
WNA db, see sources tab</t>
        </r>
      </text>
    </comment>
    <comment ref="T68"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11.xml><?xml version="1.0" encoding="utf-8"?>
<comments xmlns="http://schemas.openxmlformats.org/spreadsheetml/2006/main">
  <authors>
    <author>Paul Tepes</author>
    <author>JRC</author>
    <author>tepesda</author>
  </authors>
  <commentList>
    <comment ref="B1" authorId="0" shapeId="0">
      <text>
        <r>
          <rPr>
            <b/>
            <sz val="9"/>
            <color indexed="81"/>
            <rFont val="Arial"/>
            <family val="2"/>
          </rPr>
          <t xml:space="preserve">Paul Tepes:
</t>
        </r>
        <r>
          <rPr>
            <sz val="9"/>
            <color indexed="81"/>
            <rFont val="Arial"/>
            <family val="2"/>
          </rPr>
          <t xml:space="preserve">
Germany until March 2011 obtained one quarter of its electricity from nuclear energy, using 17 reactors. 
A coalition government formed after the 1998 federal elections had the phasing out of nuclear energy as a feature of its policy.  With a new government in 2009, the phase-out was cancelled, but then reintroduced in 2011, with eight reactors shut down immediately. 
 Public opinion in Germany remains ambivalent and at present does not support building new nuclear plants. 
WNA, "Sources"</t>
        </r>
      </text>
    </comment>
    <comment ref="F3" authorId="1" shapeId="0">
      <text>
        <r>
          <rPr>
            <b/>
            <sz val="8"/>
            <color indexed="81"/>
            <rFont val="Tahoma"/>
            <family val="2"/>
          </rPr>
          <t>tepesda:</t>
        </r>
        <r>
          <rPr>
            <sz val="8"/>
            <color indexed="81"/>
            <rFont val="Tahoma"/>
            <family val="2"/>
          </rPr>
          <t xml:space="preserve">
last update Nov 2011</t>
        </r>
      </text>
    </comment>
    <comment ref="G3" authorId="1" shapeId="0">
      <text>
        <r>
          <rPr>
            <b/>
            <sz val="8"/>
            <color indexed="81"/>
            <rFont val="Tahoma"/>
            <family val="2"/>
          </rPr>
          <t>tepesda:</t>
        </r>
        <r>
          <rPr>
            <sz val="8"/>
            <color indexed="81"/>
            <rFont val="Tahoma"/>
            <family val="2"/>
          </rPr>
          <t xml:space="preserve">
last update Nov 2011</t>
        </r>
      </text>
    </comment>
    <comment ref="R3" authorId="2"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text>
        <r>
          <rPr>
            <b/>
            <sz val="8"/>
            <color indexed="81"/>
            <rFont val="Tahoma"/>
            <family val="2"/>
          </rPr>
          <t xml:space="preserve">tepesda:
</t>
        </r>
        <r>
          <rPr>
            <sz val="8"/>
            <color indexed="81"/>
            <rFont val="Tahoma"/>
            <family val="2"/>
          </rPr>
          <t>latest gross electrical power/ latest thermal power from IAEA</t>
        </r>
      </text>
    </comment>
    <comment ref="AD4" authorId="2" shapeId="0">
      <text>
        <r>
          <rPr>
            <b/>
            <sz val="8"/>
            <color indexed="81"/>
            <rFont val="Tahoma"/>
            <family val="2"/>
          </rPr>
          <t>tepesda:</t>
        </r>
        <r>
          <rPr>
            <sz val="8"/>
            <color indexed="81"/>
            <rFont val="Tahoma"/>
            <family val="2"/>
          </rPr>
          <t xml:space="preserve">
MW thermal days/ metric tons of heavy metal</t>
        </r>
      </text>
    </comment>
    <comment ref="AH4" authorId="2" shapeId="0">
      <text>
        <r>
          <rPr>
            <b/>
            <sz val="8"/>
            <color indexed="81"/>
            <rFont val="Tahoma"/>
            <family val="2"/>
          </rPr>
          <t>tepesda:</t>
        </r>
        <r>
          <rPr>
            <sz val="8"/>
            <color indexed="81"/>
            <rFont val="Tahoma"/>
            <family val="2"/>
          </rPr>
          <t xml:space="preserve">
enriched (metric tons of uranium)
</t>
        </r>
      </text>
    </comment>
    <comment ref="AI4" authorId="2" shapeId="0">
      <text>
        <r>
          <rPr>
            <b/>
            <sz val="8"/>
            <color indexed="81"/>
            <rFont val="Tahoma"/>
            <family val="2"/>
          </rPr>
          <t>tepesda:</t>
        </r>
        <r>
          <rPr>
            <sz val="8"/>
            <color indexed="81"/>
            <rFont val="Tahoma"/>
            <family val="2"/>
          </rPr>
          <t xml:space="preserve">
natural</t>
        </r>
      </text>
    </comment>
    <comment ref="F7" authorId="0" shapeId="0">
      <text>
        <r>
          <rPr>
            <b/>
            <sz val="9"/>
            <color indexed="81"/>
            <rFont val="Arial"/>
            <family val="2"/>
          </rPr>
          <t>Paul Tepes:</t>
        </r>
        <r>
          <rPr>
            <sz val="9"/>
            <color indexed="81"/>
            <rFont val="Arial"/>
            <family val="2"/>
          </rPr>
          <t xml:space="preserve">
WNA, "Sources" , Germany</t>
        </r>
      </text>
    </comment>
    <comment ref="G7" authorId="0" shapeId="0">
      <text>
        <r>
          <rPr>
            <b/>
            <sz val="9"/>
            <color indexed="81"/>
            <rFont val="Arial"/>
            <family val="2"/>
          </rPr>
          <t>Paul Tepes:</t>
        </r>
        <r>
          <rPr>
            <sz val="9"/>
            <color indexed="81"/>
            <rFont val="Arial"/>
            <family val="2"/>
          </rPr>
          <t xml:space="preserve">
old TIMES figures</t>
        </r>
      </text>
    </comment>
    <comment ref="R7" authorId="0" shapeId="0">
      <text>
        <r>
          <rPr>
            <b/>
            <sz val="9"/>
            <color indexed="81"/>
            <rFont val="Arial"/>
            <family val="2"/>
          </rPr>
          <t>Paul Tepes:</t>
        </r>
        <r>
          <rPr>
            <sz val="9"/>
            <color indexed="81"/>
            <rFont val="Arial"/>
            <family val="2"/>
          </rPr>
          <t xml:space="preserve">
 NB. The 8 shut-down reactors are not yet defueled, nor decommissioned and written off by their owners
(as of 27 oct 2011)</t>
        </r>
      </text>
    </comment>
    <comment ref="AD7" authorId="0" shapeId="0">
      <text>
        <r>
          <rPr>
            <b/>
            <sz val="9"/>
            <color indexed="81"/>
            <rFont val="Arial"/>
            <family val="2"/>
          </rPr>
          <t>Paul Tepes:</t>
        </r>
        <r>
          <rPr>
            <sz val="9"/>
            <color indexed="81"/>
            <rFont val="Arial"/>
            <family val="2"/>
          </rPr>
          <t xml:space="preserve">
old TIMES file</t>
        </r>
      </text>
    </comment>
    <comment ref="AF7" authorId="0" shapeId="0">
      <text>
        <r>
          <rPr>
            <b/>
            <sz val="9"/>
            <color indexed="81"/>
            <rFont val="Arial"/>
            <family val="2"/>
          </rPr>
          <t>Paul Tepes:</t>
        </r>
        <r>
          <rPr>
            <sz val="9"/>
            <color indexed="81"/>
            <rFont val="Arial"/>
            <family val="2"/>
          </rPr>
          <t xml:space="preserve">
from old TIMES file (standard eff)</t>
        </r>
      </text>
    </comment>
    <comment ref="F8" authorId="0" shapeId="0">
      <text>
        <r>
          <rPr>
            <b/>
            <sz val="9"/>
            <color indexed="81"/>
            <rFont val="Arial"/>
            <family val="2"/>
          </rPr>
          <t>Paul Tepes:</t>
        </r>
        <r>
          <rPr>
            <sz val="9"/>
            <color indexed="81"/>
            <rFont val="Arial"/>
            <family val="2"/>
          </rPr>
          <t xml:space="preserve">
WNA, "Sources" , Germany</t>
        </r>
      </text>
    </comment>
    <comment ref="G8" authorId="0" shapeId="0">
      <text>
        <r>
          <rPr>
            <b/>
            <sz val="9"/>
            <color indexed="81"/>
            <rFont val="Arial"/>
            <family val="2"/>
          </rPr>
          <t>Paul Tepes:</t>
        </r>
        <r>
          <rPr>
            <sz val="9"/>
            <color indexed="81"/>
            <rFont val="Arial"/>
            <family val="2"/>
          </rPr>
          <t xml:space="preserve">
old TIMES figures</t>
        </r>
      </text>
    </comment>
    <comment ref="AD8" authorId="0" shapeId="0">
      <text>
        <r>
          <rPr>
            <b/>
            <sz val="9"/>
            <color indexed="81"/>
            <rFont val="Arial"/>
            <family val="2"/>
          </rPr>
          <t>Paul Tepes:</t>
        </r>
        <r>
          <rPr>
            <sz val="9"/>
            <color indexed="81"/>
            <rFont val="Arial"/>
            <family val="2"/>
          </rPr>
          <t xml:space="preserve">
old TIMES file</t>
        </r>
      </text>
    </comment>
    <comment ref="AF8" authorId="0" shapeId="0">
      <text>
        <r>
          <rPr>
            <b/>
            <sz val="9"/>
            <color indexed="81"/>
            <rFont val="Arial"/>
            <family val="2"/>
          </rPr>
          <t>Paul Tepes:</t>
        </r>
        <r>
          <rPr>
            <sz val="9"/>
            <color indexed="81"/>
            <rFont val="Arial"/>
            <family val="2"/>
          </rPr>
          <t xml:space="preserve">
from old TIMES file (standard eff)</t>
        </r>
      </text>
    </comment>
    <comment ref="F9" authorId="0" shapeId="0">
      <text>
        <r>
          <rPr>
            <b/>
            <sz val="9"/>
            <color indexed="81"/>
            <rFont val="Arial"/>
            <family val="2"/>
          </rPr>
          <t>Paul Tepes:</t>
        </r>
        <r>
          <rPr>
            <sz val="9"/>
            <color indexed="81"/>
            <rFont val="Arial"/>
            <family val="2"/>
          </rPr>
          <t xml:space="preserve">
WNA, "Sources" , Germany</t>
        </r>
      </text>
    </comment>
    <comment ref="G9" authorId="0" shapeId="0">
      <text>
        <r>
          <rPr>
            <b/>
            <sz val="9"/>
            <color indexed="81"/>
            <rFont val="Arial"/>
            <family val="2"/>
          </rPr>
          <t>Paul Tepes:</t>
        </r>
        <r>
          <rPr>
            <sz val="9"/>
            <color indexed="81"/>
            <rFont val="Arial"/>
            <family val="2"/>
          </rPr>
          <t xml:space="preserve">
old TIMES figures</t>
        </r>
      </text>
    </comment>
    <comment ref="AD9" authorId="0" shapeId="0">
      <text>
        <r>
          <rPr>
            <b/>
            <sz val="9"/>
            <color indexed="81"/>
            <rFont val="Arial"/>
            <family val="2"/>
          </rPr>
          <t>Paul Tepes:</t>
        </r>
        <r>
          <rPr>
            <sz val="9"/>
            <color indexed="81"/>
            <rFont val="Arial"/>
            <family val="2"/>
          </rPr>
          <t xml:space="preserve">
old TIMES file</t>
        </r>
      </text>
    </comment>
    <comment ref="AF9" authorId="0" shapeId="0">
      <text>
        <r>
          <rPr>
            <b/>
            <sz val="9"/>
            <color indexed="81"/>
            <rFont val="Arial"/>
            <family val="2"/>
          </rPr>
          <t>Paul Tepes:</t>
        </r>
        <r>
          <rPr>
            <sz val="9"/>
            <color indexed="81"/>
            <rFont val="Arial"/>
            <family val="2"/>
          </rPr>
          <t xml:space="preserve">
from old TIMES file (standard eff)</t>
        </r>
      </text>
    </comment>
    <comment ref="F10" authorId="0" shapeId="0">
      <text>
        <r>
          <rPr>
            <b/>
            <sz val="9"/>
            <color indexed="81"/>
            <rFont val="Arial"/>
            <family val="2"/>
          </rPr>
          <t>Paul Tepes:</t>
        </r>
        <r>
          <rPr>
            <sz val="9"/>
            <color indexed="81"/>
            <rFont val="Arial"/>
            <family val="2"/>
          </rPr>
          <t xml:space="preserve">
WNA, "Sources" , Germany</t>
        </r>
      </text>
    </comment>
    <comment ref="G10" authorId="0" shapeId="0">
      <text>
        <r>
          <rPr>
            <b/>
            <sz val="9"/>
            <color indexed="81"/>
            <rFont val="Arial"/>
            <family val="2"/>
          </rPr>
          <t>Paul Tepes:</t>
        </r>
        <r>
          <rPr>
            <sz val="9"/>
            <color indexed="81"/>
            <rFont val="Arial"/>
            <family val="2"/>
          </rPr>
          <t xml:space="preserve">
old TIMES figures</t>
        </r>
      </text>
    </comment>
    <comment ref="AD10" authorId="0" shapeId="0">
      <text>
        <r>
          <rPr>
            <b/>
            <sz val="9"/>
            <color indexed="81"/>
            <rFont val="Arial"/>
            <family val="2"/>
          </rPr>
          <t>Paul Tepes:</t>
        </r>
        <r>
          <rPr>
            <sz val="9"/>
            <color indexed="81"/>
            <rFont val="Arial"/>
            <family val="2"/>
          </rPr>
          <t xml:space="preserve">
old TIMES file</t>
        </r>
      </text>
    </comment>
    <comment ref="AF10" authorId="0" shapeId="0">
      <text>
        <r>
          <rPr>
            <b/>
            <sz val="9"/>
            <color indexed="81"/>
            <rFont val="Arial"/>
            <family val="2"/>
          </rPr>
          <t>Paul Tepes:</t>
        </r>
        <r>
          <rPr>
            <sz val="9"/>
            <color indexed="81"/>
            <rFont val="Arial"/>
            <family val="2"/>
          </rPr>
          <t xml:space="preserve">
from old TIMES file (standard eff)</t>
        </r>
      </text>
    </comment>
    <comment ref="F11" authorId="0" shapeId="0">
      <text>
        <r>
          <rPr>
            <b/>
            <sz val="9"/>
            <color indexed="81"/>
            <rFont val="Arial"/>
            <family val="2"/>
          </rPr>
          <t>Paul Tepes:</t>
        </r>
        <r>
          <rPr>
            <sz val="9"/>
            <color indexed="81"/>
            <rFont val="Arial"/>
            <family val="2"/>
          </rPr>
          <t xml:space="preserve">
WNA, "Sources" , Germany</t>
        </r>
      </text>
    </comment>
    <comment ref="G11" authorId="0" shapeId="0">
      <text>
        <r>
          <rPr>
            <b/>
            <sz val="9"/>
            <color indexed="81"/>
            <rFont val="Arial"/>
            <family val="2"/>
          </rPr>
          <t>Paul Tepes:</t>
        </r>
        <r>
          <rPr>
            <sz val="9"/>
            <color indexed="81"/>
            <rFont val="Arial"/>
            <family val="2"/>
          </rPr>
          <t xml:space="preserve">
old TIMES figures</t>
        </r>
      </text>
    </comment>
    <comment ref="AD11" authorId="0" shapeId="0">
      <text>
        <r>
          <rPr>
            <b/>
            <sz val="9"/>
            <color indexed="81"/>
            <rFont val="Arial"/>
            <family val="2"/>
          </rPr>
          <t>Paul Tepes:</t>
        </r>
        <r>
          <rPr>
            <sz val="9"/>
            <color indexed="81"/>
            <rFont val="Arial"/>
            <family val="2"/>
          </rPr>
          <t xml:space="preserve">
old TIMES file</t>
        </r>
      </text>
    </comment>
    <comment ref="AF11" authorId="0" shapeId="0">
      <text>
        <r>
          <rPr>
            <b/>
            <sz val="9"/>
            <color indexed="81"/>
            <rFont val="Arial"/>
            <family val="2"/>
          </rPr>
          <t>Paul Tepes:</t>
        </r>
        <r>
          <rPr>
            <sz val="9"/>
            <color indexed="81"/>
            <rFont val="Arial"/>
            <family val="2"/>
          </rPr>
          <t xml:space="preserve">
from old TIMES file (standard eff)</t>
        </r>
      </text>
    </comment>
    <comment ref="F12" authorId="0" shapeId="0">
      <text>
        <r>
          <rPr>
            <b/>
            <sz val="9"/>
            <color indexed="81"/>
            <rFont val="Arial"/>
            <family val="2"/>
          </rPr>
          <t>Paul Tepes:</t>
        </r>
        <r>
          <rPr>
            <sz val="9"/>
            <color indexed="81"/>
            <rFont val="Arial"/>
            <family val="2"/>
          </rPr>
          <t xml:space="preserve">
WNA, "Sources" , Germany</t>
        </r>
      </text>
    </comment>
    <comment ref="G12" authorId="0" shapeId="0">
      <text>
        <r>
          <rPr>
            <b/>
            <sz val="9"/>
            <color indexed="81"/>
            <rFont val="Arial"/>
            <family val="2"/>
          </rPr>
          <t>Paul Tepes:</t>
        </r>
        <r>
          <rPr>
            <sz val="9"/>
            <color indexed="81"/>
            <rFont val="Arial"/>
            <family val="2"/>
          </rPr>
          <t xml:space="preserve">
old TIMES figures</t>
        </r>
      </text>
    </comment>
    <comment ref="AD12" authorId="0" shapeId="0">
      <text>
        <r>
          <rPr>
            <b/>
            <sz val="9"/>
            <color indexed="81"/>
            <rFont val="Arial"/>
            <family val="2"/>
          </rPr>
          <t>Paul Tepes:</t>
        </r>
        <r>
          <rPr>
            <sz val="9"/>
            <color indexed="81"/>
            <rFont val="Arial"/>
            <family val="2"/>
          </rPr>
          <t xml:space="preserve">
old TIMES file</t>
        </r>
      </text>
    </comment>
    <comment ref="AF12" authorId="0" shapeId="0">
      <text>
        <r>
          <rPr>
            <b/>
            <sz val="9"/>
            <color indexed="81"/>
            <rFont val="Arial"/>
            <family val="2"/>
          </rPr>
          <t>Paul Tepes:</t>
        </r>
        <r>
          <rPr>
            <sz val="9"/>
            <color indexed="81"/>
            <rFont val="Arial"/>
            <family val="2"/>
          </rPr>
          <t xml:space="preserve">
from old TIMES file (standard eff)</t>
        </r>
      </text>
    </comment>
    <comment ref="F13" authorId="0" shapeId="0">
      <text>
        <r>
          <rPr>
            <b/>
            <sz val="9"/>
            <color indexed="81"/>
            <rFont val="Arial"/>
            <family val="2"/>
          </rPr>
          <t>Paul Tepes:</t>
        </r>
        <r>
          <rPr>
            <sz val="9"/>
            <color indexed="81"/>
            <rFont val="Arial"/>
            <family val="2"/>
          </rPr>
          <t xml:space="preserve">
WNA, "Sources" , Germany</t>
        </r>
      </text>
    </comment>
    <comment ref="G13" authorId="0" shapeId="0">
      <text>
        <r>
          <rPr>
            <b/>
            <sz val="9"/>
            <color indexed="81"/>
            <rFont val="Arial"/>
            <family val="2"/>
          </rPr>
          <t>Paul Tepes:</t>
        </r>
        <r>
          <rPr>
            <sz val="9"/>
            <color indexed="81"/>
            <rFont val="Arial"/>
            <family val="2"/>
          </rPr>
          <t xml:space="preserve">
old TIMES figures</t>
        </r>
      </text>
    </comment>
    <comment ref="AD13" authorId="0" shapeId="0">
      <text>
        <r>
          <rPr>
            <b/>
            <sz val="9"/>
            <color indexed="81"/>
            <rFont val="Arial"/>
            <family val="2"/>
          </rPr>
          <t>Paul Tepes:</t>
        </r>
        <r>
          <rPr>
            <sz val="9"/>
            <color indexed="81"/>
            <rFont val="Arial"/>
            <family val="2"/>
          </rPr>
          <t xml:space="preserve">
old TIMES file</t>
        </r>
      </text>
    </comment>
    <comment ref="AF13" authorId="0" shapeId="0">
      <text>
        <r>
          <rPr>
            <b/>
            <sz val="9"/>
            <color indexed="81"/>
            <rFont val="Arial"/>
            <family val="2"/>
          </rPr>
          <t>Paul Tepes:</t>
        </r>
        <r>
          <rPr>
            <sz val="9"/>
            <color indexed="81"/>
            <rFont val="Arial"/>
            <family val="2"/>
          </rPr>
          <t xml:space="preserve">
from old TIMES file (standard eff)</t>
        </r>
      </text>
    </comment>
    <comment ref="F14" authorId="0" shapeId="0">
      <text>
        <r>
          <rPr>
            <b/>
            <sz val="9"/>
            <color indexed="81"/>
            <rFont val="Arial"/>
            <family val="2"/>
          </rPr>
          <t>Paul Tepes:</t>
        </r>
        <r>
          <rPr>
            <sz val="9"/>
            <color indexed="81"/>
            <rFont val="Arial"/>
            <family val="2"/>
          </rPr>
          <t xml:space="preserve">
WNA, "Sources" , Germany</t>
        </r>
      </text>
    </comment>
    <comment ref="G14" authorId="0" shapeId="0">
      <text>
        <r>
          <rPr>
            <b/>
            <sz val="9"/>
            <color indexed="81"/>
            <rFont val="Arial"/>
            <family val="2"/>
          </rPr>
          <t>Paul Tepes:</t>
        </r>
        <r>
          <rPr>
            <sz val="9"/>
            <color indexed="81"/>
            <rFont val="Arial"/>
            <family val="2"/>
          </rPr>
          <t xml:space="preserve">
old TIMES figures</t>
        </r>
      </text>
    </comment>
    <comment ref="AD14" authorId="0" shapeId="0">
      <text>
        <r>
          <rPr>
            <b/>
            <sz val="9"/>
            <color indexed="81"/>
            <rFont val="Arial"/>
            <family val="2"/>
          </rPr>
          <t>Paul Tepes:</t>
        </r>
        <r>
          <rPr>
            <sz val="9"/>
            <color indexed="81"/>
            <rFont val="Arial"/>
            <family val="2"/>
          </rPr>
          <t xml:space="preserve">
old TIMES file</t>
        </r>
      </text>
    </comment>
    <comment ref="AF14" authorId="0" shapeId="0">
      <text>
        <r>
          <rPr>
            <b/>
            <sz val="9"/>
            <color indexed="81"/>
            <rFont val="Arial"/>
            <family val="2"/>
          </rPr>
          <t>Paul Tepes:</t>
        </r>
        <r>
          <rPr>
            <sz val="9"/>
            <color indexed="81"/>
            <rFont val="Arial"/>
            <family val="2"/>
          </rPr>
          <t xml:space="preserve">
from old TIMES file (standard eff)</t>
        </r>
      </text>
    </comment>
    <comment ref="R15" authorId="0" shapeId="0">
      <text>
        <r>
          <rPr>
            <b/>
            <sz val="9"/>
            <color indexed="81"/>
            <rFont val="Arial"/>
            <family val="2"/>
          </rPr>
          <t>Paul Tepes:</t>
        </r>
        <r>
          <rPr>
            <sz val="9"/>
            <color indexed="81"/>
            <rFont val="Arial"/>
            <family val="2"/>
          </rPr>
          <t xml:space="preserve">
March 2011 shutdown and May closure plan : 2021
2010 agreed shutdown :  2033</t>
        </r>
      </text>
    </comment>
    <comment ref="R16" authorId="0" shapeId="0">
      <text>
        <r>
          <rPr>
            <b/>
            <sz val="9"/>
            <color indexed="81"/>
            <rFont val="Arial"/>
            <family val="2"/>
          </rPr>
          <t>Paul Tepes:</t>
        </r>
        <r>
          <rPr>
            <sz val="9"/>
            <color indexed="81"/>
            <rFont val="Arial"/>
            <family val="2"/>
          </rPr>
          <t xml:space="preserve">
March 2011 shutdown and May closure plan : 2022
2010 agreed shutdown :  2035</t>
        </r>
      </text>
    </comment>
    <comment ref="R17" authorId="0" shapeId="0">
      <text>
        <r>
          <rPr>
            <b/>
            <sz val="9"/>
            <color indexed="81"/>
            <rFont val="Arial"/>
            <family val="2"/>
          </rPr>
          <t>Paul Tepes:</t>
        </r>
        <r>
          <rPr>
            <sz val="9"/>
            <color indexed="81"/>
            <rFont val="Arial"/>
            <family val="2"/>
          </rPr>
          <t xml:space="preserve">
March 2011 shutdown and May closure plan : 2015
2010 agreed shutdown :  2028</t>
        </r>
      </text>
    </comment>
    <comment ref="R18" authorId="0" shapeId="0">
      <text>
        <r>
          <rPr>
            <b/>
            <sz val="9"/>
            <color indexed="81"/>
            <rFont val="Arial"/>
            <family val="2"/>
          </rPr>
          <t>Paul Tepes:</t>
        </r>
        <r>
          <rPr>
            <sz val="9"/>
            <color indexed="81"/>
            <rFont val="Arial"/>
            <family val="2"/>
          </rPr>
          <t xml:space="preserve">
March 2011 shutdown and May closure plan : 2021
2010 agreed shutdown :  2031</t>
        </r>
      </text>
    </comment>
    <comment ref="R19" authorId="0" shapeId="0">
      <text>
        <r>
          <rPr>
            <b/>
            <sz val="9"/>
            <color indexed="81"/>
            <rFont val="Arial"/>
            <family val="2"/>
          </rPr>
          <t>Paul Tepes:</t>
        </r>
        <r>
          <rPr>
            <sz val="9"/>
            <color indexed="81"/>
            <rFont val="Arial"/>
            <family val="2"/>
          </rPr>
          <t xml:space="preserve">
March 2011 shutdown and May closure plan : 2017
2010 agreed shutdown :  2030</t>
        </r>
      </text>
    </comment>
    <comment ref="R20" authorId="0" shapeId="0">
      <text>
        <r>
          <rPr>
            <b/>
            <sz val="9"/>
            <color indexed="81"/>
            <rFont val="Arial"/>
            <family val="2"/>
          </rPr>
          <t>Paul Tepes:</t>
        </r>
        <r>
          <rPr>
            <sz val="9"/>
            <color indexed="81"/>
            <rFont val="Arial"/>
            <family val="2"/>
          </rPr>
          <t xml:space="preserve">
March 2011 shutdown and May closure plan : 2021
2010 agreed shutdown :  2030</t>
        </r>
      </text>
    </comment>
    <comment ref="R21" authorId="0" shapeId="0">
      <text>
        <r>
          <rPr>
            <b/>
            <sz val="9"/>
            <color indexed="81"/>
            <rFont val="Arial"/>
            <family val="2"/>
          </rPr>
          <t>Paul Tepes:</t>
        </r>
        <r>
          <rPr>
            <sz val="9"/>
            <color indexed="81"/>
            <rFont val="Arial"/>
            <family val="2"/>
          </rPr>
          <t xml:space="preserve">
March 2011 shutdown and May closure plan : 2022
2010 agreed shutdown :  2034</t>
        </r>
      </text>
    </comment>
    <comment ref="R22" authorId="0" shapeId="0">
      <text>
        <r>
          <rPr>
            <b/>
            <sz val="9"/>
            <color indexed="81"/>
            <rFont val="Arial"/>
            <family val="2"/>
          </rPr>
          <t>Paul Tepes:</t>
        </r>
        <r>
          <rPr>
            <sz val="9"/>
            <color indexed="81"/>
            <rFont val="Arial"/>
            <family val="2"/>
          </rPr>
          <t xml:space="preserve">
March 2011 shutdown and May closure plan : 2022
2010 agreed shutdown :  2036</t>
        </r>
      </text>
    </comment>
    <comment ref="R23" authorId="0" shapeId="0">
      <text>
        <r>
          <rPr>
            <b/>
            <sz val="9"/>
            <color indexed="81"/>
            <rFont val="Arial"/>
            <family val="2"/>
          </rPr>
          <t>Paul Tepes:</t>
        </r>
        <r>
          <rPr>
            <sz val="9"/>
            <color indexed="81"/>
            <rFont val="Arial"/>
            <family val="2"/>
          </rPr>
          <t xml:space="preserve">
March 2011 shutdown and May closure plan : 2019
2010 agreed shutdown :  2032</t>
        </r>
      </text>
    </comment>
  </commentList>
</comments>
</file>

<file path=xl/comments12.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The reactor (BORSSELE) would be allowed to operate until 2034 on certain conditions: it would be maintained to the highest safety standards, and the stakeholders, Delta and Essent, agreed toÂ invest Â EUR 250 million towards sustainable energy projects. The government added another EUR 250 million, in the process avoiding the compensation claim they would have faced had they continued towards early shutdown.
WNA, "Sources" tab, Netherlands</t>
        </r>
      </text>
    </comment>
    <comment ref="B8" authorId="0" shapeId="0">
      <text>
        <r>
          <rPr>
            <b/>
            <sz val="8"/>
            <color indexed="81"/>
            <rFont val="Tahoma"/>
            <family val="2"/>
          </rPr>
          <t xml:space="preserve">tepesda:
</t>
        </r>
        <r>
          <rPr>
            <sz val="8"/>
            <color indexed="81"/>
            <rFont val="Tahoma"/>
            <family val="2"/>
          </rPr>
          <t xml:space="preserve">
In September 2008 Delta (50% owner of EPZ and Borssele) announced that it would build a second unit at Borssele, of 1000-1600 MWe. In June 2009 it embarked upon seeking preliminary approvals for it from the Ministry of Housing, Spatial Planning and the Environment (VROM). Delta proposed to start building in 2013 and have a 1600-2500 MWe plant operational in 2018, using MOX fuel. Delta has started environmental assessment procedures, and after talks with potential partners in November 2010 signed an agreement with EdF [...]
WNA, "Sources" tab, NL
</t>
        </r>
      </text>
    </comment>
    <comment ref="L8" authorId="0" shapeId="0">
      <text>
        <r>
          <rPr>
            <b/>
            <sz val="8"/>
            <color indexed="81"/>
            <rFont val="Tahoma"/>
            <family val="2"/>
          </rPr>
          <t xml:space="preserve">tepesda:
</t>
        </r>
        <r>
          <rPr>
            <sz val="8"/>
            <color indexed="81"/>
            <rFont val="Tahoma"/>
            <family val="2"/>
          </rPr>
          <t xml:space="preserve">
WNA, 1000-1600 gross
the 1200 MW net are a broad assumption: I took 1300 as max  cap and applied the BORSELLE 1 net to gross ratio</t>
        </r>
      </text>
    </comment>
    <comment ref="T8"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8" authorId="0" shapeId="0">
      <text>
        <r>
          <rPr>
            <b/>
            <sz val="8"/>
            <color indexed="81"/>
            <rFont val="Tahoma"/>
            <family val="2"/>
          </rPr>
          <t>tepesda:</t>
        </r>
        <r>
          <rPr>
            <sz val="8"/>
            <color indexed="81"/>
            <rFont val="Tahoma"/>
            <family val="2"/>
          </rPr>
          <t xml:space="preserve">
I assumed</t>
        </r>
      </text>
    </comment>
  </commentList>
</comments>
</file>

<file path=xl/comments13.xml><?xml version="1.0" encoding="utf-8"?>
<comments xmlns="http://schemas.openxmlformats.org/spreadsheetml/2006/main">
  <authors>
    <author>JRC</author>
    <author>tepesda</author>
  </authors>
  <commentList>
    <comment ref="B1" authorId="0" shapeId="0">
      <text>
        <r>
          <rPr>
            <b/>
            <sz val="8"/>
            <color indexed="81"/>
            <rFont val="Tahoma"/>
            <family val="2"/>
          </rPr>
          <t xml:space="preserve">tepesda:
</t>
        </r>
        <r>
          <rPr>
            <sz val="8"/>
            <color indexed="81"/>
            <rFont val="Tahoma"/>
            <family val="2"/>
          </rPr>
          <t xml:space="preserve">
In February 2011 parliament removed a legal provision limiting nuclear plant operating lives to 40 years.
WNA, "Sources" tab, Spain</t>
        </r>
      </text>
    </commen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 xml:space="preserve">tepesda:
</t>
        </r>
        <r>
          <rPr>
            <sz val="8"/>
            <color indexed="81"/>
            <rFont val="Tahoma"/>
            <family val="2"/>
          </rPr>
          <t xml:space="preserve">
Licence renewal for </t>
        </r>
        <r>
          <rPr>
            <sz val="8"/>
            <color indexed="10"/>
            <rFont val="Tahoma"/>
            <family val="2"/>
          </rPr>
          <t xml:space="preserve">Almaraz 1 &amp; 2  </t>
        </r>
        <r>
          <rPr>
            <sz val="8"/>
            <color indexed="81"/>
            <rFont val="Tahoma"/>
            <family val="2"/>
          </rPr>
          <t>came up for review in 2010, and in April the CSN recommended that a 10-year extension be granted, to 2020. It said it had verified that the plant owners - Iberdola, Endesa and Union Fenosa - had kept commitments made at the last extension in 2000, and added that their decision was based on a thorough review of the plant's condition.  The Ministry of Industry, Tourism &amp; Trade then approved the CSN recommendation.  In January 2011 the government approved 70 MWe uprates for both reactors, with 68 MWe for unit 1 being imminent, the engineering work having been already done.
WNA, "Sources" tab, Spain</t>
        </r>
      </text>
    </comment>
    <comment ref="R7" authorId="0" shapeId="0">
      <text>
        <r>
          <rPr>
            <b/>
            <sz val="8"/>
            <color indexed="81"/>
            <rFont val="Tahoma"/>
            <family val="2"/>
          </rPr>
          <t>tepesda:</t>
        </r>
        <r>
          <rPr>
            <sz val="8"/>
            <color indexed="81"/>
            <rFont val="Tahoma"/>
            <family val="2"/>
          </rPr>
          <t xml:space="preserve">
Almaraz 1+2 plant review in 2010 and extension 10 years until 2020..</t>
        </r>
      </text>
    </comment>
    <comment ref="B9" authorId="0" shapeId="0">
      <text>
        <r>
          <rPr>
            <b/>
            <sz val="8"/>
            <color indexed="81"/>
            <rFont val="Tahoma"/>
            <family val="2"/>
          </rPr>
          <t xml:space="preserve">tepesda:
</t>
        </r>
        <r>
          <rPr>
            <sz val="8"/>
            <color indexed="81"/>
            <rFont val="Tahoma"/>
            <family val="2"/>
          </rPr>
          <t xml:space="preserve">
July 2011 it (CSN) recommended  10-year extension for</t>
        </r>
        <r>
          <rPr>
            <sz val="8"/>
            <color indexed="10"/>
            <rFont val="Tahoma"/>
            <family val="2"/>
          </rPr>
          <t xml:space="preserve"> Asco 1 &amp; 2. </t>
        </r>
        <r>
          <rPr>
            <sz val="8"/>
            <color indexed="81"/>
            <rFont val="Tahoma"/>
            <family val="2"/>
          </rPr>
          <t xml:space="preserve"> These were agreed in March and September respectively. Another licence renewal is due in 2014.
WNA, "Sources" tab, Spain</t>
        </r>
      </text>
    </comment>
    <comment ref="B11" authorId="0" shapeId="0">
      <text>
        <r>
          <rPr>
            <b/>
            <sz val="8"/>
            <color indexed="81"/>
            <rFont val="Tahoma"/>
            <family val="2"/>
          </rPr>
          <t xml:space="preserve">tepesda:
</t>
        </r>
        <r>
          <rPr>
            <sz val="8"/>
            <color indexed="81"/>
            <rFont val="Tahoma"/>
            <family val="2"/>
          </rPr>
          <t xml:space="preserve">
In February 2011 it (CSN) recommended a 10-year extension for Cofrentes. These were agreed in March and September respectively. Another licence renewal is due in 2014.
WNA, "Sources" tab, Spain
</t>
        </r>
      </text>
    </comment>
    <comment ref="B12" authorId="0" shapeId="0">
      <text>
        <r>
          <rPr>
            <b/>
            <sz val="8"/>
            <color indexed="81"/>
            <rFont val="Tahoma"/>
            <family val="2"/>
          </rPr>
          <t>tepesda:</t>
        </r>
        <r>
          <rPr>
            <sz val="8"/>
            <color indexed="81"/>
            <rFont val="Tahoma"/>
            <family val="2"/>
          </rPr>
          <t xml:space="preserve">
Licence renewal for the Santa Maria de Garona plant came up for review in 2009, and in June the Nuclear Safety Council (CSN) recommended that a 10-year extension be granted, to 2019. The CSN said that plant owner and operator Nuclenor had implemented a comprehensive work program to keep the 40-year old reactor fully serviceable, having spent some EUR 155 million on it.  The Socialist government, with a policy then of closing down Spanish nuclear plants as early as possible, granted only a four-year licence extension, to 2013. 
WNA, "Sources" tab, Spain</t>
        </r>
      </text>
    </comment>
    <comment ref="R12" authorId="0" shapeId="0">
      <text>
        <r>
          <rPr>
            <b/>
            <sz val="8"/>
            <color indexed="81"/>
            <rFont val="Tahoma"/>
            <family val="2"/>
          </rPr>
          <t>tepesda:</t>
        </r>
        <r>
          <rPr>
            <sz val="8"/>
            <color indexed="81"/>
            <rFont val="Tahoma"/>
            <family val="2"/>
          </rPr>
          <t xml:space="preserve">
to match sources (WNA, wiki etc)..plant review in 2009 + 10 years</t>
        </r>
      </text>
    </comment>
    <comment ref="R13" authorId="0" shapeId="0">
      <text>
        <r>
          <rPr>
            <b/>
            <sz val="8"/>
            <color indexed="81"/>
            <rFont val="Tahoma"/>
            <family val="2"/>
          </rPr>
          <t xml:space="preserve">tepesda:
</t>
        </r>
        <r>
          <rPr>
            <sz val="8"/>
            <color indexed="81"/>
            <rFont val="Tahoma"/>
            <family val="2"/>
          </rPr>
          <t xml:space="preserve">
previously 2025..corrected, WNA says license goes until 2014. TIMES decommissioning is 2015.</t>
        </r>
      </text>
    </comment>
    <comment ref="B14" authorId="0" shapeId="0">
      <text>
        <r>
          <rPr>
            <b/>
            <sz val="8"/>
            <color indexed="81"/>
            <rFont val="Tahoma"/>
            <family val="2"/>
          </rPr>
          <t xml:space="preserve">tepesda:
</t>
        </r>
        <r>
          <rPr>
            <sz val="8"/>
            <color indexed="81"/>
            <rFont val="Tahoma"/>
            <family val="2"/>
          </rPr>
          <t xml:space="preserve">
In June 2010 the CSN recommended a 10-year licence extension for Vandellos-2, and this was approved by the Ministry in July.
WNA, "Sources" tab, Spain</t>
        </r>
      </text>
    </comment>
    <comment ref="R14" authorId="0" shapeId="0">
      <text>
        <r>
          <rPr>
            <b/>
            <sz val="8"/>
            <color indexed="81"/>
            <rFont val="Tahoma"/>
            <family val="2"/>
          </rPr>
          <t>tepesda:</t>
        </r>
        <r>
          <rPr>
            <sz val="8"/>
            <color indexed="81"/>
            <rFont val="Tahoma"/>
            <family val="2"/>
          </rPr>
          <t xml:space="preserve">
previously 2025, corrected, WNA says 2020, Wiki 2027 which corresponds with the 10 year extension, I took the latter source</t>
        </r>
      </text>
    </comment>
  </commentList>
</comments>
</file>

<file path=xl/comments14.xml><?xml version="1.0" encoding="utf-8"?>
<comments xmlns="http://schemas.openxmlformats.org/spreadsheetml/2006/main">
  <authors>
    <author>Paul Tepes</author>
    <author>JRC</author>
    <author>tepesda</author>
  </authors>
  <commentList>
    <comment ref="B1" authorId="0" shapeId="0">
      <text>
        <r>
          <rPr>
            <b/>
            <sz val="9"/>
            <color indexed="81"/>
            <rFont val="Arial"/>
            <family val="2"/>
          </rPr>
          <t xml:space="preserve">Paul Tepes:
</t>
        </r>
        <r>
          <rPr>
            <sz val="9"/>
            <color indexed="81"/>
            <rFont val="Arial"/>
            <family val="2"/>
          </rPr>
          <t xml:space="preserve">
Sweden s ambivalent energy programme makes it difficult to assess decommissionning curves for nuclear plants..
[...]
The government is working with the utilities to expand nuclear capacity to replace the 1200 MWe lost in closure of Barsebäck 1 &amp; 2. By the end of 2008, some 1050 MWe had been added to the ten surviving reactors.
[...]
The positive aspect of this decision to close Barsebäck is that the other ten reactors gained a reprieve beyond 2010, allowing them to run for about 40 years (i.e. closing 2012-2025). A phase-out program was to be decided before 2002, but remains uncertain.
[...]
In connection with debate on closure of Barsebäck (http://www.world-nuclear.org/info/inf42_Barseback_Closure_Sweden.html) in the late 1990s the government imposed a capacity tax on nuclear power..
WNA, "Sources" tab, Sweden</t>
        </r>
      </text>
    </comment>
    <comment ref="F3" authorId="1" shapeId="0">
      <text>
        <r>
          <rPr>
            <b/>
            <sz val="8"/>
            <color indexed="81"/>
            <rFont val="Tahoma"/>
            <family val="2"/>
          </rPr>
          <t>tepesda:</t>
        </r>
        <r>
          <rPr>
            <sz val="8"/>
            <color indexed="81"/>
            <rFont val="Tahoma"/>
            <family val="2"/>
          </rPr>
          <t xml:space="preserve">
last update Nov 2011</t>
        </r>
      </text>
    </comment>
    <comment ref="G3" authorId="1" shapeId="0">
      <text>
        <r>
          <rPr>
            <b/>
            <sz val="8"/>
            <color indexed="81"/>
            <rFont val="Tahoma"/>
            <family val="2"/>
          </rPr>
          <t>tepesda:</t>
        </r>
        <r>
          <rPr>
            <sz val="8"/>
            <color indexed="81"/>
            <rFont val="Tahoma"/>
            <family val="2"/>
          </rPr>
          <t xml:space="preserve">
last update Nov 2011</t>
        </r>
      </text>
    </comment>
    <comment ref="R3" authorId="2"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text>
        <r>
          <rPr>
            <b/>
            <sz val="8"/>
            <color indexed="81"/>
            <rFont val="Tahoma"/>
            <family val="2"/>
          </rPr>
          <t xml:space="preserve">tepesda:
</t>
        </r>
        <r>
          <rPr>
            <sz val="8"/>
            <color indexed="81"/>
            <rFont val="Tahoma"/>
            <family val="2"/>
          </rPr>
          <t>latest gross electrical power/ latest thermal power from IAEA</t>
        </r>
      </text>
    </comment>
    <comment ref="AD4" authorId="2" shapeId="0">
      <text>
        <r>
          <rPr>
            <b/>
            <sz val="8"/>
            <color indexed="81"/>
            <rFont val="Tahoma"/>
            <family val="2"/>
          </rPr>
          <t>tepesda:</t>
        </r>
        <r>
          <rPr>
            <sz val="8"/>
            <color indexed="81"/>
            <rFont val="Tahoma"/>
            <family val="2"/>
          </rPr>
          <t xml:space="preserve">
MW thermal days/ metric tons of heavy metal</t>
        </r>
      </text>
    </comment>
    <comment ref="AH4" authorId="2" shapeId="0">
      <text>
        <r>
          <rPr>
            <b/>
            <sz val="8"/>
            <color indexed="81"/>
            <rFont val="Tahoma"/>
            <family val="2"/>
          </rPr>
          <t>tepesda:</t>
        </r>
        <r>
          <rPr>
            <sz val="8"/>
            <color indexed="81"/>
            <rFont val="Tahoma"/>
            <family val="2"/>
          </rPr>
          <t xml:space="preserve">
enriched (metric tons of uranium)
</t>
        </r>
      </text>
    </comment>
    <comment ref="AI4" authorId="2" shapeId="0">
      <text>
        <r>
          <rPr>
            <b/>
            <sz val="8"/>
            <color indexed="81"/>
            <rFont val="Tahoma"/>
            <family val="2"/>
          </rPr>
          <t>tepesda:</t>
        </r>
        <r>
          <rPr>
            <sz val="8"/>
            <color indexed="81"/>
            <rFont val="Tahoma"/>
            <family val="2"/>
          </rPr>
          <t xml:space="preserve">
natural</t>
        </r>
      </text>
    </comment>
    <comment ref="B7" authorId="0" shapeId="0">
      <text>
        <r>
          <rPr>
            <b/>
            <sz val="9"/>
            <color indexed="81"/>
            <rFont val="Arial"/>
            <family val="2"/>
          </rPr>
          <t>Paul Tepes:</t>
        </r>
        <r>
          <rPr>
            <sz val="9"/>
            <color indexed="81"/>
            <rFont val="Arial"/>
            <family val="2"/>
          </rPr>
          <t xml:space="preserve">
Forsmark
At Forsmark, uprates of around 8% were carried out at each unit in the 1980s. In 2004, low pressure turbines were replaced in unit 3, giving a 30 MWe uprate, and the same was done for units 1 &amp; 2.
A major uprate program was announced in 2004 by Forsmarks Kraftgrupp. This planned SEK 13 billion ($1.8 billion) program would have added a further 410 MWe to the plant. Following a series of safety concerns, including an incident in July 2006 (see section below on Regulation and safety), the uprate program was delayed. Upgrading work then began in the latter half of 2009 on unit 2, which would lead to a capacity increase of 120 MWe. The plan was for Forsmark 1 to be uprated by 120 MWe in mid-2011; and unit 3 would get a new SEK 900 million generator in 2014, which would contribute to a 170 MWe uprate. However, following problems with the work carried out on unit 2c, it was decided in November 2010 to indefinitely postpone the upgrading of units 1 and 3.
WNA, "Sources" tab, Sweden [the capacities mentioned here might be different from the ones in TIMES, which are from IAEA]</t>
        </r>
      </text>
    </comment>
    <comment ref="R7" authorId="0" shapeId="0">
      <text>
        <r>
          <rPr>
            <b/>
            <sz val="9"/>
            <color indexed="81"/>
            <rFont val="Arial"/>
            <family val="2"/>
          </rPr>
          <t xml:space="preserve">Paul Tepes:
</t>
        </r>
        <r>
          <rPr>
            <sz val="9"/>
            <color indexed="81"/>
            <rFont val="Arial"/>
            <family val="2"/>
          </rPr>
          <t xml:space="preserve">
The positive aspect of this decision to close Barsebäck is that the other ten reactors gained a reprieve beyond 2010, allowing them to run for about 40 years (i.e. closing 2012-2025). A phase-out program was to be decided before 2002, but remains uncertain.
WNA, "Source" tab, Sweden</t>
        </r>
      </text>
    </comment>
    <comment ref="B10" authorId="0" shapeId="0">
      <text>
        <r>
          <rPr>
            <b/>
            <sz val="9"/>
            <color indexed="81"/>
            <rFont val="Arial"/>
            <family val="2"/>
          </rPr>
          <t>Paul Tepes:</t>
        </r>
        <r>
          <rPr>
            <sz val="9"/>
            <color indexed="81"/>
            <rFont val="Arial"/>
            <family val="2"/>
          </rPr>
          <t xml:space="preserve">
On the operator' s webpage they are talking about 60 years operation for all 3 reactors: 
OKG  (E-ON Sweden, http://www.okg.se/templates/Page____941.aspx)
_______________________
Oskarshamn
In 2005, SKI approved a 250 MWe uprate of the Oskarshamn 3 reactor, to 1450 MWe net, this was confirmed by the government in January 2006, and in September 2009 SSM approved test operation at the uprated level. However, due to turbine problems, full operation at the new level was deferred until September 2011. The SKR 3.2 billion (€313 million) project involved turbine upgrade by Alstom as well as reactor upgrade, and will extend the plant's life to 60 years. This was approved by SSM in April 2010 and is expected to be completed in 2013 – later than originally planned. 
In mid-2009, OKG announced plans to uprate Oskarshamn 2 to 840 MWe and extend its life to 60 years. This was approved by SSM in April 2010 and is now expected to be completed in 2015 - later than originally planned. OKG has been preparing for the uprate since 2007 when new electrical and control systems were installed. In 2009 the turbine hall was modernized and in 2012-13 safety systems will be upgraded. Other work including new turbines will follow and the unit can start delivering the higher power – an increase from 661 to 840 MWe gross - 27%. 
Oskarshamn 1 has had three renovations and uprates, in 1995, 1998 and 2002.
WNA, "Sources" tab, Sweden [the capacities mentioned here might be different from the ones in TIMES, which are from IAEA]</t>
        </r>
      </text>
    </comment>
    <comment ref="R10" authorId="0" shapeId="0">
      <text>
        <r>
          <rPr>
            <b/>
            <sz val="9"/>
            <color indexed="81"/>
            <rFont val="Arial"/>
            <family val="2"/>
          </rPr>
          <t>Paul Tepes:</t>
        </r>
        <r>
          <rPr>
            <sz val="9"/>
            <color indexed="81"/>
            <rFont val="Arial"/>
            <family val="2"/>
          </rPr>
          <t xml:space="preserve">
On the operator' s webpage they are talking about 60 years operation for all 3 reactors: 
OKG  (E-ON Sweden, 
http://www.okg.se/templates/Page____941.aspx</t>
        </r>
      </text>
    </comment>
    <comment ref="B13" authorId="0" shapeId="0">
      <text>
        <r>
          <rPr>
            <b/>
            <sz val="9"/>
            <color indexed="81"/>
            <rFont val="Arial"/>
            <family val="2"/>
          </rPr>
          <t>Paul Tepes:</t>
        </r>
        <r>
          <rPr>
            <sz val="9"/>
            <color indexed="81"/>
            <rFont val="Arial"/>
            <family val="2"/>
          </rPr>
          <t xml:space="preserve">
Ringhals
First, Ringhals applied to the Swedish Nuclear Power Inspectorate (SKI) for a major uprate on the 915 MWe unit 3, on the basis of steam generator replacement already undertaken, and more to follow as low pressure turbines were replaced in 2007. Early in 2008, it was operating at 985 MWe net. In August 2008, work was completed to allow it to operate at 1050 MWe pending approval by SKI's successor, the Swedish Radiation Safety Authority (SSM). In May 2009, SSM approved test operation at 1045 MWe. A further uprate to 1105 MWe is envisaged.
On the older Ringhals BWR unit 1, a 15 MWe uprate was completed in 2007, with another 15 MWe to follow. 
Ringhals 4 had a 30 MWe uprate to 935 MWe following replacement of its low pressure turbines in 2007. Exchange of high-pressure turbines and steam generators in 2011 and other work is expected to yield a further 240 MWe. The total uprate for Ringhals plant over 2005-12 is likely to be more than 450 MWe, and total some 660 MWe over 25 years to 2014.
WNA, "Sources" tab, Sweden [the capacities mentioned here might be different from the ones in TIMES, which are from IAEA]</t>
        </r>
      </text>
    </comment>
  </commentList>
</comments>
</file>

<file path=xl/comments15.xml><?xml version="1.0" encoding="utf-8"?>
<comments xmlns="http://schemas.openxmlformats.org/spreadsheetml/2006/main">
  <authors>
    <author>Paul Tepes</author>
    <author>JRC</author>
    <author>tepesda</author>
  </authors>
  <commentList>
    <comment ref="B1" authorId="0" shapeId="0">
      <text>
        <r>
          <rPr>
            <b/>
            <sz val="9"/>
            <color indexed="81"/>
            <rFont val="Arial"/>
            <family val="2"/>
          </rPr>
          <t>Paul Tepes:</t>
        </r>
        <r>
          <rPr>
            <sz val="9"/>
            <color indexed="81"/>
            <rFont val="Arial"/>
            <family val="2"/>
          </rPr>
          <t xml:space="preserve">
Following a decision by cabinet not to replace the country's nuclear power plants, the national Council on 7 June 2011 voted 101 to 54 to endorse this, so that nuclear energy is phased out in 2034. The proposal was also approved by the upper house, the 46-member Council of States, by 3:1, though subject to ongoing review of technology options which might allow new plants. A new government will take office from December 2011, and it is to produce a new energy policy without nuclear power by 2013 and submit it to parliament. Until then the future of nuclear power remains uncertain.
All Swiss reactors have unlimited-duration operating licences, following that granted to Muehleberg in December 2009.
Both Beznau and Gösgen produce district heating in addition to power.  Beznau makes available 80 MW of heat to industry and homes over a 130 km network serving 11 towns - potentially 2.5 PJ/yr.
WNA, "Sources" tab, Switzerland</t>
        </r>
      </text>
    </comment>
    <comment ref="F3" authorId="1" shapeId="0">
      <text>
        <r>
          <rPr>
            <b/>
            <sz val="8"/>
            <color indexed="81"/>
            <rFont val="Tahoma"/>
            <family val="2"/>
          </rPr>
          <t>tepesda:</t>
        </r>
        <r>
          <rPr>
            <sz val="8"/>
            <color indexed="81"/>
            <rFont val="Tahoma"/>
            <family val="2"/>
          </rPr>
          <t xml:space="preserve">
last update Nov 2011</t>
        </r>
      </text>
    </comment>
    <comment ref="G3" authorId="1" shapeId="0">
      <text>
        <r>
          <rPr>
            <b/>
            <sz val="8"/>
            <color indexed="81"/>
            <rFont val="Tahoma"/>
            <family val="2"/>
          </rPr>
          <t>tepesda:</t>
        </r>
        <r>
          <rPr>
            <sz val="8"/>
            <color indexed="81"/>
            <rFont val="Tahoma"/>
            <family val="2"/>
          </rPr>
          <t xml:space="preserve">
last update Nov 2011</t>
        </r>
      </text>
    </comment>
    <comment ref="R3" authorId="2"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text>
        <r>
          <rPr>
            <b/>
            <sz val="8"/>
            <color indexed="81"/>
            <rFont val="Tahoma"/>
            <family val="2"/>
          </rPr>
          <t xml:space="preserve">tepesda:
</t>
        </r>
        <r>
          <rPr>
            <sz val="8"/>
            <color indexed="81"/>
            <rFont val="Tahoma"/>
            <family val="2"/>
          </rPr>
          <t>latest gross electrical power/ latest thermal power from IAEA</t>
        </r>
      </text>
    </comment>
    <comment ref="AD4" authorId="2" shapeId="0">
      <text>
        <r>
          <rPr>
            <b/>
            <sz val="8"/>
            <color indexed="81"/>
            <rFont val="Tahoma"/>
            <family val="2"/>
          </rPr>
          <t>tepesda:</t>
        </r>
        <r>
          <rPr>
            <sz val="8"/>
            <color indexed="81"/>
            <rFont val="Tahoma"/>
            <family val="2"/>
          </rPr>
          <t xml:space="preserve">
MW thermal days/ metric tons of heavy metal</t>
        </r>
      </text>
    </comment>
    <comment ref="AH4" authorId="2" shapeId="0">
      <text>
        <r>
          <rPr>
            <b/>
            <sz val="8"/>
            <color indexed="81"/>
            <rFont val="Tahoma"/>
            <family val="2"/>
          </rPr>
          <t>tepesda:</t>
        </r>
        <r>
          <rPr>
            <sz val="8"/>
            <color indexed="81"/>
            <rFont val="Tahoma"/>
            <family val="2"/>
          </rPr>
          <t xml:space="preserve">
enriched (metric tons of uranium)
</t>
        </r>
      </text>
    </comment>
    <comment ref="AI4" authorId="2" shapeId="0">
      <text>
        <r>
          <rPr>
            <b/>
            <sz val="8"/>
            <color indexed="81"/>
            <rFont val="Tahoma"/>
            <family val="2"/>
          </rPr>
          <t>tepesda:</t>
        </r>
        <r>
          <rPr>
            <sz val="8"/>
            <color indexed="81"/>
            <rFont val="Tahoma"/>
            <family val="2"/>
          </rPr>
          <t xml:space="preserve">
natural</t>
        </r>
      </text>
    </comment>
    <comment ref="R7" authorId="0" shapeId="0">
      <text>
        <r>
          <rPr>
            <b/>
            <sz val="9"/>
            <color indexed="81"/>
            <rFont val="Arial"/>
            <family val="2"/>
          </rPr>
          <t>Paul Tepes:</t>
        </r>
        <r>
          <rPr>
            <sz val="9"/>
            <color indexed="81"/>
            <rFont val="Arial"/>
            <family val="2"/>
          </rPr>
          <t xml:space="preserve">
All Swiss reactors have unlimited-duration operating licences, following that granted to Muehleberg in December 2009.
WNA, "Sources" tab, Switzerland
All phase out years are hardcoded (taken from WNA), subject to change..</t>
        </r>
      </text>
    </comment>
  </commentList>
</comments>
</file>

<file path=xl/comments16.xml><?xml version="1.0" encoding="utf-8"?>
<comments xmlns="http://schemas.openxmlformats.org/spreadsheetml/2006/main">
  <authors>
    <author>Paul Tepes</author>
    <author>JRC</author>
    <author>tepesda</author>
    <author>Amit</author>
    <author>Johan Carlsson</author>
    <author>SIMOES Sofia (JRC-PETTEN)</author>
  </authors>
  <commentList>
    <comment ref="B1" authorId="0" shapeId="0">
      <text>
        <r>
          <rPr>
            <b/>
            <sz val="9"/>
            <color indexed="81"/>
            <rFont val="Arial"/>
            <family val="2"/>
          </rPr>
          <t xml:space="preserve">Paul Tepes:
</t>
        </r>
        <r>
          <rPr>
            <sz val="9"/>
            <color indexed="81"/>
            <rFont val="Arial"/>
            <family val="2"/>
          </rPr>
          <t xml:space="preserve">
[...] the question of new nuclear build was effectively ruled out until 2006, when a review of energy policy reversed the government's opposition to new nuclear. Government policy in England and Wales has since been supportive of new nuclear plants, which should be financed and built by the private sector – with internalised waste and decommissioning costs as per the industry norm internationally. To facilitate new nuclear build, the government has begun implementing several measures, in particular:
[...] The government assumes there will be a requirement of 60 GWe of net new generating capacity by 2025, of which 35 GWe is to come from renewables. The Draft National Policy Statement for Nuclear Power Generation states that the expectation is for "a significant proportion" of the remaining 25 GWe to come from nuclear, although the government has not set a fixed target for nuclear capacity.
WNA, "Sources" tab, UK</t>
        </r>
      </text>
    </comment>
    <comment ref="F3" authorId="1" shapeId="0">
      <text>
        <r>
          <rPr>
            <b/>
            <sz val="8"/>
            <color indexed="81"/>
            <rFont val="Tahoma"/>
            <family val="2"/>
          </rPr>
          <t>tepesda:</t>
        </r>
        <r>
          <rPr>
            <sz val="8"/>
            <color indexed="81"/>
            <rFont val="Tahoma"/>
            <family val="2"/>
          </rPr>
          <t xml:space="preserve">
last update Nov 2011</t>
        </r>
      </text>
    </comment>
    <comment ref="G3" authorId="1" shapeId="0">
      <text>
        <r>
          <rPr>
            <b/>
            <sz val="8"/>
            <color indexed="81"/>
            <rFont val="Tahoma"/>
            <family val="2"/>
          </rPr>
          <t>tepesda:</t>
        </r>
        <r>
          <rPr>
            <sz val="8"/>
            <color indexed="81"/>
            <rFont val="Tahoma"/>
            <family val="2"/>
          </rPr>
          <t xml:space="preserve">
last update Nov 2011</t>
        </r>
      </text>
    </comment>
    <comment ref="R3" authorId="2"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text>
        <r>
          <rPr>
            <b/>
            <sz val="8"/>
            <color indexed="81"/>
            <rFont val="Tahoma"/>
            <family val="2"/>
          </rPr>
          <t xml:space="preserve">tepesda:
</t>
        </r>
        <r>
          <rPr>
            <sz val="8"/>
            <color indexed="81"/>
            <rFont val="Tahoma"/>
            <family val="2"/>
          </rPr>
          <t>latest gross electrical power/ latest thermal power from IAEA</t>
        </r>
      </text>
    </comment>
    <comment ref="AD4" authorId="2" shapeId="0">
      <text>
        <r>
          <rPr>
            <b/>
            <sz val="8"/>
            <color indexed="81"/>
            <rFont val="Tahoma"/>
            <family val="2"/>
          </rPr>
          <t>tepesda:</t>
        </r>
        <r>
          <rPr>
            <sz val="8"/>
            <color indexed="81"/>
            <rFont val="Tahoma"/>
            <family val="2"/>
          </rPr>
          <t xml:space="preserve">
MW thermal days/ metric tons of heavy metal</t>
        </r>
      </text>
    </comment>
    <comment ref="AH4" authorId="2" shapeId="0">
      <text>
        <r>
          <rPr>
            <b/>
            <sz val="8"/>
            <color indexed="81"/>
            <rFont val="Tahoma"/>
            <family val="2"/>
          </rPr>
          <t>tepesda:</t>
        </r>
        <r>
          <rPr>
            <sz val="8"/>
            <color indexed="81"/>
            <rFont val="Tahoma"/>
            <family val="2"/>
          </rPr>
          <t xml:space="preserve">
enriched (metric tons of uranium)
</t>
        </r>
      </text>
    </comment>
    <comment ref="AI4" authorId="2" shapeId="0">
      <text>
        <r>
          <rPr>
            <b/>
            <sz val="8"/>
            <color indexed="81"/>
            <rFont val="Tahoma"/>
            <family val="2"/>
          </rPr>
          <t>tepesda:</t>
        </r>
        <r>
          <rPr>
            <sz val="8"/>
            <color indexed="81"/>
            <rFont val="Tahoma"/>
            <family val="2"/>
          </rPr>
          <t xml:space="preserve">
natural</t>
        </r>
      </text>
    </comment>
    <comment ref="C7" authorId="3" shapeId="0">
      <text>
        <r>
          <rPr>
            <b/>
            <sz val="8"/>
            <color indexed="81"/>
            <rFont val="Tahoma"/>
            <family val="2"/>
          </rPr>
          <t>Amit:</t>
        </r>
        <r>
          <rPr>
            <sz val="8"/>
            <color indexed="81"/>
            <rFont val="Tahoma"/>
            <family val="2"/>
          </rPr>
          <t xml:space="preserve">
1/10/2012
It seems that UK has gas-cooled reactors, unlike any other country in EU. They use a different fuel. This fuel is delivered by the NucChain-EU SubRES.</t>
        </r>
      </text>
    </comment>
    <comment ref="R7" authorId="0" shapeId="0">
      <text>
        <r>
          <rPr>
            <b/>
            <sz val="9"/>
            <color indexed="81"/>
            <rFont val="Arial"/>
            <family val="2"/>
          </rPr>
          <t>Paul Tepes:</t>
        </r>
        <r>
          <rPr>
            <sz val="9"/>
            <color indexed="81"/>
            <rFont val="Arial"/>
            <family val="2"/>
          </rPr>
          <t xml:space="preserve">
the phase out year for all the reactors corresponds to what is in the WNA database. I couldn' t find any info about any license extensions of the initial contracts</t>
        </r>
      </text>
    </comment>
    <comment ref="B19" authorId="4" shapeId="0">
      <text>
        <r>
          <rPr>
            <b/>
            <sz val="8"/>
            <color indexed="81"/>
            <rFont val="Tahoma"/>
            <family val="2"/>
          </rPr>
          <t>Johan Carlsson:</t>
        </r>
        <r>
          <rPr>
            <sz val="8"/>
            <color indexed="81"/>
            <rFont val="Tahoma"/>
            <family val="2"/>
          </rPr>
          <t xml:space="preserve">
Not operational anymore</t>
        </r>
      </text>
    </comment>
    <comment ref="S19" authorId="5" shapeId="0">
      <text>
        <r>
          <rPr>
            <b/>
            <sz val="9"/>
            <color indexed="81"/>
            <rFont val="Tahoma"/>
            <family val="2"/>
          </rPr>
          <t>SIMOES Sofia (JRC-PETTEN):</t>
        </r>
        <r>
          <rPr>
            <sz val="9"/>
            <color indexed="81"/>
            <rFont val="Tahoma"/>
            <family val="2"/>
          </rPr>
          <t xml:space="preserve">
According to Johan Carlsson (ESE, IET-JRC) the plant stopped activity in #</t>
        </r>
      </text>
    </comment>
    <comment ref="B24" authorId="4" shapeId="0">
      <text>
        <r>
          <rPr>
            <b/>
            <sz val="8"/>
            <color indexed="81"/>
            <rFont val="Tahoma"/>
            <family val="2"/>
          </rPr>
          <t>Johan Carlsson:</t>
        </r>
        <r>
          <rPr>
            <sz val="8"/>
            <color indexed="81"/>
            <rFont val="Tahoma"/>
            <family val="2"/>
          </rPr>
          <t xml:space="preserve">
Not operational anymore</t>
        </r>
      </text>
    </comment>
    <comment ref="E25" authorId="0" shapeId="0">
      <text>
        <r>
          <rPr>
            <b/>
            <sz val="9"/>
            <color indexed="81"/>
            <rFont val="Arial"/>
            <family val="2"/>
          </rPr>
          <t>Paul Tepes:</t>
        </r>
        <r>
          <rPr>
            <sz val="9"/>
            <color indexed="81"/>
            <rFont val="Arial"/>
            <family val="2"/>
          </rPr>
          <t xml:space="preserve">
WNA database shown in " Sources" sheet has 4 reactors (6680 MWe gross) "planned" and 9 reactors (12000 MWe) "proposed".</t>
        </r>
      </text>
    </comment>
    <comment ref="F25" authorId="1" shapeId="0">
      <text>
        <r>
          <rPr>
            <b/>
            <sz val="8"/>
            <color indexed="81"/>
            <rFont val="Tahoma"/>
            <family val="2"/>
          </rPr>
          <t xml:space="preserve">tepesda:
</t>
        </r>
        <r>
          <rPr>
            <sz val="8"/>
            <color indexed="81"/>
            <rFont val="Tahoma"/>
            <family val="2"/>
          </rPr>
          <t>taken net-to-gross ~90% and apllied to gross value</t>
        </r>
      </text>
    </comment>
    <comment ref="T25"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25" authorId="0" shapeId="0">
      <text>
        <r>
          <rPr>
            <b/>
            <sz val="9"/>
            <color indexed="81"/>
            <rFont val="Arial"/>
            <family val="2"/>
          </rPr>
          <t>Paul Tepes:</t>
        </r>
        <r>
          <rPr>
            <sz val="9"/>
            <color indexed="81"/>
            <rFont val="Arial"/>
            <family val="2"/>
          </rPr>
          <t xml:space="preserve">
assumed</t>
        </r>
      </text>
    </comment>
    <comment ref="T26"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T27"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T28"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29" authorId="0" shapeId="0">
      <text>
        <r>
          <rPr>
            <b/>
            <sz val="9"/>
            <color indexed="81"/>
            <rFont val="Arial"/>
            <family val="2"/>
          </rPr>
          <t xml:space="preserve">Paul Tepes:
</t>
        </r>
        <r>
          <rPr>
            <sz val="9"/>
            <color indexed="81"/>
            <rFont val="Arial"/>
            <family val="2"/>
          </rPr>
          <t xml:space="preserve">
EPR x 2 or AP1000 x 3 reactors
WNA db</t>
        </r>
      </text>
    </comment>
    <comment ref="G29" authorId="1" shapeId="0">
      <text>
        <r>
          <rPr>
            <b/>
            <sz val="8"/>
            <color indexed="81"/>
            <rFont val="Tahoma"/>
            <family val="2"/>
          </rPr>
          <t xml:space="preserve">tepesda:
</t>
        </r>
        <r>
          <rPr>
            <sz val="8"/>
            <color indexed="81"/>
            <rFont val="Tahoma"/>
            <family val="2"/>
          </rPr>
          <t>3340-3750 gross (WNA)
WNA db</t>
        </r>
      </text>
    </comment>
    <comment ref="L29" authorId="1" shapeId="0">
      <text>
        <r>
          <rPr>
            <b/>
            <sz val="8"/>
            <color indexed="81"/>
            <rFont val="Tahoma"/>
            <family val="2"/>
          </rPr>
          <t xml:space="preserve">tepesda:
</t>
        </r>
        <r>
          <rPr>
            <sz val="8"/>
            <color indexed="81"/>
            <rFont val="Tahoma"/>
            <family val="2"/>
          </rPr>
          <t>3340-3750 gross (WNA)
WNA db</t>
        </r>
      </text>
    </comment>
    <comment ref="T29"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30" authorId="0" shapeId="0">
      <text>
        <r>
          <rPr>
            <b/>
            <sz val="9"/>
            <color indexed="81"/>
            <rFont val="Arial"/>
            <family val="2"/>
          </rPr>
          <t xml:space="preserve">Paul Tepes:
</t>
        </r>
        <r>
          <rPr>
            <sz val="9"/>
            <color indexed="81"/>
            <rFont val="Arial"/>
            <family val="2"/>
          </rPr>
          <t xml:space="preserve">
EPR x 3 or AP1000 x 4 reactors
WNA db</t>
        </r>
      </text>
    </comment>
    <comment ref="G30" authorId="1" shapeId="0">
      <text>
        <r>
          <rPr>
            <b/>
            <sz val="8"/>
            <color indexed="81"/>
            <rFont val="Tahoma"/>
            <family val="2"/>
          </rPr>
          <t xml:space="preserve">tepesda:
</t>
        </r>
        <r>
          <rPr>
            <sz val="8"/>
            <color indexed="81"/>
            <rFont val="Tahoma"/>
            <family val="2"/>
          </rPr>
          <t>~5000 gross
WNA db</t>
        </r>
      </text>
    </comment>
    <comment ref="L30" authorId="1" shapeId="0">
      <text>
        <r>
          <rPr>
            <b/>
            <sz val="8"/>
            <color indexed="81"/>
            <rFont val="Tahoma"/>
            <family val="2"/>
          </rPr>
          <t xml:space="preserve">tepesda:
</t>
        </r>
        <r>
          <rPr>
            <sz val="8"/>
            <color indexed="81"/>
            <rFont val="Tahoma"/>
            <family val="2"/>
          </rPr>
          <t>~5000 gross
WNA db</t>
        </r>
      </text>
    </comment>
    <comment ref="T30"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G31" authorId="1" shapeId="0">
      <text>
        <r>
          <rPr>
            <b/>
            <sz val="8"/>
            <color indexed="81"/>
            <rFont val="Tahoma"/>
            <family val="2"/>
          </rPr>
          <t xml:space="preserve">tepesda:
</t>
        </r>
        <r>
          <rPr>
            <sz val="8"/>
            <color indexed="81"/>
            <rFont val="Tahoma"/>
            <family val="2"/>
          </rPr>
          <t>up to 3600 gross
WNA db</t>
        </r>
      </text>
    </comment>
    <comment ref="L31" authorId="1" shapeId="0">
      <text>
        <r>
          <rPr>
            <b/>
            <sz val="8"/>
            <color indexed="81"/>
            <rFont val="Tahoma"/>
            <family val="2"/>
          </rPr>
          <t xml:space="preserve">tepesda:
</t>
        </r>
        <r>
          <rPr>
            <sz val="8"/>
            <color indexed="81"/>
            <rFont val="Tahoma"/>
            <family val="2"/>
          </rPr>
          <t>up to 3600 gross
WNA db</t>
        </r>
      </text>
    </comment>
    <comment ref="T31"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E69" authorId="0" shapeId="0">
      <text>
        <r>
          <rPr>
            <b/>
            <sz val="9"/>
            <color indexed="81"/>
            <rFont val="Arial"/>
            <family val="2"/>
          </rPr>
          <t>Paul Tepes:</t>
        </r>
        <r>
          <rPr>
            <sz val="9"/>
            <color indexed="81"/>
            <rFont val="Arial"/>
            <family val="2"/>
          </rPr>
          <t xml:space="preserve">
WNA database shown in " Sources" sheet has 4 reactors (6680 MWe gross) "planned" and 9 reactors (12000 MWe) "proposed".</t>
        </r>
      </text>
    </comment>
  </commentList>
</comments>
</file>

<file path=xl/comments17.xml><?xml version="1.0" encoding="utf-8"?>
<comments xmlns="http://schemas.openxmlformats.org/spreadsheetml/2006/main">
  <authors>
    <author>JRC</author>
    <author>SIMOES Sofia (JRC-PETTEN)</author>
  </authors>
  <commentList>
    <comment ref="I1" authorId="0" shapeId="0">
      <text>
        <r>
          <rPr>
            <b/>
            <sz val="8"/>
            <color indexed="81"/>
            <rFont val="Tahoma"/>
            <family val="2"/>
          </rPr>
          <t xml:space="preserve">tepesda:
</t>
        </r>
        <r>
          <rPr>
            <sz val="8"/>
            <color indexed="81"/>
            <rFont val="Tahoma"/>
            <family val="2"/>
          </rPr>
          <t xml:space="preserve">
Following on from a May 2005 memorandum of understanding 2005, Electricité de France (EDF) and Enel signed an agreement in November 2007 that gives Enel a 12.5% share (some 200 MWe) from the Flamanville 3 EPR nuclear reactor (1650 MWe) currently under construction in France, and an option for the same stake in the next five such units builtl, 5. Enel is also to be involved in design, construction and operation of the plants, thereby helping to rebuild Italy's nuclear skills and competence. The expected investment in the construction of Enel's share of Flamanville 3 is approximately €500 million, and Enel is also responsible for its pro quota share of operation costs.
The agreement also gave EDF an option to participate in construction and operation of future Enel nuclear power plants in Italy or elsewhere in Europe and the Mediterranean. To this end, in August 2009, EDF and Enel set up a 50:50 joint venture company, Sviluppo Nucleare Italia (SNI, Developing Italian Nuclear)6, to conduct feasibility studies on building at least four 1650 MWe Areva EPR units. If new build proves feasible, separate project companies will be set up to build, own and operate the new power plants. Enel expects the first site to be licensed in 2011, a construction and operating licence to be issued in 2013, construction start in 2015, and operation of the first unit in 2020.
</t>
        </r>
        <r>
          <rPr>
            <b/>
            <sz val="8"/>
            <color indexed="81"/>
            <rFont val="Tahoma"/>
            <family val="2"/>
          </rPr>
          <t>[...]</t>
        </r>
        <r>
          <rPr>
            <sz val="8"/>
            <color indexed="81"/>
            <rFont val="Tahoma"/>
            <family val="2"/>
          </rPr>
          <t xml:space="preserve">
In January 2011, the Constitutional Court ruled that Italy could hold a referendum on the planned re-introduction of nuclear power, as proposed by an opposition party4. The question posed in the referendum, held in mid-June, was whether voters want to cancel some 70 legislative and regulatory measures which had been taken by the government over three years to make it possible to build new nuclear power plants. It would not affect plans for a waste repository.  In November 2010 the Constitutional Court had struck down a bid by three regions to ban nuclear plants from their territory due to strong public opposition. Although immediately following the Fukushima accident, the government had declared a one-year delay on nuclear plans, the referendum strongly rejected all of the four initiatives promoted by Mr Berlusconi. This included the 2009 legislation setting up arrangements to generate 25% of the country's electricity from nuclear power by 2030.
</t>
        </r>
        <r>
          <rPr>
            <b/>
            <sz val="8"/>
            <color indexed="81"/>
            <rFont val="Tahoma"/>
            <family val="2"/>
          </rPr>
          <t>Source: WNA db</t>
        </r>
      </text>
    </comment>
    <comment ref="AE3" authorId="0" shapeId="0">
      <text>
        <r>
          <rPr>
            <b/>
            <sz val="8"/>
            <color indexed="81"/>
            <rFont val="Tahoma"/>
            <family val="2"/>
          </rPr>
          <t xml:space="preserve">tepesda:
</t>
        </r>
        <r>
          <rPr>
            <sz val="8"/>
            <color indexed="81"/>
            <rFont val="Tahoma"/>
            <family val="2"/>
          </rPr>
          <t>latest gross electrical power/ latest thermal power from IAEA</t>
        </r>
      </text>
    </comment>
    <comment ref="S7"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Z7" authorId="0" shapeId="0">
      <text>
        <r>
          <rPr>
            <b/>
            <sz val="8"/>
            <color indexed="81"/>
            <rFont val="Tahoma"/>
            <family val="2"/>
          </rPr>
          <t xml:space="preserve">tepesda:
</t>
        </r>
        <r>
          <rPr>
            <sz val="8"/>
            <color indexed="81"/>
            <rFont val="Tahoma"/>
            <family val="2"/>
          </rPr>
          <t xml:space="preserve">assumption
</t>
        </r>
      </text>
    </comment>
    <comment ref="AA7" authorId="0" shapeId="0">
      <text>
        <r>
          <rPr>
            <b/>
            <sz val="8"/>
            <color indexed="81"/>
            <rFont val="Tahoma"/>
            <family val="2"/>
          </rPr>
          <t>tepesda:</t>
        </r>
        <r>
          <rPr>
            <sz val="8"/>
            <color indexed="81"/>
            <rFont val="Tahoma"/>
            <family val="2"/>
          </rPr>
          <t xml:space="preserve">
optimistic assumption that 4 reactorss will be operative in 2020</t>
        </r>
      </text>
    </comment>
    <comment ref="S8"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S9"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S10"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18.xml><?xml version="1.0" encoding="utf-8"?>
<comments xmlns="http://schemas.openxmlformats.org/spreadsheetml/2006/main">
  <authors>
    <author>JRC</author>
    <author>SIMOES Sofia (JRC-PETTEN)</author>
  </authors>
  <commentList>
    <comment ref="H1" authorId="0" shapeId="0">
      <text>
        <r>
          <rPr>
            <b/>
            <sz val="8"/>
            <color indexed="81"/>
            <rFont val="Tahoma"/>
            <family val="2"/>
          </rPr>
          <t xml:space="preserve">tepesda:
Lithuania closed its last nuclear reactor, which had been generating 70% of its electricity, at the end of 2009. 
Electricity was a major export until the closure of Lithuania's nuclear plant. 
A new nuclear plant is to be built by GE Hitachi. It involves vendor equity as well as the other Baltic states. 
</t>
        </r>
        <r>
          <rPr>
            <sz val="8"/>
            <color indexed="81"/>
            <rFont val="Tahoma"/>
            <family val="2"/>
          </rPr>
          <t>In May 2011 "competitive proposals from potential strategic investors" were received, from Westinghouse and Hitachi GE. In July the government selected Hitachi as strategic investor, though it will be GE Hitachi which does the engineering, procurement and construction (EPC contract).  Lithuania's partners in the project, Estonia, Latvia and Poland participated in the evaluation to determine which of the two proposals was "most economically advantageous." Their energy companies will be investors with Hitachi in the project company. GE Hitachi expects to build a single 1350 MWe Advanced Boiling Water Reactor, several of which are operating and under construction in Japan and Taiwan. This is expected to operate from 2020. In October 2011 the government formally notified the  European Commission of plans for the new nuclear power plant at Visaginas to  be built in collaboration with Estonia, Latvia and Poland.  However, in December Poland withdrew from the project, saying that VAE's conditions were unacceptable to PGE, and it had other plans anyway.</t>
        </r>
        <r>
          <rPr>
            <b/>
            <sz val="8"/>
            <color indexed="81"/>
            <rFont val="Tahoma"/>
            <family val="2"/>
          </rPr>
          <t xml:space="preserve">
[...]
</t>
        </r>
        <r>
          <rPr>
            <sz val="8"/>
            <color indexed="81"/>
            <rFont val="Tahoma"/>
            <family val="2"/>
          </rPr>
          <t>While discussions proceed regarding Visaginas, Russia is making preparations to build the 2400 MWe Baltic nuclear power plant in Kaliningrad.</t>
        </r>
        <r>
          <rPr>
            <b/>
            <sz val="8"/>
            <color indexed="81"/>
            <rFont val="Tahoma"/>
            <family val="2"/>
          </rPr>
          <t xml:space="preserve">
</t>
        </r>
        <r>
          <rPr>
            <sz val="8"/>
            <color indexed="81"/>
            <rFont val="Tahoma"/>
            <family val="2"/>
          </rPr>
          <t xml:space="preserve">
Source: WNA</t>
        </r>
      </text>
    </comment>
    <comment ref="AE3" authorId="0" shapeId="0">
      <text>
        <r>
          <rPr>
            <b/>
            <sz val="8"/>
            <color indexed="81"/>
            <rFont val="Tahoma"/>
            <family val="2"/>
          </rPr>
          <t xml:space="preserve">tepesda:
</t>
        </r>
        <r>
          <rPr>
            <sz val="8"/>
            <color indexed="81"/>
            <rFont val="Tahoma"/>
            <family val="2"/>
          </rPr>
          <t>latest gross electrical power/ latest thermal power from IAEA</t>
        </r>
      </text>
    </comment>
    <comment ref="G7" authorId="0" shapeId="0">
      <text>
        <r>
          <rPr>
            <b/>
            <sz val="8"/>
            <color indexed="81"/>
            <rFont val="Tahoma"/>
            <family val="2"/>
          </rPr>
          <t xml:space="preserve">tepesda:
</t>
        </r>
        <r>
          <rPr>
            <sz val="8"/>
            <color indexed="81"/>
            <rFont val="Tahoma"/>
            <family val="2"/>
          </rPr>
          <t xml:space="preserve">copied from old scenario file
</t>
        </r>
      </text>
    </comment>
    <comment ref="H7" authorId="0" shapeId="0">
      <text>
        <r>
          <rPr>
            <b/>
            <sz val="8"/>
            <color indexed="81"/>
            <rFont val="Tahoma"/>
            <family val="2"/>
          </rPr>
          <t xml:space="preserve">tepesda:
</t>
        </r>
        <r>
          <rPr>
            <sz val="8"/>
            <color indexed="81"/>
            <rFont val="Tahoma"/>
            <family val="2"/>
          </rPr>
          <t xml:space="preserve">copied from old scenario file
</t>
        </r>
      </text>
    </comment>
    <comment ref="I7" authorId="0" shapeId="0">
      <text>
        <r>
          <rPr>
            <b/>
            <sz val="8"/>
            <color indexed="81"/>
            <rFont val="Tahoma"/>
            <family val="2"/>
          </rPr>
          <t xml:space="preserve">tepesda:
</t>
        </r>
        <r>
          <rPr>
            <sz val="8"/>
            <color indexed="81"/>
            <rFont val="Tahoma"/>
            <family val="2"/>
          </rPr>
          <t xml:space="preserve">copied from old scenario file
</t>
        </r>
      </text>
    </comment>
    <comment ref="Q7" authorId="0" shapeId="0">
      <text>
        <r>
          <rPr>
            <b/>
            <sz val="8"/>
            <color indexed="81"/>
            <rFont val="Tahoma"/>
            <family val="2"/>
          </rPr>
          <t>JRC:</t>
        </r>
        <r>
          <rPr>
            <sz val="8"/>
            <color indexed="81"/>
            <rFont val="Tahoma"/>
            <family val="2"/>
          </rPr>
          <t xml:space="preserve">
Due to strong European Union (EU) concerns about the RBMK reactor, by the time Lithuania applied to join the EU it was required to close them both down. Hence unit 1 was closed in December 2004 and, despite strong public opposition to its enforced closure1, unit 2 was closed at the end of 2009, leaving Russia as the only country that has operating RBMK reactors. The EU has agreed to pay decommissioning costs and some compensation through to 2013.
</t>
        </r>
      </text>
    </comment>
    <comment ref="S7" authorId="0" shapeId="0">
      <text>
        <r>
          <rPr>
            <b/>
            <sz val="8"/>
            <color indexed="81"/>
            <rFont val="Tahoma"/>
            <family val="2"/>
          </rPr>
          <t xml:space="preserve">tepesda:
</t>
        </r>
        <r>
          <rPr>
            <sz val="8"/>
            <color indexed="81"/>
            <rFont val="Tahoma"/>
            <family val="2"/>
          </rPr>
          <t xml:space="preserve">from old file
</t>
        </r>
      </text>
    </comment>
    <comment ref="K9" authorId="0" shapeId="0">
      <text>
        <r>
          <rPr>
            <b/>
            <sz val="8"/>
            <color indexed="81"/>
            <rFont val="Tahoma"/>
            <family val="2"/>
          </rPr>
          <t>tepesda:</t>
        </r>
        <r>
          <rPr>
            <sz val="8"/>
            <color indexed="81"/>
            <rFont val="Tahoma"/>
            <family val="2"/>
          </rPr>
          <t xml:space="preserve">
this is the gross value given by WNA</t>
        </r>
      </text>
    </comment>
    <comment ref="S9"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Z9" authorId="0" shapeId="0">
      <text>
        <r>
          <rPr>
            <b/>
            <sz val="8"/>
            <color indexed="81"/>
            <rFont val="Tahoma"/>
            <family val="2"/>
          </rPr>
          <t xml:space="preserve">tepesda:
</t>
        </r>
        <r>
          <rPr>
            <sz val="8"/>
            <color indexed="81"/>
            <rFont val="Tahoma"/>
            <family val="2"/>
          </rPr>
          <t xml:space="preserve">assumed
</t>
        </r>
      </text>
    </comment>
    <comment ref="AA9" authorId="0" shapeId="0">
      <text>
        <r>
          <rPr>
            <b/>
            <sz val="8"/>
            <color indexed="81"/>
            <rFont val="Tahoma"/>
            <family val="2"/>
          </rPr>
          <t xml:space="preserve">tepesda:
</t>
        </r>
        <r>
          <rPr>
            <sz val="8"/>
            <color indexed="81"/>
            <rFont val="Tahoma"/>
            <family val="2"/>
          </rPr>
          <t xml:space="preserve">assumed
</t>
        </r>
      </text>
    </comment>
  </commentList>
</comments>
</file>

<file path=xl/comments19.xml><?xml version="1.0" encoding="utf-8"?>
<comments xmlns="http://schemas.openxmlformats.org/spreadsheetml/2006/main">
  <authors>
    <author>JRC</author>
    <author>SIMOES Sofia (JRC-PETTEN)</author>
  </authors>
  <commentList>
    <comment ref="H1" authorId="0" shapeId="0">
      <text>
        <r>
          <rPr>
            <b/>
            <sz val="8"/>
            <color indexed="81"/>
            <rFont val="Tahoma"/>
            <family val="2"/>
          </rPr>
          <t xml:space="preserve">tepesda:
Poland plans to have nuclear power from about 2020 as part of a diverse energy portfolio, moving it away from heavy dependence on coal and imported gas. 
It earlier planned to have a stake in the new Visaginas nuclear power plant in Lithuania. 
</t>
        </r>
        <r>
          <rPr>
            <sz val="8"/>
            <color indexed="81"/>
            <rFont val="Tahoma"/>
            <family val="2"/>
          </rPr>
          <t xml:space="preserve">
In order to deliver the government's objectives, state-owned Polska Grupa Energetyczna SA (PGE), Poland's largest power group by generating capacity, announced in January 2009 plans to build two nuclear power plants, each with a capacity of 3,000 MWe, one in the north, probably at Zarnoweic, and one in the east of the country. The Ministry of Economy set out a new nuclear power program in November 2010, and this was approved by government in January 2011. PGE estimates that the cost would be EUR 2500-3000/kW for a Generation III plant, hence total project cost of up to EUR 10.5 billion
Source: WNA</t>
        </r>
      </text>
    </comment>
    <comment ref="AE3" authorId="0" shapeId="0">
      <text>
        <r>
          <rPr>
            <b/>
            <sz val="8"/>
            <color indexed="81"/>
            <rFont val="Tahoma"/>
            <family val="2"/>
          </rPr>
          <t xml:space="preserve">tepesda:
</t>
        </r>
        <r>
          <rPr>
            <sz val="8"/>
            <color indexed="81"/>
            <rFont val="Tahoma"/>
            <family val="2"/>
          </rPr>
          <t>latest gross electrical power/ latest thermal power from IAEA</t>
        </r>
      </text>
    </comment>
    <comment ref="K7" authorId="0" shapeId="0">
      <text>
        <r>
          <rPr>
            <b/>
            <sz val="8"/>
            <color indexed="81"/>
            <rFont val="Tahoma"/>
            <family val="2"/>
          </rPr>
          <t xml:space="preserve">tepesda:
</t>
        </r>
        <r>
          <rPr>
            <sz val="8"/>
            <color indexed="81"/>
            <rFont val="Tahoma"/>
            <family val="2"/>
          </rPr>
          <t xml:space="preserve">taken from WNA (estimated)
</t>
        </r>
      </text>
    </comment>
    <comment ref="S7"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W7" authorId="0" shapeId="0">
      <text>
        <r>
          <rPr>
            <b/>
            <sz val="8"/>
            <color indexed="81"/>
            <rFont val="Tahoma"/>
            <family val="2"/>
          </rPr>
          <t>tepesda:</t>
        </r>
        <r>
          <rPr>
            <sz val="8"/>
            <color indexed="81"/>
            <rFont val="Tahoma"/>
            <family val="2"/>
          </rPr>
          <t xml:space="preserve">
to be confirmed</t>
        </r>
      </text>
    </comment>
    <comment ref="Z7" authorId="0" shapeId="0">
      <text>
        <r>
          <rPr>
            <b/>
            <sz val="8"/>
            <color indexed="81"/>
            <rFont val="Tahoma"/>
            <family val="2"/>
          </rPr>
          <t xml:space="preserve">tepesda:
</t>
        </r>
        <r>
          <rPr>
            <sz val="8"/>
            <color indexed="81"/>
            <rFont val="Tahoma"/>
            <family val="2"/>
          </rPr>
          <t xml:space="preserve">assumed
</t>
        </r>
      </text>
    </comment>
    <comment ref="AA7" authorId="0" shapeId="0">
      <text>
        <r>
          <rPr>
            <b/>
            <sz val="8"/>
            <color indexed="81"/>
            <rFont val="Tahoma"/>
            <family val="2"/>
          </rPr>
          <t xml:space="preserve">tepesda:
</t>
        </r>
        <r>
          <rPr>
            <sz val="8"/>
            <color indexed="81"/>
            <rFont val="Tahoma"/>
            <family val="2"/>
          </rPr>
          <t xml:space="preserve">WNA, assumed
</t>
        </r>
      </text>
    </comment>
    <comment ref="S8"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W8" authorId="0" shapeId="0">
      <text>
        <r>
          <rPr>
            <b/>
            <sz val="8"/>
            <color indexed="81"/>
            <rFont val="Tahoma"/>
            <family val="2"/>
          </rPr>
          <t>tepesda:</t>
        </r>
        <r>
          <rPr>
            <sz val="8"/>
            <color indexed="81"/>
            <rFont val="Tahoma"/>
            <family val="2"/>
          </rPr>
          <t xml:space="preserve">
to be confirmed</t>
        </r>
      </text>
    </comment>
  </commentList>
</comments>
</file>

<file path=xl/comments20.xml><?xml version="1.0" encoding="utf-8"?>
<comments xmlns="http://schemas.openxmlformats.org/spreadsheetml/2006/main">
  <authors>
    <author>Johan Carlsson</author>
    <author>tepesda</author>
  </authors>
  <commentList>
    <comment ref="AU16" authorId="0" shapeId="0">
      <text>
        <r>
          <rPr>
            <b/>
            <sz val="8"/>
            <color indexed="81"/>
            <rFont val="Tahoma"/>
            <family val="2"/>
          </rPr>
          <t>Johan Carlsson:</t>
        </r>
        <r>
          <rPr>
            <sz val="8"/>
            <color indexed="81"/>
            <rFont val="Tahoma"/>
            <family val="2"/>
          </rPr>
          <t xml:space="preserve">
Will be upgraded to 1100 in 2015</t>
        </r>
      </text>
    </comment>
    <comment ref="AU17" authorId="0" shapeId="0">
      <text>
        <r>
          <rPr>
            <b/>
            <sz val="8"/>
            <color indexed="81"/>
            <rFont val="Tahoma"/>
            <family val="2"/>
          </rPr>
          <t>Johan Carlsson:</t>
        </r>
        <r>
          <rPr>
            <sz val="8"/>
            <color indexed="81"/>
            <rFont val="Tahoma"/>
            <family val="2"/>
          </rPr>
          <t xml:space="preserve">
Will be upgraded to 1048 in 2015</t>
        </r>
      </text>
    </comment>
    <comment ref="D52" authorId="1" shapeId="0">
      <text>
        <r>
          <rPr>
            <b/>
            <sz val="8"/>
            <color indexed="81"/>
            <rFont val="Tahoma"/>
            <family val="2"/>
          </rPr>
          <t>tepesda:</t>
        </r>
        <r>
          <rPr>
            <sz val="8"/>
            <color indexed="81"/>
            <rFont val="Tahoma"/>
            <family val="2"/>
          </rPr>
          <t xml:space="preserve">
Net</t>
        </r>
      </text>
    </comment>
  </commentList>
</comments>
</file>

<file path=xl/comments21.xml><?xml version="1.0" encoding="utf-8"?>
<comments xmlns="http://schemas.openxmlformats.org/spreadsheetml/2006/main">
  <authors>
    <author>Johan Carlsson</author>
  </authors>
  <commentList>
    <comment ref="AU16" authorId="0" shapeId="0">
      <text>
        <r>
          <rPr>
            <b/>
            <sz val="8"/>
            <color indexed="81"/>
            <rFont val="Tahoma"/>
            <family val="2"/>
          </rPr>
          <t>Johan Carlsson:</t>
        </r>
        <r>
          <rPr>
            <sz val="8"/>
            <color indexed="81"/>
            <rFont val="Tahoma"/>
            <family val="2"/>
          </rPr>
          <t xml:space="preserve">
Will be upgraded to 1100 in 2015</t>
        </r>
      </text>
    </comment>
    <comment ref="AU17" authorId="0" shapeId="0">
      <text>
        <r>
          <rPr>
            <b/>
            <sz val="8"/>
            <color indexed="81"/>
            <rFont val="Tahoma"/>
            <family val="2"/>
          </rPr>
          <t>Johan Carlsson:</t>
        </r>
        <r>
          <rPr>
            <sz val="8"/>
            <color indexed="81"/>
            <rFont val="Tahoma"/>
            <family val="2"/>
          </rPr>
          <t xml:space="preserve">
Will be upgraded to 1048 in 2015</t>
        </r>
      </text>
    </comment>
  </commentList>
</comments>
</file>

<file path=xl/sharedStrings.xml><?xml version="1.0" encoding="utf-8"?>
<sst xmlns="http://schemas.openxmlformats.org/spreadsheetml/2006/main" count="32397" uniqueCount="7379">
  <si>
    <t>69.99</t>
  </si>
  <si>
    <t>7.67</t>
  </si>
  <si>
    <t>25.69</t>
  </si>
  <si>
    <t>58.11</t>
  </si>
  <si>
    <t>11.62</t>
  </si>
  <si>
    <t>1.07</t>
  </si>
  <si>
    <t>17.05</t>
  </si>
  <si>
    <t>73.83</t>
  </si>
  <si>
    <t>95.67</t>
  </si>
  <si>
    <t>88.79</t>
  </si>
  <si>
    <t>77.09</t>
  </si>
  <si>
    <t>52.99</t>
  </si>
  <si>
    <t>68.92</t>
  </si>
  <si>
    <t>92.07</t>
  </si>
  <si>
    <t>73.82</t>
  </si>
  <si>
    <t>72.42</t>
  </si>
  <si>
    <t>84.67</t>
  </si>
  <si>
    <t>70.97</t>
  </si>
  <si>
    <t>40.66</t>
  </si>
  <si>
    <t>61.84</t>
  </si>
  <si>
    <t>68.98</t>
  </si>
  <si>
    <t xml:space="preserve">GB-11A </t>
  </si>
  <si>
    <t>OLDBURY-A1</t>
  </si>
  <si>
    <t>MEL (Magnox Electric Limited)</t>
  </si>
  <si>
    <t>NDA (NUCLEAR DECOMMISSIONING AUTHORITY)</t>
  </si>
  <si>
    <t>MAGNOX</t>
  </si>
  <si>
    <t>U</t>
  </si>
  <si>
    <t>5430</t>
  </si>
  <si>
    <t>8.5</t>
  </si>
  <si>
    <t>26464</t>
  </si>
  <si>
    <t>293.7</t>
  </si>
  <si>
    <t>2.66</t>
  </si>
  <si>
    <t>365</t>
  </si>
  <si>
    <t>17855</t>
  </si>
  <si>
    <t>2.7</t>
  </si>
  <si>
    <t>1621.29</t>
  </si>
  <si>
    <t>1714.99</t>
  </si>
  <si>
    <t>1513.70</t>
  </si>
  <si>
    <t>723.83</t>
  </si>
  <si>
    <t>744.57</t>
  </si>
  <si>
    <t>1106.00</t>
  </si>
  <si>
    <t>842.32</t>
  </si>
  <si>
    <t>1728.35</t>
  </si>
  <si>
    <t>60696.00</t>
  </si>
  <si>
    <t>85.28</t>
  </si>
  <si>
    <t>37.97</t>
  </si>
  <si>
    <t>39.17</t>
  </si>
  <si>
    <t>58.18</t>
  </si>
  <si>
    <t>44.31</t>
  </si>
  <si>
    <t>76.08</t>
  </si>
  <si>
    <t>9.32</t>
  </si>
  <si>
    <t>60.95</t>
  </si>
  <si>
    <t>46.75</t>
  </si>
  <si>
    <t>33.48</t>
  </si>
  <si>
    <t>45.95</t>
  </si>
  <si>
    <t>18.01</t>
  </si>
  <si>
    <t>76.40</t>
  </si>
  <si>
    <t>2.73</t>
  </si>
  <si>
    <t>9.89</t>
  </si>
  <si>
    <t>20.37</t>
  </si>
  <si>
    <t>2.75</t>
  </si>
  <si>
    <t>26.45</t>
  </si>
  <si>
    <t>18.02</t>
  </si>
  <si>
    <t>6.74</t>
  </si>
  <si>
    <t>39.05</t>
  </si>
  <si>
    <t>45.63</t>
  </si>
  <si>
    <t>64.25</t>
  </si>
  <si>
    <t>54.10</t>
  </si>
  <si>
    <t xml:space="preserve">GB-24  </t>
  </si>
  <si>
    <t>SIZEWELL-B</t>
  </si>
  <si>
    <t>PPC (PWR POWER PROJECTS Ltd)</t>
  </si>
  <si>
    <t>SNUPPS</t>
  </si>
  <si>
    <t>13.59</t>
  </si>
  <si>
    <t>3.37</t>
  </si>
  <si>
    <t>88.6</t>
  </si>
  <si>
    <t>15.82</t>
  </si>
  <si>
    <t>323.4</t>
  </si>
  <si>
    <t>69000</t>
  </si>
  <si>
    <t>9197.96</t>
  </si>
  <si>
    <t>9195.04</t>
  </si>
  <si>
    <t>8854.19</t>
  </si>
  <si>
    <t>9329.11</t>
  </si>
  <si>
    <t>8696.25</t>
  </si>
  <si>
    <t>8908.26</t>
  </si>
  <si>
    <t>10264.31</t>
  </si>
  <si>
    <t>9301.23</t>
  </si>
  <si>
    <t>9094.88</t>
  </si>
  <si>
    <t>4774.80</t>
  </si>
  <si>
    <t>109913.00</t>
  </si>
  <si>
    <t>77.17</t>
  </si>
  <si>
    <t>88.48</t>
  </si>
  <si>
    <t>83.93</t>
  </si>
  <si>
    <t>98.46</t>
  </si>
  <si>
    <t>89.23</t>
  </si>
  <si>
    <t>1.16</t>
  </si>
  <si>
    <t>8.71</t>
  </si>
  <si>
    <t>8.27</t>
  </si>
  <si>
    <t>77.44</t>
  </si>
  <si>
    <t>2.36</t>
  </si>
  <si>
    <t>54.31</t>
  </si>
  <si>
    <t>8.12</t>
  </si>
  <si>
    <t>98.87</t>
  </si>
  <si>
    <t>85.34</t>
  </si>
  <si>
    <t>46.03</t>
  </si>
  <si>
    <t>85.17</t>
  </si>
  <si>
    <t>98.47</t>
  </si>
  <si>
    <t>45.88</t>
  </si>
  <si>
    <t xml:space="preserve">GB-23A </t>
  </si>
  <si>
    <t>TORNESS 1</t>
  </si>
  <si>
    <t>NNC (NATIONAL NUCLEAR CORPORATION)</t>
  </si>
  <si>
    <t>29500</t>
  </si>
  <si>
    <t>2656</t>
  </si>
  <si>
    <t>114</t>
  </si>
  <si>
    <t>15120</t>
  </si>
  <si>
    <t>3968.48</t>
  </si>
  <si>
    <t>3761.93</t>
  </si>
  <si>
    <t>4681.94</t>
  </si>
  <si>
    <t>3921.80</t>
  </si>
  <si>
    <t>4667.73</t>
  </si>
  <si>
    <t>4000.87</t>
  </si>
  <si>
    <t>3500.94</t>
  </si>
  <si>
    <t>4488.12</t>
  </si>
  <si>
    <t>4963.55</t>
  </si>
  <si>
    <t>2565.36</t>
  </si>
  <si>
    <t>82237.00</t>
  </si>
  <si>
    <t>70.24</t>
  </si>
  <si>
    <t>68.71</t>
  </si>
  <si>
    <t>71.68</t>
  </si>
  <si>
    <t>73.31</t>
  </si>
  <si>
    <t>64.16</t>
  </si>
  <si>
    <t>48.82</t>
  </si>
  <si>
    <t>73.06</t>
  </si>
  <si>
    <t>14.19</t>
  </si>
  <si>
    <t>19.11</t>
  </si>
  <si>
    <t>4.59</t>
  </si>
  <si>
    <t>15.23</t>
  </si>
  <si>
    <t>16.77</t>
  </si>
  <si>
    <t>69.64</t>
  </si>
  <si>
    <t>85.76</t>
  </si>
  <si>
    <t>65.32</t>
  </si>
  <si>
    <t>74.90</t>
  </si>
  <si>
    <t>18.14</t>
  </si>
  <si>
    <t>24.65</t>
  </si>
  <si>
    <t>12.51</t>
  </si>
  <si>
    <t>14.34</t>
  </si>
  <si>
    <t>8.62</t>
  </si>
  <si>
    <t>1.42</t>
  </si>
  <si>
    <t>34.51</t>
  </si>
  <si>
    <t>76.70</t>
  </si>
  <si>
    <t>79.61</t>
  </si>
  <si>
    <t>71.16</t>
  </si>
  <si>
    <t>60.53</t>
  </si>
  <si>
    <t>78.38</t>
  </si>
  <si>
    <t>72.29</t>
  </si>
  <si>
    <t>85.51</t>
  </si>
  <si>
    <t>85.26</t>
  </si>
  <si>
    <t>73.08</t>
  </si>
  <si>
    <t>63.94</t>
  </si>
  <si>
    <t>48.81</t>
  </si>
  <si>
    <t xml:space="preserve">GB-23B </t>
  </si>
  <si>
    <t>TORNESS 2</t>
  </si>
  <si>
    <t>4293.57</t>
  </si>
  <si>
    <t>1945.61</t>
  </si>
  <si>
    <t>3782.85</t>
  </si>
  <si>
    <t>4082.96</t>
  </si>
  <si>
    <t>4821.85</t>
  </si>
  <si>
    <t>3297.00</t>
  </si>
  <si>
    <t>4829.04</t>
  </si>
  <si>
    <t>4780.78</t>
  </si>
  <si>
    <t>4151.18</t>
  </si>
  <si>
    <t>4531.25</t>
  </si>
  <si>
    <t>81462.00</t>
  </si>
  <si>
    <t>35.73</t>
  </si>
  <si>
    <t>69.44</t>
  </si>
  <si>
    <t>74.61</t>
  </si>
  <si>
    <t>60.46</t>
  </si>
  <si>
    <t>78.30</t>
  </si>
  <si>
    <t>73.95</t>
  </si>
  <si>
    <t>16.53</t>
  </si>
  <si>
    <t>10.69</t>
  </si>
  <si>
    <t>2.91</t>
  </si>
  <si>
    <t>16.06</t>
  </si>
  <si>
    <t>77.15</t>
  </si>
  <si>
    <t>36.99</t>
  </si>
  <si>
    <t>64.44</t>
  </si>
  <si>
    <t>Latest thermal power</t>
  </si>
  <si>
    <t>MWth</t>
  </si>
  <si>
    <t>Reactor vessel overall length/height [m]</t>
  </si>
  <si>
    <t>20.6</t>
  </si>
  <si>
    <t>Latest gross electrical power</t>
  </si>
  <si>
    <t>MWe</t>
  </si>
  <si>
    <t>Fuel material</t>
  </si>
  <si>
    <t>UO2</t>
  </si>
  <si>
    <t>Original design net electrical power</t>
  </si>
  <si>
    <t>Refuelling frequency [month]</t>
  </si>
  <si>
    <t>12</t>
  </si>
  <si>
    <t>Latest reference unit power (net)</t>
  </si>
  <si>
    <t>Average discharge burnup  [MWd/t]</t>
  </si>
  <si>
    <t>37000</t>
  </si>
  <si>
    <t>Key Dates</t>
  </si>
  <si>
    <t>[YYYY-MM-DD]</t>
  </si>
  <si>
    <t>Active core diameter [m]</t>
  </si>
  <si>
    <t>3.88</t>
  </si>
  <si>
    <t>Active core height/length [m]</t>
  </si>
  <si>
    <t>3.68</t>
  </si>
  <si>
    <t>Construction Date</t>
  </si>
  <si>
    <t xml:space="preserve">Number of fissile fuel assemblies/bundles </t>
  </si>
  <si>
    <t>500</t>
  </si>
  <si>
    <t>Grid Date</t>
  </si>
  <si>
    <t>Fuel weight [t]</t>
  </si>
  <si>
    <t>89</t>
  </si>
  <si>
    <t>Commercial Date</t>
  </si>
  <si>
    <t>Number of control rod assemblies</t>
  </si>
  <si>
    <t>121</t>
  </si>
  <si>
    <t xml:space="preserve">Number of external reactor coolant loops </t>
  </si>
  <si>
    <t>&lt;Not Applicable&gt;</t>
  </si>
  <si>
    <t>Coolant type</t>
  </si>
  <si>
    <t>H2O</t>
  </si>
  <si>
    <t>Operating History (2010)</t>
  </si>
  <si>
    <t>Operating coolant pressure [MPa]</t>
  </si>
  <si>
    <t>7.12</t>
  </si>
  <si>
    <t>Reactor outlet temperature [°C]</t>
  </si>
  <si>
    <t>286</t>
  </si>
  <si>
    <t>Coolant mass flow at the rated power [t/h]</t>
  </si>
  <si>
    <t>28000</t>
  </si>
  <si>
    <t xml:space="preserve">Type of SG </t>
  </si>
  <si>
    <t>Number of pumps per RCS loop</t>
  </si>
  <si>
    <t>1</t>
  </si>
  <si>
    <t xml:space="preserve">Containment type </t>
  </si>
  <si>
    <t>Confinement</t>
  </si>
  <si>
    <t>Secondary systems</t>
  </si>
  <si>
    <t>Number of turbine-generators per unit/reactor</t>
  </si>
  <si>
    <t>Turbine speed [rpm]</t>
  </si>
  <si>
    <t>3000</t>
  </si>
  <si>
    <t>HP cylinder inlet steam pressure [MPa]</t>
  </si>
  <si>
    <t>6.7</t>
  </si>
  <si>
    <t xml:space="preserve">Performance Indicators              </t>
  </si>
  <si>
    <t>DI = Insufficient data (less than 50% for the operating period)    NO = Not operated</t>
  </si>
  <si>
    <t>2001</t>
  </si>
  <si>
    <t>2002</t>
  </si>
  <si>
    <t>2003</t>
  </si>
  <si>
    <t>2004</t>
  </si>
  <si>
    <t>2005</t>
  </si>
  <si>
    <t>2006</t>
  </si>
  <si>
    <t>2007</t>
  </si>
  <si>
    <t>2008</t>
  </si>
  <si>
    <t>2009</t>
  </si>
  <si>
    <t>2010</t>
  </si>
  <si>
    <t>Lifetime</t>
  </si>
  <si>
    <t>Production [GWh]</t>
  </si>
  <si>
    <t>6988.00</t>
  </si>
  <si>
    <t>7108.51</t>
  </si>
  <si>
    <t>7026.86</t>
  </si>
  <si>
    <t>7080.70</t>
  </si>
  <si>
    <t>6996.68</t>
  </si>
  <si>
    <t>7294.36</t>
  </si>
  <si>
    <t>7051.32</t>
  </si>
  <si>
    <t>7313.82</t>
  </si>
  <si>
    <t>7156.34</t>
  </si>
  <si>
    <t>7167.34</t>
  </si>
  <si>
    <t>186233.50</t>
  </si>
  <si>
    <t>EAF [%]</t>
  </si>
  <si>
    <t>95.12</t>
  </si>
  <si>
    <t>96.79</t>
  </si>
  <si>
    <t>95.16</t>
  </si>
  <si>
    <t>95.81</t>
  </si>
  <si>
    <t>93.80</t>
  </si>
  <si>
    <t>96.37</t>
  </si>
  <si>
    <t>93.21</t>
  </si>
  <si>
    <t>96.29</t>
  </si>
  <si>
    <t>94.53</t>
  </si>
  <si>
    <t>94.59</t>
  </si>
  <si>
    <t>93.65</t>
  </si>
  <si>
    <t>PUF [%]</t>
  </si>
  <si>
    <t>4.39</t>
  </si>
  <si>
    <t>2.58</t>
  </si>
  <si>
    <t>3.90</t>
  </si>
  <si>
    <t>2.64</t>
  </si>
  <si>
    <t>5.77</t>
  </si>
  <si>
    <t>2.29</t>
  </si>
  <si>
    <t>4.45</t>
  </si>
  <si>
    <t>2.21</t>
  </si>
  <si>
    <t>4.23</t>
  </si>
  <si>
    <t>2.67</t>
  </si>
  <si>
    <t>4.82</t>
  </si>
  <si>
    <t>UCF [%]</t>
  </si>
  <si>
    <t>96.96</t>
  </si>
  <si>
    <t>95.48</t>
  </si>
  <si>
    <t>93.82</t>
  </si>
  <si>
    <t>97.43</t>
  </si>
  <si>
    <t>94.01</t>
  </si>
  <si>
    <t>96.94</t>
  </si>
  <si>
    <t>95.20</t>
  </si>
  <si>
    <t>95.29</t>
  </si>
  <si>
    <t>94.10</t>
  </si>
  <si>
    <t>FLR [%]</t>
  </si>
  <si>
    <t>0.52</t>
  </si>
  <si>
    <t>0.47</t>
  </si>
  <si>
    <t>0.39</t>
  </si>
  <si>
    <t>1.23</t>
  </si>
  <si>
    <t>0.05</t>
  </si>
  <si>
    <t>0.21</t>
  </si>
  <si>
    <t>1.01</t>
  </si>
  <si>
    <t>0.80</t>
  </si>
  <si>
    <t>0.14</t>
  </si>
  <si>
    <t>1.45</t>
  </si>
  <si>
    <t>1.02</t>
  </si>
  <si>
    <t>OF [%]</t>
  </si>
  <si>
    <t>95.74</t>
  </si>
  <si>
    <t>96.70</t>
  </si>
  <si>
    <t>95.64</t>
  </si>
  <si>
    <t>96.60</t>
  </si>
  <si>
    <t>94.16</t>
  </si>
  <si>
    <t>97.74</t>
  </si>
  <si>
    <t>94.27</t>
  </si>
  <si>
    <t>97.67</t>
  </si>
  <si>
    <t>95.49</t>
  </si>
  <si>
    <t>95.73</t>
  </si>
  <si>
    <t>94.66</t>
  </si>
  <si>
    <t>LF [%]</t>
  </si>
  <si>
    <t>94.97</t>
  </si>
  <si>
    <t>96.59</t>
  </si>
  <si>
    <t>95.96</t>
  </si>
  <si>
    <t>93.96</t>
  </si>
  <si>
    <t>96.82</t>
  </si>
  <si>
    <t>93.60</t>
  </si>
  <si>
    <t>94.99</t>
  </si>
  <si>
    <t>93.32</t>
  </si>
  <si>
    <t>Energy Availability Trends</t>
  </si>
  <si>
    <t>Causes of grid disconnection in the last 5 years</t>
  </si>
  <si>
    <t xml:space="preserve">FI-3   </t>
  </si>
  <si>
    <t>OLKILUOTO-1</t>
  </si>
  <si>
    <t>86.9</t>
  </si>
  <si>
    <t>7163.80</t>
  </si>
  <si>
    <t>6997.54</t>
  </si>
  <si>
    <t>7127.43</t>
  </si>
  <si>
    <t>7009.02</t>
  </si>
  <si>
    <t>7221.07</t>
  </si>
  <si>
    <t>6973.38</t>
  </si>
  <si>
    <t>7334.94</t>
  </si>
  <si>
    <t>7066.02</t>
  </si>
  <si>
    <t>7295.77</t>
  </si>
  <si>
    <t>6976.89</t>
  </si>
  <si>
    <t>194888.50</t>
  </si>
  <si>
    <t>97.16</t>
  </si>
  <si>
    <t>95.05</t>
  </si>
  <si>
    <t>96.46</t>
  </si>
  <si>
    <t>94.70</t>
  </si>
  <si>
    <t>97.73</t>
  </si>
  <si>
    <t>92.64</t>
  </si>
  <si>
    <t>96.75</t>
  </si>
  <si>
    <t>93.14</t>
  </si>
  <si>
    <t>96.69</t>
  </si>
  <si>
    <t>91.41</t>
  </si>
  <si>
    <t>92.54</t>
  </si>
  <si>
    <t>2.35</t>
  </si>
  <si>
    <t>3.86</t>
  </si>
  <si>
    <t>2.41</t>
  </si>
  <si>
    <t>4.11</t>
  </si>
  <si>
    <t>2.13</t>
  </si>
  <si>
    <t>6.06</t>
  </si>
  <si>
    <t>2.59</t>
  </si>
  <si>
    <t>4.32</t>
  </si>
  <si>
    <t>7.11</t>
  </si>
  <si>
    <t>5.66</t>
  </si>
  <si>
    <t>97.64</t>
  </si>
  <si>
    <t>95.51</t>
  </si>
  <si>
    <t>97.08</t>
  </si>
  <si>
    <t>97.85</t>
  </si>
  <si>
    <t>93.34</t>
  </si>
  <si>
    <t>97.37</t>
  </si>
  <si>
    <t>93.59</t>
  </si>
  <si>
    <t>97.22</t>
  </si>
  <si>
    <t>92.00</t>
  </si>
  <si>
    <t>92.88</t>
  </si>
  <si>
    <t>0.01</t>
  </si>
  <si>
    <t>0.65</t>
  </si>
  <si>
    <t>0.18</t>
  </si>
  <si>
    <t>0.03</t>
  </si>
  <si>
    <t>0.35</t>
  </si>
  <si>
    <t>0.04</t>
  </si>
  <si>
    <t>0.78</t>
  </si>
  <si>
    <t>0.30</t>
  </si>
  <si>
    <t>1.44</t>
  </si>
  <si>
    <t>95.62</t>
  </si>
  <si>
    <t>97.20</t>
  </si>
  <si>
    <t>94.82</t>
  </si>
  <si>
    <t>98.04</t>
  </si>
  <si>
    <t>93.68</t>
  </si>
  <si>
    <t>97.65</t>
  </si>
  <si>
    <t>94.35</t>
  </si>
  <si>
    <t>97.58</t>
  </si>
  <si>
    <t>92.69</t>
  </si>
  <si>
    <t>93.48</t>
  </si>
  <si>
    <t>97.36</t>
  </si>
  <si>
    <t>95.09</t>
  </si>
  <si>
    <t>96.86</t>
  </si>
  <si>
    <t>98.13</t>
  </si>
  <si>
    <t>93.64</t>
  </si>
  <si>
    <t>93.54</t>
  </si>
  <si>
    <t>96.84</t>
  </si>
  <si>
    <t>91.54</t>
  </si>
  <si>
    <t>92.24</t>
  </si>
  <si>
    <t xml:space="preserve">FI-1   </t>
  </si>
  <si>
    <t>LOVIISA-1</t>
  </si>
  <si>
    <t>FORTUMPH (FORTUM POWER AND HEAT OY (former IVO))</t>
  </si>
  <si>
    <t>AEE (ATOMENERGOEXPORT)</t>
  </si>
  <si>
    <t xml:space="preserve">PWR  </t>
  </si>
  <si>
    <t>VVER V-213</t>
  </si>
  <si>
    <t>13.9</t>
  </si>
  <si>
    <t>40000</t>
  </si>
  <si>
    <t>2.88</t>
  </si>
  <si>
    <t>2.42</t>
  </si>
  <si>
    <t>313</t>
  </si>
  <si>
    <t>38</t>
  </si>
  <si>
    <t>37</t>
  </si>
  <si>
    <t>6</t>
  </si>
  <si>
    <t>12.25</t>
  </si>
  <si>
    <t>300</t>
  </si>
  <si>
    <t>30600</t>
  </si>
  <si>
    <t>Horizontal</t>
  </si>
  <si>
    <t>Single</t>
  </si>
  <si>
    <t>2</t>
  </si>
  <si>
    <t>4.4</t>
  </si>
  <si>
    <t>3920.99</t>
  </si>
  <si>
    <t>3790.07</t>
  </si>
  <si>
    <t>3938.98</t>
  </si>
  <si>
    <t>3715.03</t>
  </si>
  <si>
    <t>4062.43</t>
  </si>
  <si>
    <t>3964.84</t>
  </si>
  <si>
    <t>4028.12</t>
  </si>
  <si>
    <t>3671.84</t>
  </si>
  <si>
    <t>4084.91</t>
  </si>
  <si>
    <t>3955.59</t>
  </si>
  <si>
    <t>117993.05</t>
  </si>
  <si>
    <t>92.38</t>
  </si>
  <si>
    <t>89.27</t>
  </si>
  <si>
    <t>92.40</t>
  </si>
  <si>
    <t>86.51</t>
  </si>
  <si>
    <t>94.61</t>
  </si>
  <si>
    <t>92.08</t>
  </si>
  <si>
    <t>93.49</t>
  </si>
  <si>
    <t>84.51</t>
  </si>
  <si>
    <t>94.80</t>
  </si>
  <si>
    <t>91.95</t>
  </si>
  <si>
    <t>87.09</t>
  </si>
  <si>
    <t>5.97</t>
  </si>
  <si>
    <t>7.94</t>
  </si>
  <si>
    <t>4.77</t>
  </si>
  <si>
    <t>11.54</t>
  </si>
  <si>
    <t>4.71</t>
  </si>
  <si>
    <t>6.42</t>
  </si>
  <si>
    <t>11.88</t>
  </si>
  <si>
    <t>5311.06</t>
  </si>
  <si>
    <t>6560.31</t>
  </si>
  <si>
    <t>5454.68</t>
  </si>
  <si>
    <t>6758.43</t>
  </si>
  <si>
    <t>6607.83</t>
  </si>
  <si>
    <t>6755.66</t>
  </si>
  <si>
    <t>4574.28</t>
  </si>
  <si>
    <t>6723.73</t>
  </si>
  <si>
    <t>164679.40</t>
  </si>
  <si>
    <t>82.09</t>
  </si>
  <si>
    <t>85.09</t>
  </si>
  <si>
    <t>68.45</t>
  </si>
  <si>
    <t>58.35</t>
  </si>
  <si>
    <t>79.56</t>
  </si>
  <si>
    <t>13.01</t>
  </si>
  <si>
    <t>11.53</t>
  </si>
  <si>
    <t>8.66</t>
  </si>
  <si>
    <t>24.03</t>
  </si>
  <si>
    <t>9.55</t>
  </si>
  <si>
    <t>12.33</t>
  </si>
  <si>
    <t>82.44</t>
  </si>
  <si>
    <t>72.86</t>
  </si>
  <si>
    <t>71.55</t>
  </si>
  <si>
    <t>70.81</t>
  </si>
  <si>
    <t>86.58</t>
  </si>
  <si>
    <t>17.64</t>
  </si>
  <si>
    <t>3.26</t>
  </si>
  <si>
    <t>3.51</t>
  </si>
  <si>
    <t>5.35</t>
  </si>
  <si>
    <t>83.30</t>
  </si>
  <si>
    <t>71.83</t>
  </si>
  <si>
    <t>72.57</t>
  </si>
  <si>
    <t>60.45</t>
  </si>
  <si>
    <t>81.21</t>
  </si>
  <si>
    <t>79.91</t>
  </si>
  <si>
    <t>81.07</t>
  </si>
  <si>
    <t>66.62</t>
  </si>
  <si>
    <t>68.43</t>
  </si>
  <si>
    <t>84.52</t>
  </si>
  <si>
    <t>57.38</t>
  </si>
  <si>
    <t xml:space="preserve">FR-13  </t>
  </si>
  <si>
    <t>BUGEY-2</t>
  </si>
  <si>
    <t>CP0</t>
  </si>
  <si>
    <t>15892</t>
  </si>
  <si>
    <t>5685.92</t>
  </si>
  <si>
    <t>5542.28</t>
  </si>
  <si>
    <t>5521.65</t>
  </si>
  <si>
    <t>7593.43</t>
  </si>
  <si>
    <t>6373.89</t>
  </si>
  <si>
    <t>6125.65</t>
  </si>
  <si>
    <t>6925.13</t>
  </si>
  <si>
    <t>6130.76</t>
  </si>
  <si>
    <t>7285.26</t>
  </si>
  <si>
    <t>2218.07</t>
  </si>
  <si>
    <t>171994.67</t>
  </si>
  <si>
    <t>72.23</t>
  </si>
  <si>
    <t>69.90</t>
  </si>
  <si>
    <t>71.00</t>
  </si>
  <si>
    <t>95.97</t>
  </si>
  <si>
    <t>77.74</t>
  </si>
  <si>
    <t>96.09</t>
  </si>
  <si>
    <t>27.93</t>
  </si>
  <si>
    <t>71.65</t>
  </si>
  <si>
    <t>21.38</t>
  </si>
  <si>
    <t>9.38</t>
  </si>
  <si>
    <t>13.79</t>
  </si>
  <si>
    <t>14.21</t>
  </si>
  <si>
    <t>55.77</t>
  </si>
  <si>
    <t>72.27</t>
  </si>
  <si>
    <t>70.17</t>
  </si>
  <si>
    <t>97.12</t>
  </si>
  <si>
    <t>86.74</t>
  </si>
  <si>
    <t>88.72</t>
  </si>
  <si>
    <t>78.90</t>
  </si>
  <si>
    <t>98.97</t>
  </si>
  <si>
    <t>31.94</t>
  </si>
  <si>
    <t>73.69</t>
  </si>
  <si>
    <t>26.61</t>
  </si>
  <si>
    <t>20.40</t>
  </si>
  <si>
    <t>1.48</t>
  </si>
  <si>
    <t>10.25</t>
  </si>
  <si>
    <t>74.12</t>
  </si>
  <si>
    <t>70.91</t>
  </si>
  <si>
    <t>75.10</t>
  </si>
  <si>
    <t>99.67</t>
  </si>
  <si>
    <t>31.19</t>
  </si>
  <si>
    <t>73.12</t>
  </si>
  <si>
    <t>71.33</t>
  </si>
  <si>
    <t>69.27</t>
  </si>
  <si>
    <t>76.85</t>
  </si>
  <si>
    <t>86.86</t>
  </si>
  <si>
    <t>27.82</t>
  </si>
  <si>
    <t>66.90</t>
  </si>
  <si>
    <t xml:space="preserve">FR-50  </t>
  </si>
  <si>
    <t>CATTENOM-1</t>
  </si>
  <si>
    <t>4.267</t>
  </si>
  <si>
    <t>323.7</t>
  </si>
  <si>
    <t>9220.15</t>
  </si>
  <si>
    <t>8270.16</t>
  </si>
  <si>
    <t>8530.97</t>
  </si>
  <si>
    <t>9764.16</t>
  </si>
  <si>
    <t>9323.78</t>
  </si>
  <si>
    <t>7448.99</t>
  </si>
  <si>
    <t>9696.23</t>
  </si>
  <si>
    <t>9022.88</t>
  </si>
  <si>
    <t>7612.66</t>
  </si>
  <si>
    <t>9864.05</t>
  </si>
  <si>
    <t>189499.75</t>
  </si>
  <si>
    <t>96.42</t>
  </si>
  <si>
    <t>96.38</t>
  </si>
  <si>
    <t>68.59</t>
  </si>
  <si>
    <t>79.19</t>
  </si>
  <si>
    <t>68.35</t>
  </si>
  <si>
    <t>87.65</t>
  </si>
  <si>
    <t>13.23</t>
  </si>
  <si>
    <t>18.92</t>
  </si>
  <si>
    <t>26.00</t>
  </si>
  <si>
    <t>18.56</t>
  </si>
  <si>
    <t>13.15</t>
  </si>
  <si>
    <t>96.44</t>
  </si>
  <si>
    <t>79.38</t>
  </si>
  <si>
    <t>82.22</t>
  </si>
  <si>
    <t>74.91</t>
  </si>
  <si>
    <t>1.94</t>
  </si>
  <si>
    <t>2.32</t>
  </si>
  <si>
    <t>2.20</t>
  </si>
  <si>
    <t>13.27</t>
  </si>
  <si>
    <t>80.03</t>
  </si>
  <si>
    <t>81.62</t>
  </si>
  <si>
    <t>97.71</t>
  </si>
  <si>
    <t>90.39</t>
  </si>
  <si>
    <t>73.97</t>
  </si>
  <si>
    <t>71.47</t>
  </si>
  <si>
    <t>76.59</t>
  </si>
  <si>
    <t>72.62</t>
  </si>
  <si>
    <t>81.86</t>
  </si>
  <si>
    <t>65.41</t>
  </si>
  <si>
    <t>66.85</t>
  </si>
  <si>
    <t>69.45</t>
  </si>
  <si>
    <t xml:space="preserve">FR-14  </t>
  </si>
  <si>
    <t>BUGEY-3</t>
  </si>
  <si>
    <t>6230.61</t>
  </si>
  <si>
    <t>4634.68</t>
  </si>
  <si>
    <t>6646.07</t>
  </si>
  <si>
    <t>6447.31</t>
  </si>
  <si>
    <t>5805.39</t>
  </si>
  <si>
    <t>6563.54</t>
  </si>
  <si>
    <t>7277.78</t>
  </si>
  <si>
    <t>5807.10</t>
  </si>
  <si>
    <t>1984.81</t>
  </si>
  <si>
    <t>164371.69</t>
  </si>
  <si>
    <t>62.65</t>
  </si>
  <si>
    <t>72.94</t>
  </si>
  <si>
    <t>24.97</t>
  </si>
  <si>
    <t>69.51</t>
  </si>
  <si>
    <t>14.60</t>
  </si>
  <si>
    <t>31.72</t>
  </si>
  <si>
    <t>13.20</t>
  </si>
  <si>
    <t>8.76</t>
  </si>
  <si>
    <t>28.78</t>
  </si>
  <si>
    <t>82.31</t>
  </si>
  <si>
    <t>73.49</t>
  </si>
  <si>
    <t>31.00</t>
  </si>
  <si>
    <t>2.89</t>
  </si>
  <si>
    <t>16.68</t>
  </si>
  <si>
    <t>81.38</t>
  </si>
  <si>
    <t>64.54</t>
  </si>
  <si>
    <t>90.46</t>
  </si>
  <si>
    <t>30.55</t>
  </si>
  <si>
    <t>70.34</t>
  </si>
  <si>
    <t>78.16</t>
  </si>
  <si>
    <t>60.12</t>
  </si>
  <si>
    <t>80.66</t>
  </si>
  <si>
    <t>72.83</t>
  </si>
  <si>
    <t>91.30</t>
  </si>
  <si>
    <t>24.90</t>
  </si>
  <si>
    <t xml:space="preserve">FR-15  </t>
  </si>
  <si>
    <t>BUGEY-4</t>
  </si>
  <si>
    <t>4746.00</t>
  </si>
  <si>
    <t>5590.81</t>
  </si>
  <si>
    <t>6645.34</t>
  </si>
  <si>
    <t>6098.32</t>
  </si>
  <si>
    <t>6073.19</t>
  </si>
  <si>
    <t>6846.66</t>
  </si>
  <si>
    <t>3586.19</t>
  </si>
  <si>
    <t>6790.40</t>
  </si>
  <si>
    <t>5094.25</t>
  </si>
  <si>
    <t>7374.14</t>
  </si>
  <si>
    <t>168159.89</t>
  </si>
  <si>
    <t>63.43</t>
  </si>
  <si>
    <t>83.36</t>
  </si>
  <si>
    <t>81.31</t>
  </si>
  <si>
    <t>46.76</t>
  </si>
  <si>
    <t>67.46</t>
  </si>
  <si>
    <t>98.36</t>
  </si>
  <si>
    <t>73.56</t>
  </si>
  <si>
    <t>32.52</t>
  </si>
  <si>
    <t>9.33</t>
  </si>
  <si>
    <t>37.03</t>
  </si>
  <si>
    <t>15.39</t>
  </si>
  <si>
    <t>83.51</t>
  </si>
  <si>
    <t>47.20</t>
  </si>
  <si>
    <t>98.95</t>
  </si>
  <si>
    <t>75.87</t>
  </si>
  <si>
    <t>7.39</t>
  </si>
  <si>
    <t>2.50</t>
  </si>
  <si>
    <t>9.61</t>
  </si>
  <si>
    <t>67.59</t>
  </si>
  <si>
    <t>81.39</t>
  </si>
  <si>
    <t>93.52</t>
  </si>
  <si>
    <t>87.58</t>
  </si>
  <si>
    <t>95.22</t>
  </si>
  <si>
    <t>48.14</t>
  </si>
  <si>
    <t>71.48</t>
  </si>
  <si>
    <t>61.57</t>
  </si>
  <si>
    <t>88.82</t>
  </si>
  <si>
    <t>46.52</t>
  </si>
  <si>
    <t>66.08</t>
  </si>
  <si>
    <t>68.26</t>
  </si>
  <si>
    <t xml:space="preserve">FR-16  </t>
  </si>
  <si>
    <t>BUGEY-5</t>
  </si>
  <si>
    <t>4358.59</t>
  </si>
  <si>
    <t>6146.94</t>
  </si>
  <si>
    <t>5711.09</t>
  </si>
  <si>
    <t>5256.10</t>
  </si>
  <si>
    <t>7022.84</t>
  </si>
  <si>
    <t>6118.12</t>
  </si>
  <si>
    <t>5752.87</t>
  </si>
  <si>
    <t>6302.49</t>
  </si>
  <si>
    <t>6556.83</t>
  </si>
  <si>
    <t>5927.46</t>
  </si>
  <si>
    <t>170779.92</t>
  </si>
  <si>
    <t>97.55</t>
  </si>
  <si>
    <t>75.07</t>
  </si>
  <si>
    <t>84.34</t>
  </si>
  <si>
    <t>80.13</t>
  </si>
  <si>
    <t>21.91</t>
  </si>
  <si>
    <t>10.86</t>
  </si>
  <si>
    <t>15.01</t>
  </si>
  <si>
    <t>8.20</t>
  </si>
  <si>
    <t>14.90</t>
  </si>
  <si>
    <t>9.20</t>
  </si>
  <si>
    <t>15.27</t>
  </si>
  <si>
    <t>77.89</t>
  </si>
  <si>
    <t>72.70</t>
  </si>
  <si>
    <t>98.85</t>
  </si>
  <si>
    <t>77.36</t>
  </si>
  <si>
    <t>78.71</t>
  </si>
  <si>
    <t>14.46</t>
  </si>
  <si>
    <t>4.33</t>
  </si>
  <si>
    <t>6.88</t>
  </si>
  <si>
    <t>63.97</t>
  </si>
  <si>
    <t>73.29</t>
  </si>
  <si>
    <t>56.54</t>
  </si>
  <si>
    <t>74.09</t>
  </si>
  <si>
    <t>68.00</t>
  </si>
  <si>
    <t>79.37</t>
  </si>
  <si>
    <t>74.63</t>
  </si>
  <si>
    <t>85.06</t>
  </si>
  <si>
    <t xml:space="preserve">FR-53  </t>
  </si>
  <si>
    <t>CATTENOM-2</t>
  </si>
  <si>
    <t>8649.04</t>
  </si>
  <si>
    <t>8288.00</t>
  </si>
  <si>
    <t>10197.46</t>
  </si>
  <si>
    <t>7368.16</t>
  </si>
  <si>
    <t>9247.81</t>
  </si>
  <si>
    <t>9870.28</t>
  </si>
  <si>
    <t>9526.50</t>
  </si>
  <si>
    <t>7707.77</t>
  </si>
  <si>
    <t>9460.92</t>
  </si>
  <si>
    <t>8866.22</t>
  </si>
  <si>
    <t>193053.29</t>
  </si>
  <si>
    <t>77.53</t>
  </si>
  <si>
    <t>66.80</t>
  </si>
  <si>
    <t>96.14</t>
  </si>
  <si>
    <t>18.30</t>
  </si>
  <si>
    <t>16.23</t>
  </si>
  <si>
    <t>15.97</t>
  </si>
  <si>
    <t>12.11</t>
  </si>
  <si>
    <t>24.86</t>
  </si>
  <si>
    <t>9.00</t>
  </si>
  <si>
    <t>12.37</t>
  </si>
  <si>
    <t>76.92</t>
  </si>
  <si>
    <t>99.30</t>
  </si>
  <si>
    <t>68.70</t>
  </si>
  <si>
    <t>87.87</t>
  </si>
  <si>
    <t>97.96</t>
  </si>
  <si>
    <t>88.12</t>
  </si>
  <si>
    <t>80.89</t>
  </si>
  <si>
    <t>18.24</t>
  </si>
  <si>
    <t>1.47</t>
  </si>
  <si>
    <t>80.29</t>
  </si>
  <si>
    <t>78.97</t>
  </si>
  <si>
    <t>89.55</t>
  </si>
  <si>
    <t>72.36</t>
  </si>
  <si>
    <t>80.20</t>
  </si>
  <si>
    <t>64.52</t>
  </si>
  <si>
    <t>67.50</t>
  </si>
  <si>
    <t>83.08</t>
  </si>
  <si>
    <t>77.86</t>
  </si>
  <si>
    <t>73.24</t>
  </si>
  <si>
    <t xml:space="preserve">FR-60  </t>
  </si>
  <si>
    <t>CATTENOM-3</t>
  </si>
  <si>
    <t>3171.47</t>
  </si>
  <si>
    <t>9402.46</t>
  </si>
  <si>
    <t>11254.01</t>
  </si>
  <si>
    <t>9162.73</t>
  </si>
  <si>
    <t>9757.05</t>
  </si>
  <si>
    <t>8045.34</t>
  </si>
  <si>
    <t>9500.56</t>
  </si>
  <si>
    <t>8712.70</t>
  </si>
  <si>
    <t>6649.76</t>
  </si>
  <si>
    <t>8756.81</t>
  </si>
  <si>
    <t>170525.99</t>
  </si>
  <si>
    <t>29.74</t>
  </si>
  <si>
    <t>98.37</t>
  </si>
  <si>
    <t>78.40</t>
  </si>
  <si>
    <t>58.66</t>
  </si>
  <si>
    <t>79.64</t>
  </si>
  <si>
    <t>10.30</t>
  </si>
  <si>
    <t>18.06</t>
  </si>
  <si>
    <t>11.66</t>
  </si>
  <si>
    <t>29.81</t>
  </si>
  <si>
    <t>99.34</t>
  </si>
  <si>
    <t>99.27</t>
  </si>
  <si>
    <t>80.48</t>
  </si>
  <si>
    <t>82.99</t>
  </si>
  <si>
    <t>58.95</t>
  </si>
  <si>
    <t>3.03</t>
  </si>
  <si>
    <t>20.99</t>
  </si>
  <si>
    <t>17.00</t>
  </si>
  <si>
    <t>31.27</t>
  </si>
  <si>
    <t>84.97</t>
  </si>
  <si>
    <t>99.49</t>
  </si>
  <si>
    <t>90.67</t>
  </si>
  <si>
    <t>81.06</t>
  </si>
  <si>
    <t>27.85</t>
  </si>
  <si>
    <t>98.82</t>
  </si>
  <si>
    <t>70.65</t>
  </si>
  <si>
    <t>83.43</t>
  </si>
  <si>
    <t>76.30</t>
  </si>
  <si>
    <t>58.39</t>
  </si>
  <si>
    <t>76.90</t>
  </si>
  <si>
    <t>74.23</t>
  </si>
  <si>
    <t xml:space="preserve">FR-65  </t>
  </si>
  <si>
    <t>CATTENOM-4</t>
  </si>
  <si>
    <t>8593.18</t>
  </si>
  <si>
    <t>10598.80</t>
  </si>
  <si>
    <t>7708.34</t>
  </si>
  <si>
    <t>9311.78</t>
  </si>
  <si>
    <t>9913.85</t>
  </si>
  <si>
    <t>8719.60</t>
  </si>
  <si>
    <t>8562.21</t>
  </si>
  <si>
    <t>9538.78</t>
  </si>
  <si>
    <t>10010.11</t>
  </si>
  <si>
    <t>7502.23</t>
  </si>
  <si>
    <t>171240.74</t>
  </si>
  <si>
    <t>84.84</t>
  </si>
  <si>
    <t>69.75</t>
  </si>
  <si>
    <t>80.57</t>
  </si>
  <si>
    <t>87.89</t>
  </si>
  <si>
    <t>70.36</t>
  </si>
  <si>
    <t>4.40</t>
  </si>
  <si>
    <t>26.93</t>
  </si>
  <si>
    <t>9.44</t>
  </si>
  <si>
    <t>13.78</t>
  </si>
  <si>
    <t>8.48</t>
  </si>
  <si>
    <t>19.71</t>
  </si>
  <si>
    <t>11.59</t>
  </si>
  <si>
    <t>86.55</t>
  </si>
  <si>
    <t>99.13</t>
  </si>
  <si>
    <t>2.52</t>
  </si>
  <si>
    <t>97.26</t>
  </si>
  <si>
    <t>99.69</t>
  </si>
  <si>
    <t>76.22</t>
  </si>
  <si>
    <t>93.07</t>
  </si>
  <si>
    <t>67.69</t>
  </si>
  <si>
    <t>81.54</t>
  </si>
  <si>
    <t>75.19</t>
  </si>
  <si>
    <t>65.88</t>
  </si>
  <si>
    <t xml:space="preserve">FR-40  </t>
  </si>
  <si>
    <t>CHINON-B-1</t>
  </si>
  <si>
    <t>CP2</t>
  </si>
  <si>
    <t>22500</t>
  </si>
  <si>
    <t>5769.00</t>
  </si>
  <si>
    <t>6229.34</t>
  </si>
  <si>
    <t>5181.70</t>
  </si>
  <si>
    <t>6252.57</t>
  </si>
  <si>
    <t>6465.82</t>
  </si>
  <si>
    <t>6637.84</t>
  </si>
  <si>
    <t>4538.82</t>
  </si>
  <si>
    <t>6893.10</t>
  </si>
  <si>
    <t>4345.75</t>
  </si>
  <si>
    <t>4165.79</t>
  </si>
  <si>
    <t>157976.10</t>
  </si>
  <si>
    <t>81.16</t>
  </si>
  <si>
    <t>85.57</t>
  </si>
  <si>
    <t>68.36</t>
  </si>
  <si>
    <t>57.66</t>
  </si>
  <si>
    <t>55.12</t>
  </si>
  <si>
    <t>52.82</t>
  </si>
  <si>
    <t>76.82</t>
  </si>
  <si>
    <t>15.75</t>
  </si>
  <si>
    <t>25.55</t>
  </si>
  <si>
    <t>11.11</t>
  </si>
  <si>
    <t>26.13</t>
  </si>
  <si>
    <t>14.81</t>
  </si>
  <si>
    <t>14.32</t>
  </si>
  <si>
    <t>71.01</t>
  </si>
  <si>
    <t>84.49</t>
  </si>
  <si>
    <t>87.25</t>
  </si>
  <si>
    <t>78.46</t>
  </si>
  <si>
    <t>53.23</t>
  </si>
  <si>
    <t>78.84</t>
  </si>
  <si>
    <t>1.95</t>
  </si>
  <si>
    <t>15.66</t>
  </si>
  <si>
    <t>1.51</t>
  </si>
  <si>
    <t>35.70</t>
  </si>
  <si>
    <t>7.38</t>
  </si>
  <si>
    <t>85.79</t>
  </si>
  <si>
    <t>89.87</t>
  </si>
  <si>
    <t>63.46</t>
  </si>
  <si>
    <t>57.11</t>
  </si>
  <si>
    <t>55.86</t>
  </si>
  <si>
    <t>78.52</t>
  </si>
  <si>
    <t>78.65</t>
  </si>
  <si>
    <t>81.55</t>
  </si>
  <si>
    <t>57.25</t>
  </si>
  <si>
    <t>54.82</t>
  </si>
  <si>
    <t>52.55</t>
  </si>
  <si>
    <t xml:space="preserve">FR-41  </t>
  </si>
  <si>
    <t>CHINON-B-2</t>
  </si>
  <si>
    <t>6646.20</t>
  </si>
  <si>
    <t>6155.60</t>
  </si>
  <si>
    <t>5746.23</t>
  </si>
  <si>
    <t>6133.37</t>
  </si>
  <si>
    <t>6659.58</t>
  </si>
  <si>
    <t>4548.84</t>
  </si>
  <si>
    <t>5965.94</t>
  </si>
  <si>
    <t>5038.27</t>
  </si>
  <si>
    <t>6111.50</t>
  </si>
  <si>
    <t>5735.14</t>
  </si>
  <si>
    <t>154195.58</t>
  </si>
  <si>
    <t>85.59</t>
  </si>
  <si>
    <t>78.72</t>
  </si>
  <si>
    <t>86.50</t>
  </si>
  <si>
    <t>60.11</t>
  </si>
  <si>
    <t>76.58</t>
  </si>
  <si>
    <t>64.24</t>
  </si>
  <si>
    <t>77.93</t>
  </si>
  <si>
    <t>72.95</t>
  </si>
  <si>
    <t>78.02</t>
  </si>
  <si>
    <t>9.63</t>
  </si>
  <si>
    <t>12.81</t>
  </si>
  <si>
    <t>10.59</t>
  </si>
  <si>
    <t>13.38</t>
  </si>
  <si>
    <t>23.19</t>
  </si>
  <si>
    <t>13.41</t>
  </si>
  <si>
    <t>15.30</t>
  </si>
  <si>
    <t>8.05</t>
  </si>
  <si>
    <t>81.28</t>
  </si>
  <si>
    <t>61.45</t>
  </si>
  <si>
    <t>64.95</t>
  </si>
  <si>
    <t>83.83</t>
  </si>
  <si>
    <t>73.96</t>
  </si>
  <si>
    <t>79.36</t>
  </si>
  <si>
    <t>2.09</t>
  </si>
  <si>
    <t>9.09</t>
  </si>
  <si>
    <t>3.97</t>
  </si>
  <si>
    <t>62.82</t>
  </si>
  <si>
    <t>80.17</t>
  </si>
  <si>
    <t>72.48</t>
  </si>
  <si>
    <t>63.38</t>
  </si>
  <si>
    <t>72.34</t>
  </si>
  <si>
    <t>73.19</t>
  </si>
  <si>
    <t xml:space="preserve">FR-56  </t>
  </si>
  <si>
    <t>CHINON-B-3</t>
  </si>
  <si>
    <t>6318.00</t>
  </si>
  <si>
    <t>6720.45</t>
  </si>
  <si>
    <t>5807.75</t>
  </si>
  <si>
    <t>5784.36</t>
  </si>
  <si>
    <t>5595.37</t>
  </si>
  <si>
    <t>6369.75</t>
  </si>
  <si>
    <t>6061.29</t>
  </si>
  <si>
    <t>6498.11</t>
  </si>
  <si>
    <t>3433.46</t>
  </si>
  <si>
    <t>6488.82</t>
  </si>
  <si>
    <t>138664.61</t>
  </si>
  <si>
    <t>77.57</t>
  </si>
  <si>
    <t>76.52</t>
  </si>
  <si>
    <t>86.29</t>
  </si>
  <si>
    <t>82.30</t>
  </si>
  <si>
    <t>43.40</t>
  </si>
  <si>
    <t>82.45</t>
  </si>
  <si>
    <t>9.42</t>
  </si>
  <si>
    <t>14.05</t>
  </si>
  <si>
    <t>8.72</t>
  </si>
  <si>
    <t>7.76</t>
  </si>
  <si>
    <t>30.45</t>
  </si>
  <si>
    <t>77.72</t>
  </si>
  <si>
    <t>79.10</t>
  </si>
  <si>
    <t>52.08</t>
  </si>
  <si>
    <t>7.64</t>
  </si>
  <si>
    <t>1.62</t>
  </si>
  <si>
    <t>7.88</t>
  </si>
  <si>
    <t>6.73</t>
  </si>
  <si>
    <t>90.99</t>
  </si>
  <si>
    <t>84.74</t>
  </si>
  <si>
    <t>83.45</t>
  </si>
  <si>
    <t>46.96</t>
  </si>
  <si>
    <t>79.72</t>
  </si>
  <si>
    <t>79.69</t>
  </si>
  <si>
    <t>83.39</t>
  </si>
  <si>
    <t>73.26</t>
  </si>
  <si>
    <t>72.76</t>
  </si>
  <si>
    <t>70.58</t>
  </si>
  <si>
    <t>81.74</t>
  </si>
  <si>
    <t>43.31</t>
  </si>
  <si>
    <t>81.85</t>
  </si>
  <si>
    <t>72.71</t>
  </si>
  <si>
    <t xml:space="preserve">FR-57  </t>
  </si>
  <si>
    <t>CHINON-B-4</t>
  </si>
  <si>
    <t>5764.99</t>
  </si>
  <si>
    <t>6321.31</t>
  </si>
  <si>
    <t>6431.76</t>
  </si>
  <si>
    <t>5513.22</t>
  </si>
  <si>
    <t>5356.45</t>
  </si>
  <si>
    <t>6368.95</t>
  </si>
  <si>
    <t>6485.73</t>
  </si>
  <si>
    <t>5863.53</t>
  </si>
  <si>
    <t>5250.85</t>
  </si>
  <si>
    <t>4302.57</t>
  </si>
  <si>
    <t>133525.65</t>
  </si>
  <si>
    <t>74.88</t>
  </si>
  <si>
    <t>69.72</t>
  </si>
  <si>
    <t>83.27</t>
  </si>
  <si>
    <t>84.82</t>
  </si>
  <si>
    <t>75.65</t>
  </si>
  <si>
    <t>67.43</t>
  </si>
  <si>
    <t>54.34</t>
  </si>
  <si>
    <t>78.61</t>
  </si>
  <si>
    <t>9.24</t>
  </si>
  <si>
    <t>11.63</t>
  </si>
  <si>
    <t>14.48</t>
  </si>
  <si>
    <t>7.74</t>
  </si>
  <si>
    <t>19.52</t>
  </si>
  <si>
    <t>12.74</t>
  </si>
  <si>
    <t>75.12</t>
  </si>
  <si>
    <t>71.15</t>
  </si>
  <si>
    <t>86.11</t>
  </si>
  <si>
    <t>54.98</t>
  </si>
  <si>
    <t>80.97</t>
  </si>
  <si>
    <t>2.54</t>
  </si>
  <si>
    <t>19.49</t>
  </si>
  <si>
    <t>0.74</t>
  </si>
  <si>
    <t>4.16</t>
  </si>
  <si>
    <t>5.79</t>
  </si>
  <si>
    <t>89.17</t>
  </si>
  <si>
    <t>86.28</t>
  </si>
  <si>
    <t>78.34</t>
  </si>
  <si>
    <t>55.96</t>
  </si>
  <si>
    <t>72.72</t>
  </si>
  <si>
    <t>69.35</t>
  </si>
  <si>
    <t>67.57</t>
  </si>
  <si>
    <t>73.76</t>
  </si>
  <si>
    <t>66.23</t>
  </si>
  <si>
    <t>54.27</t>
  </si>
  <si>
    <t xml:space="preserve">FR-62  </t>
  </si>
  <si>
    <t>CHOOZ-B-1</t>
  </si>
  <si>
    <t>N4 REP 1450</t>
  </si>
  <si>
    <t>12.6</t>
  </si>
  <si>
    <t>205</t>
  </si>
  <si>
    <t>125</t>
  </si>
  <si>
    <t>329.5</t>
  </si>
  <si>
    <t>69840</t>
  </si>
  <si>
    <t>7.1</t>
  </si>
  <si>
    <t>9524.35</t>
  </si>
  <si>
    <t>9515.08</t>
  </si>
  <si>
    <t>10021.89</t>
  </si>
  <si>
    <t>10671.09</t>
  </si>
  <si>
    <t>9047.67</t>
  </si>
  <si>
    <t>9845.73</t>
  </si>
  <si>
    <t>10402.28</t>
  </si>
  <si>
    <t>12376.75</t>
  </si>
  <si>
    <t>8649.52</t>
  </si>
  <si>
    <t>8663.04</t>
  </si>
  <si>
    <t>118998.33</t>
  </si>
  <si>
    <t>75.00</t>
  </si>
  <si>
    <t>69.59</t>
  </si>
  <si>
    <t>75.64</t>
  </si>
  <si>
    <t>79.60</t>
  </si>
  <si>
    <t>67.49</t>
  </si>
  <si>
    <t>65.89</t>
  </si>
  <si>
    <t>16.11</t>
  </si>
  <si>
    <t>17.54</t>
  </si>
  <si>
    <t>16.17</t>
  </si>
  <si>
    <t>18.49</t>
  </si>
  <si>
    <t>30.09</t>
  </si>
  <si>
    <t>82.39</t>
  </si>
  <si>
    <t>77.56</t>
  </si>
  <si>
    <t>80.70</t>
  </si>
  <si>
    <t>97.01</t>
  </si>
  <si>
    <t>68.96</t>
  </si>
  <si>
    <t>65.98</t>
  </si>
  <si>
    <t>80.78</t>
  </si>
  <si>
    <t>6.98</t>
  </si>
  <si>
    <t>0.76</t>
  </si>
  <si>
    <t>5.83</t>
  </si>
  <si>
    <t>77.71</t>
  </si>
  <si>
    <t>71.74</t>
  </si>
  <si>
    <t>78.60</t>
  </si>
  <si>
    <t>97.59</t>
  </si>
  <si>
    <t>72.00</t>
  </si>
  <si>
    <t>74.73</t>
  </si>
  <si>
    <t>74.65</t>
  </si>
  <si>
    <t>80.99</t>
  </si>
  <si>
    <t>68.85</t>
  </si>
  <si>
    <t>74.93</t>
  </si>
  <si>
    <t>65.83</t>
  </si>
  <si>
    <t>65.93</t>
  </si>
  <si>
    <t xml:space="preserve">FR-70  </t>
  </si>
  <si>
    <t>CHOOZ-B-2</t>
  </si>
  <si>
    <t>10159.53</t>
  </si>
  <si>
    <t>9814.83</t>
  </si>
  <si>
    <t>10472.75</t>
  </si>
  <si>
    <t>10063.94</t>
  </si>
  <si>
    <t>10321.55</t>
  </si>
  <si>
    <t>9460.52</t>
  </si>
  <si>
    <t>11016.49</t>
  </si>
  <si>
    <t>11038.88</t>
  </si>
  <si>
    <t>7821.91</t>
  </si>
  <si>
    <t>10739.75</t>
  </si>
  <si>
    <t>118106.83</t>
  </si>
  <si>
    <t>80.36</t>
  </si>
  <si>
    <t>81.50</t>
  </si>
  <si>
    <t>81.65</t>
  </si>
  <si>
    <t>62.48</t>
  </si>
  <si>
    <t>80.46</t>
  </si>
  <si>
    <t>16.28</t>
  </si>
  <si>
    <t>16.58</t>
  </si>
  <si>
    <t>15.53</t>
  </si>
  <si>
    <t>8.50</t>
  </si>
  <si>
    <t>26.40</t>
  </si>
  <si>
    <t>83.42</t>
  </si>
  <si>
    <t>83.02</t>
  </si>
  <si>
    <t>2.38</t>
  </si>
  <si>
    <t>3.20</t>
  </si>
  <si>
    <t>82.43</t>
  </si>
  <si>
    <t>78.14</t>
  </si>
  <si>
    <t>63.85</t>
  </si>
  <si>
    <t>85.95</t>
  </si>
  <si>
    <t>79.70</t>
  </si>
  <si>
    <t>78.55</t>
  </si>
  <si>
    <t>83.84</t>
  </si>
  <si>
    <t>59.53</t>
  </si>
  <si>
    <t>77.58</t>
  </si>
  <si>
    <t xml:space="preserve">FR-72  </t>
  </si>
  <si>
    <t>CIVAUX-1</t>
  </si>
  <si>
    <t>35000</t>
  </si>
  <si>
    <t>2350</t>
  </si>
  <si>
    <t>2026.82</t>
  </si>
  <si>
    <t>9544.10</t>
  </si>
  <si>
    <t>10932.08</t>
  </si>
  <si>
    <t>11276.48</t>
  </si>
  <si>
    <t>9672.34</t>
  </si>
  <si>
    <t>10318.21</t>
  </si>
  <si>
    <t>9031.53</t>
  </si>
  <si>
    <t>9872.98</t>
  </si>
  <si>
    <t>9494.39</t>
  </si>
  <si>
    <t>10590.11</t>
  </si>
  <si>
    <t>105249.24</t>
  </si>
  <si>
    <t>73.78</t>
  </si>
  <si>
    <t>69.39</t>
  </si>
  <si>
    <t>14.23</t>
  </si>
  <si>
    <t>15.15</t>
  </si>
  <si>
    <t>15.24</t>
  </si>
  <si>
    <t>12.64</t>
  </si>
  <si>
    <t>12.65</t>
  </si>
  <si>
    <t>11.99</t>
  </si>
  <si>
    <t>2.86</t>
  </si>
  <si>
    <t>15.77</t>
  </si>
  <si>
    <t>13.43</t>
  </si>
  <si>
    <t>9.45</t>
  </si>
  <si>
    <t>5.84</t>
  </si>
  <si>
    <t>84.81</t>
  </si>
  <si>
    <t>88.98</t>
  </si>
  <si>
    <t>71.25</t>
  </si>
  <si>
    <t>78.22</t>
  </si>
  <si>
    <t>81.56</t>
  </si>
  <si>
    <t>83.48</t>
  </si>
  <si>
    <t>78.79</t>
  </si>
  <si>
    <t xml:space="preserve">FR-73  </t>
  </si>
  <si>
    <t>CIVAUX-2</t>
  </si>
  <si>
    <t>9055.42</t>
  </si>
  <si>
    <t>7491.29</t>
  </si>
  <si>
    <t>9084.75</t>
  </si>
  <si>
    <t>11698.64</t>
  </si>
  <si>
    <t>9621.39</t>
  </si>
  <si>
    <t>11140.10</t>
  </si>
  <si>
    <t>9973.85</t>
  </si>
  <si>
    <t>11321.50</t>
  </si>
  <si>
    <t>10293.33</t>
  </si>
  <si>
    <t>11094.03</t>
  </si>
  <si>
    <t>106783.81</t>
  </si>
  <si>
    <t>70.38</t>
  </si>
  <si>
    <t>89.64</t>
  </si>
  <si>
    <t>73.47</t>
  </si>
  <si>
    <t>21.10</t>
  </si>
  <si>
    <t>9.14</t>
  </si>
  <si>
    <t>14.18</t>
  </si>
  <si>
    <t>7.89</t>
  </si>
  <si>
    <t>12.40</t>
  </si>
  <si>
    <t>70.48</t>
  </si>
  <si>
    <t>82.26</t>
  </si>
  <si>
    <t>10.67</t>
  </si>
  <si>
    <t>84.70</t>
  </si>
  <si>
    <t>72.51</t>
  </si>
  <si>
    <t>69.37</t>
  </si>
  <si>
    <t xml:space="preserve">FR-42  </t>
  </si>
  <si>
    <t>CRUAS-1</t>
  </si>
  <si>
    <t>41</t>
  </si>
  <si>
    <t>15894</t>
  </si>
  <si>
    <t>5918.31</t>
  </si>
  <si>
    <t>6069.76</t>
  </si>
  <si>
    <t>6120.53</t>
  </si>
  <si>
    <t>5866.08</t>
  </si>
  <si>
    <t>5345.43</t>
  </si>
  <si>
    <t>6491.00</t>
  </si>
  <si>
    <t>4468.50</t>
  </si>
  <si>
    <t>6281.45</t>
  </si>
  <si>
    <t>5066.64</t>
  </si>
  <si>
    <t>6529.54</t>
  </si>
  <si>
    <t>152229.41</t>
  </si>
  <si>
    <t>81.14</t>
  </si>
  <si>
    <t>76.11</t>
  </si>
  <si>
    <t>70.60</t>
  </si>
  <si>
    <t>13.02</t>
  </si>
  <si>
    <t>12.84</t>
  </si>
  <si>
    <t>24.35</t>
  </si>
  <si>
    <t>22.99</t>
  </si>
  <si>
    <t>13.58</t>
  </si>
  <si>
    <t>12.68</t>
  </si>
  <si>
    <t>81.69</t>
  </si>
  <si>
    <t>82.53</t>
  </si>
  <si>
    <t>71.08</t>
  </si>
  <si>
    <t>80.79</t>
  </si>
  <si>
    <t>81.01</t>
  </si>
  <si>
    <t>11.38</t>
  </si>
  <si>
    <t>5.31</t>
  </si>
  <si>
    <t>11.69</t>
  </si>
  <si>
    <t>5.29</t>
  </si>
  <si>
    <t>4.55</t>
  </si>
  <si>
    <t>5.37</t>
  </si>
  <si>
    <t>5.72</t>
  </si>
  <si>
    <t>72.04</t>
  </si>
  <si>
    <t>62.85</t>
  </si>
  <si>
    <t>82.93</t>
  </si>
  <si>
    <t>68.68</t>
  </si>
  <si>
    <t>84.62</t>
  </si>
  <si>
    <t>72.99</t>
  </si>
  <si>
    <t>66.69</t>
  </si>
  <si>
    <t>80.98</t>
  </si>
  <si>
    <t>55.75</t>
  </si>
  <si>
    <t>63.21</t>
  </si>
  <si>
    <t>71.54</t>
  </si>
  <si>
    <t xml:space="preserve">FR-43  </t>
  </si>
  <si>
    <t>CRUAS-2</t>
  </si>
  <si>
    <t>5914.40</t>
  </si>
  <si>
    <t>6547.44</t>
  </si>
  <si>
    <t>5727.93</t>
  </si>
  <si>
    <t>6612.96</t>
  </si>
  <si>
    <t>6504.12</t>
  </si>
  <si>
    <t>6509.49</t>
  </si>
  <si>
    <t>4617.90</t>
  </si>
  <si>
    <t>5597.43</t>
  </si>
  <si>
    <t>5862.16</t>
  </si>
  <si>
    <t>5305.44</t>
  </si>
  <si>
    <t>150743.88</t>
  </si>
  <si>
    <t>84.92</t>
  </si>
  <si>
    <t>83.04</t>
  </si>
  <si>
    <t>58.03</t>
  </si>
  <si>
    <t>66.55</t>
  </si>
  <si>
    <t>10.03</t>
  </si>
  <si>
    <t>13.69</t>
  </si>
  <si>
    <t>13.55</t>
  </si>
  <si>
    <t>12.31</t>
  </si>
  <si>
    <t>29.47</t>
  </si>
  <si>
    <t>75.77</t>
  </si>
  <si>
    <t>85.96</t>
  </si>
  <si>
    <t>85.81</t>
  </si>
  <si>
    <t>61.62</t>
  </si>
  <si>
    <t>70.93</t>
  </si>
  <si>
    <t>78.67</t>
  </si>
  <si>
    <t>8.14</t>
  </si>
  <si>
    <t>3.83</t>
  </si>
  <si>
    <t>12.21</t>
  </si>
  <si>
    <t>6.25</t>
  </si>
  <si>
    <t>11.78</t>
  </si>
  <si>
    <t>6.47</t>
  </si>
  <si>
    <t>87.22</t>
  </si>
  <si>
    <t>63.95</t>
  </si>
  <si>
    <t>75.51</t>
  </si>
  <si>
    <t>73.79</t>
  </si>
  <si>
    <t>71.46</t>
  </si>
  <si>
    <t>57.61</t>
  </si>
  <si>
    <t>66.19</t>
  </si>
  <si>
    <t xml:space="preserve">FR-44  </t>
  </si>
  <si>
    <t>CRUAS-3</t>
  </si>
  <si>
    <t>5867.85</t>
  </si>
  <si>
    <t>6052.00</t>
  </si>
  <si>
    <t>5779.36</t>
  </si>
  <si>
    <t>5081.25</t>
  </si>
  <si>
    <t>6941.58</t>
  </si>
  <si>
    <t>6487.52</t>
  </si>
  <si>
    <t>5435.78</t>
  </si>
  <si>
    <t>4858.57</t>
  </si>
  <si>
    <t>6365.97</t>
  </si>
  <si>
    <t>6277.78</t>
  </si>
  <si>
    <t>151971.86</t>
  </si>
  <si>
    <t>76.75</t>
  </si>
  <si>
    <t>68.07</t>
  </si>
  <si>
    <t>79.89</t>
  </si>
  <si>
    <t>78.27</t>
  </si>
  <si>
    <t>11.56</t>
  </si>
  <si>
    <t>13.62</t>
  </si>
  <si>
    <t>18.16</t>
  </si>
  <si>
    <t>12.72</t>
  </si>
  <si>
    <t>82.12</t>
  </si>
  <si>
    <t>79.21</t>
  </si>
  <si>
    <t>65.92</t>
  </si>
  <si>
    <t>83.49</t>
  </si>
  <si>
    <t>71.39</t>
  </si>
  <si>
    <t>61.00</t>
  </si>
  <si>
    <t>79.59</t>
  </si>
  <si>
    <t>82.03</t>
  </si>
  <si>
    <t>6.02</t>
  </si>
  <si>
    <t>5.10</t>
  </si>
  <si>
    <t>4.72</t>
  </si>
  <si>
    <t>65.46</t>
  </si>
  <si>
    <t>79.95</t>
  </si>
  <si>
    <t>63.22</t>
  </si>
  <si>
    <t>67.82</t>
  </si>
  <si>
    <t xml:space="preserve">FR-45  </t>
  </si>
  <si>
    <t>CRUAS-4</t>
  </si>
  <si>
    <t>5915.77</t>
  </si>
  <si>
    <t>6399.58</t>
  </si>
  <si>
    <t>6296.69</t>
  </si>
  <si>
    <t>6377.38</t>
  </si>
  <si>
    <t>6255.06</t>
  </si>
  <si>
    <t>3752.65</t>
  </si>
  <si>
    <t>4947.25</t>
  </si>
  <si>
    <t>6228.77</t>
  </si>
  <si>
    <t>6321.83</t>
  </si>
  <si>
    <t>5107.05</t>
  </si>
  <si>
    <t>148054.75</t>
  </si>
  <si>
    <t>80.63</t>
  </si>
  <si>
    <t>81.63</t>
  </si>
  <si>
    <t>47.64</t>
  </si>
  <si>
    <t>61.73</t>
  </si>
  <si>
    <t>63.76</t>
  </si>
  <si>
    <t>77.59</t>
  </si>
  <si>
    <t>12.75</t>
  </si>
  <si>
    <t>23.15</t>
  </si>
  <si>
    <t>33.00</t>
  </si>
  <si>
    <t>13.22</t>
  </si>
  <si>
    <t>83.26</t>
  </si>
  <si>
    <t>82.86</t>
  </si>
  <si>
    <t>61.97</t>
  </si>
  <si>
    <t>67.48</t>
  </si>
  <si>
    <t>3.93</t>
  </si>
  <si>
    <t>10.98</t>
  </si>
  <si>
    <t>21.85</t>
  </si>
  <si>
    <t>5.80</t>
  </si>
  <si>
    <t>1.17</t>
  </si>
  <si>
    <t>85.32</t>
  </si>
  <si>
    <t>84.73</t>
  </si>
  <si>
    <t>48.62</t>
  </si>
  <si>
    <t>66.66</t>
  </si>
  <si>
    <t>65.97</t>
  </si>
  <si>
    <t>79.84</t>
  </si>
  <si>
    <t>79.35</t>
  </si>
  <si>
    <t>78.04</t>
  </si>
  <si>
    <t>46.82</t>
  </si>
  <si>
    <t>61.72</t>
  </si>
  <si>
    <t>77.50</t>
  </si>
  <si>
    <t>78.87</t>
  </si>
  <si>
    <t>63.72</t>
  </si>
  <si>
    <t>71.61</t>
  </si>
  <si>
    <t xml:space="preserve">FR-22  </t>
  </si>
  <si>
    <t>DAMPIERRE-1</t>
  </si>
  <si>
    <t>4125.07</t>
  </si>
  <si>
    <t>6249.59</t>
  </si>
  <si>
    <t>5733.30</t>
  </si>
  <si>
    <t>6091.18</t>
  </si>
  <si>
    <t>5838.83</t>
  </si>
  <si>
    <t>6615.07</t>
  </si>
  <si>
    <t>6050.04</t>
  </si>
  <si>
    <t>6545.33</t>
  </si>
  <si>
    <t>4973.23</t>
  </si>
  <si>
    <t>6357.03</t>
  </si>
  <si>
    <t>170086.66</t>
  </si>
  <si>
    <t>56.67</t>
  </si>
  <si>
    <t>76.79</t>
  </si>
  <si>
    <t>83.94</t>
  </si>
  <si>
    <t>10.54</t>
  </si>
  <si>
    <t>12.42</t>
  </si>
  <si>
    <t>6.82</t>
  </si>
  <si>
    <t>13.86</t>
  </si>
  <si>
    <t>7.33</t>
  </si>
  <si>
    <t>14.67</t>
  </si>
  <si>
    <t>56.75</t>
  </si>
  <si>
    <t>84.85</t>
  </si>
  <si>
    <t>77.55</t>
  </si>
  <si>
    <t>35.87</t>
  </si>
  <si>
    <t>58.81</t>
  </si>
  <si>
    <t>79.50</t>
  </si>
  <si>
    <t>92.20</t>
  </si>
  <si>
    <t>69.04</t>
  </si>
  <si>
    <t>78.35</t>
  </si>
  <si>
    <t>52.91</t>
  </si>
  <si>
    <t>73.54</t>
  </si>
  <si>
    <t>77.91</t>
  </si>
  <si>
    <t>74.89</t>
  </si>
  <si>
    <t>77.60</t>
  </si>
  <si>
    <t>83.72</t>
  </si>
  <si>
    <t>63.79</t>
  </si>
  <si>
    <t>71.51</t>
  </si>
  <si>
    <t xml:space="preserve">FR-29  </t>
  </si>
  <si>
    <t>DAMPIERRE-2</t>
  </si>
  <si>
    <t>5355.88</t>
  </si>
  <si>
    <t>4307.55</t>
  </si>
  <si>
    <t>6268.32</t>
  </si>
  <si>
    <t>5983.93</t>
  </si>
  <si>
    <t>5255.28</t>
  </si>
  <si>
    <t>5880.50</t>
  </si>
  <si>
    <t>6582.66</t>
  </si>
  <si>
    <t>6014.89</t>
  </si>
  <si>
    <t>6455.29</t>
  </si>
  <si>
    <t>5399.78</t>
  </si>
  <si>
    <t>162837.75</t>
  </si>
  <si>
    <t>55.95</t>
  </si>
  <si>
    <t>81.32</t>
  </si>
  <si>
    <t>82.11</t>
  </si>
  <si>
    <t>71.18</t>
  </si>
  <si>
    <t>27.72</t>
  </si>
  <si>
    <t>11.42</t>
  </si>
  <si>
    <t>22.02</t>
  </si>
  <si>
    <t>10.90</t>
  </si>
  <si>
    <t>11.26</t>
  </si>
  <si>
    <t>14.24</t>
  </si>
  <si>
    <t>75.09</t>
  </si>
  <si>
    <t>56.33</t>
  </si>
  <si>
    <t>85.47</t>
  </si>
  <si>
    <t>22.06</t>
  </si>
  <si>
    <t>1.32</t>
  </si>
  <si>
    <t>75.26</t>
  </si>
  <si>
    <t>59.32</t>
  </si>
  <si>
    <t>55.25</t>
  </si>
  <si>
    <t>80.40</t>
  </si>
  <si>
    <t>76.54</t>
  </si>
  <si>
    <t>67.41</t>
  </si>
  <si>
    <t>69.26</t>
  </si>
  <si>
    <t>69.56</t>
  </si>
  <si>
    <t xml:space="preserve">FR-30  </t>
  </si>
  <si>
    <t>DAMPIERRE-3</t>
  </si>
  <si>
    <t>5993.02</t>
  </si>
  <si>
    <t>5929.80</t>
  </si>
  <si>
    <t>5346.90</t>
  </si>
  <si>
    <t>6867.17</t>
  </si>
  <si>
    <t>6242.37</t>
  </si>
  <si>
    <t>6228.48</t>
  </si>
  <si>
    <t>5614.09</t>
  </si>
  <si>
    <t>6725.61</t>
  </si>
  <si>
    <t>5364.97</t>
  </si>
  <si>
    <t>6642.91</t>
  </si>
  <si>
    <t>170149.80</t>
  </si>
  <si>
    <t>77.38</t>
  </si>
  <si>
    <t>68.91</t>
  </si>
  <si>
    <t>84.13</t>
  </si>
  <si>
    <t>86.31</t>
  </si>
  <si>
    <t>77.80</t>
  </si>
  <si>
    <t>27.59</t>
  </si>
  <si>
    <t>12.41</t>
  </si>
  <si>
    <t>6.97</t>
  </si>
  <si>
    <t>12.59</t>
  </si>
  <si>
    <t>7.08</t>
  </si>
  <si>
    <t>14.43</t>
  </si>
  <si>
    <t>77.75</t>
  </si>
  <si>
    <t>77.42</t>
  </si>
  <si>
    <t>79.40</t>
  </si>
  <si>
    <t>9.75</t>
  </si>
  <si>
    <t>3.52</t>
  </si>
  <si>
    <t>80.59</t>
  </si>
  <si>
    <t>78.50</t>
  </si>
  <si>
    <t>79.09</t>
  </si>
  <si>
    <t>74.04</t>
  </si>
  <si>
    <t>79.23</t>
  </si>
  <si>
    <t>80.06</t>
  </si>
  <si>
    <t>72.01</t>
  </si>
  <si>
    <t>68.81</t>
  </si>
  <si>
    <t>85.20</t>
  </si>
  <si>
    <t>73.18</t>
  </si>
  <si>
    <t xml:space="preserve">FR-31  </t>
  </si>
  <si>
    <t>DAMPIERRE-4</t>
  </si>
  <si>
    <t>5.61</t>
  </si>
  <si>
    <t>5361.82</t>
  </si>
  <si>
    <t>6134.48</t>
  </si>
  <si>
    <t>5547.40</t>
  </si>
  <si>
    <t>4531.79</t>
  </si>
  <si>
    <t>6566.95</t>
  </si>
  <si>
    <t>5905.36</t>
  </si>
  <si>
    <t>5763.52</t>
  </si>
  <si>
    <t>5249.14</t>
  </si>
  <si>
    <t>6259.13</t>
  </si>
  <si>
    <t>6472.40</t>
  </si>
  <si>
    <t>162688.61</t>
  </si>
  <si>
    <t>70.08</t>
  </si>
  <si>
    <t>73.37</t>
  </si>
  <si>
    <t>59.44</t>
  </si>
  <si>
    <t>67.53</t>
  </si>
  <si>
    <t>76.65</t>
  </si>
  <si>
    <t>0.95</t>
  </si>
  <si>
    <t>12.30</t>
  </si>
  <si>
    <t>26.07</t>
  </si>
  <si>
    <t>13.12</t>
  </si>
  <si>
    <t>13.45</t>
  </si>
  <si>
    <t>77.39</t>
  </si>
  <si>
    <t>61.31</t>
  </si>
  <si>
    <t>68.82</t>
  </si>
  <si>
    <t>28.41</t>
  </si>
  <si>
    <t>2.77</t>
  </si>
  <si>
    <t>16.90</t>
  </si>
  <si>
    <t>3.21</t>
  </si>
  <si>
    <t>77.16</t>
  </si>
  <si>
    <t>63.19</t>
  </si>
  <si>
    <t>84.79</t>
  </si>
  <si>
    <t>71.91</t>
  </si>
  <si>
    <t>68.77</t>
  </si>
  <si>
    <t>57.97</t>
  </si>
  <si>
    <t>75.74</t>
  </si>
  <si>
    <t>73.93</t>
  </si>
  <si>
    <t>67.14</t>
  </si>
  <si>
    <t>80.28</t>
  </si>
  <si>
    <t xml:space="preserve">FR-11  </t>
  </si>
  <si>
    <t>FESSENHEIM-1</t>
  </si>
  <si>
    <t>60300</t>
  </si>
  <si>
    <t>5.257</t>
  </si>
  <si>
    <t>5507.53</t>
  </si>
  <si>
    <t>2989.75</t>
  </si>
  <si>
    <t>6985.20</t>
  </si>
  <si>
    <t>3726.49</t>
  </si>
  <si>
    <t>5448.42</t>
  </si>
  <si>
    <t>6875.72</t>
  </si>
  <si>
    <t>4666.98</t>
  </si>
  <si>
    <t>5147.36</t>
  </si>
  <si>
    <t>5382.77</t>
  </si>
  <si>
    <t>5181.48</t>
  </si>
  <si>
    <t>172389.61</t>
  </si>
  <si>
    <t>41.08</t>
  </si>
  <si>
    <t>96.45</t>
  </si>
  <si>
    <t>49.64</t>
  </si>
  <si>
    <t>75.32</t>
  </si>
  <si>
    <t>61.11</t>
  </si>
  <si>
    <t>66.84</t>
  </si>
  <si>
    <t>70.10</t>
  </si>
  <si>
    <t>Summary</t>
  </si>
  <si>
    <t>NUCLEAR POWER PLANTS IN BULGARIA</t>
  </si>
  <si>
    <t>BG</t>
  </si>
  <si>
    <t>Load factor      in 2005</t>
  </si>
  <si>
    <t>Load factor in 2010</t>
  </si>
  <si>
    <t>Interpolation rule</t>
  </si>
  <si>
    <t>Reactor type</t>
  </si>
  <si>
    <t>Name</t>
  </si>
  <si>
    <t>Burnup</t>
  </si>
  <si>
    <t>Start</t>
  </si>
  <si>
    <t>Tech phase out</t>
  </si>
  <si>
    <t>Provisional phase out year</t>
  </si>
  <si>
    <t>Thermo-el eff</t>
  </si>
  <si>
    <t>Input nat.</t>
  </si>
  <si>
    <r>
      <t>MW_</t>
    </r>
    <r>
      <rPr>
        <sz val="10"/>
        <rFont val="Arial"/>
        <charset val="1"/>
      </rPr>
      <t>th</t>
    </r>
    <r>
      <rPr>
        <sz val="10"/>
        <rFont val="Arial"/>
        <charset val="1"/>
      </rPr>
      <t>d/MTHM</t>
    </r>
  </si>
  <si>
    <t>GWh_el</t>
  </si>
  <si>
    <t>%</t>
  </si>
  <si>
    <t>GWh_th</t>
  </si>
  <si>
    <t>MTU/year</t>
  </si>
  <si>
    <t>tU/year</t>
  </si>
  <si>
    <t>GWh_el/tU</t>
  </si>
  <si>
    <t>PJ/tU</t>
  </si>
  <si>
    <t>TechName</t>
  </si>
  <si>
    <t>Comm-IN</t>
  </si>
  <si>
    <t>Comm-OUT</t>
  </si>
  <si>
    <t>Year</t>
  </si>
  <si>
    <t>*</t>
  </si>
  <si>
    <t>AFA</t>
  </si>
  <si>
    <t>AFA~2010</t>
  </si>
  <si>
    <t>FIXOM</t>
  </si>
  <si>
    <t>VAROM</t>
  </si>
  <si>
    <t>Peak</t>
  </si>
  <si>
    <t>Cap2Act</t>
  </si>
  <si>
    <t>INVCOST</t>
  </si>
  <si>
    <t>NCAP_BND~FX</t>
  </si>
  <si>
    <t>NCAP_BND~FX~0</t>
  </si>
  <si>
    <t>Life</t>
  </si>
  <si>
    <t>*Comment row</t>
  </si>
  <si>
    <t>GW</t>
  </si>
  <si>
    <t>Euro/kW</t>
  </si>
  <si>
    <t>Euro/GJ</t>
  </si>
  <si>
    <t>PJ/GW</t>
  </si>
  <si>
    <t>Years</t>
  </si>
  <si>
    <t>ELCNUC</t>
  </si>
  <si>
    <t>ELCHIG</t>
  </si>
  <si>
    <t>Assumption on Burnup for</t>
  </si>
  <si>
    <t>EPR</t>
  </si>
  <si>
    <t>for VVER, PWR, BWR (EPR) the ratio natural/enriched is</t>
  </si>
  <si>
    <t xml:space="preserve">for CANDU, RBMK, </t>
  </si>
  <si>
    <t xml:space="preserve">From </t>
  </si>
  <si>
    <t>Nuclear Power Reactors in the World. 2008 Edition. IAEA</t>
  </si>
  <si>
    <t>CZ</t>
  </si>
  <si>
    <t>NUCLEAR POWER PLANTS IN THE CZECH REPUBLIC</t>
  </si>
  <si>
    <t>HU</t>
  </si>
  <si>
    <t>NUCLEAR POWER PLANTS IN HUNGARY</t>
  </si>
  <si>
    <t>RO</t>
  </si>
  <si>
    <t>NUCLEAR POWER PLANTS IN ROMANIA</t>
  </si>
  <si>
    <t>SK</t>
  </si>
  <si>
    <t>NUCLEAR POWER PLANTS IN SLOVAKIA</t>
  </si>
  <si>
    <t>SI</t>
  </si>
  <si>
    <t>NUCLEAR POWER PLANTS IN SLOVENIA</t>
  </si>
  <si>
    <t>BE</t>
  </si>
  <si>
    <t>NUCLEAR POWER PLANTS IN BELGIUM</t>
  </si>
  <si>
    <t>FI</t>
  </si>
  <si>
    <t>NUCLEAR POWER PLANTS IN FINLAND</t>
  </si>
  <si>
    <t>FR</t>
  </si>
  <si>
    <t>NUCLEAR POWER PLANTS IN FRANCE</t>
  </si>
  <si>
    <t>NUCLEAR POWER PLANTS IN GERMANY</t>
  </si>
  <si>
    <t>DE</t>
  </si>
  <si>
    <t>NUCLEAR POWER PLANTS IN THE NETHERLANDS</t>
  </si>
  <si>
    <t>NL</t>
  </si>
  <si>
    <t>ES</t>
  </si>
  <si>
    <t>NUCLEAR POWER PLANTS IN SPAIN</t>
  </si>
  <si>
    <t>SE</t>
  </si>
  <si>
    <t>NUCLEAR POWER PLANTS IN SWEDEN</t>
  </si>
  <si>
    <t>UK</t>
  </si>
  <si>
    <t>NUCLEAR POWER PLANTS IN THE UNITED KINGDOM</t>
  </si>
  <si>
    <t>NUCLEAR POWER PLANTS IN SWITZERLAND</t>
  </si>
  <si>
    <t>CH</t>
  </si>
  <si>
    <t>Gross capacity (latest)</t>
  </si>
  <si>
    <t>Net capacity (latest)</t>
  </si>
  <si>
    <t>Gross elec output 2010</t>
  </si>
  <si>
    <t>Gross thermal output 2010</t>
  </si>
  <si>
    <t>Uranium input</t>
  </si>
  <si>
    <t>output / input</t>
  </si>
  <si>
    <t>~FI_Process</t>
  </si>
  <si>
    <t>Sets</t>
  </si>
  <si>
    <t>TechDesc</t>
  </si>
  <si>
    <t>Tact</t>
  </si>
  <si>
    <t>Tcap</t>
  </si>
  <si>
    <t>Tslvl</t>
  </si>
  <si>
    <t>PrimaryCG</t>
  </si>
  <si>
    <t>Vintage</t>
  </si>
  <si>
    <t>ELE</t>
  </si>
  <si>
    <t>PJ</t>
  </si>
  <si>
    <t>SEASON</t>
  </si>
  <si>
    <t>for GCR (AGR, Magnox...)</t>
  </si>
  <si>
    <t>Total Net Power per reactor type</t>
  </si>
  <si>
    <t>n.</t>
  </si>
  <si>
    <t>VVER</t>
  </si>
  <si>
    <t>Candu</t>
  </si>
  <si>
    <t>RBMK</t>
  </si>
  <si>
    <t>FBR</t>
  </si>
  <si>
    <t>Magnox</t>
  </si>
  <si>
    <t>Belgium</t>
  </si>
  <si>
    <t>Bulgaria</t>
  </si>
  <si>
    <t>Switzerland</t>
  </si>
  <si>
    <t>Czech Republic</t>
  </si>
  <si>
    <t>Germany</t>
  </si>
  <si>
    <t>Spain</t>
  </si>
  <si>
    <t>Finland</t>
  </si>
  <si>
    <t>France</t>
  </si>
  <si>
    <t>Hungary</t>
  </si>
  <si>
    <t>Lituania</t>
  </si>
  <si>
    <t>Netherlands</t>
  </si>
  <si>
    <t>Romania</t>
  </si>
  <si>
    <t>Sweden</t>
  </si>
  <si>
    <t>Slovenia</t>
  </si>
  <si>
    <t>Slovakia</t>
  </si>
  <si>
    <t>United Kingdom</t>
  </si>
  <si>
    <t>VVER V-466</t>
  </si>
  <si>
    <t>BELENE-1</t>
  </si>
  <si>
    <t>BELENE-2</t>
  </si>
  <si>
    <t>MOCHOVCE-3</t>
  </si>
  <si>
    <t>MOCHOVCE-4</t>
  </si>
  <si>
    <t>OLKILUOTO-3</t>
  </si>
  <si>
    <t>FLAMANVILLE-3</t>
  </si>
  <si>
    <t>Reactor type VVER-440, model V-230 has been classified by the EC as not upgradable</t>
  </si>
  <si>
    <t>KOZLODUY-4</t>
  </si>
  <si>
    <t>KOZLODUY-3</t>
  </si>
  <si>
    <t>VVER V-230</t>
  </si>
  <si>
    <t>TEMELIN-3</t>
  </si>
  <si>
    <t>TEMELIN-4</t>
  </si>
  <si>
    <t>DUKOVANY-5</t>
  </si>
  <si>
    <t>?</t>
  </si>
  <si>
    <t>PAKS-5</t>
  </si>
  <si>
    <t>PAKS-6</t>
  </si>
  <si>
    <t xml:space="preserve">Methodology start year/ end year for decommissioning curves: </t>
  </si>
  <si>
    <t>if real start year is 2022, in TIMES we it will be 2025</t>
  </si>
  <si>
    <t>if real decommissioning year is 2022, in TIMES it will be 2020</t>
  </si>
  <si>
    <t>* Start year is the year in which the unit is connected to the grid</t>
  </si>
  <si>
    <t>CERNAVODA-3</t>
  </si>
  <si>
    <t>CERNAVODA-4</t>
  </si>
  <si>
    <t>CERNAVODA-5</t>
  </si>
  <si>
    <t>KOZLODUY-7</t>
  </si>
  <si>
    <t>decommissioned</t>
  </si>
  <si>
    <t>proposed =  specific program or site proposals, expected operation mostly within 15 years (WNA, see "Sources" tab, notes)</t>
  </si>
  <si>
    <t>planned = approvals, funding or major commitment in place, mostly expected in operation within 8-10 years (WNA, see "Sources" tab, notes)</t>
  </si>
  <si>
    <t>operational</t>
  </si>
  <si>
    <t>IAEA/WNA</t>
  </si>
  <si>
    <t>BOHUNICE-1</t>
  </si>
  <si>
    <t>BOHUNICE-2</t>
  </si>
  <si>
    <t>PHWR (?)</t>
  </si>
  <si>
    <t>CANDU 6 (?)</t>
  </si>
  <si>
    <t>BOHUNICE-NEW BLOCK</t>
  </si>
  <si>
    <t>KECEROVCE</t>
  </si>
  <si>
    <t>OLKILUOTO-4</t>
  </si>
  <si>
    <t>BORSSELE-2</t>
  </si>
  <si>
    <t>HINKLEY POINT-C1</t>
  </si>
  <si>
    <t>HINKLEY POINT-C2</t>
  </si>
  <si>
    <t>SIZEWELL-C1</t>
  </si>
  <si>
    <t>SIZEWELL-C2</t>
  </si>
  <si>
    <t>OLDBURY-B</t>
  </si>
  <si>
    <t>WYLFA-B</t>
  </si>
  <si>
    <t>MOORSIDE</t>
  </si>
  <si>
    <t>BIBLIS-A</t>
  </si>
  <si>
    <t>NECKARWESTHEIM-1</t>
  </si>
  <si>
    <t>BIBLIS-B</t>
  </si>
  <si>
    <t>ISAR-1</t>
  </si>
  <si>
    <t>UNTERWESER</t>
  </si>
  <si>
    <t>KRUEMMEL</t>
  </si>
  <si>
    <t>BRUNSBUETTEL</t>
  </si>
  <si>
    <t>PHILIPPSBURG-1</t>
  </si>
  <si>
    <t>last update: 10 dec 2011</t>
  </si>
  <si>
    <t>years</t>
  </si>
  <si>
    <t>Tech lifetime</t>
  </si>
  <si>
    <t>~FI_T: Stock~EUR09</t>
  </si>
  <si>
    <t>NCAP_BND~UP</t>
  </si>
  <si>
    <t>EFF</t>
  </si>
  <si>
    <t>KRSKO-2</t>
  </si>
  <si>
    <t>PHENIX</t>
  </si>
  <si>
    <t>NUCLEAR POWER PLANTS IN LITHUANIA</t>
  </si>
  <si>
    <t>LT</t>
  </si>
  <si>
    <t>IGNALINA-2</t>
  </si>
  <si>
    <t>IT</t>
  </si>
  <si>
    <t xml:space="preserve"> </t>
  </si>
  <si>
    <t>NUCLEAR POWER PLANTS IN ITALY</t>
  </si>
  <si>
    <t>PENLY-3</t>
  </si>
  <si>
    <t>Reactors</t>
  </si>
  <si>
    <t>INFO</t>
  </si>
  <si>
    <t>NUCLEAR POWER PLANTS IN POLAND</t>
  </si>
  <si>
    <t>PL</t>
  </si>
  <si>
    <t>POLAND-1</t>
  </si>
  <si>
    <t>POLAND-2</t>
  </si>
  <si>
    <t>ITALY-1</t>
  </si>
  <si>
    <t>ITALY-2</t>
  </si>
  <si>
    <t>ITALY-3</t>
  </si>
  <si>
    <t>ITALY-4</t>
  </si>
  <si>
    <t>ABWR</t>
  </si>
  <si>
    <t>VISAGINAS-1</t>
  </si>
  <si>
    <t>IGNALINA-1</t>
  </si>
  <si>
    <t>NCAP_PASTI</t>
  </si>
  <si>
    <t>ELCNUCA</t>
  </si>
  <si>
    <t>PYHA-YOKI</t>
  </si>
  <si>
    <t>ENBG_BELENE-1</t>
  </si>
  <si>
    <t>ENBG_BELENE-2</t>
  </si>
  <si>
    <t>ENBG_KOZLODUY-7</t>
  </si>
  <si>
    <t>ENCZ_TEMELIN-3</t>
  </si>
  <si>
    <t>ENCZ_TEMELIN-4</t>
  </si>
  <si>
    <t>ENCZ_DUKOVANY-5</t>
  </si>
  <si>
    <t>ENHU_PAKS-5</t>
  </si>
  <si>
    <t>ENHU_PAKS-6</t>
  </si>
  <si>
    <t>ENRO_CERNAVODA-2</t>
  </si>
  <si>
    <t>ENRO_CERNAVODA-3</t>
  </si>
  <si>
    <t>ENRO_CERNAVODA-4</t>
  </si>
  <si>
    <t>ENRO_CERNAVODA-5</t>
  </si>
  <si>
    <t>ENSK_MOCHOVCE-3</t>
  </si>
  <si>
    <t>ENSK_MOCHOVCE-4</t>
  </si>
  <si>
    <t>ENSK_BOHUNICE-NEWBLOCK</t>
  </si>
  <si>
    <t>ENSK_KECEROVCE</t>
  </si>
  <si>
    <t>ENSI_KRSKO-2</t>
  </si>
  <si>
    <t>ENFI_OLKILUOTO-3</t>
  </si>
  <si>
    <t>ENFI_OLKILUOTO-4</t>
  </si>
  <si>
    <t>ENFI_PYHA-YOKI</t>
  </si>
  <si>
    <t>ENFR_FLAMANVILLE-3</t>
  </si>
  <si>
    <t>ENFR_PENLY-3</t>
  </si>
  <si>
    <t>ENNL_BORSSELE-2</t>
  </si>
  <si>
    <t>ENUK_HINKLEYPOINT-C1</t>
  </si>
  <si>
    <t>ENUK_HINKLEYPOINT-C2</t>
  </si>
  <si>
    <t>ENUK_SIZEWELL-C1</t>
  </si>
  <si>
    <t>ENUK_SIZEWELL-C2</t>
  </si>
  <si>
    <t>ENUK_OLDBURY-B</t>
  </si>
  <si>
    <t>ENUK_WYLFA-B</t>
  </si>
  <si>
    <t>ENUK_MOORSIDE</t>
  </si>
  <si>
    <t>ENIT_ITALY-1</t>
  </si>
  <si>
    <t>ENIT_ITALY-2</t>
  </si>
  <si>
    <t>ENIT_ITALY-3</t>
  </si>
  <si>
    <t>ENIT_ITALY-4</t>
  </si>
  <si>
    <t>ENLT_IGNALINA-1</t>
  </si>
  <si>
    <t>ENLT_IGNALINA-2</t>
  </si>
  <si>
    <t>ENLT_VISAGINAS-1</t>
  </si>
  <si>
    <t>ENPL_POLAND-1</t>
  </si>
  <si>
    <t>ENPL_POLAND-2</t>
  </si>
  <si>
    <t>12.66</t>
  </si>
  <si>
    <t>19.89</t>
  </si>
  <si>
    <t>17.74</t>
  </si>
  <si>
    <t>17.98</t>
  </si>
  <si>
    <t>10.48</t>
  </si>
  <si>
    <t>9.62</t>
  </si>
  <si>
    <t>15.80</t>
  </si>
  <si>
    <t>86.73</t>
  </si>
  <si>
    <t>87.88</t>
  </si>
  <si>
    <t>87.76</t>
  </si>
  <si>
    <t>76.95</t>
  </si>
  <si>
    <t>87.29</t>
  </si>
  <si>
    <t>79.27</t>
  </si>
  <si>
    <t>79.87</t>
  </si>
  <si>
    <t>79.65</t>
  </si>
  <si>
    <t>90.33</t>
  </si>
  <si>
    <t>82.88</t>
  </si>
  <si>
    <t>1.29</t>
  </si>
  <si>
    <t>0.36</t>
  </si>
  <si>
    <t>0.42</t>
  </si>
  <si>
    <t>1.06</t>
  </si>
  <si>
    <t>2.90</t>
  </si>
  <si>
    <t>1.58</t>
  </si>
  <si>
    <t>88.38</t>
  </si>
  <si>
    <t>88.32</t>
  </si>
  <si>
    <t>77.25</t>
  </si>
  <si>
    <t>80.51</t>
  </si>
  <si>
    <t>82.58</t>
  </si>
  <si>
    <t>92.67</t>
  </si>
  <si>
    <t>93.77</t>
  </si>
  <si>
    <t>78.99</t>
  </si>
  <si>
    <t>78.76</t>
  </si>
  <si>
    <t>66.71</t>
  </si>
  <si>
    <t>79.49</t>
  </si>
  <si>
    <t>69.65</t>
  </si>
  <si>
    <t>74.10</t>
  </si>
  <si>
    <t>76.27</t>
  </si>
  <si>
    <t xml:space="preserve">SK-6   </t>
  </si>
  <si>
    <t>MOCHOVCE-1</t>
  </si>
  <si>
    <t>44</t>
  </si>
  <si>
    <t>2423.59</t>
  </si>
  <si>
    <t>2914.76</t>
  </si>
  <si>
    <t>2796.62</t>
  </si>
  <si>
    <t>2995.97</t>
  </si>
  <si>
    <t>2712.57</t>
  </si>
  <si>
    <t>3059.75</t>
  </si>
  <si>
    <t>3142.72</t>
  </si>
  <si>
    <t>3329.40</t>
  </si>
  <si>
    <t>3111.64</t>
  </si>
  <si>
    <t>3446.79</t>
  </si>
  <si>
    <t>36077.07</t>
  </si>
  <si>
    <t>68.15</t>
  </si>
  <si>
    <t>83.31</t>
  </si>
  <si>
    <t>82.28</t>
  </si>
  <si>
    <t>88.10</t>
  </si>
  <si>
    <t>80.33</t>
  </si>
  <si>
    <t>89.21</t>
  </si>
  <si>
    <t>82.05</t>
  </si>
  <si>
    <t>91.02</t>
  </si>
  <si>
    <t>82.78</t>
  </si>
  <si>
    <t>23.10</t>
  </si>
  <si>
    <t>13.47</t>
  </si>
  <si>
    <t>11.82</t>
  </si>
  <si>
    <t>11.28</t>
  </si>
  <si>
    <t>19.16</t>
  </si>
  <si>
    <t>8.88</t>
  </si>
  <si>
    <t>8.18</t>
  </si>
  <si>
    <t>8.19</t>
  </si>
  <si>
    <t>16.57</t>
  </si>
  <si>
    <t>6.70</t>
  </si>
  <si>
    <t>13.30</t>
  </si>
  <si>
    <t>74.98</t>
  </si>
  <si>
    <t>82.97</t>
  </si>
  <si>
    <t>88.58</t>
  </si>
  <si>
    <t>80.76</t>
  </si>
  <si>
    <t>90.72</t>
  </si>
  <si>
    <t>82.37</t>
  </si>
  <si>
    <t>91.51</t>
  </si>
  <si>
    <t>85.18</t>
  </si>
  <si>
    <t>2.49</t>
  </si>
  <si>
    <t>5.91</t>
  </si>
  <si>
    <t>0.15</t>
  </si>
  <si>
    <t>0.43</t>
  </si>
  <si>
    <t>1.27</t>
  </si>
  <si>
    <t>87.08</t>
  </si>
  <si>
    <t>83.61</t>
  </si>
  <si>
    <t>88.81</t>
  </si>
  <si>
    <t>81.37</t>
  </si>
  <si>
    <t>90.80</t>
  </si>
  <si>
    <t>85.23</t>
  </si>
  <si>
    <t>92.17</t>
  </si>
  <si>
    <t>86.47</t>
  </si>
  <si>
    <t>68.48</t>
  </si>
  <si>
    <t>82.16</t>
  </si>
  <si>
    <t>78.83</t>
  </si>
  <si>
    <t>76.46</t>
  </si>
  <si>
    <t>81.47</t>
  </si>
  <si>
    <t>81.33</t>
  </si>
  <si>
    <t xml:space="preserve">SK-7   </t>
  </si>
  <si>
    <t>MOCHOVCE-2</t>
  </si>
  <si>
    <t>2540.88</t>
  </si>
  <si>
    <t>2498.36</t>
  </si>
  <si>
    <t>2034.50</t>
  </si>
  <si>
    <t>3050.88</t>
  </si>
  <si>
    <t>2787.17</t>
  </si>
  <si>
    <t>3191.35</t>
  </si>
  <si>
    <t>3070.50</t>
  </si>
  <si>
    <t>3414.88</t>
  </si>
  <si>
    <t>3189.95</t>
  </si>
  <si>
    <t>31391.84</t>
  </si>
  <si>
    <t>72.10</t>
  </si>
  <si>
    <t>71.67</t>
  </si>
  <si>
    <t>81.41</t>
  </si>
  <si>
    <t>88.52</t>
  </si>
  <si>
    <t>81.05</t>
  </si>
  <si>
    <t>90.85</t>
  </si>
  <si>
    <t>90.86</t>
  </si>
  <si>
    <t>84.38</t>
  </si>
  <si>
    <t>83.96</t>
  </si>
  <si>
    <t>16.43</t>
  </si>
  <si>
    <t>22.20</t>
  </si>
  <si>
    <t>11.73</t>
  </si>
  <si>
    <t>17.28</t>
  </si>
  <si>
    <t>10.09</t>
  </si>
  <si>
    <t>17.33</t>
  </si>
  <si>
    <t>7.36</t>
  </si>
  <si>
    <t>11.41</t>
  </si>
  <si>
    <t>7.90</t>
  </si>
  <si>
    <t>13.08</t>
  </si>
  <si>
    <t>78.17</t>
  </si>
  <si>
    <t>87.81</t>
  </si>
  <si>
    <t>81.61</t>
  </si>
  <si>
    <t>89.45</t>
  </si>
  <si>
    <t>82.07</t>
  </si>
  <si>
    <t>88.31</t>
  </si>
  <si>
    <t>85.22</t>
  </si>
  <si>
    <t>85.64</t>
  </si>
  <si>
    <t>6.46</t>
  </si>
  <si>
    <t>0.59</t>
  </si>
  <si>
    <t>1.11</t>
  </si>
  <si>
    <t>0.50</t>
  </si>
  <si>
    <t>0.83</t>
  </si>
  <si>
    <t>1.34</t>
  </si>
  <si>
    <t>79.53</t>
  </si>
  <si>
    <t>78.33</t>
  </si>
  <si>
    <t>88.23</t>
  </si>
  <si>
    <t>82.81</t>
  </si>
  <si>
    <t>92.26</t>
  </si>
  <si>
    <t>88.76</t>
  </si>
  <si>
    <t>92.79</t>
  </si>
  <si>
    <t>86.46</t>
  </si>
  <si>
    <t>86.38</t>
  </si>
  <si>
    <t>71.80</t>
  </si>
  <si>
    <t>70.42</t>
  </si>
  <si>
    <t>83.57</t>
  </si>
  <si>
    <t>57.19</t>
  </si>
  <si>
    <t>85.99</t>
  </si>
  <si>
    <t>78.56</t>
  </si>
  <si>
    <t>83.52</t>
  </si>
  <si>
    <t>79.92</t>
  </si>
  <si>
    <t xml:space="preserve">SI-1   </t>
  </si>
  <si>
    <t>KRSKO</t>
  </si>
  <si>
    <t>SLOVENIA</t>
  </si>
  <si>
    <t>NEK (Nuklerana elektrarna Krško)</t>
  </si>
  <si>
    <t>GEN (GEN energija, d.o.o)</t>
  </si>
  <si>
    <t>WH (WESTINGHOUSE ELECTRIC CORPORATION)</t>
  </si>
  <si>
    <t>Westinghouse 212</t>
  </si>
  <si>
    <t>11.9</t>
  </si>
  <si>
    <t>18</t>
  </si>
  <si>
    <t>44029</t>
  </si>
  <si>
    <t>2.46</t>
  </si>
  <si>
    <t>3.66</t>
  </si>
  <si>
    <t>50</t>
  </si>
  <si>
    <t>33</t>
  </si>
  <si>
    <t>325.2</t>
  </si>
  <si>
    <t>28774</t>
  </si>
  <si>
    <t>Double</t>
  </si>
  <si>
    <t>6.13</t>
  </si>
  <si>
    <t>5036.28</t>
  </si>
  <si>
    <t>5308.75</t>
  </si>
  <si>
    <t>4963.34</t>
  </si>
  <si>
    <t>5212.18</t>
  </si>
  <si>
    <t>5613.65</t>
  </si>
  <si>
    <t>5289.47</t>
  </si>
  <si>
    <t>5428.19</t>
  </si>
  <si>
    <t>5972.03</t>
  </si>
  <si>
    <t>5459.72</t>
  </si>
  <si>
    <t>5380.71</t>
  </si>
  <si>
    <t>133219.10</t>
  </si>
  <si>
    <t>86.22</t>
  </si>
  <si>
    <t>89.88</t>
  </si>
  <si>
    <t>98.32</t>
  </si>
  <si>
    <t>89.92</t>
  </si>
  <si>
    <t>98.59</t>
  </si>
  <si>
    <t>11.55</t>
  </si>
  <si>
    <t>7.20</t>
  </si>
  <si>
    <t>7.59</t>
  </si>
  <si>
    <t>7.71</t>
  </si>
  <si>
    <t>9.11</t>
  </si>
  <si>
    <t>12.89</t>
  </si>
  <si>
    <t>91.60</t>
  </si>
  <si>
    <t>98.55</t>
  </si>
  <si>
    <t>91.01</t>
  </si>
  <si>
    <t>85.46</t>
  </si>
  <si>
    <t>0.86</t>
  </si>
  <si>
    <t>0.87</t>
  </si>
  <si>
    <t>1.41</t>
  </si>
  <si>
    <t>1.76</t>
  </si>
  <si>
    <t>88.93</t>
  </si>
  <si>
    <t>92.59</t>
  </si>
  <si>
    <t>92.28</t>
  </si>
  <si>
    <t>98.90</t>
  </si>
  <si>
    <t>89.99</t>
  </si>
  <si>
    <t>91.23</t>
  </si>
  <si>
    <t>89.91</t>
  </si>
  <si>
    <t>85.93</t>
  </si>
  <si>
    <t>89.65</t>
  </si>
  <si>
    <t>83.82</t>
  </si>
  <si>
    <t>87.78</t>
  </si>
  <si>
    <t>91.34</t>
  </si>
  <si>
    <t>93.04</t>
  </si>
  <si>
    <t>102.08</t>
  </si>
  <si>
    <t>93.58</t>
  </si>
  <si>
    <t>92.23</t>
  </si>
  <si>
    <t>83.28</t>
  </si>
  <si>
    <t>6553.92</t>
  </si>
  <si>
    <t>6009.04</t>
  </si>
  <si>
    <t>6622.59</t>
  </si>
  <si>
    <t>6222.36</t>
  </si>
  <si>
    <t>6522.56</t>
  </si>
  <si>
    <t>6124.09</t>
  </si>
  <si>
    <t>6537.36</t>
  </si>
  <si>
    <t>5223.13</t>
  </si>
  <si>
    <t>177460.29</t>
  </si>
  <si>
    <t>85.00</t>
  </si>
  <si>
    <t>80.44</t>
  </si>
  <si>
    <t>67.71</t>
  </si>
  <si>
    <t>25.39</t>
  </si>
  <si>
    <t>9.26</t>
  </si>
  <si>
    <t>7.81</t>
  </si>
  <si>
    <t>12.73</t>
  </si>
  <si>
    <t>13.85</t>
  </si>
  <si>
    <t>68.74</t>
  </si>
  <si>
    <t>3.62</t>
  </si>
  <si>
    <t>2.62</t>
  </si>
  <si>
    <t>11.95</t>
  </si>
  <si>
    <t>86.77</t>
  </si>
  <si>
    <t>76.00</t>
  </si>
  <si>
    <t>91.16</t>
  </si>
  <si>
    <t>70.19</t>
  </si>
  <si>
    <t>65.55</t>
  </si>
  <si>
    <t>75.17</t>
  </si>
  <si>
    <t>76.61</t>
  </si>
  <si>
    <t>65.52</t>
  </si>
  <si>
    <t xml:space="preserve">FR-27  </t>
  </si>
  <si>
    <t>GRAVELINES-3</t>
  </si>
  <si>
    <t>45</t>
  </si>
  <si>
    <t>15.2</t>
  </si>
  <si>
    <t>47700</t>
  </si>
  <si>
    <t>5.5</t>
  </si>
  <si>
    <t>6198.04</t>
  </si>
  <si>
    <t>5282.46</t>
  </si>
  <si>
    <t>6045.52</t>
  </si>
  <si>
    <t>6393.08</t>
  </si>
  <si>
    <t>6075.92</t>
  </si>
  <si>
    <t>6501.20</t>
  </si>
  <si>
    <t>6265.62</t>
  </si>
  <si>
    <t>6027.10</t>
  </si>
  <si>
    <t>5272.78</t>
  </si>
  <si>
    <t>5689.33</t>
  </si>
  <si>
    <t>176111.89</t>
  </si>
  <si>
    <t>77.24</t>
  </si>
  <si>
    <t>66.68</t>
  </si>
  <si>
    <t>78.75</t>
  </si>
  <si>
    <t>5.34</t>
  </si>
  <si>
    <t>21.19</t>
  </si>
  <si>
    <t>12.57</t>
  </si>
  <si>
    <t>10.13</t>
  </si>
  <si>
    <t>12.44</t>
  </si>
  <si>
    <t>8.99</t>
  </si>
  <si>
    <t>17.01</t>
  </si>
  <si>
    <t>13.04</t>
  </si>
  <si>
    <t>78.93</t>
  </si>
  <si>
    <t>73.16</t>
  </si>
  <si>
    <t>6.69</t>
  </si>
  <si>
    <t>18.00</t>
  </si>
  <si>
    <t>6.04</t>
  </si>
  <si>
    <t>73.07</t>
  </si>
  <si>
    <t>85.41</t>
  </si>
  <si>
    <t>85.37</t>
  </si>
  <si>
    <t>71.95</t>
  </si>
  <si>
    <t>74.77</t>
  </si>
  <si>
    <t>65.90</t>
  </si>
  <si>
    <t>79.98</t>
  </si>
  <si>
    <t>76.21</t>
  </si>
  <si>
    <t>66.14</t>
  </si>
  <si>
    <t xml:space="preserve">FR-28  </t>
  </si>
  <si>
    <t>GRAVELINES-4</t>
  </si>
  <si>
    <t>5990.69</t>
  </si>
  <si>
    <t>6028.10</t>
  </si>
  <si>
    <t>5701.86</t>
  </si>
  <si>
    <t>6544.62</t>
  </si>
  <si>
    <t>6437.07</t>
  </si>
  <si>
    <t>7123.08</t>
  </si>
  <si>
    <t>6341.02</t>
  </si>
  <si>
    <t>6663.01</t>
  </si>
  <si>
    <t>6312.54</t>
  </si>
  <si>
    <t>6785.73</t>
  </si>
  <si>
    <t>176094.57</t>
  </si>
  <si>
    <t>78.26</t>
  </si>
  <si>
    <t>74.19</t>
  </si>
  <si>
    <t>79.79</t>
  </si>
  <si>
    <t>85.04</t>
  </si>
  <si>
    <t>88.51</t>
  </si>
  <si>
    <t>24.84</t>
  </si>
  <si>
    <t>7.69</t>
  </si>
  <si>
    <t>7.66</t>
  </si>
  <si>
    <t>79.76</t>
  </si>
  <si>
    <t>91.49</t>
  </si>
  <si>
    <t>85.78</t>
  </si>
  <si>
    <t>80.84</t>
  </si>
  <si>
    <t>9.25</t>
  </si>
  <si>
    <t>5.42</t>
  </si>
  <si>
    <t>5.01</t>
  </si>
  <si>
    <t>83.95</t>
  </si>
  <si>
    <t>80.90</t>
  </si>
  <si>
    <t>71.53</t>
  </si>
  <si>
    <t>89.36</t>
  </si>
  <si>
    <t>79.54</t>
  </si>
  <si>
    <t>75.14</t>
  </si>
  <si>
    <t xml:space="preserve">FR-51  </t>
  </si>
  <si>
    <t>GRAVELINES-5</t>
  </si>
  <si>
    <t>5762.64</t>
  </si>
  <si>
    <t>6423.39</t>
  </si>
  <si>
    <t>6473.43</t>
  </si>
  <si>
    <t>6613.48</t>
  </si>
  <si>
    <t>6410.04</t>
  </si>
  <si>
    <t>5313.17</t>
  </si>
  <si>
    <t>6510.19</t>
  </si>
  <si>
    <t>6357.76</t>
  </si>
  <si>
    <t>6652.21</t>
  </si>
  <si>
    <t>6228.43</t>
  </si>
  <si>
    <t>157335.42</t>
  </si>
  <si>
    <t>84.32</t>
  </si>
  <si>
    <t>83.46</t>
  </si>
  <si>
    <t>79.28</t>
  </si>
  <si>
    <t>80.58</t>
  </si>
  <si>
    <t>10.47</t>
  </si>
  <si>
    <t>13.51</t>
  </si>
  <si>
    <t>23.64</t>
  </si>
  <si>
    <t>7.54</t>
  </si>
  <si>
    <t>12.54</t>
  </si>
  <si>
    <t>85.91</t>
  </si>
  <si>
    <t>82.33</t>
  </si>
  <si>
    <t>82.32</t>
  </si>
  <si>
    <t>4.99</t>
  </si>
  <si>
    <t>4.48</t>
  </si>
  <si>
    <t>0.88</t>
  </si>
  <si>
    <t>82.74</t>
  </si>
  <si>
    <t>66.65</t>
  </si>
  <si>
    <t>81.66</t>
  </si>
  <si>
    <t xml:space="preserve">FR-52  </t>
  </si>
  <si>
    <t>GRAVELINES-6</t>
  </si>
  <si>
    <t>6148.66</t>
  </si>
  <si>
    <t>6690.91</t>
  </si>
  <si>
    <t>6462.57</t>
  </si>
  <si>
    <t>6936.10</t>
  </si>
  <si>
    <t>6536.49</t>
  </si>
  <si>
    <t>7058.37</t>
  </si>
  <si>
    <t>5455.66</t>
  </si>
  <si>
    <t>5792.75</t>
  </si>
  <si>
    <t>7108.24</t>
  </si>
  <si>
    <t>6363.90</t>
  </si>
  <si>
    <t>155324.69</t>
  </si>
  <si>
    <t>82.35</t>
  </si>
  <si>
    <t>68.42</t>
  </si>
  <si>
    <t>71.49</t>
  </si>
  <si>
    <t>80.23</t>
  </si>
  <si>
    <t>15.05</t>
  </si>
  <si>
    <t>23.44</t>
  </si>
  <si>
    <t>16.02</t>
  </si>
  <si>
    <t>69.10</t>
  </si>
  <si>
    <t>4.00</t>
  </si>
  <si>
    <t>84.59</t>
  </si>
  <si>
    <t>89.37</t>
  </si>
  <si>
    <t>69.49</t>
  </si>
  <si>
    <t>72.67</t>
  </si>
  <si>
    <t>82.00</t>
  </si>
  <si>
    <t>68.44</t>
  </si>
  <si>
    <t xml:space="preserve">FR-58  </t>
  </si>
  <si>
    <t>NOGENT-1</t>
  </si>
  <si>
    <t>111.1</t>
  </si>
  <si>
    <t>16700</t>
  </si>
  <si>
    <t>9142.69</t>
  </si>
  <si>
    <t>9010.98</t>
  </si>
  <si>
    <t>9974.35</t>
  </si>
  <si>
    <t>8535.34</t>
  </si>
  <si>
    <t>8534.36</t>
  </si>
  <si>
    <t>9284.82</t>
  </si>
  <si>
    <t>10831.76</t>
  </si>
  <si>
    <t>8553.25</t>
  </si>
  <si>
    <t>7308.98</t>
  </si>
  <si>
    <t>10382.38</t>
  </si>
  <si>
    <t>189461.58</t>
  </si>
  <si>
    <t>98.03</t>
  </si>
  <si>
    <t>77.82</t>
  </si>
  <si>
    <t>94.48</t>
  </si>
  <si>
    <t>64.72</t>
  </si>
  <si>
    <t>13.99</t>
  </si>
  <si>
    <t>12.36</t>
  </si>
  <si>
    <t>21.07</t>
  </si>
  <si>
    <t>11.52</t>
  </si>
  <si>
    <t>24.05</t>
  </si>
  <si>
    <t>98.28</t>
  </si>
  <si>
    <t>76.47</t>
  </si>
  <si>
    <t>96.54</t>
  </si>
  <si>
    <t>97.19</t>
  </si>
  <si>
    <t>5.44</t>
  </si>
  <si>
    <t>98.41</t>
  </si>
  <si>
    <t>81.42</t>
  </si>
  <si>
    <t>77.66</t>
  </si>
  <si>
    <t>67.02</t>
  </si>
  <si>
    <t>79.07</t>
  </si>
  <si>
    <t>74.17</t>
  </si>
  <si>
    <t>94.39</t>
  </si>
  <si>
    <t>74.33</t>
  </si>
  <si>
    <t>71.58</t>
  </si>
  <si>
    <t xml:space="preserve">FR-59  </t>
  </si>
  <si>
    <t>NOGENT-2</t>
  </si>
  <si>
    <t>9378.95</t>
  </si>
  <si>
    <t>8205.53</t>
  </si>
  <si>
    <t>9447.11</t>
  </si>
  <si>
    <t>8216.70</t>
  </si>
  <si>
    <t>8393.26</t>
  </si>
  <si>
    <t>10046.50</t>
  </si>
  <si>
    <t>9885.89</t>
  </si>
  <si>
    <t>7594.22</t>
  </si>
  <si>
    <t>7156.37</t>
  </si>
  <si>
    <t>8055.24</t>
  </si>
  <si>
    <t>184823.31</t>
  </si>
  <si>
    <t>67.01</t>
  </si>
  <si>
    <t>66.02</t>
  </si>
  <si>
    <t>73.65</t>
  </si>
  <si>
    <t>79.81</t>
  </si>
  <si>
    <t>14.02</t>
  </si>
  <si>
    <t>13.34</t>
  </si>
  <si>
    <t>18.50</t>
  </si>
  <si>
    <t>84.17</t>
  </si>
  <si>
    <t>77.20</t>
  </si>
  <si>
    <t>67.32</t>
  </si>
  <si>
    <t>32.67</t>
  </si>
  <si>
    <t>82.66</t>
  </si>
  <si>
    <t>78.85</t>
  </si>
  <si>
    <t>71.50</t>
  </si>
  <si>
    <t>66.00</t>
  </si>
  <si>
    <t>73.64</t>
  </si>
  <si>
    <t xml:space="preserve">FR-36  </t>
  </si>
  <si>
    <t>PALUEL-1</t>
  </si>
  <si>
    <t>91000</t>
  </si>
  <si>
    <t>9752.15</t>
  </si>
  <si>
    <t>7153.91</t>
  </si>
  <si>
    <t>8526.18</t>
  </si>
  <si>
    <t>8596.32</t>
  </si>
  <si>
    <t>10565.55</t>
  </si>
  <si>
    <t>7437.70</t>
  </si>
  <si>
    <t>8135.11</t>
  </si>
  <si>
    <t>9808.67</t>
  </si>
  <si>
    <t>7469.32</t>
  </si>
  <si>
    <t>8295.24</t>
  </si>
  <si>
    <t>210418.90</t>
  </si>
  <si>
    <t>77.18</t>
  </si>
  <si>
    <t>97.86</t>
  </si>
  <si>
    <t>66.51</t>
  </si>
  <si>
    <t>74.55</t>
  </si>
  <si>
    <t>75.96</t>
  </si>
  <si>
    <t>21.66</t>
  </si>
  <si>
    <t>15.99</t>
  </si>
  <si>
    <t>28.79</t>
  </si>
  <si>
    <t>15.13</t>
  </si>
  <si>
    <t>15.20</t>
  </si>
  <si>
    <t>13.94</t>
  </si>
  <si>
    <t>98.29</t>
  </si>
  <si>
    <t>68.27</t>
  </si>
  <si>
    <t>98.39</t>
  </si>
  <si>
    <t>68.61</t>
  </si>
  <si>
    <t>86.13</t>
  </si>
  <si>
    <t>1.49</t>
  </si>
  <si>
    <t>3.73</t>
  </si>
  <si>
    <t>69.42</t>
  </si>
  <si>
    <t>77.49</t>
  </si>
  <si>
    <t>61.40</t>
  </si>
  <si>
    <t>73.58</t>
  </si>
  <si>
    <t>63.84</t>
  </si>
  <si>
    <t>64.11</t>
  </si>
  <si>
    <t>71.20</t>
  </si>
  <si>
    <t>70.27</t>
  </si>
  <si>
    <t xml:space="preserve">FR-37  </t>
  </si>
  <si>
    <t>PALUEL-2</t>
  </si>
  <si>
    <t>7843.13</t>
  </si>
  <si>
    <t>7984.37</t>
  </si>
  <si>
    <t>8814.93</t>
  </si>
  <si>
    <t>9562.68</t>
  </si>
  <si>
    <t>7246.43</t>
  </si>
  <si>
    <t>8143.51</t>
  </si>
  <si>
    <t>7558.05</t>
  </si>
  <si>
    <t>9315.58</t>
  </si>
  <si>
    <t>8393.37</t>
  </si>
  <si>
    <t>10209.97</t>
  </si>
  <si>
    <t>207862.45</t>
  </si>
  <si>
    <t>16.33</t>
  </si>
  <si>
    <t>12.18</t>
  </si>
  <si>
    <t>28.56</t>
  </si>
  <si>
    <t>76.68</t>
  </si>
  <si>
    <t>92.58</t>
  </si>
  <si>
    <t>68.30</t>
  </si>
  <si>
    <t>76.83</t>
  </si>
  <si>
    <t>31.67</t>
  </si>
  <si>
    <t>10.27</t>
  </si>
  <si>
    <t>66.47</t>
  </si>
  <si>
    <t>68.73</t>
  </si>
  <si>
    <t>96.99</t>
  </si>
  <si>
    <t>76.93</t>
  </si>
  <si>
    <t>68.53</t>
  </si>
  <si>
    <t>75.66</t>
  </si>
  <si>
    <t>62.19</t>
  </si>
  <si>
    <t>64.87</t>
  </si>
  <si>
    <t xml:space="preserve">FR-38  </t>
  </si>
  <si>
    <t>PALUEL-3</t>
  </si>
  <si>
    <t>7815.94</t>
  </si>
  <si>
    <t>8900.48</t>
  </si>
  <si>
    <t>8181.73</t>
  </si>
  <si>
    <t>6395.50</t>
  </si>
  <si>
    <t>8157.60</t>
  </si>
  <si>
    <t>10549.56</t>
  </si>
  <si>
    <t>3908.79</t>
  </si>
  <si>
    <t>10106.55</t>
  </si>
  <si>
    <t>4214.55</t>
  </si>
  <si>
    <t>6850.05</t>
  </si>
  <si>
    <t>196306.47</t>
  </si>
  <si>
    <t>56.04</t>
  </si>
  <si>
    <t>73.15</t>
  </si>
  <si>
    <t>38.84</t>
  </si>
  <si>
    <t>60.64</t>
  </si>
  <si>
    <t>72.28</t>
  </si>
  <si>
    <t>17.15</t>
  </si>
  <si>
    <t>26.14</t>
  </si>
  <si>
    <t>12.78</t>
  </si>
  <si>
    <t>57.01</t>
  </si>
  <si>
    <t>36.28</t>
  </si>
  <si>
    <t>98.00</t>
  </si>
  <si>
    <t>42.69</t>
  </si>
  <si>
    <t>61.91</t>
  </si>
  <si>
    <t>74.01</t>
  </si>
  <si>
    <t>6.38</t>
  </si>
  <si>
    <t>24.57</t>
  </si>
  <si>
    <t>31.91</t>
  </si>
  <si>
    <t>14.66</t>
  </si>
  <si>
    <t>39.64</t>
  </si>
  <si>
    <t>38.08</t>
  </si>
  <si>
    <t>84.09</t>
  </si>
  <si>
    <t>58.60</t>
  </si>
  <si>
    <t>75.03</t>
  </si>
  <si>
    <t>97.56</t>
  </si>
  <si>
    <t>41.89</t>
  </si>
  <si>
    <t>61.58</t>
  </si>
  <si>
    <t>54.74</t>
  </si>
  <si>
    <t>33.55</t>
  </si>
  <si>
    <t>36.17</t>
  </si>
  <si>
    <t xml:space="preserve">FR-39  </t>
  </si>
  <si>
    <t>PALUEL-4</t>
  </si>
  <si>
    <t>8581.02</t>
  </si>
  <si>
    <t>9303.30</t>
  </si>
  <si>
    <t>7960.72</t>
  </si>
  <si>
    <t>7138.56</t>
  </si>
  <si>
    <t>9682.12</t>
  </si>
  <si>
    <t>8270.83</t>
  </si>
  <si>
    <t>8421.51</t>
  </si>
  <si>
    <t>7962.59</t>
  </si>
  <si>
    <t>9337.13</t>
  </si>
  <si>
    <t>7709.46</t>
  </si>
  <si>
    <t>202467.60</t>
  </si>
  <si>
    <t>64.63</t>
  </si>
  <si>
    <t>77.23</t>
  </si>
  <si>
    <t>73.68</t>
  </si>
  <si>
    <t>88.89</t>
  </si>
  <si>
    <t>67.44</t>
  </si>
  <si>
    <t>76.09</t>
  </si>
  <si>
    <t>16.52</t>
  </si>
  <si>
    <t>16.93</t>
  </si>
  <si>
    <t>14.86</t>
  </si>
  <si>
    <t>25.46</t>
  </si>
  <si>
    <t>82.79</t>
  </si>
  <si>
    <t>67.89</t>
  </si>
  <si>
    <t>70.82</t>
  </si>
  <si>
    <t>8.86</t>
  </si>
  <si>
    <t>18.67</t>
  </si>
  <si>
    <t>1.26</t>
  </si>
  <si>
    <t>8.56</t>
  </si>
  <si>
    <t>77.90</t>
  </si>
  <si>
    <t>69.46</t>
  </si>
  <si>
    <t>79.85</t>
  </si>
  <si>
    <t>61.10</t>
  </si>
  <si>
    <t>83.09</t>
  </si>
  <si>
    <t>70.99</t>
  </si>
  <si>
    <t>68.16</t>
  </si>
  <si>
    <t>66.17</t>
  </si>
  <si>
    <t>70.44</t>
  </si>
  <si>
    <t xml:space="preserve">FR-63  </t>
  </si>
  <si>
    <t>PENLY-1</t>
  </si>
  <si>
    <t>9825.84</t>
  </si>
  <si>
    <t>7146.66</t>
  </si>
  <si>
    <t>9290.83</t>
  </si>
  <si>
    <t>10500.23</t>
  </si>
  <si>
    <t>8491.26</t>
  </si>
  <si>
    <t>9533.15</t>
  </si>
  <si>
    <t>9243.57</t>
  </si>
  <si>
    <t>10743.35</t>
  </si>
  <si>
    <t>8878.54</t>
  </si>
  <si>
    <t>6627.27</t>
  </si>
  <si>
    <t>178460.23</t>
  </si>
  <si>
    <t>98.40</t>
  </si>
  <si>
    <t>98.57</t>
  </si>
  <si>
    <t>59.23</t>
  </si>
  <si>
    <t>27.74</t>
  </si>
  <si>
    <t>8.84</t>
  </si>
  <si>
    <t>14.95</t>
  </si>
  <si>
    <t>98.93</t>
  </si>
  <si>
    <t>32.32</t>
  </si>
  <si>
    <t>85.90</t>
  </si>
  <si>
    <t>60.27</t>
  </si>
  <si>
    <t>61.34</t>
  </si>
  <si>
    <t>79.34</t>
  </si>
  <si>
    <t>56.88</t>
  </si>
  <si>
    <t>75.48</t>
  </si>
  <si>
    <t xml:space="preserve">FR-64  </t>
  </si>
  <si>
    <t>PENLY-2</t>
  </si>
  <si>
    <t>804</t>
  </si>
  <si>
    <t>8816.23</t>
  </si>
  <si>
    <t>8464.26</t>
  </si>
  <si>
    <t>10207.81</t>
  </si>
  <si>
    <t>7225.85</t>
  </si>
  <si>
    <t>9102.59</t>
  </si>
  <si>
    <t>9885.16</t>
  </si>
  <si>
    <t>8718.65</t>
  </si>
  <si>
    <t>9474.85</t>
  </si>
  <si>
    <t>8954.23</t>
  </si>
  <si>
    <t>9986.96</t>
  </si>
  <si>
    <t>166351.65</t>
  </si>
  <si>
    <t>80.32</t>
  </si>
  <si>
    <t>13.93</t>
  </si>
  <si>
    <t>29.35</t>
  </si>
  <si>
    <t>17.20</t>
  </si>
  <si>
    <t>97.72</t>
  </si>
  <si>
    <t>9.06</t>
  </si>
  <si>
    <t>4.06</t>
  </si>
  <si>
    <t>1.39</t>
  </si>
  <si>
    <t>2.25</t>
  </si>
  <si>
    <t>98.21</t>
  </si>
  <si>
    <t>70.94</t>
  </si>
  <si>
    <t>80.83</t>
  </si>
  <si>
    <t>97.84</t>
  </si>
  <si>
    <t>75.67</t>
  </si>
  <si>
    <t>87.61</t>
  </si>
  <si>
    <t>61.85</t>
  </si>
  <si>
    <t>76.86</t>
  </si>
  <si>
    <t xml:space="preserve">FR-48  </t>
  </si>
  <si>
    <t>ST. ALBAN-1</t>
  </si>
  <si>
    <t>103.7</t>
  </si>
  <si>
    <t>65600</t>
  </si>
  <si>
    <t>9298.49</t>
  </si>
  <si>
    <t>8768.82</t>
  </si>
  <si>
    <t>8691.94</t>
  </si>
  <si>
    <t>10127.42</t>
  </si>
  <si>
    <t>9697.02</t>
  </si>
  <si>
    <t>8882.10</t>
  </si>
  <si>
    <t>6342.04</t>
  </si>
  <si>
    <t>5610.15</t>
  </si>
  <si>
    <t>8681.78</t>
  </si>
  <si>
    <t>10759.91</t>
  </si>
  <si>
    <t>196721.95</t>
  </si>
  <si>
    <t>78.00</t>
  </si>
  <si>
    <t>95.28</t>
  </si>
  <si>
    <t>54.55</t>
  </si>
  <si>
    <t>49.16</t>
  </si>
  <si>
    <t>74.60</t>
  </si>
  <si>
    <t>74.59</t>
  </si>
  <si>
    <t>13.26</t>
  </si>
  <si>
    <t>17.58</t>
  </si>
  <si>
    <t>14.63</t>
  </si>
  <si>
    <t>40.71</t>
  </si>
  <si>
    <t>9.34</t>
  </si>
  <si>
    <t>81.04</t>
  </si>
  <si>
    <t>96.62</t>
  </si>
  <si>
    <t>55.89</t>
  </si>
  <si>
    <t>49.33</t>
  </si>
  <si>
    <t>1.71</t>
  </si>
  <si>
    <t>3.41</t>
  </si>
  <si>
    <t>46.41</t>
  </si>
  <si>
    <t>6.86</t>
  </si>
  <si>
    <t>56.93</t>
  </si>
  <si>
    <t>52.11</t>
  </si>
  <si>
    <t>79.51</t>
  </si>
  <si>
    <t>74.32</t>
  </si>
  <si>
    <t>54.23</t>
  </si>
  <si>
    <t>47.84</t>
  </si>
  <si>
    <t>74.24</t>
  </si>
  <si>
    <t>66.97</t>
  </si>
  <si>
    <t xml:space="preserve">FR-49  </t>
  </si>
  <si>
    <t>ST. ALBAN-2</t>
  </si>
  <si>
    <t>8654.77</t>
  </si>
  <si>
    <t>8290.64</t>
  </si>
  <si>
    <t>9254.77</t>
  </si>
  <si>
    <t>10476.49</t>
  </si>
  <si>
    <t>7237.98</t>
  </si>
  <si>
    <t>7584.24</t>
  </si>
  <si>
    <t>10476.05</t>
  </si>
  <si>
    <t>6270.91</t>
  </si>
  <si>
    <t>8753.18</t>
  </si>
  <si>
    <t>8297.53</t>
  </si>
  <si>
    <t>186315.22</t>
  </si>
  <si>
    <t>65.22</t>
  </si>
  <si>
    <t>67.40</t>
  </si>
  <si>
    <t>54.70</t>
  </si>
  <si>
    <t>73.03</t>
  </si>
  <si>
    <t>11.77</t>
  </si>
  <si>
    <t>15.71</t>
  </si>
  <si>
    <t>33.58</t>
  </si>
  <si>
    <t>7.92</t>
  </si>
  <si>
    <t>77.33</t>
  </si>
  <si>
    <t>97.77</t>
  </si>
  <si>
    <t>58.09</t>
  </si>
  <si>
    <t>76.51</t>
  </si>
  <si>
    <t>2.03</t>
  </si>
  <si>
    <t>1.74</t>
  </si>
  <si>
    <t>16.03</t>
  </si>
  <si>
    <t>10.83</t>
  </si>
  <si>
    <t>99.15</t>
  </si>
  <si>
    <t>98.86</t>
  </si>
  <si>
    <t>64.85</t>
  </si>
  <si>
    <t>53.48</t>
  </si>
  <si>
    <t>74.85</t>
  </si>
  <si>
    <t>70.95</t>
  </si>
  <si>
    <t>66.11</t>
  </si>
  <si>
    <t xml:space="preserve">FR-17  </t>
  </si>
  <si>
    <t>ST. LAURENT-B-1</t>
  </si>
  <si>
    <t>6814.76</t>
  </si>
  <si>
    <t>6637.03</t>
  </si>
  <si>
    <t>6630.44</t>
  </si>
  <si>
    <t>6364.19</t>
  </si>
  <si>
    <t>5384.07</t>
  </si>
  <si>
    <t>6914.14</t>
  </si>
  <si>
    <t>6426.68</t>
  </si>
  <si>
    <t>6894.13</t>
  </si>
  <si>
    <t>6241.46</t>
  </si>
  <si>
    <t>6802.10</t>
  </si>
  <si>
    <t>161714.47</t>
  </si>
  <si>
    <t>86.40</t>
  </si>
  <si>
    <t>80.41</t>
  </si>
  <si>
    <t>68.11</t>
  </si>
  <si>
    <t>25.93</t>
  </si>
  <si>
    <t>8.34</t>
  </si>
  <si>
    <t>7.13</t>
  </si>
  <si>
    <t>88.91</t>
  </si>
  <si>
    <t>78.54</t>
  </si>
  <si>
    <t>1.35</t>
  </si>
  <si>
    <t>1.61</t>
  </si>
  <si>
    <t>87.42</t>
  </si>
  <si>
    <t>67.16</t>
  </si>
  <si>
    <t>86.26</t>
  </si>
  <si>
    <t xml:space="preserve">FR-23  </t>
  </si>
  <si>
    <t>ST. LAURENT-B-2</t>
  </si>
  <si>
    <t>6046.65</t>
  </si>
  <si>
    <t>6215.02</t>
  </si>
  <si>
    <t>4702.44</t>
  </si>
  <si>
    <t>6468.60</t>
  </si>
  <si>
    <t>5728.05</t>
  </si>
  <si>
    <t>6004.32</t>
  </si>
  <si>
    <t>5906.81</t>
  </si>
  <si>
    <t>6581.43</t>
  </si>
  <si>
    <t>6175.76</t>
  </si>
  <si>
    <t>6694.83</t>
  </si>
  <si>
    <t>161055.00</t>
  </si>
  <si>
    <t>61.64</t>
  </si>
  <si>
    <t>76.98</t>
  </si>
  <si>
    <t>77.02</t>
  </si>
  <si>
    <t>15.37</t>
  </si>
  <si>
    <t>32.14</t>
  </si>
  <si>
    <t>13.98</t>
  </si>
  <si>
    <t>9.60</t>
  </si>
  <si>
    <t>13.91</t>
  </si>
  <si>
    <t>8.53</t>
  </si>
  <si>
    <t>4.74</t>
  </si>
  <si>
    <t>7.84</t>
  </si>
  <si>
    <t>63.70</t>
  </si>
  <si>
    <t>58.67</t>
  </si>
  <si>
    <t>71.45</t>
  </si>
  <si>
    <t xml:space="preserve">FR-18  </t>
  </si>
  <si>
    <t>TRICASTIN-1</t>
  </si>
  <si>
    <t>6053.29</t>
  </si>
  <si>
    <t>6384.56</t>
  </si>
  <si>
    <t>5670.06</t>
  </si>
  <si>
    <t>6832.46</t>
  </si>
  <si>
    <t>5830.97</t>
  </si>
  <si>
    <t>6466.79</t>
  </si>
  <si>
    <t>6344.72</t>
  </si>
  <si>
    <t>6808.19</t>
  </si>
  <si>
    <t>4655.39</t>
  </si>
  <si>
    <t>6688.43</t>
  </si>
  <si>
    <t>177529.71</t>
  </si>
  <si>
    <t>73.02</t>
  </si>
  <si>
    <t>73.98</t>
  </si>
  <si>
    <t>82.55</t>
  </si>
  <si>
    <t>59.21</t>
  </si>
  <si>
    <t>76.91</t>
  </si>
  <si>
    <t>13.76</t>
  </si>
  <si>
    <t>11.49</t>
  </si>
  <si>
    <t>21.71</t>
  </si>
  <si>
    <t>63.45</t>
  </si>
  <si>
    <t>62.04</t>
  </si>
  <si>
    <t>70.74</t>
  </si>
  <si>
    <t>85.01</t>
  </si>
  <si>
    <t>72.74</t>
  </si>
  <si>
    <t>58.08</t>
  </si>
  <si>
    <t>72.87</t>
  </si>
  <si>
    <t xml:space="preserve">FR-19  </t>
  </si>
  <si>
    <t>TRICASTIN-2</t>
  </si>
  <si>
    <t>6710.46</t>
  </si>
  <si>
    <t>6593.92</t>
  </si>
  <si>
    <t>6195.95</t>
  </si>
  <si>
    <t>5684.23</t>
  </si>
  <si>
    <t>5878.67</t>
  </si>
  <si>
    <t>6221.30</t>
  </si>
  <si>
    <t>6910.13</t>
  </si>
  <si>
    <t>4884.40</t>
  </si>
  <si>
    <t>6083.60</t>
  </si>
  <si>
    <t>6467.47</t>
  </si>
  <si>
    <t>175776.81</t>
  </si>
  <si>
    <t>63.59</t>
  </si>
  <si>
    <t>76.12</t>
  </si>
  <si>
    <t>7.53</t>
  </si>
  <si>
    <t>8.81</t>
  </si>
  <si>
    <t>13.67</t>
  </si>
  <si>
    <t>82.60</t>
  </si>
  <si>
    <t>65.13</t>
  </si>
  <si>
    <t>87.15</t>
  </si>
  <si>
    <t>2.15</t>
  </si>
  <si>
    <t>9.85</t>
  </si>
  <si>
    <t>6.90</t>
  </si>
  <si>
    <t>88.06</t>
  </si>
  <si>
    <t>65.66</t>
  </si>
  <si>
    <t>77.30</t>
  </si>
  <si>
    <t>70.72</t>
  </si>
  <si>
    <t>73.33</t>
  </si>
  <si>
    <t>60.77</t>
  </si>
  <si>
    <t xml:space="preserve">FR-25  </t>
  </si>
  <si>
    <t>TRICASTIN-3</t>
  </si>
  <si>
    <t>4929.48</t>
  </si>
  <si>
    <t>5976.06</t>
  </si>
  <si>
    <t>6144.89</t>
  </si>
  <si>
    <t>6377.15</t>
  </si>
  <si>
    <t>6563.04</t>
  </si>
  <si>
    <t>6006.89</t>
  </si>
  <si>
    <t>6775.03</t>
  </si>
  <si>
    <t>6185.23</t>
  </si>
  <si>
    <t>5750.65</t>
  </si>
  <si>
    <t>6257.49</t>
  </si>
  <si>
    <t>180347.63</t>
  </si>
  <si>
    <t>21.96</t>
  </si>
  <si>
    <t>19.29</t>
  </si>
  <si>
    <t>13.35</t>
  </si>
  <si>
    <t>65.77</t>
  </si>
  <si>
    <t>79.66</t>
  </si>
  <si>
    <t>88.96</t>
  </si>
  <si>
    <t>75.88</t>
  </si>
  <si>
    <t>81.08</t>
  </si>
  <si>
    <t>16.37</t>
  </si>
  <si>
    <t>65.95</t>
  </si>
  <si>
    <t>85.48</t>
  </si>
  <si>
    <t>61.50</t>
  </si>
  <si>
    <t>76.66</t>
  </si>
  <si>
    <t>84.53</t>
  </si>
  <si>
    <t>75.54</t>
  </si>
  <si>
    <t xml:space="preserve">FR-26  </t>
  </si>
  <si>
    <t>TRICASTIN-4</t>
  </si>
  <si>
    <t>6036.95</t>
  </si>
  <si>
    <t>6260.60</t>
  </si>
  <si>
    <t>6387.89</t>
  </si>
  <si>
    <t>4724.06</t>
  </si>
  <si>
    <t>6501.37</t>
  </si>
  <si>
    <t>6410.44</t>
  </si>
  <si>
    <t>7046.97</t>
  </si>
  <si>
    <t>6016.61</t>
  </si>
  <si>
    <t>6536.71</t>
  </si>
  <si>
    <t>6263.83</t>
  </si>
  <si>
    <t>174515.64</t>
  </si>
  <si>
    <t>81.25</t>
  </si>
  <si>
    <t>58.84</t>
  </si>
  <si>
    <t>82.98</t>
  </si>
  <si>
    <t>79.97</t>
  </si>
  <si>
    <t>11.34</t>
  </si>
  <si>
    <t>38.80</t>
  </si>
  <si>
    <t>11.17</t>
  </si>
  <si>
    <t>13.24</t>
  </si>
  <si>
    <t>83.00</t>
  </si>
  <si>
    <t>59.83</t>
  </si>
  <si>
    <t>77.35</t>
  </si>
  <si>
    <t>6.39</t>
  </si>
  <si>
    <t>4.65</t>
  </si>
  <si>
    <t>84.46</t>
  </si>
  <si>
    <t>61.01</t>
  </si>
  <si>
    <t>58.78</t>
  </si>
  <si>
    <t>87.91</t>
  </si>
  <si>
    <t>74.86</t>
  </si>
  <si>
    <t>86.24</t>
  </si>
  <si>
    <t>98.68</t>
  </si>
  <si>
    <t>4.46</t>
  </si>
  <si>
    <t>2.72</t>
  </si>
  <si>
    <t>1.21</t>
  </si>
  <si>
    <t>4.93</t>
  </si>
  <si>
    <t>1.60</t>
  </si>
  <si>
    <t>1.04</t>
  </si>
  <si>
    <t>2.82</t>
  </si>
  <si>
    <t>85.40</t>
  </si>
  <si>
    <t>87.11</t>
  </si>
  <si>
    <t>84.88</t>
  </si>
  <si>
    <t>99.24</t>
  </si>
  <si>
    <t>99.08</t>
  </si>
  <si>
    <t>87.66</t>
  </si>
  <si>
    <t>82.70</t>
  </si>
  <si>
    <t>83.62</t>
  </si>
  <si>
    <t>94.81</t>
  </si>
  <si>
    <t>84.10</t>
  </si>
  <si>
    <t>80.82</t>
  </si>
  <si>
    <t>97.15</t>
  </si>
  <si>
    <t>83.73</t>
  </si>
  <si>
    <t>85.97</t>
  </si>
  <si>
    <t>86.82</t>
  </si>
  <si>
    <t xml:space="preserve">BE-6   </t>
  </si>
  <si>
    <t>TIHANGE-2</t>
  </si>
  <si>
    <t>ALS/ACEC (TURBINE: ALSTHOM; ALTERNATOR: ACEC)</t>
  </si>
  <si>
    <t>13.173</t>
  </si>
  <si>
    <t>82.2</t>
  </si>
  <si>
    <t>15.52</t>
  </si>
  <si>
    <t>324.7</t>
  </si>
  <si>
    <t>15176</t>
  </si>
  <si>
    <t>5.4</t>
  </si>
  <si>
    <t>6976.00</t>
  </si>
  <si>
    <t>7833.39</t>
  </si>
  <si>
    <t>7600.97</t>
  </si>
  <si>
    <t>8517.32</t>
  </si>
  <si>
    <t>7890.01</t>
  </si>
  <si>
    <t>7219.32</t>
  </si>
  <si>
    <t>8751.57</t>
  </si>
  <si>
    <t>7129.35</t>
  </si>
  <si>
    <t>7732.29</t>
  </si>
  <si>
    <t>8823.79</t>
  </si>
  <si>
    <t>202959.41</t>
  </si>
  <si>
    <t>80.69</t>
  </si>
  <si>
    <t>85.56</t>
  </si>
  <si>
    <t>96.01</t>
  </si>
  <si>
    <t>89.48</t>
  </si>
  <si>
    <t>99.95</t>
  </si>
  <si>
    <t>80.43</t>
  </si>
  <si>
    <t>99.25</t>
  </si>
  <si>
    <t>87.46</t>
  </si>
  <si>
    <t>17.81</t>
  </si>
  <si>
    <t>10.73</t>
  </si>
  <si>
    <t>9.77</t>
  </si>
  <si>
    <t>13.13</t>
  </si>
  <si>
    <t>12.29</t>
  </si>
  <si>
    <t>80.77</t>
  </si>
  <si>
    <t>96.43</t>
  </si>
  <si>
    <t>83.01</t>
  </si>
  <si>
    <t>99.97</t>
  </si>
  <si>
    <t>86.76</t>
  </si>
  <si>
    <t>99.47</t>
  </si>
  <si>
    <t>88.53</t>
  </si>
  <si>
    <t>1.72</t>
  </si>
  <si>
    <t>1.19</t>
  </si>
  <si>
    <t>3.57</t>
  </si>
  <si>
    <t>2.31</t>
  </si>
  <si>
    <t>2.01</t>
  </si>
  <si>
    <t>86.63</t>
  </si>
  <si>
    <t>96.52</t>
  </si>
  <si>
    <t>90.51</t>
  </si>
  <si>
    <t>100.00</t>
  </si>
  <si>
    <t>81.57</t>
  </si>
  <si>
    <t>87.49</t>
  </si>
  <si>
    <t>99.61</t>
  </si>
  <si>
    <t>88.97</t>
  </si>
  <si>
    <t>96.19</t>
  </si>
  <si>
    <t>89.35</t>
  </si>
  <si>
    <t>81.76</t>
  </si>
  <si>
    <t>99.11</t>
  </si>
  <si>
    <t>80.52</t>
  </si>
  <si>
    <t>99.93</t>
  </si>
  <si>
    <t>87.32</t>
  </si>
  <si>
    <t xml:space="preserve">BE-8   </t>
  </si>
  <si>
    <t>TIHANGE-3</t>
  </si>
  <si>
    <t>BBC/ACEC (BBC - CEM / ACEC)</t>
  </si>
  <si>
    <t>12.985</t>
  </si>
  <si>
    <t>330.3</t>
  </si>
  <si>
    <t>16566</t>
  </si>
  <si>
    <t>7729.00</t>
  </si>
  <si>
    <t>8340.47</t>
  </si>
  <si>
    <t>7661.54</t>
  </si>
  <si>
    <t>7936.43</t>
  </si>
  <si>
    <t>8707.53</t>
  </si>
  <si>
    <t>7237.59</t>
  </si>
  <si>
    <t>7339.40</t>
  </si>
  <si>
    <t>8385.26</t>
  </si>
  <si>
    <t>7717.15</t>
  </si>
  <si>
    <t>7563.23</t>
  </si>
  <si>
    <t>198200.49</t>
  </si>
  <si>
    <t>86.49</t>
  </si>
  <si>
    <t>99.58</t>
  </si>
  <si>
    <t>83.33</t>
  </si>
  <si>
    <t>93.88</t>
  </si>
  <si>
    <t>81.88</t>
  </si>
  <si>
    <t>87.44</t>
  </si>
  <si>
    <t>3.13</t>
  </si>
  <si>
    <t>10.45</t>
  </si>
  <si>
    <t>9.50</t>
  </si>
  <si>
    <t>12.97</t>
  </si>
  <si>
    <t>12.47</t>
  </si>
  <si>
    <t>5.03</t>
  </si>
  <si>
    <t>12.60</t>
  </si>
  <si>
    <t>8.98</t>
  </si>
  <si>
    <t>89.90</t>
  </si>
  <si>
    <t>95.68</t>
  </si>
  <si>
    <t>89.43</t>
  </si>
  <si>
    <t>99.77</t>
  </si>
  <si>
    <t>86.09</t>
  </si>
  <si>
    <t>83.40</t>
  </si>
  <si>
    <t>82.49</t>
  </si>
  <si>
    <t>89.00</t>
  </si>
  <si>
    <t>2.47</t>
  </si>
  <si>
    <t>1.08</t>
  </si>
  <si>
    <t>4.73</t>
  </si>
  <si>
    <t>0.75</t>
  </si>
  <si>
    <t>95.53</t>
  </si>
  <si>
    <t>99.92</t>
  </si>
  <si>
    <t>86.67</t>
  </si>
  <si>
    <t>84.54</t>
  </si>
  <si>
    <t>95.23</t>
  </si>
  <si>
    <t>85.39</t>
  </si>
  <si>
    <t>86.16</t>
  </si>
  <si>
    <t>89.02</t>
  </si>
  <si>
    <t>81.40</t>
  </si>
  <si>
    <t>82.54</t>
  </si>
  <si>
    <t>94.05</t>
  </si>
  <si>
    <t>84.61</t>
  </si>
  <si>
    <t>82.02</t>
  </si>
  <si>
    <t xml:space="preserve">DE-32  </t>
  </si>
  <si>
    <t>BROKDORF (KBR)</t>
  </si>
  <si>
    <t>GERMANY</t>
  </si>
  <si>
    <t>E.ON (E.ON Kernkraft GmbH)</t>
  </si>
  <si>
    <t>E.ON/VEN (1. (80%) E.ON Kernkraft GmbH
2. (20%) Vattenfall Europe Nuclear Energy GmbH)</t>
  </si>
  <si>
    <t>KWU (SIEMENS KRAFTWERK UNION AG)</t>
  </si>
  <si>
    <t>PWR</t>
  </si>
  <si>
    <t>12.670</t>
  </si>
  <si>
    <t>34000</t>
  </si>
  <si>
    <t>3.6</t>
  </si>
  <si>
    <t>3.9</t>
  </si>
  <si>
    <t>193</t>
  </si>
  <si>
    <t>103</t>
  </si>
  <si>
    <t>15.8</t>
  </si>
  <si>
    <t>326</t>
  </si>
  <si>
    <t>63619</t>
  </si>
  <si>
    <t>11215.40</t>
  </si>
  <si>
    <t>11336.92</t>
  </si>
  <si>
    <t>10564.58</t>
  </si>
  <si>
    <t>11040.81</t>
  </si>
  <si>
    <t>11400.69</t>
  </si>
  <si>
    <t>11201.33</t>
  </si>
  <si>
    <t>11425.65</t>
  </si>
  <si>
    <t>11450.40</t>
  </si>
  <si>
    <t>11459.42</t>
  </si>
  <si>
    <t>11360.45</t>
  </si>
  <si>
    <t>254299.16</t>
  </si>
  <si>
    <t>95.78</t>
  </si>
  <si>
    <t>94.65</t>
  </si>
  <si>
    <t>95.86</t>
  </si>
  <si>
    <t>93.72</t>
  </si>
  <si>
    <t>94.33</t>
  </si>
  <si>
    <t>94.13</t>
  </si>
  <si>
    <t>94.12</t>
  </si>
  <si>
    <t>4.52</t>
  </si>
  <si>
    <t>4.19</t>
  </si>
  <si>
    <t>4.68</t>
  </si>
  <si>
    <t>3.85</t>
  </si>
  <si>
    <t>5.16</t>
  </si>
  <si>
    <t>4.79</t>
  </si>
  <si>
    <t>5.07</t>
  </si>
  <si>
    <t>7.23</t>
  </si>
  <si>
    <t>96.12</t>
  </si>
  <si>
    <t>94.67</t>
  </si>
  <si>
    <t>94.50</t>
  </si>
  <si>
    <t>94.57</t>
  </si>
  <si>
    <t>0.63</t>
  </si>
  <si>
    <t>1.75</t>
  </si>
  <si>
    <t>95.10</t>
  </si>
  <si>
    <t>90.22</t>
  </si>
  <si>
    <t>96.26</t>
  </si>
  <si>
    <t>94.72</t>
  </si>
  <si>
    <t>94.29</t>
  </si>
  <si>
    <t>93.62</t>
  </si>
  <si>
    <t>94.46</t>
  </si>
  <si>
    <t>95.19</t>
  </si>
  <si>
    <t>92.45</t>
  </si>
  <si>
    <t>91.98</t>
  </si>
  <si>
    <t>88.85</t>
  </si>
  <si>
    <t xml:space="preserve">DE-33  </t>
  </si>
  <si>
    <t>EMSLAND (KKE)</t>
  </si>
  <si>
    <t>KLE (Kernkraftwerke Lippe-Ems GmbH)</t>
  </si>
  <si>
    <t>RWE/EON (1. (87,5%) RWE Power AG
2. (12,5%) E.ON Kernkraft GmbH)</t>
  </si>
  <si>
    <t>Konvoi</t>
  </si>
  <si>
    <t>12.3</t>
  </si>
  <si>
    <t>32000</t>
  </si>
  <si>
    <t>6.05</t>
  </si>
  <si>
    <t>10933.15</t>
  </si>
  <si>
    <t>11242.30</t>
  </si>
  <si>
    <t>11096.98</t>
  </si>
  <si>
    <t>11147.20</t>
  </si>
  <si>
    <t>10887.83</t>
  </si>
  <si>
    <t>11147.60</t>
  </si>
  <si>
    <t>10989.22</t>
  </si>
  <si>
    <t>10896.15</t>
  </si>
  <si>
    <t>10849.24</t>
  </si>
  <si>
    <t>10977.96</t>
  </si>
  <si>
    <t>242541.77</t>
  </si>
  <si>
    <t>95.84</t>
  </si>
  <si>
    <t>96.08</t>
  </si>
  <si>
    <t>93.92</t>
  </si>
  <si>
    <t>95.80</t>
  </si>
  <si>
    <t>94.43</t>
  </si>
  <si>
    <t>93.37</t>
  </si>
  <si>
    <t>94.41</t>
  </si>
  <si>
    <t>5.57</t>
  </si>
  <si>
    <t>6.08</t>
  </si>
  <si>
    <t>4.42</t>
  </si>
  <si>
    <t>6.55</t>
  </si>
  <si>
    <t>3.92</t>
  </si>
  <si>
    <t>5.50</t>
  </si>
  <si>
    <t>6.07</t>
  </si>
  <si>
    <t>94.15</t>
  </si>
  <si>
    <t>94.42</t>
  </si>
  <si>
    <t>93.40</t>
  </si>
  <si>
    <t>2.81</t>
  </si>
  <si>
    <t>97.00</t>
  </si>
  <si>
    <t>95.90</t>
  </si>
  <si>
    <t>96.27</t>
  </si>
  <si>
    <t>94.04</t>
  </si>
  <si>
    <t>94.86</t>
  </si>
  <si>
    <t>93.56</t>
  </si>
  <si>
    <t>93.91</t>
  </si>
  <si>
    <t>96.57</t>
  </si>
  <si>
    <t>95.32</t>
  </si>
  <si>
    <t>93.51</t>
  </si>
  <si>
    <t>95.75</t>
  </si>
  <si>
    <t>94.38</t>
  </si>
  <si>
    <t>93.19</t>
  </si>
  <si>
    <t>94.30</t>
  </si>
  <si>
    <t xml:space="preserve">DE-23  </t>
  </si>
  <si>
    <t>GRAFENRHEINFELD (KKG)</t>
  </si>
  <si>
    <t>12.8</t>
  </si>
  <si>
    <t>11</t>
  </si>
  <si>
    <t>3.8</t>
  </si>
  <si>
    <t>329</t>
  </si>
  <si>
    <t>6.64</t>
  </si>
  <si>
    <t>10573.94</t>
  </si>
  <si>
    <t>9889.94</t>
  </si>
  <si>
    <t>10270.24</t>
  </si>
  <si>
    <t>10129.42</t>
  </si>
  <si>
    <t>10105.98</t>
  </si>
  <si>
    <t>9424.88</t>
  </si>
  <si>
    <t>10311.47</t>
  </si>
  <si>
    <t>9763.01</t>
  </si>
  <si>
    <t>10447.26</t>
  </si>
  <si>
    <t>7492.57</t>
  </si>
  <si>
    <t>273444.14</t>
  </si>
  <si>
    <t>95.66</t>
  </si>
  <si>
    <t>91.00</t>
  </si>
  <si>
    <t>91.63</t>
  </si>
  <si>
    <t>84.86</t>
  </si>
  <si>
    <t>93.43</t>
  </si>
  <si>
    <t>88.43</t>
  </si>
  <si>
    <t>67.45</t>
  </si>
  <si>
    <t>7.47</t>
  </si>
  <si>
    <t>3.87</t>
  </si>
  <si>
    <t>7.83</t>
  </si>
  <si>
    <t>4.07</t>
  </si>
  <si>
    <t>7.05</t>
  </si>
  <si>
    <t>21.80</t>
  </si>
  <si>
    <t>9.71</t>
  </si>
  <si>
    <t>93.57</t>
  </si>
  <si>
    <t>87.06</t>
  </si>
  <si>
    <t>6.21</t>
  </si>
  <si>
    <t>0.69</t>
  </si>
  <si>
    <t>2.45</t>
  </si>
  <si>
    <t>1.90</t>
  </si>
  <si>
    <t>2.78</t>
  </si>
  <si>
    <t>86.62</t>
  </si>
  <si>
    <t>94.02</t>
  </si>
  <si>
    <t>89.12</t>
  </si>
  <si>
    <t>94.54</t>
  </si>
  <si>
    <t>67.90</t>
  </si>
  <si>
    <t>88.22</t>
  </si>
  <si>
    <t>88.55</t>
  </si>
  <si>
    <t>90.44</t>
  </si>
  <si>
    <t>92.32</t>
  </si>
  <si>
    <t>87.17</t>
  </si>
  <si>
    <t>67.08</t>
  </si>
  <si>
    <t>85.42</t>
  </si>
  <si>
    <t xml:space="preserve">DE-27  </t>
  </si>
  <si>
    <t>GROHNDE (KWG)</t>
  </si>
  <si>
    <t>KWG (Gemeinschaftskernkraftwerk Grohnde GmbH &amp; Co. oHG)</t>
  </si>
  <si>
    <t>E.ON/SBi (1. (83,3%) E.ON Kernkraft GmbH
2. (16,7%) Stadtwerke Bielefeld)</t>
  </si>
  <si>
    <t>103.5</t>
  </si>
  <si>
    <t>325.3</t>
  </si>
  <si>
    <t>72580</t>
  </si>
  <si>
    <t>6.59</t>
  </si>
  <si>
    <t>10926.65</t>
  </si>
  <si>
    <t>10791.89</t>
  </si>
  <si>
    <t>10933.04</t>
  </si>
  <si>
    <t>10695.42</t>
  </si>
  <si>
    <t>10840.95</t>
  </si>
  <si>
    <t>10995.69</t>
  </si>
  <si>
    <t>10818.40</t>
  </si>
  <si>
    <t>10545.95</t>
  </si>
  <si>
    <t>10867.47</t>
  </si>
  <si>
    <t>10782.44</t>
  </si>
  <si>
    <t>278663.12</t>
  </si>
  <si>
    <t>95.00</t>
  </si>
  <si>
    <t>94.49</t>
  </si>
  <si>
    <t>94.24</t>
  </si>
  <si>
    <t>93.63</t>
  </si>
  <si>
    <t>5.22</t>
  </si>
  <si>
    <t>5.49</t>
  </si>
  <si>
    <t>4.57</t>
  </si>
  <si>
    <t>3.91</t>
  </si>
  <si>
    <t>7.45</t>
  </si>
  <si>
    <t>4.50</t>
  </si>
  <si>
    <t>95.15</t>
  </si>
  <si>
    <t>94.36</t>
  </si>
  <si>
    <t>94.08</t>
  </si>
  <si>
    <t>0.97</t>
  </si>
  <si>
    <t>0.20</t>
  </si>
  <si>
    <t>0.93</t>
  </si>
  <si>
    <t>95.24</t>
  </si>
  <si>
    <t>94.40</t>
  </si>
  <si>
    <t>91.62</t>
  </si>
  <si>
    <t>94.37</t>
  </si>
  <si>
    <t>92.90</t>
  </si>
  <si>
    <t>90.58</t>
  </si>
  <si>
    <t>89.53</t>
  </si>
  <si>
    <t>88.28</t>
  </si>
  <si>
    <t>91.22</t>
  </si>
  <si>
    <t xml:space="preserve">DE-26  </t>
  </si>
  <si>
    <t>GUNDREMMINGEN-B (GUN-B)</t>
  </si>
  <si>
    <t>KGG (Kernkraftwerk Gundremmingen GmbH)</t>
  </si>
  <si>
    <t>RWE/E.ON (1. (75%) RWE Power AG
2. (25%) E.ON Kernkraft GmbH)</t>
  </si>
  <si>
    <t>BWR 72</t>
  </si>
  <si>
    <t>22.35</t>
  </si>
  <si>
    <t>27500</t>
  </si>
  <si>
    <t>4.818</t>
  </si>
  <si>
    <t>784</t>
  </si>
  <si>
    <t>136.6</t>
  </si>
  <si>
    <t>7</t>
  </si>
  <si>
    <t>51480</t>
  </si>
  <si>
    <t>10216.71</t>
  </si>
  <si>
    <t>9976.95</t>
  </si>
  <si>
    <t>10480.40</t>
  </si>
  <si>
    <t>10283.07</t>
  </si>
  <si>
    <t>10299.94</t>
  </si>
  <si>
    <t>10085.79</t>
  </si>
  <si>
    <t>10496.50</t>
  </si>
  <si>
    <t>9669.91</t>
  </si>
  <si>
    <t>10389.87</t>
  </si>
  <si>
    <t>9460.79</t>
  </si>
  <si>
    <t>246110.82</t>
  </si>
  <si>
    <t>94.79</t>
  </si>
  <si>
    <t>91.31</t>
  </si>
  <si>
    <t>92.91</t>
  </si>
  <si>
    <t>92.03</t>
  </si>
  <si>
    <t>88.17</t>
  </si>
  <si>
    <t>4.98</t>
  </si>
  <si>
    <t>7.73</t>
  </si>
  <si>
    <t>8.31</t>
  </si>
  <si>
    <t>7.03</t>
  </si>
  <si>
    <t>9.36</t>
  </si>
  <si>
    <t>4.78</t>
  </si>
  <si>
    <t>10.81</t>
  </si>
  <si>
    <t>7.06</t>
  </si>
  <si>
    <t>10.15</t>
  </si>
  <si>
    <t>10.08</t>
  </si>
  <si>
    <t>94.09</t>
  </si>
  <si>
    <t>5.27</t>
  </si>
  <si>
    <t>1.46</t>
  </si>
  <si>
    <t>92.98</t>
  </si>
  <si>
    <t>94.74</t>
  </si>
  <si>
    <t>84.04</t>
  </si>
  <si>
    <t>90.43</t>
  </si>
  <si>
    <t>93.18</t>
  </si>
  <si>
    <t>91.17</t>
  </si>
  <si>
    <t>91.57</t>
  </si>
  <si>
    <t>85.74</t>
  </si>
  <si>
    <t>92.37</t>
  </si>
  <si>
    <t>84.11</t>
  </si>
  <si>
    <t>83.20</t>
  </si>
  <si>
    <t xml:space="preserve">DE-28  </t>
  </si>
  <si>
    <t>GUNDREMMINGEN-C (GUN-C)</t>
  </si>
  <si>
    <t>137.5</t>
  </si>
  <si>
    <t>9838.39</t>
  </si>
  <si>
    <t>10335.84</t>
  </si>
  <si>
    <t>9965.59</t>
  </si>
  <si>
    <t>8470.48</t>
  </si>
  <si>
    <t>10015.64</t>
  </si>
  <si>
    <t>10542.96</t>
  </si>
  <si>
    <t>9888.31</t>
  </si>
  <si>
    <t>9928.98</t>
  </si>
  <si>
    <t>10275.18</t>
  </si>
  <si>
    <t>10394.76</t>
  </si>
  <si>
    <t>237484.99</t>
  </si>
  <si>
    <t>87.21</t>
  </si>
  <si>
    <t>74.87</t>
  </si>
  <si>
    <t>89.22</t>
  </si>
  <si>
    <t>93.74</t>
  </si>
  <si>
    <t>87.36</t>
  </si>
  <si>
    <t>91.74</t>
  </si>
  <si>
    <t>87.39</t>
  </si>
  <si>
    <t>9.67</t>
  </si>
  <si>
    <t>5.52</t>
  </si>
  <si>
    <t>7.40</t>
  </si>
  <si>
    <t>5.89</t>
  </si>
  <si>
    <t>9.94</t>
  </si>
  <si>
    <t>7.41</t>
  </si>
  <si>
    <t>7.17</t>
  </si>
  <si>
    <t>9.87</t>
  </si>
  <si>
    <t>92.56</t>
  </si>
  <si>
    <t>93.94</t>
  </si>
  <si>
    <t>1.50</t>
  </si>
  <si>
    <t>20.75</t>
  </si>
  <si>
    <t>2.95</t>
  </si>
  <si>
    <t>94.76</t>
  </si>
  <si>
    <t>90.54</t>
  </si>
  <si>
    <t>76.81</t>
  </si>
  <si>
    <t>93.13</t>
  </si>
  <si>
    <t>87.20</t>
  </si>
  <si>
    <t>92.13</t>
  </si>
  <si>
    <t>81.79</t>
  </si>
  <si>
    <t xml:space="preserve">DE-31  </t>
  </si>
  <si>
    <t>ISAR-2 (KKI 2)</t>
  </si>
  <si>
    <t>E.ON/SwM (1. (75%) E.ON Kernkraft GmbH
2. (25%) Stadtwerke München)</t>
  </si>
  <si>
    <t>12.010</t>
  </si>
  <si>
    <t>328</t>
  </si>
  <si>
    <t>6.43</t>
  </si>
  <si>
    <t>11731.31</t>
  </si>
  <si>
    <t>11512.23</t>
  </si>
  <si>
    <t>11671.59</t>
  </si>
  <si>
    <t>11595.28</t>
  </si>
  <si>
    <t>11102.56</t>
  </si>
  <si>
    <t>11755.26</t>
  </si>
  <si>
    <t>11377.49</t>
  </si>
  <si>
    <t>11456.15</t>
  </si>
  <si>
    <t>11484.85</t>
  </si>
  <si>
    <t>11375.28</t>
  </si>
  <si>
    <t>244930.28</t>
  </si>
  <si>
    <t>97.14</t>
  </si>
  <si>
    <t>95.93</t>
  </si>
  <si>
    <t>95.39</t>
  </si>
  <si>
    <t>96.61</t>
  </si>
  <si>
    <t>93.05</t>
  </si>
  <si>
    <t>94.32</t>
  </si>
  <si>
    <t>2.84</t>
  </si>
  <si>
    <t>4.84</t>
  </si>
  <si>
    <t>3.18</t>
  </si>
  <si>
    <t>4.31</t>
  </si>
  <si>
    <t>4.03</t>
  </si>
  <si>
    <t>5.81</t>
  </si>
  <si>
    <t>6.30</t>
  </si>
  <si>
    <t>96.67</t>
  </si>
  <si>
    <t>97.10</t>
  </si>
  <si>
    <t>96.93</t>
  </si>
  <si>
    <t>95.57</t>
  </si>
  <si>
    <t>93.55</t>
  </si>
  <si>
    <t>93.17</t>
  </si>
  <si>
    <t>93.02</t>
  </si>
  <si>
    <t>93.87</t>
  </si>
  <si>
    <t>95.17</t>
  </si>
  <si>
    <t>95.85</t>
  </si>
  <si>
    <t>92.76</t>
  </si>
  <si>
    <t>93.16</t>
  </si>
  <si>
    <t>89.42</t>
  </si>
  <si>
    <t xml:space="preserve">DE-44  </t>
  </si>
  <si>
    <t>NECKARWESTHEIM-2 (GKN 2)</t>
  </si>
  <si>
    <t>EnKK (EnBW Kernkraft GmbH
(Sitz in Obrigheim))</t>
  </si>
  <si>
    <t>EnBW/div (1. (98.45%) EnBW
2. (1.55%) four other owners)</t>
  </si>
  <si>
    <t>12.4</t>
  </si>
  <si>
    <t>325.6</t>
  </si>
  <si>
    <t>6.23</t>
  </si>
  <si>
    <t>10423.94</t>
  </si>
  <si>
    <t>9787.51</t>
  </si>
  <si>
    <t>10544.97</t>
  </si>
  <si>
    <t>10470.68</t>
  </si>
  <si>
    <t>10836.41</t>
  </si>
  <si>
    <t>10877.47</t>
  </si>
  <si>
    <t>10411.09</t>
  </si>
  <si>
    <t>10701.91</t>
  </si>
  <si>
    <t>10779.73</t>
  </si>
  <si>
    <t>10180.15</t>
  </si>
  <si>
    <t>226177.49</t>
  </si>
  <si>
    <t>92.87</t>
  </si>
  <si>
    <t>93.26</t>
  </si>
  <si>
    <t>4.60</t>
  </si>
  <si>
    <t>2.96</t>
  </si>
  <si>
    <t>6.11</t>
  </si>
  <si>
    <t>4.47</t>
  </si>
  <si>
    <t>4.10</t>
  </si>
  <si>
    <t>4.61</t>
  </si>
  <si>
    <t>5.25</t>
  </si>
  <si>
    <t>5.68</t>
  </si>
  <si>
    <t>95.40</t>
  </si>
  <si>
    <t>95.38</t>
  </si>
  <si>
    <t>94.75</t>
  </si>
  <si>
    <t>1.28</t>
  </si>
  <si>
    <t>1.84</t>
  </si>
  <si>
    <t>88.78</t>
  </si>
  <si>
    <t>95.98</t>
  </si>
  <si>
    <t>92.95</t>
  </si>
  <si>
    <t>89.77</t>
  </si>
  <si>
    <t>93.93</t>
  </si>
  <si>
    <t xml:space="preserve">DE-24  </t>
  </si>
  <si>
    <t>PHILIPPSBURG-2 (KKP 2)</t>
  </si>
  <si>
    <t>EnBW (EnBW Kraftwerke AG)</t>
  </si>
  <si>
    <t>12.7</t>
  </si>
  <si>
    <t>33000</t>
  </si>
  <si>
    <t>3.605</t>
  </si>
  <si>
    <t>8995.77</t>
  </si>
  <si>
    <t>11053.16</t>
  </si>
  <si>
    <t>11010.16</t>
  </si>
  <si>
    <t>10295.05</t>
  </si>
  <si>
    <t>10823.36</t>
  </si>
  <si>
    <t>10956.19</t>
  </si>
  <si>
    <t>11172.85</t>
  </si>
  <si>
    <t>10840.80</t>
  </si>
  <si>
    <t>10969.60</t>
  </si>
  <si>
    <t>11192.14</t>
  </si>
  <si>
    <t>269752.92</t>
  </si>
  <si>
    <t>76.55</t>
  </si>
  <si>
    <t>88.68</t>
  </si>
  <si>
    <t>3.78</t>
  </si>
  <si>
    <t>6.51</t>
  </si>
  <si>
    <t>6.72</t>
  </si>
  <si>
    <t>5.85</t>
  </si>
  <si>
    <t>9.56</t>
  </si>
  <si>
    <t>7.15</t>
  </si>
  <si>
    <t>8.37</t>
  </si>
  <si>
    <t>95.99</t>
  </si>
  <si>
    <t>92.35</t>
  </si>
  <si>
    <t>90.32</t>
  </si>
  <si>
    <t>92.85</t>
  </si>
  <si>
    <t>5.39</t>
  </si>
  <si>
    <t>77.04</t>
  </si>
  <si>
    <t>86.99</t>
  </si>
  <si>
    <t>94.22</t>
  </si>
  <si>
    <t>92.51</t>
  </si>
  <si>
    <t>89.94</t>
  </si>
  <si>
    <t>73.77</t>
  </si>
  <si>
    <t>84.20</t>
  </si>
  <si>
    <t>89.96</t>
  </si>
  <si>
    <t xml:space="preserve">NL-2   </t>
  </si>
  <si>
    <t>BORSSELE</t>
  </si>
  <si>
    <t>NETHERLANDS</t>
  </si>
  <si>
    <t>EPZ (N.V. ELEKTRICITEITS-PRODUKTIEMAATSCHAPPIJ ZUID-NEDERLAND)</t>
  </si>
  <si>
    <t>S/KWU (SIEMENS/KRAFTWERK UNION AG)</t>
  </si>
  <si>
    <t>2 loops PWR</t>
  </si>
  <si>
    <t>7.5</t>
  </si>
  <si>
    <t>39000</t>
  </si>
  <si>
    <t>2.676</t>
  </si>
  <si>
    <t>2.65</t>
  </si>
  <si>
    <t>38.7</t>
  </si>
  <si>
    <t>36000</t>
  </si>
  <si>
    <t>5.75</t>
  </si>
  <si>
    <t>3746.67</t>
  </si>
  <si>
    <t>3686.89</t>
  </si>
  <si>
    <t>3788.31</t>
  </si>
  <si>
    <t>3604.69</t>
  </si>
  <si>
    <t>3771.93</t>
  </si>
  <si>
    <t>3272.61</t>
  </si>
  <si>
    <t>3993.87</t>
  </si>
  <si>
    <t>3933.64</t>
  </si>
  <si>
    <t>4017.67</t>
  </si>
  <si>
    <t>3754.88</t>
  </si>
  <si>
    <t>123878.00</t>
  </si>
  <si>
    <t>93.36</t>
  </si>
  <si>
    <t>95.31</t>
  </si>
  <si>
    <t>92.55</t>
  </si>
  <si>
    <t>88.86</t>
  </si>
  <si>
    <t>84.93</t>
  </si>
  <si>
    <t>5.19</t>
  </si>
  <si>
    <t>4.97</t>
  </si>
  <si>
    <t>3.25</t>
  </si>
  <si>
    <t>12.80</t>
  </si>
  <si>
    <t>3.99</t>
  </si>
  <si>
    <t>3.31</t>
  </si>
  <si>
    <t>3.98</t>
  </si>
  <si>
    <t>85.70</t>
  </si>
  <si>
    <t>89.09</t>
  </si>
  <si>
    <t>85.29</t>
  </si>
  <si>
    <t>1.78</t>
  </si>
  <si>
    <t>3.61</t>
  </si>
  <si>
    <t>95.94</t>
  </si>
  <si>
    <t>96.24</t>
  </si>
  <si>
    <t>91.91</t>
  </si>
  <si>
    <t>96.23</t>
  </si>
  <si>
    <t>95.27</t>
  </si>
  <si>
    <t>95.34</t>
  </si>
  <si>
    <t>86.20</t>
  </si>
  <si>
    <t>96.10</t>
  </si>
  <si>
    <t>95.69</t>
  </si>
  <si>
    <t>95.52</t>
  </si>
  <si>
    <t>83.89</t>
  </si>
  <si>
    <t xml:space="preserve">ES-6   </t>
  </si>
  <si>
    <t>ALMARAZ-1</t>
  </si>
  <si>
    <t>SPAIN</t>
  </si>
  <si>
    <t>CNAT (CENTRALES NUCLEARES  ALMARAZ-TRILLO(ID/UFG/ENDESA/HC/NUCLENOR ))</t>
  </si>
  <si>
    <t>ID/EN/GN (Iberdrola, Endesa, Gas Natural)</t>
  </si>
  <si>
    <t>13.2</t>
  </si>
  <si>
    <t>58000</t>
  </si>
  <si>
    <t>3.65</t>
  </si>
  <si>
    <t>72.5</t>
  </si>
  <si>
    <t>325</t>
  </si>
  <si>
    <t>21500</t>
  </si>
  <si>
    <t>6.9</t>
  </si>
  <si>
    <t>8151.39</t>
  </si>
  <si>
    <t>7427.99</t>
  </si>
  <si>
    <t>7499.11</t>
  </si>
  <si>
    <t>8185.69</t>
  </si>
  <si>
    <t xml:space="preserve">BE-2   </t>
  </si>
  <si>
    <t>DOEL-1</t>
  </si>
  <si>
    <t>BELGIUM</t>
  </si>
  <si>
    <t>ELECTRAB (ELECTRABEL M. V. NUCLEAIRE PRODUKTIE)</t>
  </si>
  <si>
    <t>IND.DOEL (INDIVISION DOEL (EBES , INTERCOM , UNERG))</t>
  </si>
  <si>
    <t>ACECOWEN (ACECOWEN ( ACEC-COCKERILL-WESTINGHOUSE ))</t>
  </si>
  <si>
    <t>COC/ACEC (TURBINE: COCKERILL-TOSI ; ALTERNATOR: ACEC)</t>
  </si>
  <si>
    <t>WE (2 loops)</t>
  </si>
  <si>
    <t>10.6</t>
  </si>
  <si>
    <t>2.44</t>
  </si>
  <si>
    <t>31.7</t>
  </si>
  <si>
    <t>21</t>
  </si>
  <si>
    <t>15.73</t>
  </si>
  <si>
    <t>315.08</t>
  </si>
  <si>
    <t>26120</t>
  </si>
  <si>
    <t>&lt;Not Available&gt;</t>
  </si>
  <si>
    <t>5.8</t>
  </si>
  <si>
    <t>3157.62</t>
  </si>
  <si>
    <t>3260.70</t>
  </si>
  <si>
    <t>3024.60</t>
  </si>
  <si>
    <t>2989.10</t>
  </si>
  <si>
    <t>3062.65</t>
  </si>
  <si>
    <t>3100.48</t>
  </si>
  <si>
    <t>3028.97</t>
  </si>
  <si>
    <t>2690.32</t>
  </si>
  <si>
    <t>2874.05</t>
  </si>
  <si>
    <t>3401.38</t>
  </si>
  <si>
    <t>106827.24</t>
  </si>
  <si>
    <t>90.47</t>
  </si>
  <si>
    <t>89.19</t>
  </si>
  <si>
    <t>88.25</t>
  </si>
  <si>
    <t>85.49</t>
  </si>
  <si>
    <t>5.70</t>
  </si>
  <si>
    <t>6.19</t>
  </si>
  <si>
    <t>9.13</t>
  </si>
  <si>
    <t>10.72</t>
  </si>
  <si>
    <t>10.16</t>
  </si>
  <si>
    <t>8.08</t>
  </si>
  <si>
    <t>10.75</t>
  </si>
  <si>
    <t>17.09</t>
  </si>
  <si>
    <t>10.78</t>
  </si>
  <si>
    <t>10.39</t>
  </si>
  <si>
    <t>93.44</t>
  </si>
  <si>
    <t>89.14</t>
  </si>
  <si>
    <t>91.10</t>
  </si>
  <si>
    <t>82.90</t>
  </si>
  <si>
    <t>3.11</t>
  </si>
  <si>
    <t>0.23</t>
  </si>
  <si>
    <t>0.89</t>
  </si>
  <si>
    <t>1.09</t>
  </si>
  <si>
    <t>3.46</t>
  </si>
  <si>
    <t>92.43</t>
  </si>
  <si>
    <t>94.84</t>
  </si>
  <si>
    <t>89.59</t>
  </si>
  <si>
    <t>91.67</t>
  </si>
  <si>
    <t>88.00</t>
  </si>
  <si>
    <t>77.95</t>
  </si>
  <si>
    <t>82.95</t>
  </si>
  <si>
    <t>89.05</t>
  </si>
  <si>
    <t>91.94</t>
  </si>
  <si>
    <t>94.96</t>
  </si>
  <si>
    <t>86.81</t>
  </si>
  <si>
    <t>89.18</t>
  </si>
  <si>
    <t>88.21</t>
  </si>
  <si>
    <t>78.13</t>
  </si>
  <si>
    <t>89.67</t>
  </si>
  <si>
    <t xml:space="preserve">BE-4   </t>
  </si>
  <si>
    <t>DOEL-2</t>
  </si>
  <si>
    <t>3150.54</t>
  </si>
  <si>
    <t>3104.45</t>
  </si>
  <si>
    <t>3142.62</t>
  </si>
  <si>
    <t>2951.91</t>
  </si>
  <si>
    <t>3506.72</t>
  </si>
  <si>
    <t>3399.32</t>
  </si>
  <si>
    <t>3483.14</t>
  </si>
  <si>
    <t>3478.91</t>
  </si>
  <si>
    <t>3468.52</t>
  </si>
  <si>
    <t>3411.40</t>
  </si>
  <si>
    <t>102256.06</t>
  </si>
  <si>
    <t>90.30</t>
  </si>
  <si>
    <t>89.51</t>
  </si>
  <si>
    <t>90.13</t>
  </si>
  <si>
    <t>88.18</t>
  </si>
  <si>
    <t>90.26</t>
  </si>
  <si>
    <t>90.11</t>
  </si>
  <si>
    <t>88.29</t>
  </si>
  <si>
    <t>82.18</t>
  </si>
  <si>
    <t>6.87</t>
  </si>
  <si>
    <t>17.77</t>
  </si>
  <si>
    <t>6.77</t>
  </si>
  <si>
    <t>7.80</t>
  </si>
  <si>
    <t>9.12</t>
  </si>
  <si>
    <t>9.54</t>
  </si>
  <si>
    <t>10.70</t>
  </si>
  <si>
    <t>13.18</t>
  </si>
  <si>
    <t>90.89</t>
  </si>
  <si>
    <t>91.39</t>
  </si>
  <si>
    <t>93.09</t>
  </si>
  <si>
    <t>81.92</t>
  </si>
  <si>
    <t>90.10</t>
  </si>
  <si>
    <t>90.77</t>
  </si>
  <si>
    <t>1.37</t>
  </si>
  <si>
    <t>2.11</t>
  </si>
  <si>
    <t>0.68</t>
  </si>
  <si>
    <t>4.37</t>
  </si>
  <si>
    <t>92.01</t>
  </si>
  <si>
    <t>92.19</t>
  </si>
  <si>
    <t>93.42</t>
  </si>
  <si>
    <t>81.67</t>
  </si>
  <si>
    <t>91.07</t>
  </si>
  <si>
    <t>89.31</t>
  </si>
  <si>
    <t>83.38</t>
  </si>
  <si>
    <t>90.41</t>
  </si>
  <si>
    <t>81.35</t>
  </si>
  <si>
    <t>92.44</t>
  </si>
  <si>
    <t>91.47</t>
  </si>
  <si>
    <t>91.44</t>
  </si>
  <si>
    <t>82.59</t>
  </si>
  <si>
    <t xml:space="preserve">BE-5   </t>
  </si>
  <si>
    <t>DOEL-3</t>
  </si>
  <si>
    <t>EBES (SOCIETES REUNIES D'ENERGIE DU BASSIN DE L'ESCAUT SA)</t>
  </si>
  <si>
    <t>FRAMACEC (FRAMACECO ( FRAMATOME-ACEC-COCKERILL ))</t>
  </si>
  <si>
    <t>ARLACEC (TURBINE: (ALSTHOM - RATEAU - LAMEUSE); ALTERNATOR: ACEC)</t>
  </si>
  <si>
    <t>WE 3-loops</t>
  </si>
  <si>
    <t>UO2/MOX</t>
  </si>
  <si>
    <t>49000</t>
  </si>
  <si>
    <t>3.04</t>
  </si>
  <si>
    <t>157</t>
  </si>
  <si>
    <t>69.5</t>
  </si>
  <si>
    <t>32</t>
  </si>
  <si>
    <t>7993.26</t>
  </si>
  <si>
    <t>7636.59</t>
  </si>
  <si>
    <t>7870.79</t>
  </si>
  <si>
    <t>7984.83</t>
  </si>
  <si>
    <t>7962.73</t>
  </si>
  <si>
    <t>7708.74</t>
  </si>
  <si>
    <t>7697.09</t>
  </si>
  <si>
    <t>6943.53</t>
  </si>
  <si>
    <t>7987.11</t>
  </si>
  <si>
    <t>7817.20</t>
  </si>
  <si>
    <t>205385.79</t>
  </si>
  <si>
    <t>86.25</t>
  </si>
  <si>
    <t>90.84</t>
  </si>
  <si>
    <t>87.13</t>
  </si>
  <si>
    <t>78.53</t>
  </si>
  <si>
    <t>88.16</t>
  </si>
  <si>
    <t>86.10</t>
  </si>
  <si>
    <t>5.56</t>
  </si>
  <si>
    <t>11.30</t>
  </si>
  <si>
    <t>9.35</t>
  </si>
  <si>
    <t>7.35</t>
  </si>
  <si>
    <t>6.67</t>
  </si>
  <si>
    <t>10.88</t>
  </si>
  <si>
    <t>8.38</t>
  </si>
  <si>
    <t>9.31</t>
  </si>
  <si>
    <t>8.03</t>
  </si>
  <si>
    <t>9.40</t>
  </si>
  <si>
    <t>86.70</t>
  </si>
  <si>
    <t>89.84</t>
  </si>
  <si>
    <t>88.15</t>
  </si>
  <si>
    <t>87.24</t>
  </si>
  <si>
    <t>89.29</t>
  </si>
  <si>
    <t>3.79</t>
  </si>
  <si>
    <t>2.26</t>
  </si>
  <si>
    <t>0.90</t>
  </si>
  <si>
    <t>1.00</t>
  </si>
  <si>
    <t>2.07</t>
  </si>
  <si>
    <t>13.40</t>
  </si>
  <si>
    <t>3.35</t>
  </si>
  <si>
    <t>93.00</t>
  </si>
  <si>
    <t>88.63</t>
  </si>
  <si>
    <t>79.46</t>
  </si>
  <si>
    <t>89.75</t>
  </si>
  <si>
    <t>90.70</t>
  </si>
  <si>
    <t>87.34</t>
  </si>
  <si>
    <t>78.58</t>
  </si>
  <si>
    <t>88.71</t>
  </si>
  <si>
    <t>86.00</t>
  </si>
  <si>
    <t xml:space="preserve">BE-7   </t>
  </si>
  <si>
    <t>DOEL-4</t>
  </si>
  <si>
    <t>AA/BB/AC ((ALSTHOM - BBC / ACEC))</t>
  </si>
  <si>
    <t>13</t>
  </si>
  <si>
    <t>4.27</t>
  </si>
  <si>
    <t>84.5</t>
  </si>
  <si>
    <t>28</t>
  </si>
  <si>
    <t>7.28</t>
  </si>
  <si>
    <t>8098.91</t>
  </si>
  <si>
    <t>7831.93</t>
  </si>
  <si>
    <t>7781.23</t>
  </si>
  <si>
    <t>7519.82</t>
  </si>
  <si>
    <t>7394.83</t>
  </si>
  <si>
    <t>7461.97</t>
  </si>
  <si>
    <t>8496.87</t>
  </si>
  <si>
    <t>7466.73</t>
  </si>
  <si>
    <t>6910.95</t>
  </si>
  <si>
    <t>7395.39</t>
  </si>
  <si>
    <t>187339.97</t>
  </si>
  <si>
    <t>93.25</t>
  </si>
  <si>
    <t>90.45</t>
  </si>
  <si>
    <t>90.55</t>
  </si>
  <si>
    <t>86.98</t>
  </si>
  <si>
    <t>86.21</t>
  </si>
  <si>
    <t>98.06</t>
  </si>
  <si>
    <t>81.59</t>
  </si>
  <si>
    <t>83.60</t>
  </si>
  <si>
    <t>5.93</t>
  </si>
  <si>
    <t>7.57</t>
  </si>
  <si>
    <t>12.83</t>
  </si>
  <si>
    <t>10.38</t>
  </si>
  <si>
    <t>10.26</t>
  </si>
  <si>
    <t>10.00</t>
  </si>
  <si>
    <t>93.30</t>
  </si>
  <si>
    <t>91.06</t>
  </si>
  <si>
    <t>88.35</t>
  </si>
  <si>
    <t>86.08</t>
  </si>
  <si>
    <t>86.53</t>
  </si>
  <si>
    <t>98.09</t>
  </si>
  <si>
    <t>78.32</t>
  </si>
  <si>
    <t>2.14</t>
  </si>
  <si>
    <t>1.91</t>
  </si>
  <si>
    <t>8.59</t>
  </si>
  <si>
    <t>18.41</t>
  </si>
  <si>
    <t>94.34</t>
  </si>
  <si>
    <t>98.25</t>
  </si>
  <si>
    <t>85.77</t>
  </si>
  <si>
    <t>79.29</t>
  </si>
  <si>
    <t>82.10</t>
  </si>
  <si>
    <t>85.92</t>
  </si>
  <si>
    <t>93.86</t>
  </si>
  <si>
    <t>86.90</t>
  </si>
  <si>
    <t>96.22</t>
  </si>
  <si>
    <t>77.76</t>
  </si>
  <si>
    <t>83.37</t>
  </si>
  <si>
    <t xml:space="preserve">BE-3   </t>
  </si>
  <si>
    <t>TIHANGE-1</t>
  </si>
  <si>
    <t>SEMOBIS (SOCIETE BELGO-FRANCAISE D'ENERGIE NUCLAIRE MOSANE.
Part of EDF)</t>
  </si>
  <si>
    <t>ACLF ((ACECOWEN - CREUSOT LOIRE - FRAMATOME))</t>
  </si>
  <si>
    <t>AAJSCH ((ALSTHOM - ACEC - JEUMONT - SCHNEIDER ))</t>
  </si>
  <si>
    <t>Framatome 3 loops reactor</t>
  </si>
  <si>
    <t>12.322</t>
  </si>
  <si>
    <t>76.9</t>
  </si>
  <si>
    <t>48</t>
  </si>
  <si>
    <t>3</t>
  </si>
  <si>
    <t>15.41</t>
  </si>
  <si>
    <t>321</t>
  </si>
  <si>
    <t>16276</t>
  </si>
  <si>
    <t>5.65</t>
  </si>
  <si>
    <t>6969.00</t>
  </si>
  <si>
    <t>7047.15</t>
  </si>
  <si>
    <t>7990.42</t>
  </si>
  <si>
    <t>7106.47</t>
  </si>
  <si>
    <t>6810.95</t>
  </si>
  <si>
    <t>8186.91</t>
  </si>
  <si>
    <t>7055.90</t>
  </si>
  <si>
    <t>7264.54</t>
  </si>
  <si>
    <t>8269.54</t>
  </si>
  <si>
    <t>7316.10</t>
  </si>
  <si>
    <t>237104.14</t>
  </si>
  <si>
    <t>82.52</t>
  </si>
  <si>
    <t>83.92</t>
  </si>
  <si>
    <t>95.11</t>
  </si>
  <si>
    <t>84.50</t>
  </si>
  <si>
    <t>80.24</t>
  </si>
  <si>
    <t>98.79</t>
  </si>
  <si>
    <t>85.07</t>
  </si>
  <si>
    <t>85.25</t>
  </si>
  <si>
    <t>97.83</t>
  </si>
  <si>
    <t>13.19</t>
  </si>
  <si>
    <t>13.09</t>
  </si>
  <si>
    <t>13.25</t>
  </si>
  <si>
    <t>9.98</t>
  </si>
  <si>
    <t>12.09</t>
  </si>
  <si>
    <t>11.07</t>
  </si>
  <si>
    <t>10.84</t>
  </si>
  <si>
    <t>85.58</t>
  </si>
  <si>
    <t>This table includes only those future reactors envisaged in specific plans and proposals and expected to be operating by 2030.  Longer-range estimates based on national strategies, capabilities and needs may be found in the WNA Nuclear Century Outlook.  The WNA country papers linked to this table cover both areas: near-term developments and the prospective long-term role for nuclear power in national energy policies.                      </t>
  </si>
  <si>
    <t>(Click name for</t>
  </si>
  <si>
    <t>Planned = Approvals, funding or major commitment in place, mostly expected in operation within 8-10 years;</t>
  </si>
  <si>
    <t>(see below) click on country of interest</t>
  </si>
  <si>
    <t xml:space="preserve">GB-18B </t>
  </si>
  <si>
    <t>DUNGENESS-B2</t>
  </si>
  <si>
    <t>18000</t>
  </si>
  <si>
    <t>3007.39</t>
  </si>
  <si>
    <t>2483.27</t>
  </si>
  <si>
    <t>3747.28</t>
  </si>
  <si>
    <t>3514.42</t>
  </si>
  <si>
    <t>2739.75</t>
  </si>
  <si>
    <t>2695.72</t>
  </si>
  <si>
    <t>2875.74</t>
  </si>
  <si>
    <t>1568.90</t>
  </si>
  <si>
    <t>2385.66</t>
  </si>
  <si>
    <t>2766.05</t>
  </si>
  <si>
    <t>79512.00</t>
  </si>
  <si>
    <t>61.12</t>
  </si>
  <si>
    <t>51.81</t>
  </si>
  <si>
    <t>76.03</t>
  </si>
  <si>
    <t>72.64</t>
  </si>
  <si>
    <t>57.68</t>
  </si>
  <si>
    <t>56.89</t>
  </si>
  <si>
    <t>60.94</t>
  </si>
  <si>
    <t>34.38</t>
  </si>
  <si>
    <t>52.59</t>
  </si>
  <si>
    <t>60.18</t>
  </si>
  <si>
    <t>50.87</t>
  </si>
  <si>
    <t>9.16</t>
  </si>
  <si>
    <t>26.19</t>
  </si>
  <si>
    <t>15.84</t>
  </si>
  <si>
    <t>31.70</t>
  </si>
  <si>
    <t>23.89</t>
  </si>
  <si>
    <t>15.03</t>
  </si>
  <si>
    <t>15.95</t>
  </si>
  <si>
    <t>5.69</t>
  </si>
  <si>
    <t>27.25</t>
  </si>
  <si>
    <t>62.14</t>
  </si>
  <si>
    <t>78.31</t>
  </si>
  <si>
    <t>57.91</t>
  </si>
  <si>
    <t>51.11</t>
  </si>
  <si>
    <t>31.60</t>
  </si>
  <si>
    <t>25.68</t>
  </si>
  <si>
    <t>14.73</t>
  </si>
  <si>
    <t>18.98</t>
  </si>
  <si>
    <t>18.34</t>
  </si>
  <si>
    <t>15.58</t>
  </si>
  <si>
    <t>31.06</t>
  </si>
  <si>
    <t>36.19</t>
  </si>
  <si>
    <t>27.23</t>
  </si>
  <si>
    <t>72.78</t>
  </si>
  <si>
    <t>58.62</t>
  </si>
  <si>
    <t>81.26</t>
  </si>
  <si>
    <t>64.06</t>
  </si>
  <si>
    <t>65.21</t>
  </si>
  <si>
    <t>71.93</t>
  </si>
  <si>
    <t>38.21</t>
  </si>
  <si>
    <t>63.89</t>
  </si>
  <si>
    <t>70.47</t>
  </si>
  <si>
    <t>58.79</t>
  </si>
  <si>
    <t>61.69</t>
  </si>
  <si>
    <t>51.08</t>
  </si>
  <si>
    <t>77.08</t>
  </si>
  <si>
    <t>72.09</t>
  </si>
  <si>
    <t>56.35</t>
  </si>
  <si>
    <t>56.21</t>
  </si>
  <si>
    <t>60.24</t>
  </si>
  <si>
    <t>33.94</t>
  </si>
  <si>
    <t>52.37</t>
  </si>
  <si>
    <t>60.72</t>
  </si>
  <si>
    <t>50.98</t>
  </si>
  <si>
    <t xml:space="preserve">GB-19A </t>
  </si>
  <si>
    <t>HARTLEPOOL-A1</t>
  </si>
  <si>
    <t>NPC (NUCLEAR POWER CO. LTD.)</t>
  </si>
  <si>
    <t>18.3</t>
  </si>
  <si>
    <t>24000</t>
  </si>
  <si>
    <t>9.37</t>
  </si>
  <si>
    <t>8.3</t>
  </si>
  <si>
    <t>2592</t>
  </si>
  <si>
    <t>110</t>
  </si>
  <si>
    <t>8</t>
  </si>
  <si>
    <t>675</t>
  </si>
  <si>
    <t>13700</t>
  </si>
  <si>
    <t>4291.19</t>
  </si>
  <si>
    <t>4627.85</t>
  </si>
  <si>
    <t>4583.30</t>
  </si>
  <si>
    <t>1942.67</t>
  </si>
  <si>
    <t>2322.93</t>
  </si>
  <si>
    <t>2378.89</t>
  </si>
  <si>
    <t>3295.79</t>
  </si>
  <si>
    <t>3945.95</t>
  </si>
  <si>
    <t>4407.41</t>
  </si>
  <si>
    <t>81873.00</t>
  </si>
  <si>
    <t>80.93</t>
  </si>
  <si>
    <t>36.88</t>
  </si>
  <si>
    <t>43.94</t>
  </si>
  <si>
    <t>45.94</t>
  </si>
  <si>
    <t>63.08</t>
  </si>
  <si>
    <t>76.04</t>
  </si>
  <si>
    <t>69.29</t>
  </si>
  <si>
    <t>14.87</t>
  </si>
  <si>
    <t>8.44</t>
  </si>
  <si>
    <t>27.13</t>
  </si>
  <si>
    <t>11.67</t>
  </si>
  <si>
    <t>7.77</t>
  </si>
  <si>
    <t>19.23</t>
  </si>
  <si>
    <t>2.22</t>
  </si>
  <si>
    <t>14.29</t>
  </si>
  <si>
    <t>81.00</t>
  </si>
  <si>
    <t>69.38</t>
  </si>
  <si>
    <t>4.86</t>
  </si>
  <si>
    <t>48.91</t>
  </si>
  <si>
    <t>35.63</t>
  </si>
  <si>
    <t>3.17</t>
  </si>
  <si>
    <t>9.80</t>
  </si>
  <si>
    <t>38.54</t>
  </si>
  <si>
    <t>55.13</t>
  </si>
  <si>
    <t>48.98</t>
  </si>
  <si>
    <t>64.84</t>
  </si>
  <si>
    <t>79.75</t>
  </si>
  <si>
    <t>86.15</t>
  </si>
  <si>
    <t>71.10</t>
  </si>
  <si>
    <t>36.56</t>
  </si>
  <si>
    <t>43.83</t>
  </si>
  <si>
    <t>45.45</t>
  </si>
  <si>
    <t>75.71</t>
  </si>
  <si>
    <t>84.56</t>
  </si>
  <si>
    <t>67.21</t>
  </si>
  <si>
    <t xml:space="preserve">GB-19B </t>
  </si>
  <si>
    <t>HARTLEPOOL-A2</t>
  </si>
  <si>
    <t>4635.88</t>
  </si>
  <si>
    <t>4910.32</t>
  </si>
  <si>
    <t>3488.43</t>
  </si>
  <si>
    <t>3380.61</t>
  </si>
  <si>
    <t>3651.64</t>
  </si>
  <si>
    <t>2481.11</t>
  </si>
  <si>
    <t>3593.55</t>
  </si>
  <si>
    <t>2882.06</t>
  </si>
  <si>
    <t>3738.08</t>
  </si>
  <si>
    <t>76334.00</t>
  </si>
  <si>
    <t>66.45</t>
  </si>
  <si>
    <t>64.01</t>
  </si>
  <si>
    <t>69.24</t>
  </si>
  <si>
    <t>47.76</t>
  </si>
  <si>
    <t>69.15</t>
  </si>
  <si>
    <t>55.98</t>
  </si>
  <si>
    <t>71.70</t>
  </si>
  <si>
    <t>70.89</t>
  </si>
  <si>
    <t>11.16</t>
  </si>
  <si>
    <t>18.29</t>
  </si>
  <si>
    <t>12.71</t>
  </si>
  <si>
    <t>21.76</t>
  </si>
  <si>
    <t>10.12</t>
  </si>
  <si>
    <t>19.48</t>
  </si>
  <si>
    <t>8.17</t>
  </si>
  <si>
    <t>14.40</t>
  </si>
  <si>
    <t>71.07</t>
  </si>
  <si>
    <t>16.79</t>
  </si>
  <si>
    <t>5.76</t>
  </si>
  <si>
    <t>35.15</t>
  </si>
  <si>
    <t>22.97</t>
  </si>
  <si>
    <t>26.57</t>
  </si>
  <si>
    <t>14.39</t>
  </si>
  <si>
    <t>71.44</t>
  </si>
  <si>
    <t>68.49</t>
  </si>
  <si>
    <t>73.38</t>
  </si>
  <si>
    <t>50.86</t>
  </si>
  <si>
    <t>74.36</t>
  </si>
  <si>
    <t>61.19</t>
  </si>
  <si>
    <t>73.43</t>
  </si>
  <si>
    <t>63.61</t>
  </si>
  <si>
    <t>68.90</t>
  </si>
  <si>
    <t>47.41</t>
  </si>
  <si>
    <t>68.95</t>
  </si>
  <si>
    <t>55.29</t>
  </si>
  <si>
    <t>71.72</t>
  </si>
  <si>
    <t>69.28</t>
  </si>
  <si>
    <t xml:space="preserve">GB-20A </t>
  </si>
  <si>
    <t>HEYSHAM-A1</t>
  </si>
  <si>
    <t>9.3</t>
  </si>
  <si>
    <t>651</t>
  </si>
  <si>
    <t>4034.58</t>
  </si>
  <si>
    <t>4445.53</t>
  </si>
  <si>
    <t>3746.22</t>
  </si>
  <si>
    <t>2638.07</t>
  </si>
  <si>
    <t>4033.07</t>
  </si>
  <si>
    <t>3839.08</t>
  </si>
  <si>
    <t>2498.55</t>
  </si>
  <si>
    <t>3478.25</t>
  </si>
  <si>
    <t>2826.72</t>
  </si>
  <si>
    <t>79570.00</t>
  </si>
  <si>
    <t>77.62</t>
  </si>
  <si>
    <t>87.93</t>
  </si>
  <si>
    <t>74.40</t>
  </si>
  <si>
    <t>52.51</t>
  </si>
  <si>
    <t>80.14</t>
  </si>
  <si>
    <t>75.50</t>
  </si>
  <si>
    <t>49.07</t>
  </si>
  <si>
    <t>68.38</t>
  </si>
  <si>
    <t>55.09</t>
  </si>
  <si>
    <t>69.79</t>
  </si>
  <si>
    <t>9.01</t>
  </si>
  <si>
    <t>6.54</t>
  </si>
  <si>
    <t>15.09</t>
  </si>
  <si>
    <t>16.54</t>
  </si>
  <si>
    <t>13.31</t>
  </si>
  <si>
    <t>18.99</t>
  </si>
  <si>
    <t>13.68</t>
  </si>
  <si>
    <t>78.03</t>
  </si>
  <si>
    <t>88.39</t>
  </si>
  <si>
    <t>52.83</t>
  </si>
  <si>
    <t>70.05</t>
  </si>
  <si>
    <t>10.61</t>
  </si>
  <si>
    <t>1.67</t>
  </si>
  <si>
    <t>20.02</t>
  </si>
  <si>
    <t>23.49</t>
  </si>
  <si>
    <t>13.70</t>
  </si>
  <si>
    <t>34.75</t>
  </si>
  <si>
    <t>16.25</t>
  </si>
  <si>
    <t>16.49</t>
  </si>
  <si>
    <t>79.22</t>
  </si>
  <si>
    <t>90.42</t>
  </si>
  <si>
    <t>77.43</t>
  </si>
  <si>
    <t>56.36</t>
  </si>
  <si>
    <t>55.84</t>
  </si>
  <si>
    <t>58.41</t>
  </si>
  <si>
    <t>72.65</t>
  </si>
  <si>
    <t>74.37</t>
  </si>
  <si>
    <t>52.23</t>
  </si>
  <si>
    <t>80.07</t>
  </si>
  <si>
    <t>48.76</t>
  </si>
  <si>
    <t>67.87</t>
  </si>
  <si>
    <t>55.16</t>
  </si>
  <si>
    <t>68.79</t>
  </si>
  <si>
    <t xml:space="preserve">GB-20B </t>
  </si>
  <si>
    <t>HEYSHAM-A2</t>
  </si>
  <si>
    <t>4495.02</t>
  </si>
  <si>
    <t>3407.89</t>
  </si>
  <si>
    <t>3646.95</t>
  </si>
  <si>
    <t>1974.61</t>
  </si>
  <si>
    <t>2112.60</t>
  </si>
  <si>
    <t>3972.25</t>
  </si>
  <si>
    <t>2981.62</t>
  </si>
  <si>
    <t>2865.50</t>
  </si>
  <si>
    <t>2421.73</t>
  </si>
  <si>
    <t>72650.00</t>
  </si>
  <si>
    <t>68.12</t>
  </si>
  <si>
    <t>72.53</t>
  </si>
  <si>
    <t>39.74</t>
  </si>
  <si>
    <t>43.66</t>
  </si>
  <si>
    <t>79.00</t>
  </si>
  <si>
    <t>59.35</t>
  </si>
  <si>
    <t>57.24</t>
  </si>
  <si>
    <t>48.08</t>
  </si>
  <si>
    <t>67.25</t>
  </si>
  <si>
    <t>8.35</t>
  </si>
  <si>
    <t>17.86</t>
  </si>
  <si>
    <t>6.41</t>
  </si>
  <si>
    <t>5.12</t>
  </si>
  <si>
    <t>16.87</t>
  </si>
  <si>
    <t>14.59</t>
  </si>
  <si>
    <t>10.31</t>
  </si>
  <si>
    <t>16.72</t>
  </si>
  <si>
    <t>5.21</t>
  </si>
  <si>
    <t>13.33</t>
  </si>
  <si>
    <t>68.34</t>
  </si>
  <si>
    <t>39.90</t>
  </si>
  <si>
    <t>67.88</t>
  </si>
  <si>
    <t>12.45</t>
  </si>
  <si>
    <t>22.51</t>
  </si>
  <si>
    <t>57.95</t>
  </si>
  <si>
    <t>41.69</t>
  </si>
  <si>
    <t>7.51</t>
  </si>
  <si>
    <t>15.78</t>
  </si>
  <si>
    <t>20.33</t>
  </si>
  <si>
    <t>48.53</t>
  </si>
  <si>
    <t>15.38</t>
  </si>
  <si>
    <t>93.20</t>
  </si>
  <si>
    <t>72.07</t>
  </si>
  <si>
    <t>75.29</t>
  </si>
  <si>
    <t>43.32</t>
  </si>
  <si>
    <t>44.17</t>
  </si>
  <si>
    <t>71.69</t>
  </si>
  <si>
    <t>73.22</t>
  </si>
  <si>
    <t>66.92</t>
  </si>
  <si>
    <t>67.66</t>
  </si>
  <si>
    <t>39.09</t>
  </si>
  <si>
    <t>41.94</t>
  </si>
  <si>
    <t>59.19</t>
  </si>
  <si>
    <t>66.32</t>
  </si>
  <si>
    <t xml:space="preserve">GB-22A </t>
  </si>
  <si>
    <t>HEYSHAM-B1</t>
  </si>
  <si>
    <t>NEI.P (NEI PARSONS)</t>
  </si>
  <si>
    <t>21.9</t>
  </si>
  <si>
    <t>9.46</t>
  </si>
  <si>
    <t>113</t>
  </si>
  <si>
    <t>635</t>
  </si>
  <si>
    <t>14700</t>
  </si>
  <si>
    <t>15.9</t>
  </si>
  <si>
    <t>5240.97</t>
  </si>
  <si>
    <t>4413.96</t>
  </si>
  <si>
    <t>5045.34</t>
  </si>
  <si>
    <t>4115.67</t>
  </si>
  <si>
    <t>4262.48</t>
  </si>
  <si>
    <t>4603.97</t>
  </si>
  <si>
    <t>4617.34</t>
  </si>
  <si>
    <t>3879.33</t>
  </si>
  <si>
    <t>4750.20</t>
  </si>
  <si>
    <t>5000.04</t>
  </si>
  <si>
    <t>89089.00</t>
  </si>
  <si>
    <t>75.33</t>
  </si>
  <si>
    <t>85.83</t>
  </si>
  <si>
    <t>72.11</t>
  </si>
  <si>
    <t>77.45</t>
  </si>
  <si>
    <t>14.88</t>
  </si>
  <si>
    <t>16.84</t>
  </si>
  <si>
    <t>6.12</t>
  </si>
  <si>
    <t>19.87</t>
  </si>
  <si>
    <t>3.10</t>
  </si>
  <si>
    <t>3.76</t>
  </si>
  <si>
    <t>16.10</t>
  </si>
  <si>
    <t>92.15</t>
  </si>
  <si>
    <t>78.24</t>
  </si>
  <si>
    <t>22.13</t>
  </si>
  <si>
    <t>6.10</t>
  </si>
  <si>
    <t>8.94</t>
  </si>
  <si>
    <t>5.87</t>
  </si>
  <si>
    <t>96.39</t>
  </si>
  <si>
    <t>80.12</t>
  </si>
  <si>
    <t>95.46</t>
  </si>
  <si>
    <t>80.62</t>
  </si>
  <si>
    <t>77.85</t>
  </si>
  <si>
    <t>85.12</t>
  </si>
  <si>
    <t>85.71</t>
  </si>
  <si>
    <t>92.06</t>
  </si>
  <si>
    <t>76.14</t>
  </si>
  <si>
    <t xml:space="preserve">GB-22B </t>
  </si>
  <si>
    <t>HEYSHAM-B2</t>
  </si>
  <si>
    <t>4234.22</t>
  </si>
  <si>
    <t>5010.34</t>
  </si>
  <si>
    <t>4582.83</t>
  </si>
  <si>
    <t>4244.16</t>
  </si>
  <si>
    <t>5056.80</t>
  </si>
  <si>
    <t>4816.70</t>
  </si>
  <si>
    <t>4046.74</t>
  </si>
  <si>
    <t>4709.31</t>
  </si>
  <si>
    <t>4012.10</t>
  </si>
  <si>
    <t>1437.40</t>
  </si>
  <si>
    <t>83307.00</t>
  </si>
  <si>
    <t>91.53</t>
  </si>
  <si>
    <t>83.75</t>
  </si>
  <si>
    <t>77.48</t>
  </si>
  <si>
    <t>74.92</t>
  </si>
  <si>
    <t>74.22</t>
  </si>
  <si>
    <t>27.24</t>
  </si>
  <si>
    <t>14.89</t>
  </si>
  <si>
    <t>16.21</t>
  </si>
  <si>
    <t>15.36</t>
  </si>
  <si>
    <t>83.91</t>
  </si>
  <si>
    <t>76.77</t>
  </si>
  <si>
    <t>74.95</t>
  </si>
  <si>
    <t>14.27</t>
  </si>
  <si>
    <t>7.02</t>
  </si>
  <si>
    <t>4.91</t>
  </si>
  <si>
    <t>15.69</t>
  </si>
  <si>
    <t>12.02</t>
  </si>
  <si>
    <t>8.41</t>
  </si>
  <si>
    <t>80.86</t>
  </si>
  <si>
    <t>97.27</t>
  </si>
  <si>
    <t>84.05</t>
  </si>
  <si>
    <t>97.76</t>
  </si>
  <si>
    <t>31.04</t>
  </si>
  <si>
    <t>77.13</t>
  </si>
  <si>
    <t>92.36</t>
  </si>
  <si>
    <t>73.87</t>
  </si>
  <si>
    <t>26.47</t>
  </si>
  <si>
    <t>72.50</t>
  </si>
  <si>
    <t xml:space="preserve">GB-16A </t>
  </si>
  <si>
    <t>HINKLEY POINT-B1</t>
  </si>
  <si>
    <t>TNPG (THE NUCLEAR POWER GROUP LTD.)</t>
  </si>
  <si>
    <t>35.65</t>
  </si>
  <si>
    <t>2464</t>
  </si>
  <si>
    <t>105.2</t>
  </si>
  <si>
    <t>4.24</t>
  </si>
  <si>
    <t>655</t>
  </si>
  <si>
    <t>4801.96</t>
  </si>
  <si>
    <t>4580.96</t>
  </si>
  <si>
    <t>4076.35</t>
  </si>
  <si>
    <t>4578.71</t>
  </si>
  <si>
    <t>4580.58</t>
  </si>
  <si>
    <t>3370.18</t>
  </si>
  <si>
    <t>1877.41</t>
  </si>
  <si>
    <t>2628.76</t>
  </si>
  <si>
    <t>1931.52</t>
  </si>
  <si>
    <t>3152.41</t>
  </si>
  <si>
    <t>114475.00</t>
  </si>
  <si>
    <t>86.97</t>
  </si>
  <si>
    <t>84.96</t>
  </si>
  <si>
    <t>74.84</t>
  </si>
  <si>
    <t>62.36</t>
  </si>
  <si>
    <t>45.21</t>
  </si>
  <si>
    <t>72.77</t>
  </si>
  <si>
    <t>53.72</t>
  </si>
  <si>
    <t>4.87</t>
  </si>
  <si>
    <t>15.34</t>
  </si>
  <si>
    <t>22.79</t>
  </si>
  <si>
    <t>12.86</t>
  </si>
  <si>
    <t>25.21</t>
  </si>
  <si>
    <t>13.81</t>
  </si>
  <si>
    <t>84.98</t>
  </si>
  <si>
    <t>45.24</t>
  </si>
  <si>
    <t>55.40</t>
  </si>
  <si>
    <t>81.80</t>
  </si>
  <si>
    <t>75.58</t>
  </si>
  <si>
    <t>6.49</t>
  </si>
  <si>
    <t>11.39</t>
  </si>
  <si>
    <t>14.64</t>
  </si>
  <si>
    <t>16.47</t>
  </si>
  <si>
    <t>23.30</t>
  </si>
  <si>
    <t>97.28</t>
  </si>
  <si>
    <t>80.27</t>
  </si>
  <si>
    <t>70.78</t>
  </si>
  <si>
    <t>59.41</t>
  </si>
  <si>
    <t>78.95</t>
  </si>
  <si>
    <t>56.66</t>
  </si>
  <si>
    <t>84.60</t>
  </si>
  <si>
    <t>79.83</t>
  </si>
  <si>
    <t>85.73</t>
  </si>
  <si>
    <t>76.28</t>
  </si>
  <si>
    <t>85.45</t>
  </si>
  <si>
    <t>85.72</t>
  </si>
  <si>
    <t>62.30</t>
  </si>
  <si>
    <t>44.94</t>
  </si>
  <si>
    <t>72.12</t>
  </si>
  <si>
    <t>53.78</t>
  </si>
  <si>
    <t>87.77</t>
  </si>
  <si>
    <t xml:space="preserve">GB-16B </t>
  </si>
  <si>
    <t>HINKLEY POINT-B2</t>
  </si>
  <si>
    <t>4772.43</t>
  </si>
  <si>
    <t>3257.33</t>
  </si>
  <si>
    <t>4619.46</t>
  </si>
  <si>
    <t>4150.52</t>
  </si>
  <si>
    <t>3357.19</t>
  </si>
  <si>
    <t>3132.91</t>
  </si>
  <si>
    <t>1812.88</t>
  </si>
  <si>
    <t>2709.85</t>
  </si>
  <si>
    <t>3016.26</t>
  </si>
  <si>
    <t>3263.25</t>
  </si>
  <si>
    <t>111223.00</t>
  </si>
  <si>
    <t>84.12</t>
  </si>
  <si>
    <t>61.23</t>
  </si>
  <si>
    <t>77.73</t>
  </si>
  <si>
    <t>63.28</t>
  </si>
  <si>
    <t>59.78</t>
  </si>
  <si>
    <t>44.04</t>
  </si>
  <si>
    <t>74.06</t>
  </si>
  <si>
    <t>79.63</t>
  </si>
  <si>
    <t>73.14</t>
  </si>
  <si>
    <t>9.28</t>
  </si>
  <si>
    <t>17.19</t>
  </si>
  <si>
    <t>9.02</t>
  </si>
  <si>
    <t>27.94</t>
  </si>
  <si>
    <t>1.18</t>
  </si>
  <si>
    <t>23.41</t>
  </si>
  <si>
    <t>14.56</t>
  </si>
  <si>
    <t>61.46</t>
  </si>
  <si>
    <t>74.28</t>
  </si>
  <si>
    <t>24.50</t>
  </si>
  <si>
    <t>13.83</t>
  </si>
  <si>
    <t>10.01</t>
  </si>
  <si>
    <t>31.08</t>
  </si>
  <si>
    <t>55.44</t>
  </si>
  <si>
    <t>18.39</t>
  </si>
  <si>
    <t>12.69</t>
  </si>
  <si>
    <t>70.35</t>
  </si>
  <si>
    <t>97.89</t>
  </si>
  <si>
    <t>92.93</t>
  </si>
  <si>
    <t>74.70</t>
  </si>
  <si>
    <t>69.08</t>
  </si>
  <si>
    <t>54.86</t>
  </si>
  <si>
    <t>77.65</t>
  </si>
  <si>
    <t>77.19</t>
  </si>
  <si>
    <t>60.96</t>
  </si>
  <si>
    <t>77.46</t>
  </si>
  <si>
    <t>62.83</t>
  </si>
  <si>
    <t>59.36</t>
  </si>
  <si>
    <t>43.85</t>
  </si>
  <si>
    <t>74.34</t>
  </si>
  <si>
    <t>71.96</t>
  </si>
  <si>
    <t xml:space="preserve">GB-17A </t>
  </si>
  <si>
    <t>HUNTERSTON-B1</t>
  </si>
  <si>
    <t>BEG (British Energy Group Plc)</t>
  </si>
  <si>
    <t>19.35</t>
  </si>
  <si>
    <t>21000</t>
  </si>
  <si>
    <t>8.29</t>
  </si>
  <si>
    <t>105</t>
  </si>
  <si>
    <t>4.04</t>
  </si>
  <si>
    <t>639</t>
  </si>
  <si>
    <t>13000</t>
  </si>
  <si>
    <t>5030.39</t>
  </si>
  <si>
    <t>4678.54</t>
  </si>
  <si>
    <t>3936.46</t>
  </si>
  <si>
    <t>4522.73</t>
  </si>
  <si>
    <t>4096.42</t>
  </si>
  <si>
    <t>1991.38</t>
  </si>
  <si>
    <t>1303.35</t>
  </si>
  <si>
    <t>2213.36</t>
  </si>
  <si>
    <t>2827.96</t>
  </si>
  <si>
    <t>3635.46</t>
  </si>
  <si>
    <t>114448.00</t>
  </si>
  <si>
    <t>74.64</t>
  </si>
  <si>
    <t>78.42</t>
  </si>
  <si>
    <t>37.79</t>
  </si>
  <si>
    <t>32.49</t>
  </si>
  <si>
    <t>60.85</t>
  </si>
  <si>
    <t>73.89</t>
  </si>
  <si>
    <t>70.56</t>
  </si>
  <si>
    <t>5.00</t>
  </si>
  <si>
    <t>5.15</t>
  </si>
  <si>
    <t>12.85</t>
  </si>
  <si>
    <t>23.82</t>
  </si>
  <si>
    <t>19.86</t>
  </si>
  <si>
    <t>23.01</t>
  </si>
  <si>
    <t>16.94</t>
  </si>
  <si>
    <t>89.15</t>
  </si>
  <si>
    <t>74.68</t>
  </si>
  <si>
    <t>78.78</t>
  </si>
  <si>
    <t>73.91</t>
  </si>
  <si>
    <t>70.86</t>
  </si>
  <si>
    <t>5.36</t>
  </si>
  <si>
    <t>14.36</t>
  </si>
  <si>
    <t>24.89</t>
  </si>
  <si>
    <t>37.76</t>
  </si>
  <si>
    <t>19.07</t>
  </si>
  <si>
    <t>2.37</t>
  </si>
  <si>
    <t>5.71</t>
  </si>
  <si>
    <t>97.88</t>
  </si>
  <si>
    <t>93.69</t>
  </si>
  <si>
    <t>43.81</t>
  </si>
  <si>
    <t>49.26</t>
  </si>
  <si>
    <t>67.10</t>
  </si>
  <si>
    <t>75.24</t>
  </si>
  <si>
    <t>75.52</t>
  </si>
  <si>
    <t>78.59</t>
  </si>
  <si>
    <t>37.49</t>
  </si>
  <si>
    <t>31.87</t>
  </si>
  <si>
    <t>61.09</t>
  </si>
  <si>
    <t>75.95</t>
  </si>
  <si>
    <t>69.20</t>
  </si>
  <si>
    <t xml:space="preserve">GB-17B </t>
  </si>
  <si>
    <t>HUNTERSTON-B2</t>
  </si>
  <si>
    <t>3785.00</t>
  </si>
  <si>
    <t>4413.06</t>
  </si>
  <si>
    <t>4627.26</t>
  </si>
  <si>
    <t>4238.69</t>
  </si>
  <si>
    <t>3633.64</t>
  </si>
  <si>
    <t>3745.99</t>
  </si>
  <si>
    <t>1658.38</t>
  </si>
  <si>
    <t>2240.71</t>
  </si>
  <si>
    <t>3217.65</t>
  </si>
  <si>
    <t>3218.67</t>
  </si>
  <si>
    <t>109201.00</t>
  </si>
  <si>
    <t>83.71</t>
  </si>
  <si>
    <t>83.07</t>
  </si>
  <si>
    <t>83.47</t>
  </si>
  <si>
    <t>69.41</t>
  </si>
  <si>
    <t>71.04</t>
  </si>
  <si>
    <t>41.29</t>
  </si>
  <si>
    <t>61.92</t>
  </si>
  <si>
    <t>9.52</t>
  </si>
  <si>
    <t>14.98</t>
  </si>
  <si>
    <t>6.35</t>
  </si>
  <si>
    <t>19.21</t>
  </si>
  <si>
    <t>1.43</t>
  </si>
  <si>
    <t>28.34</t>
  </si>
  <si>
    <t>13.00</t>
  </si>
  <si>
    <t>13.49</t>
  </si>
  <si>
    <t>7519.43</t>
  </si>
  <si>
    <t>7152.42</t>
  </si>
  <si>
    <t>8189.80</t>
  </si>
  <si>
    <t>7190.76</t>
  </si>
  <si>
    <t>6880.10</t>
  </si>
  <si>
    <t>7884.25</t>
  </si>
  <si>
    <t>194638.00</t>
  </si>
  <si>
    <t>99.02</t>
  </si>
  <si>
    <t>90.38</t>
  </si>
  <si>
    <t>99.23</t>
  </si>
  <si>
    <t>91.45</t>
  </si>
  <si>
    <t>98.98</t>
  </si>
  <si>
    <t>86.61</t>
  </si>
  <si>
    <t>82.85</t>
  </si>
  <si>
    <t>6.92</t>
  </si>
  <si>
    <t>10.17</t>
  </si>
  <si>
    <t>10.77</t>
  </si>
  <si>
    <t>16.27</t>
  </si>
  <si>
    <t>11.18</t>
  </si>
  <si>
    <t>99.59</t>
  </si>
  <si>
    <t>99.90</t>
  </si>
  <si>
    <t>93.06</t>
  </si>
  <si>
    <t>87.16</t>
  </si>
  <si>
    <t>86.36</t>
  </si>
  <si>
    <t>0.66</t>
  </si>
  <si>
    <t>99.87</t>
  </si>
  <si>
    <t>93.38</t>
  </si>
  <si>
    <t>87.94</t>
  </si>
  <si>
    <t>83.74</t>
  </si>
  <si>
    <t>100.38</t>
  </si>
  <si>
    <t>89.82</t>
  </si>
  <si>
    <t>98.72</t>
  </si>
  <si>
    <t>90.93</t>
  </si>
  <si>
    <t>99.04</t>
  </si>
  <si>
    <t>86.72</t>
  </si>
  <si>
    <t>89.70</t>
  </si>
  <si>
    <t xml:space="preserve">ES-7   </t>
  </si>
  <si>
    <t>ALMARAZ-2</t>
  </si>
  <si>
    <t>49</t>
  </si>
  <si>
    <t>7601.46</t>
  </si>
  <si>
    <t>8154.94</t>
  </si>
  <si>
    <t>6627.94</t>
  </si>
  <si>
    <t>7563.17</t>
  </si>
  <si>
    <t>8253.32</t>
  </si>
  <si>
    <t>7250.11</t>
  </si>
  <si>
    <t>7191.67</t>
  </si>
  <si>
    <t>8331.69</t>
  </si>
  <si>
    <t>6864.58</t>
  </si>
  <si>
    <t>7007.03</t>
  </si>
  <si>
    <t>190338.00</t>
  </si>
  <si>
    <t>91.33</t>
  </si>
  <si>
    <t>98.10</t>
  </si>
  <si>
    <t>86.78</t>
  </si>
  <si>
    <t>86.04</t>
  </si>
  <si>
    <t>99.22</t>
  </si>
  <si>
    <t>83.79</t>
  </si>
  <si>
    <t>6.45</t>
  </si>
  <si>
    <t>11.51</t>
  </si>
  <si>
    <t>12.49</t>
  </si>
  <si>
    <t>9.04</t>
  </si>
  <si>
    <t>98.84</t>
  </si>
  <si>
    <t>99.96</t>
  </si>
  <si>
    <t>87.71</t>
  </si>
  <si>
    <t>99.98</t>
  </si>
  <si>
    <t>85.50</t>
  </si>
  <si>
    <t>87.98</t>
  </si>
  <si>
    <t>1.56</t>
  </si>
  <si>
    <t>1.14</t>
  </si>
  <si>
    <t>4.75</t>
  </si>
  <si>
    <t>5.41</t>
  </si>
  <si>
    <t>3.74</t>
  </si>
  <si>
    <t>92.02</t>
  </si>
  <si>
    <t>86.44</t>
  </si>
  <si>
    <t>92.71</t>
  </si>
  <si>
    <t>97.68</t>
  </si>
  <si>
    <t>86.56</t>
  </si>
  <si>
    <t>85.88</t>
  </si>
  <si>
    <t>83.67</t>
  </si>
  <si>
    <t>87.10</t>
  </si>
  <si>
    <t xml:space="preserve">ES-8   </t>
  </si>
  <si>
    <t>ASCO-1</t>
  </si>
  <si>
    <t>ANAV (ASOCIACION NUCLEAR ASCO-VANDELLOS A.I.E. (ENDESA/ID))</t>
  </si>
  <si>
    <t>ENDESA (ENDESA, S.A.)</t>
  </si>
  <si>
    <t>12.98</t>
  </si>
  <si>
    <t>50500</t>
  </si>
  <si>
    <t>72.47</t>
  </si>
  <si>
    <t>15.72</t>
  </si>
  <si>
    <t>326.7</t>
  </si>
  <si>
    <t>15890</t>
  </si>
  <si>
    <t>6.6</t>
  </si>
  <si>
    <t>7798.00</t>
  </si>
  <si>
    <t>8397.00</t>
  </si>
  <si>
    <t>7581.11</t>
  </si>
  <si>
    <t>7734.27</t>
  </si>
  <si>
    <t>7640.50</t>
  </si>
  <si>
    <t>7418.37</t>
  </si>
  <si>
    <t>7574.76</t>
  </si>
  <si>
    <t>7436.29</t>
  </si>
  <si>
    <t>5499.76</t>
  </si>
  <si>
    <t>7996.12</t>
  </si>
  <si>
    <t>185622.77</t>
  </si>
  <si>
    <t>89.81</t>
  </si>
  <si>
    <t>97.60</t>
  </si>
  <si>
    <t>85.38</t>
  </si>
  <si>
    <t>63.10</t>
  </si>
  <si>
    <t>9.18</t>
  </si>
  <si>
    <t>1.33</t>
  </si>
  <si>
    <t>11.85</t>
  </si>
  <si>
    <t>10.05</t>
  </si>
  <si>
    <t>8.28</t>
  </si>
  <si>
    <t>12.39</t>
  </si>
  <si>
    <t>9.65</t>
  </si>
  <si>
    <t>6.00</t>
  </si>
  <si>
    <t>11.65</t>
  </si>
  <si>
    <t>11.32</t>
  </si>
  <si>
    <t>98.24</t>
  </si>
  <si>
    <t>64.43</t>
  </si>
  <si>
    <t>93.31</t>
  </si>
  <si>
    <t>85.14</t>
  </si>
  <si>
    <t>0.58</t>
  </si>
  <si>
    <t>0.61</t>
  </si>
  <si>
    <t>22.82</t>
  </si>
  <si>
    <t>3.39</t>
  </si>
  <si>
    <t>99.74</t>
  </si>
  <si>
    <t>90.49</t>
  </si>
  <si>
    <t>90.98</t>
  </si>
  <si>
    <t>65.73</t>
  </si>
  <si>
    <t>96.05</t>
  </si>
  <si>
    <t>86.89</t>
  </si>
  <si>
    <t>85.08</t>
  </si>
  <si>
    <t>83.59</t>
  </si>
  <si>
    <t xml:space="preserve">ES-9   </t>
  </si>
  <si>
    <t>ASCO-2</t>
  </si>
  <si>
    <t>EN/ID (ENDESA, IBERDROLA)</t>
  </si>
  <si>
    <t>327</t>
  </si>
  <si>
    <t>7829.00</t>
  </si>
  <si>
    <t>7780.00</t>
  </si>
  <si>
    <t>8521.20</t>
  </si>
  <si>
    <t>6909.28</t>
  </si>
  <si>
    <t>7418.88</t>
  </si>
  <si>
    <t>7968.75</t>
  </si>
  <si>
    <t>7091.43</t>
  </si>
  <si>
    <t>7123.62</t>
  </si>
  <si>
    <t>7818.32</t>
  </si>
  <si>
    <t>7309.13</t>
  </si>
  <si>
    <t>179520.47</t>
  </si>
  <si>
    <t>89.40</t>
  </si>
  <si>
    <t>98.73</t>
  </si>
  <si>
    <t>79.62</t>
  </si>
  <si>
    <t>92.42</t>
  </si>
  <si>
    <t>81.94</t>
  </si>
  <si>
    <t>81.98</t>
  </si>
  <si>
    <t>89.52</t>
  </si>
  <si>
    <t>87.27</t>
  </si>
  <si>
    <t>8.77</t>
  </si>
  <si>
    <t>9.93</t>
  </si>
  <si>
    <t>10.22</t>
  </si>
  <si>
    <t>9.88</t>
  </si>
  <si>
    <t>8.68</t>
  </si>
  <si>
    <t>90.97</t>
  </si>
  <si>
    <t>90.78</t>
  </si>
  <si>
    <t>86.75</t>
  </si>
  <si>
    <t>83.58</t>
  </si>
  <si>
    <t>85.62</t>
  </si>
  <si>
    <t>0.27</t>
  </si>
  <si>
    <t>10.36</t>
  </si>
  <si>
    <t>6.95</t>
  </si>
  <si>
    <t>2.93</t>
  </si>
  <si>
    <t>92.49</t>
  </si>
  <si>
    <t>92.77</t>
  </si>
  <si>
    <t>99.75</t>
  </si>
  <si>
    <t>82.96</t>
  </si>
  <si>
    <t>84.39</t>
  </si>
  <si>
    <t>89.54</t>
  </si>
  <si>
    <t>90.92</t>
  </si>
  <si>
    <t>89.08</t>
  </si>
  <si>
    <t>97.57</t>
  </si>
  <si>
    <t>78.89</t>
  </si>
  <si>
    <t>84.95</t>
  </si>
  <si>
    <t>81.20</t>
  </si>
  <si>
    <t>81.34</t>
  </si>
  <si>
    <t xml:space="preserve">ES-10  </t>
  </si>
  <si>
    <t>COFRENTES</t>
  </si>
  <si>
    <t>ID (IBERDROLA, S.A.)</t>
  </si>
  <si>
    <t>GE (GENERAL ELECTRIC CO.)</t>
  </si>
  <si>
    <t>BWR-6</t>
  </si>
  <si>
    <t>2.39</t>
  </si>
  <si>
    <t>24</t>
  </si>
  <si>
    <t>4.29</t>
  </si>
  <si>
    <t>3.81</t>
  </si>
  <si>
    <t>624</t>
  </si>
  <si>
    <t>111.5</t>
  </si>
  <si>
    <t>145</t>
  </si>
  <si>
    <t>7.26</t>
  </si>
  <si>
    <t>288</t>
  </si>
  <si>
    <t>38300</t>
  </si>
  <si>
    <t>7.115</t>
  </si>
  <si>
    <t>8278.15</t>
  </si>
  <si>
    <t>7918.10</t>
  </si>
  <si>
    <t>8002.51</t>
  </si>
  <si>
    <t>8813.91</t>
  </si>
  <si>
    <t>6765.14</t>
  </si>
  <si>
    <t>8872.52</t>
  </si>
  <si>
    <t>6008.35</t>
  </si>
  <si>
    <t>7856.29</t>
  </si>
  <si>
    <t>7747.00</t>
  </si>
  <si>
    <t>9201.90</t>
  </si>
  <si>
    <t>195384.18</t>
  </si>
  <si>
    <t>72.84</t>
  </si>
  <si>
    <t>64.47</t>
  </si>
  <si>
    <t>83.12</t>
  </si>
  <si>
    <t>3.09</t>
  </si>
  <si>
    <t>22.53</t>
  </si>
  <si>
    <t>23.11</t>
  </si>
  <si>
    <t>13.36</t>
  </si>
  <si>
    <t>94.94</t>
  </si>
  <si>
    <t>66.05</t>
  </si>
  <si>
    <t>84.40</t>
  </si>
  <si>
    <t>98.99</t>
  </si>
  <si>
    <t>4.17</t>
  </si>
  <si>
    <t>1.73</t>
  </si>
  <si>
    <t>2.80</t>
  </si>
  <si>
    <t>2.00</t>
  </si>
  <si>
    <t>1.57</t>
  </si>
  <si>
    <t>10.93</t>
  </si>
  <si>
    <t>15.51</t>
  </si>
  <si>
    <t>96.16</t>
  </si>
  <si>
    <t>96.28</t>
  </si>
  <si>
    <t>77.26</t>
  </si>
  <si>
    <t>67.33</t>
  </si>
  <si>
    <t>95.55</t>
  </si>
  <si>
    <t>86.45</t>
  </si>
  <si>
    <t>72.58</t>
  </si>
  <si>
    <t>64.46</t>
  </si>
  <si>
    <t>84.06</t>
  </si>
  <si>
    <t xml:space="preserve">ES-2   </t>
  </si>
  <si>
    <t>SANTA MARIA DE GARONA</t>
  </si>
  <si>
    <t>NUCLENOR (NUCLENOR, S.A.)</t>
  </si>
  <si>
    <t>BWR-3</t>
  </si>
  <si>
    <t>19.96</t>
  </si>
  <si>
    <t>31000</t>
  </si>
  <si>
    <t>3.44</t>
  </si>
  <si>
    <t>3.69</t>
  </si>
  <si>
    <t>400</t>
  </si>
  <si>
    <t>70.9</t>
  </si>
  <si>
    <t>97</t>
  </si>
  <si>
    <t>283</t>
  </si>
  <si>
    <t>21770</t>
  </si>
  <si>
    <t>6.78</t>
  </si>
  <si>
    <t>3435.04</t>
  </si>
  <si>
    <t>3841.42</t>
  </si>
  <si>
    <t>3577.75</t>
  </si>
  <si>
    <t>3873.78</t>
  </si>
  <si>
    <t>3515.28</t>
  </si>
  <si>
    <t>World Nuclear Power Reactors &amp; Uranium Requirements</t>
  </si>
  <si>
    <t>(Microsoft Access DB)</t>
  </si>
  <si>
    <t>75.15</t>
  </si>
  <si>
    <t>19.60</t>
  </si>
  <si>
    <t>61.93</t>
  </si>
  <si>
    <t>14.58</t>
  </si>
  <si>
    <t>10.63</t>
  </si>
  <si>
    <t>12.00</t>
  </si>
  <si>
    <t>9.83</t>
  </si>
  <si>
    <t>9.58</t>
  </si>
  <si>
    <t>96.49</t>
  </si>
  <si>
    <t>42.82</t>
  </si>
  <si>
    <t>87.45</t>
  </si>
  <si>
    <t>73.70</t>
  </si>
  <si>
    <t>78.21</t>
  </si>
  <si>
    <t>35.54</t>
  </si>
  <si>
    <t>69.09</t>
  </si>
  <si>
    <t>60.22</t>
  </si>
  <si>
    <t>88.20</t>
  </si>
  <si>
    <t>78.01</t>
  </si>
  <si>
    <t>70.30</t>
  </si>
  <si>
    <t xml:space="preserve">GB-13A </t>
  </si>
  <si>
    <t>WYLFA 1</t>
  </si>
  <si>
    <t>EE/B&amp;W/T (THE ENGLISH ELECTRIC CO. LTD / BABCOCK &amp; WILCOX CO. / TAYLOR WOODROW CONSTRUCTION LTD.)</t>
  </si>
  <si>
    <t>EE (THE ENGLISH ELECTRIC CO. LTD.)</t>
  </si>
  <si>
    <t>54000</t>
  </si>
  <si>
    <t>17.4</t>
  </si>
  <si>
    <t>9.1</t>
  </si>
  <si>
    <t>49248</t>
  </si>
  <si>
    <t>592.9</t>
  </si>
  <si>
    <t>153</t>
  </si>
  <si>
    <t>2.76</t>
  </si>
  <si>
    <t>370</t>
  </si>
  <si>
    <t>3.54</t>
  </si>
  <si>
    <t>1306.51</t>
  </si>
  <si>
    <t>4058.30</t>
  </si>
  <si>
    <t>2916.04</t>
  </si>
  <si>
    <t>4144.31</t>
  </si>
  <si>
    <t>2967.86</t>
  </si>
  <si>
    <t>3730.40</t>
  </si>
  <si>
    <t>1569.94</t>
  </si>
  <si>
    <t>3944.36</t>
  </si>
  <si>
    <t>2343.01</t>
  </si>
  <si>
    <t>3480.52</t>
  </si>
  <si>
    <t>113053.00</t>
  </si>
  <si>
    <t>30.44</t>
  </si>
  <si>
    <t>94.45</t>
  </si>
  <si>
    <t>67.86</t>
  </si>
  <si>
    <t>69.14</t>
  </si>
  <si>
    <t>36.57</t>
  </si>
  <si>
    <t>54.59</t>
  </si>
  <si>
    <t>81.09</t>
  </si>
  <si>
    <t>70.96</t>
  </si>
  <si>
    <t>41.37</t>
  </si>
  <si>
    <t>20.50</t>
  </si>
  <si>
    <t>41.19</t>
  </si>
  <si>
    <t>35.24</t>
  </si>
  <si>
    <t>68.18</t>
  </si>
  <si>
    <t>97.03</t>
  </si>
  <si>
    <t>69.70</t>
  </si>
  <si>
    <t>36.62</t>
  </si>
  <si>
    <t>54.91</t>
  </si>
  <si>
    <t>81.81</t>
  </si>
  <si>
    <t>71.41</t>
  </si>
  <si>
    <t>22.09</t>
  </si>
  <si>
    <t>2.97</t>
  </si>
  <si>
    <t>12.32</t>
  </si>
  <si>
    <t>33.80</t>
  </si>
  <si>
    <t>18.19</t>
  </si>
  <si>
    <t>13.77</t>
  </si>
  <si>
    <t>39.39</t>
  </si>
  <si>
    <t>97.50</t>
  </si>
  <si>
    <t>72.93</t>
  </si>
  <si>
    <t>82.19</t>
  </si>
  <si>
    <t>98.15</t>
  </si>
  <si>
    <t>50.24</t>
  </si>
  <si>
    <t>83.06</t>
  </si>
  <si>
    <t>67.93</t>
  </si>
  <si>
    <t xml:space="preserve">GB-13B </t>
  </si>
  <si>
    <t>WYLFA 2</t>
  </si>
  <si>
    <t>1286.37</t>
  </si>
  <si>
    <t>3417.23</t>
  </si>
  <si>
    <t>3354.41</t>
  </si>
  <si>
    <t>3246.96</t>
  </si>
  <si>
    <t>3781.99</t>
  </si>
  <si>
    <t>1932.56</t>
  </si>
  <si>
    <t>3198.80</t>
  </si>
  <si>
    <t>2080.95</t>
  </si>
  <si>
    <t>3259.42</t>
  </si>
  <si>
    <t>1584.60</t>
  </si>
  <si>
    <t>105500.00</t>
  </si>
  <si>
    <t>29.97</t>
  </si>
  <si>
    <t>79.52</t>
  </si>
  <si>
    <t>78.10</t>
  </si>
  <si>
    <t>75.44</t>
  </si>
  <si>
    <t>45.02</t>
  </si>
  <si>
    <t>74.52</t>
  </si>
  <si>
    <t>48.35</t>
  </si>
  <si>
    <t>36.92</t>
  </si>
  <si>
    <t>69.58</t>
  </si>
  <si>
    <t>49.59</t>
  </si>
  <si>
    <t>9.86</t>
  </si>
  <si>
    <t>14.85</t>
  </si>
  <si>
    <t>34.77</t>
  </si>
  <si>
    <t>36.63</t>
  </si>
  <si>
    <t>32.15</t>
  </si>
  <si>
    <t>78.64</t>
  </si>
  <si>
    <t>75.13</t>
  </si>
  <si>
    <t>76.33</t>
  </si>
  <si>
    <t>70.01</t>
  </si>
  <si>
    <t>40.55</t>
  </si>
  <si>
    <t>23.60</t>
  </si>
  <si>
    <t>24.87</t>
  </si>
  <si>
    <t>23.70</t>
  </si>
  <si>
    <t>23.67</t>
  </si>
  <si>
    <t>25.02</t>
  </si>
  <si>
    <t>14.49</t>
  </si>
  <si>
    <t>36.51</t>
  </si>
  <si>
    <t>86.12</t>
  </si>
  <si>
    <t>68.72</t>
  </si>
  <si>
    <t>61.78</t>
  </si>
  <si>
    <t>98.44</t>
  </si>
  <si>
    <t>48.34</t>
  </si>
  <si>
    <t>82.47</t>
  </si>
  <si>
    <t>69.88</t>
  </si>
  <si>
    <t xml:space="preserve">FR-54  </t>
  </si>
  <si>
    <t>BELLEVILLE-1</t>
  </si>
  <si>
    <t>FRANCE</t>
  </si>
  <si>
    <t>EDF (ELECTRICITE DE FRANCE)</t>
  </si>
  <si>
    <t>FRAM (FRAMATOME)</t>
  </si>
  <si>
    <t>ALSTOM (ALSTOM)</t>
  </si>
  <si>
    <t>P'4 REP 1300</t>
  </si>
  <si>
    <t>13.6</t>
  </si>
  <si>
    <t>4.25</t>
  </si>
  <si>
    <t>103.2</t>
  </si>
  <si>
    <t>51</t>
  </si>
  <si>
    <t>328.7</t>
  </si>
  <si>
    <t>16420</t>
  </si>
  <si>
    <t>9564.53</t>
  </si>
  <si>
    <t>9567.30</t>
  </si>
  <si>
    <t>8401.73</t>
  </si>
  <si>
    <t>9291.01</t>
  </si>
  <si>
    <t>10236.41</t>
  </si>
  <si>
    <t>7926.72</t>
  </si>
  <si>
    <t>8512.07</t>
  </si>
  <si>
    <t>6304.96</t>
  </si>
  <si>
    <t>10402.30</t>
  </si>
  <si>
    <t>6650.30</t>
  </si>
  <si>
    <t>183541.65</t>
  </si>
  <si>
    <t>86.79</t>
  </si>
  <si>
    <t>55.20</t>
  </si>
  <si>
    <t>58.15</t>
  </si>
  <si>
    <t>15.11</t>
  </si>
  <si>
    <t>20.41</t>
  </si>
  <si>
    <t>8.25</t>
  </si>
  <si>
    <t>30.32</t>
  </si>
  <si>
    <t>14.26</t>
  </si>
  <si>
    <t>99.55</t>
  </si>
  <si>
    <t>77.63</t>
  </si>
  <si>
    <t>77.06</t>
  </si>
  <si>
    <t>77.52</t>
  </si>
  <si>
    <t>55.31</t>
  </si>
  <si>
    <t>59.20</t>
  </si>
  <si>
    <t>2.17</t>
  </si>
  <si>
    <t>8.55</t>
  </si>
  <si>
    <t>2.85</t>
  </si>
  <si>
    <t>21.25</t>
  </si>
  <si>
    <t>6.93</t>
  </si>
  <si>
    <t>3.94</t>
  </si>
  <si>
    <t>87.02</t>
  </si>
  <si>
    <t>82.34</t>
  </si>
  <si>
    <t>63.92</t>
  </si>
  <si>
    <t>61.30</t>
  </si>
  <si>
    <t>77.11</t>
  </si>
  <si>
    <t>73.21</t>
  </si>
  <si>
    <t>69.07</t>
  </si>
  <si>
    <t>74.18</t>
  </si>
  <si>
    <t>54.79</t>
  </si>
  <si>
    <t>69.54</t>
  </si>
  <si>
    <t xml:space="preserve">FR-55  </t>
  </si>
  <si>
    <t>BELLEVILLE-2</t>
  </si>
  <si>
    <t>103.9</t>
  </si>
  <si>
    <t>53</t>
  </si>
  <si>
    <t>8457.97</t>
  </si>
  <si>
    <t>9378.75</t>
  </si>
  <si>
    <t>8624.72</t>
  </si>
  <si>
    <t>10202.59</t>
  </si>
  <si>
    <t>9242.31</t>
  </si>
  <si>
    <t>8743.63</t>
  </si>
  <si>
    <t>9516.03</t>
  </si>
  <si>
    <t>9734.88</t>
  </si>
  <si>
    <t>6310.85</t>
  </si>
  <si>
    <t>7869.74</t>
  </si>
  <si>
    <t>181569.78</t>
  </si>
  <si>
    <t>84.29</t>
  </si>
  <si>
    <t>97.05</t>
  </si>
  <si>
    <t>79.06</t>
  </si>
  <si>
    <t>55.55</t>
  </si>
  <si>
    <t>70.02</t>
  </si>
  <si>
    <t>13.14</t>
  </si>
  <si>
    <t>11.94</t>
  </si>
  <si>
    <t>13.37</t>
  </si>
  <si>
    <t>26.79</t>
  </si>
  <si>
    <t>21.51</t>
  </si>
  <si>
    <t>79.16</t>
  </si>
  <si>
    <t>98.01</t>
  </si>
  <si>
    <t>81.71</t>
  </si>
  <si>
    <t>89.44</t>
  </si>
  <si>
    <t>62.73</t>
  </si>
  <si>
    <t>73.51</t>
  </si>
  <si>
    <t>8.87</t>
  </si>
  <si>
    <t>7.22</t>
  </si>
  <si>
    <t>1.88</t>
  </si>
  <si>
    <t>1.98</t>
  </si>
  <si>
    <t>79.17</t>
  </si>
  <si>
    <t>87.75</t>
  </si>
  <si>
    <t>81.45</t>
  </si>
  <si>
    <t>98.14</t>
  </si>
  <si>
    <t>58.97</t>
  </si>
  <si>
    <t>72.61</t>
  </si>
  <si>
    <t>81.73</t>
  </si>
  <si>
    <t>75.16</t>
  </si>
  <si>
    <t>80.53</t>
  </si>
  <si>
    <t>82.92</t>
  </si>
  <si>
    <t>54.99</t>
  </si>
  <si>
    <t>68.58</t>
  </si>
  <si>
    <t>71.14</t>
  </si>
  <si>
    <t xml:space="preserve">FR-32  </t>
  </si>
  <si>
    <t>BLAYAIS-1</t>
  </si>
  <si>
    <t>CP1</t>
  </si>
  <si>
    <t>33735</t>
  </si>
  <si>
    <t>323</t>
  </si>
  <si>
    <t>50000</t>
  </si>
  <si>
    <t>4881.50</t>
  </si>
  <si>
    <t>6861.10</t>
  </si>
  <si>
    <t>4541.69</t>
  </si>
  <si>
    <t>6144.26</t>
  </si>
  <si>
    <t>6883.56</t>
  </si>
  <si>
    <t>6507.99</t>
  </si>
  <si>
    <t>6891.00</t>
  </si>
  <si>
    <t>6678.68</t>
  </si>
  <si>
    <t>4604.59</t>
  </si>
  <si>
    <t>6634.72</t>
  </si>
  <si>
    <t>168150.47</t>
  </si>
  <si>
    <t>64.02</t>
  </si>
  <si>
    <t>86.39</t>
  </si>
  <si>
    <t>58.38</t>
  </si>
  <si>
    <t>25.45</t>
  </si>
  <si>
    <t>7.72</t>
  </si>
  <si>
    <t>24.02</t>
  </si>
  <si>
    <t>11.31</t>
  </si>
  <si>
    <t>13.48</t>
  </si>
  <si>
    <t>66.25</t>
  </si>
  <si>
    <t>95.04</t>
  </si>
  <si>
    <t>61.76</t>
  </si>
  <si>
    <t>88.34</t>
  </si>
  <si>
    <t>71.43</t>
  </si>
  <si>
    <t>79.41</t>
  </si>
  <si>
    <t>27.08</t>
  </si>
  <si>
    <t>1.80</t>
  </si>
  <si>
    <t>0.82</t>
  </si>
  <si>
    <t>7.75</t>
  </si>
  <si>
    <t>65.84</t>
  </si>
  <si>
    <t>60.74</t>
  </si>
  <si>
    <t>61.24</t>
  </si>
  <si>
    <t>86.07</t>
  </si>
  <si>
    <t>56.97</t>
  </si>
  <si>
    <t>76.87</t>
  </si>
  <si>
    <t>81.64</t>
  </si>
  <si>
    <t>83.55</t>
  </si>
  <si>
    <t>57.76</t>
  </si>
  <si>
    <t>72.03</t>
  </si>
  <si>
    <t xml:space="preserve">FR-33  </t>
  </si>
  <si>
    <t>BLAYAIS-2</t>
  </si>
  <si>
    <t>6547.95</t>
  </si>
  <si>
    <t>5971.95</t>
  </si>
  <si>
    <t>5181.16</t>
  </si>
  <si>
    <t>6734.56</t>
  </si>
  <si>
    <t>6918.75</t>
  </si>
  <si>
    <t>6786.69</t>
  </si>
  <si>
    <t>6035.60</t>
  </si>
  <si>
    <t>7191.21</t>
  </si>
  <si>
    <t>6050.55</t>
  </si>
  <si>
    <t>6341.07</t>
  </si>
  <si>
    <t>172456.53</t>
  </si>
  <si>
    <t>81.93</t>
  </si>
  <si>
    <t>82.72</t>
  </si>
  <si>
    <t>63.69</t>
  </si>
  <si>
    <t>84.65</t>
  </si>
  <si>
    <t>74.27</t>
  </si>
  <si>
    <t>75.02</t>
  </si>
  <si>
    <t>78.18</t>
  </si>
  <si>
    <t>80.21</t>
  </si>
  <si>
    <t>12.38</t>
  </si>
  <si>
    <t>9.05</t>
  </si>
  <si>
    <t>32.58</t>
  </si>
  <si>
    <t>10.71</t>
  </si>
  <si>
    <t>10.99</t>
  </si>
  <si>
    <t>13.66</t>
  </si>
  <si>
    <t>66.03</t>
  </si>
  <si>
    <t>82.57</t>
  </si>
  <si>
    <t>86.03</t>
  </si>
  <si>
    <t>90.28</t>
  </si>
  <si>
    <t>79.08</t>
  </si>
  <si>
    <t>82.46</t>
  </si>
  <si>
    <t>4.64</t>
  </si>
  <si>
    <t>2.06</t>
  </si>
  <si>
    <t>12.48</t>
  </si>
  <si>
    <t>3.49</t>
  </si>
  <si>
    <t>83.98</t>
  </si>
  <si>
    <t>90.81</t>
  </si>
  <si>
    <t>76.89</t>
  </si>
  <si>
    <t>78.98</t>
  </si>
  <si>
    <t>82.14</t>
  </si>
  <si>
    <t>65.00</t>
  </si>
  <si>
    <t>84.25</t>
  </si>
  <si>
    <t>75.90</t>
  </si>
  <si>
    <t xml:space="preserve">FR-34  </t>
  </si>
  <si>
    <t>BLAYAIS-3</t>
  </si>
  <si>
    <t>6707.06</t>
  </si>
  <si>
    <t>6882.02</t>
  </si>
  <si>
    <t>5844.86</t>
  </si>
  <si>
    <t>5822.81</t>
  </si>
  <si>
    <t>5868.13</t>
  </si>
  <si>
    <t>6515.66</t>
  </si>
  <si>
    <t>7441.68</t>
  </si>
  <si>
    <t>7138.33</t>
  </si>
  <si>
    <t>6134.50</t>
  </si>
  <si>
    <t>6679.72</t>
  </si>
  <si>
    <t>167779.87</t>
  </si>
  <si>
    <t>73.57</t>
  </si>
  <si>
    <t>72.46</t>
  </si>
  <si>
    <t>81.51</t>
  </si>
  <si>
    <t>75.79</t>
  </si>
  <si>
    <t>82.23</t>
  </si>
  <si>
    <t>11.40</t>
  </si>
  <si>
    <t>11.36</t>
  </si>
  <si>
    <t>23.65</t>
  </si>
  <si>
    <t>8.52</t>
  </si>
  <si>
    <t>13.95</t>
  </si>
  <si>
    <t>8.06</t>
  </si>
  <si>
    <t>12.94</t>
  </si>
  <si>
    <t>12.55</t>
  </si>
  <si>
    <t>85.36</t>
  </si>
  <si>
    <t>75.20</t>
  </si>
  <si>
    <t>82.76</t>
  </si>
  <si>
    <t>82.80</t>
  </si>
  <si>
    <t>3.06</t>
  </si>
  <si>
    <t>4.56</t>
  </si>
  <si>
    <t>78.48</t>
  </si>
  <si>
    <t>83.80</t>
  </si>
  <si>
    <t>79.33</t>
  </si>
  <si>
    <t>84.14</t>
  </si>
  <si>
    <t>73.32</t>
  </si>
  <si>
    <t>73.61</t>
  </si>
  <si>
    <t>81.75</t>
  </si>
  <si>
    <t>93.35</t>
  </si>
  <si>
    <t xml:space="preserve">FR-35  </t>
  </si>
  <si>
    <t>BLAYAIS-4</t>
  </si>
  <si>
    <t>6370.03</t>
  </si>
  <si>
    <t>6462.24</t>
  </si>
  <si>
    <t>3666.84</t>
  </si>
  <si>
    <t>3321.87</t>
  </si>
  <si>
    <t>3841.29</t>
  </si>
  <si>
    <t>3414.02</t>
  </si>
  <si>
    <t>3662.59</t>
  </si>
  <si>
    <t>119693.38</t>
  </si>
  <si>
    <t>98.26</t>
  </si>
  <si>
    <t>91.55</t>
  </si>
  <si>
    <t>89.79</t>
  </si>
  <si>
    <t>98.19</t>
  </si>
  <si>
    <t>78.11</t>
  </si>
  <si>
    <t>8.97</t>
  </si>
  <si>
    <t>6.09</t>
  </si>
  <si>
    <t>7.96</t>
  </si>
  <si>
    <t>10.97</t>
  </si>
  <si>
    <t>8.80</t>
  </si>
  <si>
    <t>3.30</t>
  </si>
  <si>
    <t>98.80</t>
  </si>
  <si>
    <t>92.04</t>
  </si>
  <si>
    <t>98.77</t>
  </si>
  <si>
    <t>85.11</t>
  </si>
  <si>
    <t>98.42</t>
  </si>
  <si>
    <t>1.22</t>
  </si>
  <si>
    <t>4.09</t>
  </si>
  <si>
    <t>92.29</t>
  </si>
  <si>
    <t>99.03</t>
  </si>
  <si>
    <t>96.88</t>
  </si>
  <si>
    <t>99.16</t>
  </si>
  <si>
    <t>81.95</t>
  </si>
  <si>
    <t>98.88</t>
  </si>
  <si>
    <t>89.97</t>
  </si>
  <si>
    <t>93.85</t>
  </si>
  <si>
    <t>98.05</t>
  </si>
  <si>
    <t>93.75</t>
  </si>
  <si>
    <t>77.64</t>
  </si>
  <si>
    <t xml:space="preserve">ES-11  </t>
  </si>
  <si>
    <t>TRILLO-1</t>
  </si>
  <si>
    <t>ID/GN/HC (Iberdrola, Gas Natural, Hidroeléctrica del Cantábrico, Nuclenor)</t>
  </si>
  <si>
    <t>PWR 3 loops</t>
  </si>
  <si>
    <t>10.689</t>
  </si>
  <si>
    <t>177</t>
  </si>
  <si>
    <t>82.8</t>
  </si>
  <si>
    <t>325.9</t>
  </si>
  <si>
    <t>59806.8</t>
  </si>
  <si>
    <t>7907.41</t>
  </si>
  <si>
    <t>7827.00</t>
  </si>
  <si>
    <t>8114.66</t>
  </si>
  <si>
    <t>7980.12</t>
  </si>
  <si>
    <t>8080.62</t>
  </si>
  <si>
    <t>7687.80</t>
  </si>
  <si>
    <t>7948.88</t>
  </si>
  <si>
    <t>7743.95</t>
  </si>
  <si>
    <t>7197.10</t>
  </si>
  <si>
    <t>7695.50</t>
  </si>
  <si>
    <t>168828.03</t>
  </si>
  <si>
    <t>89.61</t>
  </si>
  <si>
    <t>93.10</t>
  </si>
  <si>
    <t>92.94</t>
  </si>
  <si>
    <t>86.43</t>
  </si>
  <si>
    <t>7.09</t>
  </si>
  <si>
    <t>10.34</t>
  </si>
  <si>
    <t>5.32</t>
  </si>
  <si>
    <t>11.02</t>
  </si>
  <si>
    <t>14.47</t>
  </si>
  <si>
    <t>10.44</t>
  </si>
  <si>
    <t>10.07</t>
  </si>
  <si>
    <t>88.59</t>
  </si>
  <si>
    <t>82.48</t>
  </si>
  <si>
    <t>88.54</t>
  </si>
  <si>
    <t>86.65</t>
  </si>
  <si>
    <t>1.36</t>
  </si>
  <si>
    <t>1.53</t>
  </si>
  <si>
    <t>3.56</t>
  </si>
  <si>
    <t>0.92</t>
  </si>
  <si>
    <t>90.94</t>
  </si>
  <si>
    <t>84.91</t>
  </si>
  <si>
    <t>89.34</t>
  </si>
  <si>
    <t>92.46</t>
  </si>
  <si>
    <t>91.97</t>
  </si>
  <si>
    <t>87.50</t>
  </si>
  <si>
    <t>87.90</t>
  </si>
  <si>
    <t>87.59</t>
  </si>
  <si>
    <t>85.89</t>
  </si>
  <si>
    <t xml:space="preserve">ES-16  </t>
  </si>
  <si>
    <t>VANDELLOS-2</t>
  </si>
  <si>
    <t>12.34</t>
  </si>
  <si>
    <t>328.3</t>
  </si>
  <si>
    <t>16477.7</t>
  </si>
  <si>
    <t>6.8</t>
  </si>
  <si>
    <t>9010.35</t>
  </si>
  <si>
    <t>8010.07</t>
  </si>
  <si>
    <t>8219.25</t>
  </si>
  <si>
    <t>8677.05</t>
  </si>
  <si>
    <t>4698.40</t>
  </si>
  <si>
    <t>7022.75</t>
  </si>
  <si>
    <t>5387.75</t>
  </si>
  <si>
    <t>6926.03</t>
  </si>
  <si>
    <t>5164.06</t>
  </si>
  <si>
    <t>8498.80</t>
  </si>
  <si>
    <t>163328.74</t>
  </si>
  <si>
    <t>89.47</t>
  </si>
  <si>
    <t>51.31</t>
  </si>
  <si>
    <t>76.20</t>
  </si>
  <si>
    <t>59.15</t>
  </si>
  <si>
    <t>56.42</t>
  </si>
  <si>
    <t>10.33</t>
  </si>
  <si>
    <t>8.90</t>
  </si>
  <si>
    <t>13.50</t>
  </si>
  <si>
    <t>9.10</t>
  </si>
  <si>
    <t>14.41</t>
  </si>
  <si>
    <t>1.30</t>
  </si>
  <si>
    <t>39.93</t>
  </si>
  <si>
    <t>95.79</t>
  </si>
  <si>
    <t>51.67</t>
  </si>
  <si>
    <t>77.98</t>
  </si>
  <si>
    <t>59.43</t>
  </si>
  <si>
    <t>76.31</t>
  </si>
  <si>
    <t>57.45</t>
  </si>
  <si>
    <t>82.41</t>
  </si>
  <si>
    <t>4.21</t>
  </si>
  <si>
    <t>14.22</t>
  </si>
  <si>
    <t>28.65</t>
  </si>
  <si>
    <t>4.36</t>
  </si>
  <si>
    <t>5.74</t>
  </si>
  <si>
    <t>99.62</t>
  </si>
  <si>
    <t>92.09</t>
  </si>
  <si>
    <t>53.16</t>
  </si>
  <si>
    <t>60.65</t>
  </si>
  <si>
    <t>78.80</t>
  </si>
  <si>
    <t>59.84</t>
  </si>
  <si>
    <t>98.62</t>
  </si>
  <si>
    <t>51.33</t>
  </si>
  <si>
    <t>76.72</t>
  </si>
  <si>
    <t>58.86</t>
  </si>
  <si>
    <t>75.45</t>
  </si>
  <si>
    <t>92.84</t>
  </si>
  <si>
    <t xml:space="preserve">SE-9   </t>
  </si>
  <si>
    <t>FORSMARK-1</t>
  </si>
  <si>
    <t>SWEDEN</t>
  </si>
  <si>
    <t>FKA (FORSMARK KRAFTGRUPP AB)</t>
  </si>
  <si>
    <t>ABBATOM (ABBATOM (formerly ASEA-ATOM))</t>
  </si>
  <si>
    <t>STAL (STAL-LAVAL)</t>
  </si>
  <si>
    <t>BWR 75</t>
  </si>
  <si>
    <t>21.7</t>
  </si>
  <si>
    <t>4.51</t>
  </si>
  <si>
    <t>676</t>
  </si>
  <si>
    <t>117.5</t>
  </si>
  <si>
    <t>161</t>
  </si>
  <si>
    <t>35100</t>
  </si>
  <si>
    <t>7286.12</t>
  </si>
  <si>
    <t>7143.77</t>
  </si>
  <si>
    <t>7456.00</t>
  </si>
  <si>
    <t>8032.28</t>
  </si>
  <si>
    <t>7291.06</t>
  </si>
  <si>
    <t>6683.92</t>
  </si>
  <si>
    <t>6961.43</t>
  </si>
  <si>
    <t>6973.66</t>
  </si>
  <si>
    <t>7555.38</t>
  </si>
  <si>
    <t>7993.61</t>
  </si>
  <si>
    <t>205889.00</t>
  </si>
  <si>
    <t>95.65</t>
  </si>
  <si>
    <t>80.38</t>
  </si>
  <si>
    <t>92.83</t>
  </si>
  <si>
    <t>4.43</t>
  </si>
  <si>
    <t>5.53</t>
  </si>
  <si>
    <t>2.40</t>
  </si>
  <si>
    <t>94.77</t>
  </si>
  <si>
    <t>90.04</t>
  </si>
  <si>
    <t>97.52</t>
  </si>
  <si>
    <t>0.84</t>
  </si>
  <si>
    <t>4.69</t>
  </si>
  <si>
    <t>14.03</t>
  </si>
  <si>
    <t>4.80</t>
  </si>
  <si>
    <t>96.83</t>
  </si>
  <si>
    <t>97.39</t>
  </si>
  <si>
    <t>87.31</t>
  </si>
  <si>
    <t>77.69</t>
  </si>
  <si>
    <t>82.24</t>
  </si>
  <si>
    <t>84.71</t>
  </si>
  <si>
    <t>88.56</t>
  </si>
  <si>
    <t>85.13</t>
  </si>
  <si>
    <t>75.47</t>
  </si>
  <si>
    <t>88.19</t>
  </si>
  <si>
    <t>81.48</t>
  </si>
  <si>
    <t xml:space="preserve">SE-11  </t>
  </si>
  <si>
    <t>FORSMARK-2</t>
  </si>
  <si>
    <t>20.8</t>
  </si>
  <si>
    <t>3.75</t>
  </si>
  <si>
    <t>122.3</t>
  </si>
  <si>
    <t>4700</t>
  </si>
  <si>
    <t>7399.55</t>
  </si>
  <si>
    <t>6823.89</t>
  </si>
  <si>
    <t>7303.88</t>
  </si>
  <si>
    <t>7982.20</t>
  </si>
  <si>
    <t>7790.11</t>
  </si>
  <si>
    <t>6011.87</t>
  </si>
  <si>
    <t>7470.12</t>
  </si>
  <si>
    <t>6920.12</t>
  </si>
  <si>
    <t>5530.68</t>
  </si>
  <si>
    <t>3334.15</t>
  </si>
  <si>
    <t>194732.00</t>
  </si>
  <si>
    <t>88.83</t>
  </si>
  <si>
    <t>82.20</t>
  </si>
  <si>
    <t>95.21</t>
  </si>
  <si>
    <t>72.49</t>
  </si>
  <si>
    <t>85.03</t>
  </si>
  <si>
    <t>79.18</t>
  </si>
  <si>
    <t>63.57</t>
  </si>
  <si>
    <t>38.26</t>
  </si>
  <si>
    <t>3.95</t>
  </si>
  <si>
    <t>3.64</t>
  </si>
  <si>
    <t>9.97</t>
  </si>
  <si>
    <t>10.02</t>
  </si>
  <si>
    <t>15.42</t>
  </si>
  <si>
    <t>13.11</t>
  </si>
  <si>
    <t>9.69</t>
  </si>
  <si>
    <t>92.34</t>
  </si>
  <si>
    <t>94.64</t>
  </si>
  <si>
    <t>73.11</t>
  </si>
  <si>
    <t>85.67</t>
  </si>
  <si>
    <t>79.68</t>
  </si>
  <si>
    <t>64.13</t>
  </si>
  <si>
    <t>38.58</t>
  </si>
  <si>
    <t>83.50</t>
  </si>
  <si>
    <t>3.82</t>
  </si>
  <si>
    <t>18.80</t>
  </si>
  <si>
    <t>5.11</t>
  </si>
  <si>
    <t>54.60</t>
  </si>
  <si>
    <t>95.30</t>
  </si>
  <si>
    <t>73.36</t>
  </si>
  <si>
    <t>88.46</t>
  </si>
  <si>
    <t>67.37</t>
  </si>
  <si>
    <t>89.04</t>
  </si>
  <si>
    <t>87.62</t>
  </si>
  <si>
    <t>81.02</t>
  </si>
  <si>
    <t>95.25</t>
  </si>
  <si>
    <t>72.16</t>
  </si>
  <si>
    <t>85.27</t>
  </si>
  <si>
    <t>79.45</t>
  </si>
  <si>
    <t>63.77</t>
  </si>
  <si>
    <t>38.45</t>
  </si>
  <si>
    <t>78.70</t>
  </si>
  <si>
    <t xml:space="preserve">SE-14  </t>
  </si>
  <si>
    <t>FORSMARK-3</t>
  </si>
  <si>
    <t>BWR 3000</t>
  </si>
  <si>
    <t>9.8</t>
  </si>
  <si>
    <t>4.6</t>
  </si>
  <si>
    <t>700</t>
  </si>
  <si>
    <t>126</t>
  </si>
  <si>
    <t>169</t>
  </si>
  <si>
    <t>5130</t>
  </si>
  <si>
    <t>8182.42</t>
  </si>
  <si>
    <t>9079.36</t>
  </si>
  <si>
    <t>9100.31</t>
  </si>
  <si>
    <t>8973.49</t>
  </si>
  <si>
    <t>9868.82</t>
  </si>
  <si>
    <t>9600.51</t>
  </si>
  <si>
    <t>8992.59</t>
  </si>
  <si>
    <t>7109.80</t>
  </si>
  <si>
    <t>8815.50</t>
  </si>
  <si>
    <t>8320.23</t>
  </si>
  <si>
    <t>217034.00</t>
  </si>
  <si>
    <t>81.77</t>
  </si>
  <si>
    <t>87.68</t>
  </si>
  <si>
    <t>92.39</t>
  </si>
  <si>
    <t>68.84</t>
  </si>
  <si>
    <t>80.61</t>
  </si>
  <si>
    <t>86.17</t>
  </si>
  <si>
    <t>13.71</t>
  </si>
  <si>
    <t>8.57</t>
  </si>
  <si>
    <t>3.34</t>
  </si>
  <si>
    <t>10.57</t>
  </si>
  <si>
    <t>9.70</t>
  </si>
  <si>
    <t>69.71</t>
  </si>
  <si>
    <t>81.44</t>
  </si>
  <si>
    <t>1.85</t>
  </si>
  <si>
    <t>2.12</t>
  </si>
  <si>
    <t>1.59</t>
  </si>
  <si>
    <t>97.11</t>
  </si>
  <si>
    <t>95.01</t>
  </si>
  <si>
    <t>70.41</t>
  </si>
  <si>
    <t>87.03</t>
  </si>
  <si>
    <t>83.53</t>
  </si>
  <si>
    <t>80.87</t>
  </si>
  <si>
    <t>89.50</t>
  </si>
  <si>
    <t>87.69</t>
  </si>
  <si>
    <t>94.73</t>
  </si>
  <si>
    <t>87.74</t>
  </si>
  <si>
    <t>69.18</t>
  </si>
  <si>
    <t>84.44</t>
  </si>
  <si>
    <t xml:space="preserve">SE-2   </t>
  </si>
  <si>
    <t>OSKARSHAMN-1</t>
  </si>
  <si>
    <t>OKG (OKG AKTIEBOLAG)</t>
  </si>
  <si>
    <t>ABB BWR</t>
  </si>
  <si>
    <t>17.6</t>
  </si>
  <si>
    <t>3.67</t>
  </si>
  <si>
    <t>448</t>
  </si>
  <si>
    <t>90</t>
  </si>
  <si>
    <t>112</t>
  </si>
  <si>
    <t>16600</t>
  </si>
  <si>
    <t>3080.89</t>
  </si>
  <si>
    <t>3058.35</t>
  </si>
  <si>
    <t>3536.46</t>
  </si>
  <si>
    <t>3265.91</t>
  </si>
  <si>
    <t>2088.40</t>
  </si>
  <si>
    <t>2575.08</t>
  </si>
  <si>
    <t>3496.38</t>
  </si>
  <si>
    <t>2831.57</t>
  </si>
  <si>
    <t>3185.40</t>
  </si>
  <si>
    <t>96109.55</t>
  </si>
  <si>
    <t>83.13</t>
  </si>
  <si>
    <t>50.93</t>
  </si>
  <si>
    <t>63.18</t>
  </si>
  <si>
    <t>85.55</t>
  </si>
  <si>
    <t>69.74</t>
  </si>
  <si>
    <t>78.05</t>
  </si>
  <si>
    <t>63.88</t>
  </si>
  <si>
    <t>78.73</t>
  </si>
  <si>
    <t>16.98</t>
  </si>
  <si>
    <t>10.51</t>
  </si>
  <si>
    <t>10.24</t>
  </si>
  <si>
    <t>6.71</t>
  </si>
  <si>
    <t>20.57</t>
  </si>
  <si>
    <t>10.40</t>
  </si>
  <si>
    <t>10.43</t>
  </si>
  <si>
    <t>19.69</t>
  </si>
  <si>
    <t>75.70</t>
  </si>
  <si>
    <t>87.56</t>
  </si>
  <si>
    <t>79.82</t>
  </si>
  <si>
    <t>51.30</t>
  </si>
  <si>
    <t>64.07</t>
  </si>
  <si>
    <t>88.36</t>
  </si>
  <si>
    <t>70.75</t>
  </si>
  <si>
    <t>64.23</t>
  </si>
  <si>
    <t>8.82</t>
  </si>
  <si>
    <t>2.16</t>
  </si>
  <si>
    <t>11.08</t>
  </si>
  <si>
    <t>45.01</t>
  </si>
  <si>
    <t>19.34</t>
  </si>
  <si>
    <t>3.47</t>
  </si>
  <si>
    <t>19.28</t>
  </si>
  <si>
    <t>10.76</t>
  </si>
  <si>
    <t>19.36</t>
  </si>
  <si>
    <t>51.60</t>
  </si>
  <si>
    <t>86.33</t>
  </si>
  <si>
    <t>80.35</t>
  </si>
  <si>
    <t>66.39</t>
  </si>
  <si>
    <t>79.02</t>
  </si>
  <si>
    <t>51.05</t>
  </si>
  <si>
    <t>62.95</t>
  </si>
  <si>
    <t>84.69</t>
  </si>
  <si>
    <t>68.33</t>
  </si>
  <si>
    <t>76.88</t>
  </si>
  <si>
    <t>62.67</t>
  </si>
  <si>
    <t xml:space="preserve">SE-3   </t>
  </si>
  <si>
    <t>OSKARSHAMN-2</t>
  </si>
  <si>
    <t>20</t>
  </si>
  <si>
    <t>3.72</t>
  </si>
  <si>
    <t>444</t>
  </si>
  <si>
    <t>109</t>
  </si>
  <si>
    <t>27700</t>
  </si>
  <si>
    <t>4748.45</t>
  </si>
  <si>
    <t>4508.62</t>
  </si>
  <si>
    <t>3055.30</t>
  </si>
  <si>
    <t>4625.94</t>
  </si>
  <si>
    <t>4728.06</t>
  </si>
  <si>
    <t>4125.34</t>
  </si>
  <si>
    <t>3993.22</t>
  </si>
  <si>
    <t>4504.20</t>
  </si>
  <si>
    <t>3949.97</t>
  </si>
  <si>
    <t>5032.92</t>
  </si>
  <si>
    <t>144081.96</t>
  </si>
  <si>
    <t>90.56</t>
  </si>
  <si>
    <t>59.18</t>
  </si>
  <si>
    <t>78.41</t>
  </si>
  <si>
    <t>76.45</t>
  </si>
  <si>
    <t>76.49</t>
  </si>
  <si>
    <t>80.26</t>
  </si>
  <si>
    <t>7.00</t>
  </si>
  <si>
    <t>7.16</t>
  </si>
  <si>
    <t>38.77</t>
  </si>
  <si>
    <t>6.26</t>
  </si>
  <si>
    <t>11.04</t>
  </si>
  <si>
    <t>5.64</t>
  </si>
  <si>
    <t>12.52</t>
  </si>
  <si>
    <t>59.80</t>
  </si>
  <si>
    <t>92.25</t>
  </si>
  <si>
    <t>79.67</t>
  </si>
  <si>
    <t>88.69</t>
  </si>
  <si>
    <t>78.08</t>
  </si>
  <si>
    <t>92.62</t>
  </si>
  <si>
    <t>81.17</t>
  </si>
  <si>
    <t>1.79</t>
  </si>
  <si>
    <t>1.81</t>
  </si>
  <si>
    <t>0.60</t>
  </si>
  <si>
    <t>2.27</t>
  </si>
  <si>
    <t>7.48</t>
  </si>
  <si>
    <t>6.61</t>
  </si>
  <si>
    <t>60.38</t>
  </si>
  <si>
    <t>93.46</t>
  </si>
  <si>
    <t>81.53</t>
  </si>
  <si>
    <t>82.84</t>
  </si>
  <si>
    <t>57.94</t>
  </si>
  <si>
    <t>87.48</t>
  </si>
  <si>
    <t>78.23</t>
  </si>
  <si>
    <t>76.10</t>
  </si>
  <si>
    <t>75.34</t>
  </si>
  <si>
    <t>90.05</t>
  </si>
  <si>
    <t>76.73</t>
  </si>
  <si>
    <t xml:space="preserve">SE-4   </t>
  </si>
  <si>
    <t>RINGHALS-1</t>
  </si>
  <si>
    <t>RAB (Ringhals AB)</t>
  </si>
  <si>
    <t>GEC (GENERAL ELECTRIC COMPANY (UK))</t>
  </si>
  <si>
    <t>BWR</t>
  </si>
  <si>
    <t>41000</t>
  </si>
  <si>
    <t>648</t>
  </si>
  <si>
    <t>41580</t>
  </si>
  <si>
    <t>6.66</t>
  </si>
  <si>
    <t>5835.00</t>
  </si>
  <si>
    <t>5956.16</t>
  </si>
  <si>
    <t>5104.28</t>
  </si>
  <si>
    <t>6523.07</t>
  </si>
  <si>
    <t>6064.85</t>
  </si>
  <si>
    <t>6518.82</t>
  </si>
  <si>
    <t>5963.38</t>
  </si>
  <si>
    <t>4552.73</t>
  </si>
  <si>
    <t>1314.31</t>
  </si>
  <si>
    <t>3587.63</t>
  </si>
  <si>
    <t>162868.08</t>
  </si>
  <si>
    <t>70.22</t>
  </si>
  <si>
    <t>89.72</t>
  </si>
  <si>
    <t>87.86</t>
  </si>
  <si>
    <t>79.42</t>
  </si>
  <si>
    <t>60.56</t>
  </si>
  <si>
    <t>17.41</t>
  </si>
  <si>
    <t>47.49</t>
  </si>
  <si>
    <t>70.40</t>
  </si>
  <si>
    <t>11.92</t>
  </si>
  <si>
    <t>14.99</t>
  </si>
  <si>
    <t>8.95</t>
  </si>
  <si>
    <t>11.50</t>
  </si>
  <si>
    <t>26.23</t>
  </si>
  <si>
    <t>18.90</t>
  </si>
  <si>
    <t>27.70</t>
  </si>
  <si>
    <t>15.08</t>
  </si>
  <si>
    <t>81.15</t>
  </si>
  <si>
    <t>62.08</t>
  </si>
  <si>
    <t>48.80</t>
  </si>
  <si>
    <t>71.37</t>
  </si>
  <si>
    <t>17.16</t>
  </si>
  <si>
    <t>1.70</t>
  </si>
  <si>
    <t>5.90</t>
  </si>
  <si>
    <t>7.24</t>
  </si>
  <si>
    <t>12.76</t>
  </si>
  <si>
    <t>83.05</t>
  </si>
  <si>
    <t>62.39</t>
  </si>
  <si>
    <t>18.71</t>
  </si>
  <si>
    <t>51.58</t>
  </si>
  <si>
    <t>74.99</t>
  </si>
  <si>
    <t>80.74</t>
  </si>
  <si>
    <t>70.20</t>
  </si>
  <si>
    <t>83.41</t>
  </si>
  <si>
    <t>88.27</t>
  </si>
  <si>
    <t>80.75</t>
  </si>
  <si>
    <t>60.55</t>
  </si>
  <si>
    <t>17.53</t>
  </si>
  <si>
    <t>47.90</t>
  </si>
  <si>
    <t>66.57</t>
  </si>
  <si>
    <t xml:space="preserve">SE-12  </t>
  </si>
  <si>
    <t>OSKARSHAMN-3</t>
  </si>
  <si>
    <t>9051.96</t>
  </si>
  <si>
    <t>8883.98</t>
  </si>
  <si>
    <t>7678.01</t>
  </si>
  <si>
    <t>9318.51</t>
  </si>
  <si>
    <t>8573.43</t>
  </si>
  <si>
    <t>9522.49</t>
  </si>
  <si>
    <t>8829.23</t>
  </si>
  <si>
    <t>7100.89</t>
  </si>
  <si>
    <t>1684.68</t>
  </si>
  <si>
    <t>3841.75</t>
  </si>
  <si>
    <t>200630.16</t>
  </si>
  <si>
    <t>76.19</t>
  </si>
  <si>
    <t>87.82</t>
  </si>
  <si>
    <t>70.43</t>
  </si>
  <si>
    <t>16.76</t>
  </si>
  <si>
    <t>31.57</t>
  </si>
  <si>
    <t>82.51</t>
  </si>
  <si>
    <t>4.83</t>
  </si>
  <si>
    <t>5.82</t>
  </si>
  <si>
    <t>6.52</t>
  </si>
  <si>
    <t>8.64</t>
  </si>
  <si>
    <t>3.42</t>
  </si>
  <si>
    <t>28.48</t>
  </si>
  <si>
    <t>17.78</t>
  </si>
  <si>
    <t>77.96</t>
  </si>
  <si>
    <t>71.36</t>
  </si>
  <si>
    <t>16.82</t>
  </si>
  <si>
    <t>31.96</t>
  </si>
  <si>
    <t>2.74</t>
  </si>
  <si>
    <t>16.30</t>
  </si>
  <si>
    <t>1.12</t>
  </si>
  <si>
    <t>5.08</t>
  </si>
  <si>
    <t>3.22</t>
  </si>
  <si>
    <t>48.60</t>
  </si>
  <si>
    <t>78.44</t>
  </si>
  <si>
    <t>96.64</t>
  </si>
  <si>
    <t>90.91</t>
  </si>
  <si>
    <t>73.13</t>
  </si>
  <si>
    <t>20.49</t>
  </si>
  <si>
    <t>94.60</t>
  </si>
  <si>
    <t>87.63</t>
  </si>
  <si>
    <t>70.23</t>
  </si>
  <si>
    <t>16.70</t>
  </si>
  <si>
    <t>31.33</t>
  </si>
  <si>
    <t>78.43</t>
  </si>
  <si>
    <t xml:space="preserve">SE-5   </t>
  </si>
  <si>
    <t>RINGHALS-2</t>
  </si>
  <si>
    <t>13.3</t>
  </si>
  <si>
    <t>47000</t>
  </si>
  <si>
    <t>72</t>
  </si>
  <si>
    <t>15.4</t>
  </si>
  <si>
    <t>322.4</t>
  </si>
  <si>
    <t>50600</t>
  </si>
  <si>
    <t>6.1</t>
  </si>
  <si>
    <t>6322.65</t>
  </si>
  <si>
    <t>6540.30</t>
  </si>
  <si>
    <t>6811.52</t>
  </si>
  <si>
    <t>6786.61</t>
  </si>
  <si>
    <t>5784.42</t>
  </si>
  <si>
    <t>6839.37</t>
  </si>
  <si>
    <t>6365.08</t>
  </si>
  <si>
    <t>5746.34</t>
  </si>
  <si>
    <t>2786.30</t>
  </si>
  <si>
    <t>5599.94</t>
  </si>
  <si>
    <t>181218.71</t>
  </si>
  <si>
    <t>84.26</t>
  </si>
  <si>
    <t>77.92</t>
  </si>
  <si>
    <t>89.71</t>
  </si>
  <si>
    <t>78.07</t>
  </si>
  <si>
    <t>38.65</t>
  </si>
  <si>
    <t>70.39</t>
  </si>
  <si>
    <t>8.00</t>
  </si>
  <si>
    <t>7.43</t>
  </si>
  <si>
    <t>7.10</t>
  </si>
  <si>
    <t>7.61</t>
  </si>
  <si>
    <t>37.32</t>
  </si>
  <si>
    <t>15.45</t>
  </si>
  <si>
    <t>85.16</t>
  </si>
  <si>
    <t>39.12</t>
  </si>
  <si>
    <t>80.37</t>
  </si>
  <si>
    <t>71.81</t>
  </si>
  <si>
    <t>5.46</t>
  </si>
  <si>
    <t>2.43</t>
  </si>
  <si>
    <t>6.44</t>
  </si>
  <si>
    <t>3.00</t>
  </si>
  <si>
    <t>2.60</t>
  </si>
  <si>
    <t>13.21</t>
  </si>
  <si>
    <t>92.81</t>
  </si>
  <si>
    <t>78.47</t>
  </si>
  <si>
    <t>88.84</t>
  </si>
  <si>
    <t>81.68</t>
  </si>
  <si>
    <t>39.18</t>
  </si>
  <si>
    <t>81.78</t>
  </si>
  <si>
    <t>75.11</t>
  </si>
  <si>
    <t>85.33</t>
  </si>
  <si>
    <t>88.87</t>
  </si>
  <si>
    <t>83.81</t>
  </si>
  <si>
    <t>78.63</t>
  </si>
  <si>
    <t>66.52</t>
  </si>
  <si>
    <t xml:space="preserve">SE-10  </t>
  </si>
  <si>
    <t>RINGHALS-4</t>
  </si>
  <si>
    <t>W 3-loop</t>
  </si>
  <si>
    <t>72.7</t>
  </si>
  <si>
    <t>322</t>
  </si>
  <si>
    <t>46550</t>
  </si>
  <si>
    <t>6623.98</t>
  </si>
  <si>
    <t>5942.20</t>
  </si>
  <si>
    <t>6996.51</t>
  </si>
  <si>
    <t>7209.61</t>
  </si>
  <si>
    <t>7129.78</t>
  </si>
  <si>
    <t>7092.37</t>
  </si>
  <si>
    <t>7192.87</t>
  </si>
  <si>
    <t>7331.95</t>
  </si>
  <si>
    <t>7467.66</t>
  </si>
  <si>
    <t>7229.47</t>
  </si>
  <si>
    <t>177658.96</t>
  </si>
  <si>
    <t>75.53</t>
  </si>
  <si>
    <t>91.36</t>
  </si>
  <si>
    <t>87.33</t>
  </si>
  <si>
    <t>84.48</t>
  </si>
  <si>
    <t>15.19</t>
  </si>
  <si>
    <t>6.57</t>
  </si>
  <si>
    <t>7.46</t>
  </si>
  <si>
    <t>7.19</t>
  </si>
  <si>
    <t>91.03</t>
  </si>
  <si>
    <t>89.57</t>
  </si>
  <si>
    <t>86.30</t>
  </si>
  <si>
    <t>3.12</t>
  </si>
  <si>
    <t>5.38</t>
  </si>
  <si>
    <t>3.29</t>
  </si>
  <si>
    <t>80.55</t>
  </si>
  <si>
    <t>85.44</t>
  </si>
  <si>
    <t>83.19</t>
  </si>
  <si>
    <t>74.13</t>
  </si>
  <si>
    <t>88.95</t>
  </si>
  <si>
    <t>77.99</t>
  </si>
  <si>
    <t xml:space="preserve">SE-7   </t>
  </si>
  <si>
    <t>RINGHALS-3</t>
  </si>
  <si>
    <t>WE (3 loops)</t>
  </si>
  <si>
    <t>72.8</t>
  </si>
  <si>
    <t>46440</t>
  </si>
  <si>
    <t>6285.26</t>
  </si>
  <si>
    <t>6890.61</t>
  </si>
  <si>
    <t>6714.60</t>
  </si>
  <si>
    <t>7497.90</t>
  </si>
  <si>
    <t>7181.56</t>
  </si>
  <si>
    <t>6570.84</t>
  </si>
  <si>
    <t>5990.80</t>
  </si>
  <si>
    <t>7599.80</t>
  </si>
  <si>
    <t>8102.89</t>
  </si>
  <si>
    <t>7605.45</t>
  </si>
  <si>
    <t>182413.30</t>
  </si>
  <si>
    <t>84.43</t>
  </si>
  <si>
    <t>74.97</t>
  </si>
  <si>
    <t>64.27</t>
  </si>
  <si>
    <t>81.87</t>
  </si>
  <si>
    <t>78.37</t>
  </si>
  <si>
    <t>8.39</t>
  </si>
  <si>
    <t>14.37</t>
  </si>
  <si>
    <t>4.44</t>
  </si>
  <si>
    <t>8.16</t>
  </si>
  <si>
    <t>11.84</t>
  </si>
  <si>
    <t>11.64</t>
  </si>
  <si>
    <t>84.02</t>
  </si>
  <si>
    <t>80.02</t>
  </si>
  <si>
    <t>1.20</t>
  </si>
  <si>
    <t>12.79</t>
  </si>
  <si>
    <t>2.34</t>
  </si>
  <si>
    <t>8.67</t>
  </si>
  <si>
    <t>92.18</t>
  </si>
  <si>
    <t>82.75</t>
  </si>
  <si>
    <t>74.94</t>
  </si>
  <si>
    <t>86.64</t>
  </si>
  <si>
    <t>82.82</t>
  </si>
  <si>
    <t>83.77</t>
  </si>
  <si>
    <t>93.29</t>
  </si>
  <si>
    <t>76.42</t>
  </si>
  <si>
    <t>65.44</t>
  </si>
  <si>
    <t>87.84</t>
  </si>
  <si>
    <t>82.61</t>
  </si>
  <si>
    <t>73.86</t>
  </si>
  <si>
    <t xml:space="preserve">CH-1   </t>
  </si>
  <si>
    <t>BEZNAU-1</t>
  </si>
  <si>
    <t>SWITZERLAND</t>
  </si>
  <si>
    <t>Axpo AG (Kernkraftwerk Beznau
CH-5312 DÃ¶ttingen)</t>
  </si>
  <si>
    <t>BBC (BROWN BOVERI ET CIE)</t>
  </si>
  <si>
    <t>WH - 2 loops</t>
  </si>
  <si>
    <t>10.7</t>
  </si>
  <si>
    <t>17</t>
  </si>
  <si>
    <t>15.3</t>
  </si>
  <si>
    <t>22870</t>
  </si>
  <si>
    <t>5.3</t>
  </si>
  <si>
    <t>3090.18</t>
  </si>
  <si>
    <t>2908.78</t>
  </si>
  <si>
    <t>3061.76</t>
  </si>
  <si>
    <t>2801.17</t>
  </si>
  <si>
    <t>3095.96</t>
  </si>
  <si>
    <t>2950.68</t>
  </si>
  <si>
    <t>3081.34</t>
  </si>
  <si>
    <t>2956.58</t>
  </si>
  <si>
    <t>3067.33</t>
  </si>
  <si>
    <t>2673.99</t>
  </si>
  <si>
    <t>107011.98</t>
  </si>
  <si>
    <t>96.76</t>
  </si>
  <si>
    <t>7.85</t>
  </si>
  <si>
    <t>3.08</t>
  </si>
  <si>
    <t>3.32</t>
  </si>
  <si>
    <t>7.65</t>
  </si>
  <si>
    <t>7.44</t>
  </si>
  <si>
    <t>3.02</t>
  </si>
  <si>
    <t>15.21</t>
  </si>
  <si>
    <t>12.53</t>
  </si>
  <si>
    <t>96.30</t>
  </si>
  <si>
    <t>84.78</t>
  </si>
  <si>
    <t>2.99</t>
  </si>
  <si>
    <t>96.87</t>
  </si>
  <si>
    <t>92.70</t>
  </si>
  <si>
    <t>96.58</t>
  </si>
  <si>
    <t>83.87</t>
  </si>
  <si>
    <t>96.65</t>
  </si>
  <si>
    <t>95.76</t>
  </si>
  <si>
    <t>92.22</t>
  </si>
  <si>
    <t>83.63</t>
  </si>
  <si>
    <t>83.99</t>
  </si>
  <si>
    <t xml:space="preserve">CH-3   </t>
  </si>
  <si>
    <t>BEZNAU-2</t>
  </si>
  <si>
    <t>25</t>
  </si>
  <si>
    <t>15.5</t>
  </si>
  <si>
    <t>2568.68</t>
  </si>
  <si>
    <t>3012.01</t>
  </si>
  <si>
    <t>2920.29</t>
  </si>
  <si>
    <t>3099.37</t>
  </si>
  <si>
    <t>2801.02</t>
  </si>
  <si>
    <t>3073.23</t>
  </si>
  <si>
    <t>2911.65</t>
  </si>
  <si>
    <t>3073.36</t>
  </si>
  <si>
    <t>2758.47</t>
  </si>
  <si>
    <t>2856.53</t>
  </si>
  <si>
    <t>106379.42</t>
  </si>
  <si>
    <t>80.67</t>
  </si>
  <si>
    <t>97.02</t>
  </si>
  <si>
    <t>96.80</t>
  </si>
  <si>
    <t>96.25</t>
  </si>
  <si>
    <t>19.05</t>
  </si>
  <si>
    <t>7.21</t>
  </si>
  <si>
    <t>12.03</t>
  </si>
  <si>
    <t>2.94</t>
  </si>
  <si>
    <t>8.11</t>
  </si>
  <si>
    <t>12.88</t>
  </si>
  <si>
    <t>10.41</t>
  </si>
  <si>
    <t>11.37</t>
  </si>
  <si>
    <t>80.68</t>
  </si>
  <si>
    <t>94.63</t>
  </si>
  <si>
    <t>92.05</t>
  </si>
  <si>
    <t>97.06</t>
  </si>
  <si>
    <t>0.79</t>
  </si>
  <si>
    <t>81.13</t>
  </si>
  <si>
    <t>97.23</t>
  </si>
  <si>
    <t>86.93</t>
  </si>
  <si>
    <t>89.78</t>
  </si>
  <si>
    <t>80.34</t>
  </si>
  <si>
    <t>94.20</t>
  </si>
  <si>
    <t>96.66</t>
  </si>
  <si>
    <t>87.60</t>
  </si>
  <si>
    <t>86.27</t>
  </si>
  <si>
    <t xml:space="preserve">CH-2   </t>
  </si>
  <si>
    <t>MUEHLEBERG</t>
  </si>
  <si>
    <t>BKW (BKW ENERGIE AG)</t>
  </si>
  <si>
    <t>GETSCO (GENERAL ELECTRIC TECHNICAL SERVICES CO.)</t>
  </si>
  <si>
    <t>BWR 4</t>
  </si>
  <si>
    <t>19</t>
  </si>
  <si>
    <t>48000</t>
  </si>
  <si>
    <t>240</t>
  </si>
  <si>
    <t>57</t>
  </si>
  <si>
    <t>15000</t>
  </si>
  <si>
    <t>6.75</t>
  </si>
  <si>
    <t>2768.73</t>
  </si>
  <si>
    <t>2828.21</t>
  </si>
  <si>
    <t>2744.24</t>
  </si>
  <si>
    <t>2906.12</t>
  </si>
  <si>
    <t>2855.32</t>
  </si>
  <si>
    <t>2882.88</t>
  </si>
  <si>
    <t>2900.36</t>
  </si>
  <si>
    <t>2973.26</t>
  </si>
  <si>
    <t>2983.63</t>
  </si>
  <si>
    <t>3008.81</t>
  </si>
  <si>
    <t>96081.55</t>
  </si>
  <si>
    <t>8.60</t>
  </si>
  <si>
    <t>6.56</t>
  </si>
  <si>
    <t>7.25</t>
  </si>
  <si>
    <t>91.38</t>
  </si>
  <si>
    <t>92.65</t>
  </si>
  <si>
    <t>94.52</t>
  </si>
  <si>
    <t>92.80</t>
  </si>
  <si>
    <t>91.56</t>
  </si>
  <si>
    <t>90.95</t>
  </si>
  <si>
    <t>91.81</t>
  </si>
  <si>
    <t>86.84</t>
  </si>
  <si>
    <t xml:space="preserve">CH-4   </t>
  </si>
  <si>
    <t>GOESGEN</t>
  </si>
  <si>
    <t>KKG (KERNKRAFTWERK GOESGEN-DAENIKEN AG)</t>
  </si>
  <si>
    <t>PWR 3 Loop</t>
  </si>
  <si>
    <t>52000</t>
  </si>
  <si>
    <t>3.58</t>
  </si>
  <si>
    <t>75.2</t>
  </si>
  <si>
    <t>36</t>
  </si>
  <si>
    <t>324.5</t>
  </si>
  <si>
    <t>52986</t>
  </si>
  <si>
    <t>7870.47</t>
  </si>
  <si>
    <t>7853.30</t>
  </si>
  <si>
    <t>7988.68</t>
  </si>
  <si>
    <t>8015.60</t>
  </si>
  <si>
    <t>7588.23</t>
  </si>
  <si>
    <t>8099.10</t>
  </si>
  <si>
    <t>8158.91</t>
  </si>
  <si>
    <t>7964.01</t>
  </si>
  <si>
    <t>8072.42</t>
  </si>
  <si>
    <t>8029.09</t>
  </si>
  <si>
    <t>233757.60</t>
  </si>
  <si>
    <t>93.79</t>
  </si>
  <si>
    <t>87.99</t>
  </si>
  <si>
    <t>6.17</t>
  </si>
  <si>
    <t>5.23</t>
  </si>
  <si>
    <t>7.37</t>
  </si>
  <si>
    <t>9.68</t>
  </si>
  <si>
    <t>93.50</t>
  </si>
  <si>
    <t>94.31</t>
  </si>
  <si>
    <t>93.67</t>
  </si>
  <si>
    <t>93.08</t>
  </si>
  <si>
    <t>93.95</t>
  </si>
  <si>
    <t>94.90</t>
  </si>
  <si>
    <t>93.84</t>
  </si>
  <si>
    <t>92.61</t>
  </si>
  <si>
    <t>89.30</t>
  </si>
  <si>
    <t>96.02</t>
  </si>
  <si>
    <t>89.13</t>
  </si>
  <si>
    <t xml:space="preserve">CH-5   </t>
  </si>
  <si>
    <t>LEIBSTADT</t>
  </si>
  <si>
    <t>KKL (KERNKRAFTWERK LEIBSTADT)</t>
  </si>
  <si>
    <t>BWR 6</t>
  </si>
  <si>
    <t>21.742</t>
  </si>
  <si>
    <t>43000</t>
  </si>
  <si>
    <t>4.38</t>
  </si>
  <si>
    <t>118.3</t>
  </si>
  <si>
    <t>211</t>
  </si>
  <si>
    <t>7.31</t>
  </si>
  <si>
    <t>40144</t>
  </si>
  <si>
    <t>6.76</t>
  </si>
  <si>
    <t>9089.77</t>
  </si>
  <si>
    <t>9173.83</t>
  </si>
  <si>
    <t>9309.34</t>
  </si>
  <si>
    <t>8692.04</t>
  </si>
  <si>
    <t>5768.08</t>
  </si>
  <si>
    <t>9367.04</t>
  </si>
  <si>
    <t>9436.80</t>
  </si>
  <si>
    <t>9307.65</t>
  </si>
  <si>
    <t>9385.05</t>
  </si>
  <si>
    <t>8774.54</t>
  </si>
  <si>
    <t>210995.15</t>
  </si>
  <si>
    <t>84.89</t>
  </si>
  <si>
    <t>56.34</t>
  </si>
  <si>
    <t>91.70</t>
  </si>
  <si>
    <t>93.23</t>
  </si>
  <si>
    <t>91.69</t>
  </si>
  <si>
    <t>85.63</t>
  </si>
  <si>
    <t>6.83</t>
  </si>
  <si>
    <t>9.08</t>
  </si>
  <si>
    <t>13.10</t>
  </si>
  <si>
    <t>5.55</t>
  </si>
  <si>
    <t>6.85</t>
  </si>
  <si>
    <t>13.60</t>
  </si>
  <si>
    <t>10.49</t>
  </si>
  <si>
    <t>56.51</t>
  </si>
  <si>
    <t>92.72</t>
  </si>
  <si>
    <t>91.86</t>
  </si>
  <si>
    <t>93.12</t>
  </si>
  <si>
    <t>86.14</t>
  </si>
  <si>
    <t>1.83</t>
  </si>
  <si>
    <t>41.21</t>
  </si>
  <si>
    <t>57.12</t>
  </si>
  <si>
    <t>88.74</t>
  </si>
  <si>
    <t>91.21</t>
  </si>
  <si>
    <t>91.79</t>
  </si>
  <si>
    <t>85.84</t>
  </si>
  <si>
    <t xml:space="preserve">GB-18A </t>
  </si>
  <si>
    <t>DUNGENESS-B1</t>
  </si>
  <si>
    <t>UNITED KINGDOM</t>
  </si>
  <si>
    <t>BE (BRITISH ENERGY)</t>
  </si>
  <si>
    <t>APC (ATOMIC POWER CONSTRUCTION LTD.)</t>
  </si>
  <si>
    <t>PARSONS (C.A.PARSONS)</t>
  </si>
  <si>
    <t xml:space="preserve">GCR  </t>
  </si>
  <si>
    <t>AGR</t>
  </si>
  <si>
    <t>17.7</t>
  </si>
  <si>
    <t>14</t>
  </si>
  <si>
    <t>19000</t>
  </si>
  <si>
    <t>9.4</t>
  </si>
  <si>
    <t>7.3</t>
  </si>
  <si>
    <t>2856</t>
  </si>
  <si>
    <t>122</t>
  </si>
  <si>
    <t>CO2</t>
  </si>
  <si>
    <t>673</t>
  </si>
  <si>
    <t>13500</t>
  </si>
  <si>
    <t>16.3</t>
  </si>
  <si>
    <t>3049.09</t>
  </si>
  <si>
    <t>2167.58</t>
  </si>
  <si>
    <t>2482.86</t>
  </si>
  <si>
    <t>3082.47</t>
  </si>
  <si>
    <t>2955.14</t>
  </si>
  <si>
    <t>2453.84</t>
  </si>
  <si>
    <t>2981.31</t>
  </si>
  <si>
    <t>1999.90</t>
  </si>
  <si>
    <t>1627.03</t>
  </si>
  <si>
    <t>948.94</t>
  </si>
  <si>
    <t>74367.00</t>
  </si>
  <si>
    <t>61.88</t>
  </si>
  <si>
    <t>45.52</t>
  </si>
  <si>
    <t>51.92</t>
  </si>
  <si>
    <t>63.83</t>
  </si>
  <si>
    <t>61.59</t>
  </si>
  <si>
    <t>51.64</t>
  </si>
  <si>
    <t>63.30</t>
  </si>
  <si>
    <t>43.67</t>
  </si>
  <si>
    <t>35.99</t>
  </si>
  <si>
    <t>43.07</t>
  </si>
  <si>
    <t>10.52</t>
  </si>
  <si>
    <t>22.14</t>
  </si>
  <si>
    <t>19.92</t>
  </si>
  <si>
    <t>27.96</t>
  </si>
  <si>
    <t>27.39</t>
  </si>
  <si>
    <t>24.94</t>
  </si>
  <si>
    <t>28.42</t>
  </si>
  <si>
    <t>29.34</t>
  </si>
  <si>
    <t>62.20</t>
  </si>
  <si>
    <t>45.57</t>
  </si>
  <si>
    <t>54.62</t>
  </si>
  <si>
    <t>61.67</t>
  </si>
  <si>
    <t>44.78</t>
  </si>
  <si>
    <t>30.49</t>
  </si>
  <si>
    <t>45.59</t>
  </si>
  <si>
    <t>26.22</t>
  </si>
  <si>
    <t>25.75</t>
  </si>
  <si>
    <t>15.96</t>
  </si>
  <si>
    <t>12.01</t>
  </si>
  <si>
    <t>17.14</t>
  </si>
  <si>
    <t>42.34</t>
  </si>
  <si>
    <t>30.70</t>
  </si>
  <si>
    <t>57.57</t>
  </si>
  <si>
    <t>59.50</t>
  </si>
  <si>
    <t>71.78</t>
  </si>
  <si>
    <t>68.94</t>
  </si>
  <si>
    <t>59.89</t>
  </si>
  <si>
    <t>73.60</t>
  </si>
  <si>
    <t>50.85</t>
  </si>
  <si>
    <t>40.26</t>
  </si>
  <si>
    <t>36.91</t>
  </si>
  <si>
    <t>52.78</t>
  </si>
  <si>
    <t>62.54</t>
  </si>
  <si>
    <t>44.58</t>
  </si>
  <si>
    <t>51.07</t>
  </si>
  <si>
    <t>63.23</t>
  </si>
  <si>
    <t>60.78</t>
  </si>
  <si>
    <t>51.17</t>
  </si>
  <si>
    <t>62.45</t>
  </si>
  <si>
    <t>43.27</t>
  </si>
  <si>
    <t>35.72</t>
  </si>
  <si>
    <t>42.35</t>
  </si>
  <si>
    <t>Power Reactor Information System (PRIS) - Copyright © International Atomic Energy Agency</t>
  </si>
  <si>
    <t xml:space="preserve">FI-4   </t>
  </si>
  <si>
    <t>OLKILUOTO-2</t>
  </si>
  <si>
    <t>FINLAND</t>
  </si>
  <si>
    <t>Current Status</t>
  </si>
  <si>
    <t>:</t>
  </si>
  <si>
    <t>Operational</t>
  </si>
  <si>
    <t>Operator</t>
  </si>
  <si>
    <t>TVO (TEOLLISUUDEN VOIMA OY)</t>
  </si>
  <si>
    <t>Owner</t>
  </si>
  <si>
    <t>Reactor Supplier</t>
  </si>
  <si>
    <t>ASEASTAL (ASEA-ATOM / STAL-LAVAL)</t>
  </si>
  <si>
    <t>Turbine Supplier</t>
  </si>
  <si>
    <t>Basic Information</t>
  </si>
  <si>
    <t>Design Characteristics</t>
  </si>
  <si>
    <t>Type</t>
  </si>
  <si>
    <t xml:space="preserve">BWR  </t>
  </si>
  <si>
    <t>Primary Systems</t>
  </si>
  <si>
    <t>Model</t>
  </si>
  <si>
    <t>BWR 2500</t>
  </si>
  <si>
    <t>Reactor vessel centreline orientation</t>
  </si>
  <si>
    <t>Vertical</t>
  </si>
  <si>
    <t>70.61</t>
  </si>
  <si>
    <t>56.15</t>
  </si>
  <si>
    <t>16.45</t>
  </si>
  <si>
    <t>20.85</t>
  </si>
  <si>
    <t>15.49</t>
  </si>
  <si>
    <t>42.92</t>
  </si>
  <si>
    <t>98.18</t>
  </si>
  <si>
    <t>75.38</t>
  </si>
  <si>
    <t>63.24</t>
  </si>
  <si>
    <t>67.85</t>
  </si>
  <si>
    <t>68.10</t>
  </si>
  <si>
    <t>8.04</t>
  </si>
  <si>
    <t>44.83</t>
  </si>
  <si>
    <t>2.30</t>
  </si>
  <si>
    <t>11.57</t>
  </si>
  <si>
    <t>2.69</t>
  </si>
  <si>
    <t>9.81</t>
  </si>
  <si>
    <t>11.12</t>
  </si>
  <si>
    <t>13.16</t>
  </si>
  <si>
    <t>43.74</t>
  </si>
  <si>
    <t>97.24</t>
  </si>
  <si>
    <t>51.23</t>
  </si>
  <si>
    <t>76.18</t>
  </si>
  <si>
    <t>95.18</t>
  </si>
  <si>
    <t>65.24</t>
  </si>
  <si>
    <t>69.67</t>
  </si>
  <si>
    <t>72.66</t>
  </si>
  <si>
    <t>38.78</t>
  </si>
  <si>
    <t>48.21</t>
  </si>
  <si>
    <t>70.68</t>
  </si>
  <si>
    <t>60.54</t>
  </si>
  <si>
    <t>66.59</t>
  </si>
  <si>
    <t>69.83</t>
  </si>
  <si>
    <t>67.22</t>
  </si>
  <si>
    <t>67.36</t>
  </si>
  <si>
    <t xml:space="preserve">FR-12  </t>
  </si>
  <si>
    <t>FESSENHEIM-2</t>
  </si>
  <si>
    <t>332</t>
  </si>
  <si>
    <t>6699.95</t>
  </si>
  <si>
    <t>6562.58</t>
  </si>
  <si>
    <t>4589.49</t>
  </si>
  <si>
    <t>6913.74</t>
  </si>
  <si>
    <t>6381.24</t>
  </si>
  <si>
    <t>4803.12</t>
  </si>
  <si>
    <t>4816.72</t>
  </si>
  <si>
    <t>5131.40</t>
  </si>
  <si>
    <t>3366.58</t>
  </si>
  <si>
    <t>6573.08</t>
  </si>
  <si>
    <t>177660.30</t>
  </si>
  <si>
    <t>60.67</t>
  </si>
  <si>
    <t>64.69</t>
  </si>
  <si>
    <t>62.91</t>
  </si>
  <si>
    <t>66.79</t>
  </si>
  <si>
    <t>43.92</t>
  </si>
  <si>
    <t>74.00</t>
  </si>
  <si>
    <t>10.53</t>
  </si>
  <si>
    <t>18.95</t>
  </si>
  <si>
    <t>19.55</t>
  </si>
  <si>
    <t>15.90</t>
  </si>
  <si>
    <t>94.47</t>
  </si>
  <si>
    <t>64.51</t>
  </si>
  <si>
    <t>68.52</t>
  </si>
  <si>
    <t>47.10</t>
  </si>
  <si>
    <t>75.05</t>
  </si>
  <si>
    <t>25.14</t>
  </si>
  <si>
    <t>13.06</t>
  </si>
  <si>
    <t>62.03</t>
  </si>
  <si>
    <t>96.03</t>
  </si>
  <si>
    <t>65.99</t>
  </si>
  <si>
    <t>72.68</t>
  </si>
  <si>
    <t>48.01</t>
  </si>
  <si>
    <t>59.54</t>
  </si>
  <si>
    <t>82.77</t>
  </si>
  <si>
    <t>62.31</t>
  </si>
  <si>
    <t>66.38</t>
  </si>
  <si>
    <t>69.82</t>
  </si>
  <si>
    <t xml:space="preserve">FR-46  </t>
  </si>
  <si>
    <t>FLAMANVILLE-1</t>
  </si>
  <si>
    <t>P4 REP 1300</t>
  </si>
  <si>
    <t>10038.55</t>
  </si>
  <si>
    <t>8141.77</t>
  </si>
  <si>
    <t>7510.77</t>
  </si>
  <si>
    <t>10630.05</t>
  </si>
  <si>
    <t>9099.89</t>
  </si>
  <si>
    <t>7790.93</t>
  </si>
  <si>
    <t>9595.59</t>
  </si>
  <si>
    <t>4962.39</t>
  </si>
  <si>
    <t>6956.71</t>
  </si>
  <si>
    <t>8519.72</t>
  </si>
  <si>
    <t>195883.81</t>
  </si>
  <si>
    <t>69.12</t>
  </si>
  <si>
    <t>42.91</t>
  </si>
  <si>
    <t>62.70</t>
  </si>
  <si>
    <t>75.78</t>
  </si>
  <si>
    <t>73.20</t>
  </si>
  <si>
    <t>14.57</t>
  </si>
  <si>
    <t>22.38</t>
  </si>
  <si>
    <t>11.00</t>
  </si>
  <si>
    <t>12.93</t>
  </si>
  <si>
    <t>27.41</t>
  </si>
  <si>
    <t>12.61</t>
  </si>
  <si>
    <t>92.57</t>
  </si>
  <si>
    <t>68.17</t>
  </si>
  <si>
    <t>98.20</t>
  </si>
  <si>
    <t>43.78</t>
  </si>
  <si>
    <t>68.20</t>
  </si>
  <si>
    <t>75.80</t>
  </si>
  <si>
    <t>11.60</t>
  </si>
  <si>
    <t>12.17</t>
  </si>
  <si>
    <t>3.77</t>
  </si>
  <si>
    <t>9.49</t>
  </si>
  <si>
    <t>5.98</t>
  </si>
  <si>
    <t>11.48</t>
  </si>
  <si>
    <t>69.52</t>
  </si>
  <si>
    <t>45.74</t>
  </si>
  <si>
    <t>75.60</t>
  </si>
  <si>
    <t>66.87</t>
  </si>
  <si>
    <t>82.36</t>
  </si>
  <si>
    <t>42.48</t>
  </si>
  <si>
    <t>59.71</t>
  </si>
  <si>
    <t xml:space="preserve">FR-47  </t>
  </si>
  <si>
    <t>FLAMANVILLE-2</t>
  </si>
  <si>
    <t>8565.10</t>
  </si>
  <si>
    <t>8502.35</t>
  </si>
  <si>
    <t>10065.35</t>
  </si>
  <si>
    <t>7499.84</t>
  </si>
  <si>
    <t>9779.11</t>
  </si>
  <si>
    <t>10125.81</t>
  </si>
  <si>
    <t>8063.02</t>
  </si>
  <si>
    <t>6140.92</t>
  </si>
  <si>
    <t>9531.78</t>
  </si>
  <si>
    <t>7594.30</t>
  </si>
  <si>
    <t>197206.46</t>
  </si>
  <si>
    <t>77.94</t>
  </si>
  <si>
    <t>66.76</t>
  </si>
  <si>
    <t>54.39</t>
  </si>
  <si>
    <t>76.39</t>
  </si>
  <si>
    <t>11.93</t>
  </si>
  <si>
    <t>21.63</t>
  </si>
  <si>
    <t>17.25</t>
  </si>
  <si>
    <t>27.65</t>
  </si>
  <si>
    <t>16.97</t>
  </si>
  <si>
    <t>13.63</t>
  </si>
  <si>
    <t>77.88</t>
  </si>
  <si>
    <t>68.31</t>
  </si>
  <si>
    <t>57.86</t>
  </si>
  <si>
    <t>75.21</t>
  </si>
  <si>
    <t>77.84</t>
  </si>
  <si>
    <t>8.51</t>
  </si>
  <si>
    <t>69.73</t>
  </si>
  <si>
    <t>96.32</t>
  </si>
  <si>
    <t>80.15</t>
  </si>
  <si>
    <t>57.51</t>
  </si>
  <si>
    <t>72.25</t>
  </si>
  <si>
    <t>76.43</t>
  </si>
  <si>
    <t>73.52</t>
  </si>
  <si>
    <t>72.98</t>
  </si>
  <si>
    <t>64.20</t>
  </si>
  <si>
    <t>69.21</t>
  </si>
  <si>
    <t>52.56</t>
  </si>
  <si>
    <t>65.18</t>
  </si>
  <si>
    <t>69.91</t>
  </si>
  <si>
    <t xml:space="preserve">FR-61  </t>
  </si>
  <si>
    <t>GOLFECH-1</t>
  </si>
  <si>
    <t>7511.92</t>
  </si>
  <si>
    <t>9242.42</t>
  </si>
  <si>
    <t>10342.73</t>
  </si>
  <si>
    <t>9051.07</t>
  </si>
  <si>
    <t>8653.53</t>
  </si>
  <si>
    <t>9475.13</t>
  </si>
  <si>
    <t>9517.60</t>
  </si>
  <si>
    <t>8556.94</t>
  </si>
  <si>
    <t>9662.38</t>
  </si>
  <si>
    <t>8888.69</t>
  </si>
  <si>
    <t>175973.52</t>
  </si>
  <si>
    <t>68.41</t>
  </si>
  <si>
    <t>84.75</t>
  </si>
  <si>
    <t>77.81</t>
  </si>
  <si>
    <t>27.50</t>
  </si>
  <si>
    <t>14.01</t>
  </si>
  <si>
    <t>10.04</t>
  </si>
  <si>
    <t>19.85</t>
  </si>
  <si>
    <t>8.69</t>
  </si>
  <si>
    <t>14.17</t>
  </si>
  <si>
    <t>99.20</t>
  </si>
  <si>
    <t>98.16</t>
  </si>
  <si>
    <t>4.63</t>
  </si>
  <si>
    <t>4.01</t>
  </si>
  <si>
    <t>2.63</t>
  </si>
  <si>
    <t>1.82</t>
  </si>
  <si>
    <t>83.34</t>
  </si>
  <si>
    <t>83.22</t>
  </si>
  <si>
    <t>80.54</t>
  </si>
  <si>
    <t>78.66</t>
  </si>
  <si>
    <t>75.40</t>
  </si>
  <si>
    <t>82.94</t>
  </si>
  <si>
    <t xml:space="preserve">FR-68  </t>
  </si>
  <si>
    <t>GOLFECH-2</t>
  </si>
  <si>
    <t>8958.29</t>
  </si>
  <si>
    <t>9847.13</t>
  </si>
  <si>
    <t>7614.92</t>
  </si>
  <si>
    <t>7093.66</t>
  </si>
  <si>
    <t>9936.28</t>
  </si>
  <si>
    <t>8516.61</t>
  </si>
  <si>
    <t>9922.05</t>
  </si>
  <si>
    <t>8484.22</t>
  </si>
  <si>
    <t>9982.79</t>
  </si>
  <si>
    <t>9076.12</t>
  </si>
  <si>
    <t>150222.78</t>
  </si>
  <si>
    <t>97.32</t>
  </si>
  <si>
    <t>65.70</t>
  </si>
  <si>
    <t>98.89</t>
  </si>
  <si>
    <t>96.63</t>
  </si>
  <si>
    <t>84.28</t>
  </si>
  <si>
    <t>30.28</t>
  </si>
  <si>
    <t>11.98</t>
  </si>
  <si>
    <t>65.72</t>
  </si>
  <si>
    <t>99.19</t>
  </si>
  <si>
    <t>84.83</t>
  </si>
  <si>
    <t>99.53</t>
  </si>
  <si>
    <t>11.19</t>
  </si>
  <si>
    <t>81.22</t>
  </si>
  <si>
    <t>69.77</t>
  </si>
  <si>
    <t>78.06</t>
  </si>
  <si>
    <t>66.36</t>
  </si>
  <si>
    <t>61.65</t>
  </si>
  <si>
    <t>74.21</t>
  </si>
  <si>
    <t>73.73</t>
  </si>
  <si>
    <t>76.23</t>
  </si>
  <si>
    <t xml:space="preserve">FR-20  </t>
  </si>
  <si>
    <t>GRAVELINES-1</t>
  </si>
  <si>
    <t>5289.37</t>
  </si>
  <si>
    <t>5769.34</t>
  </si>
  <si>
    <t>5919.51</t>
  </si>
  <si>
    <t>6213.89</t>
  </si>
  <si>
    <t>6188.68</t>
  </si>
  <si>
    <t>6244.37</t>
  </si>
  <si>
    <t>6168.23</t>
  </si>
  <si>
    <t>6716.74</t>
  </si>
  <si>
    <t>5348.22</t>
  </si>
  <si>
    <t>6334.91</t>
  </si>
  <si>
    <t>171319.14</t>
  </si>
  <si>
    <t>85.05</t>
  </si>
  <si>
    <t>82.04</t>
  </si>
  <si>
    <t>76.41</t>
  </si>
  <si>
    <t>26.96</t>
  </si>
  <si>
    <t>13.44</t>
  </si>
  <si>
    <t>12.99</t>
  </si>
  <si>
    <t>7.93</t>
  </si>
  <si>
    <t>13.64</t>
  </si>
  <si>
    <t>13.80</t>
  </si>
  <si>
    <t>13.84</t>
  </si>
  <si>
    <t>84.55</t>
  </si>
  <si>
    <t>91.78</t>
  </si>
  <si>
    <t>72.56</t>
  </si>
  <si>
    <t>5.06</t>
  </si>
  <si>
    <t>68.88</t>
  </si>
  <si>
    <t>80.56</t>
  </si>
  <si>
    <t>71.98</t>
  </si>
  <si>
    <t>74.26</t>
  </si>
  <si>
    <t>84.03</t>
  </si>
  <si>
    <t>67.09</t>
  </si>
  <si>
    <t>79.47</t>
  </si>
  <si>
    <t>70.83</t>
  </si>
  <si>
    <t xml:space="preserve">FR-21  </t>
  </si>
  <si>
    <t>GRAVELINES-2</t>
  </si>
  <si>
    <t>5984.52</t>
  </si>
  <si>
    <t>5254.30</t>
  </si>
  <si>
    <t>5.14</t>
  </si>
  <si>
    <t>7.07</t>
  </si>
  <si>
    <t>9.30</t>
  </si>
  <si>
    <t>93.41</t>
  </si>
  <si>
    <t>91.40</t>
  </si>
  <si>
    <t>93.22</t>
  </si>
  <si>
    <t>86.91</t>
  </si>
  <si>
    <t>95.02</t>
  </si>
  <si>
    <t>92.63</t>
  </si>
  <si>
    <t>94.00</t>
  </si>
  <si>
    <t>84.87</t>
  </si>
  <si>
    <t>94.83</t>
  </si>
  <si>
    <t>92.33</t>
  </si>
  <si>
    <t>87.51</t>
  </si>
  <si>
    <t>0.67</t>
  </si>
  <si>
    <t>0.72</t>
  </si>
  <si>
    <t>0.16</t>
  </si>
  <si>
    <t>0.24</t>
  </si>
  <si>
    <t>0.28</t>
  </si>
  <si>
    <t>0.32</t>
  </si>
  <si>
    <t>0.09</t>
  </si>
  <si>
    <t>0.53</t>
  </si>
  <si>
    <t>3.24</t>
  </si>
  <si>
    <t>93.98</t>
  </si>
  <si>
    <t>92.41</t>
  </si>
  <si>
    <t>87.05</t>
  </si>
  <si>
    <t>95.33</t>
  </si>
  <si>
    <t>92.89</t>
  </si>
  <si>
    <t>94.58</t>
  </si>
  <si>
    <t>86.19</t>
  </si>
  <si>
    <t>95.26</t>
  </si>
  <si>
    <t>92.73</t>
  </si>
  <si>
    <t>89.03</t>
  </si>
  <si>
    <t>91.72</t>
  </si>
  <si>
    <t>88.66</t>
  </si>
  <si>
    <t>92.14</t>
  </si>
  <si>
    <t>86.66</t>
  </si>
  <si>
    <t>95.03</t>
  </si>
  <si>
    <t>92.74</t>
  </si>
  <si>
    <t>94.23</t>
  </si>
  <si>
    <t>85.66</t>
  </si>
  <si>
    <t>95.56</t>
  </si>
  <si>
    <t>86.80</t>
  </si>
  <si>
    <t xml:space="preserve">FI-2   </t>
  </si>
  <si>
    <t>LOVIISA-2</t>
  </si>
  <si>
    <t>298.5</t>
  </si>
  <si>
    <t>31850</t>
  </si>
  <si>
    <t>3781.06</t>
  </si>
  <si>
    <t>3498.66</t>
  </si>
  <si>
    <t>3736.65</t>
  </si>
  <si>
    <t>4009.18</t>
  </si>
  <si>
    <t>4076.12</t>
  </si>
  <si>
    <t>3766.55</t>
  </si>
  <si>
    <t>4090.87</t>
  </si>
  <si>
    <t>3997.95</t>
  </si>
  <si>
    <t>4063.83</t>
  </si>
  <si>
    <t>3789.14</t>
  </si>
  <si>
    <t>108244.89</t>
  </si>
  <si>
    <t>89.58</t>
  </si>
  <si>
    <t>82.56</t>
  </si>
  <si>
    <t>90.00</t>
  </si>
  <si>
    <t>93.11</t>
  </si>
  <si>
    <t>94.55</t>
  </si>
  <si>
    <t>87.47</t>
  </si>
  <si>
    <t>94.85</t>
  </si>
  <si>
    <t>92.52</t>
  </si>
  <si>
    <t>94.26</t>
  </si>
  <si>
    <t>88.09</t>
  </si>
  <si>
    <t>88.80</t>
  </si>
  <si>
    <t>6.53</t>
  </si>
  <si>
    <t>10.74</t>
  </si>
  <si>
    <t>9.66</t>
  </si>
  <si>
    <t>6.18</t>
  </si>
  <si>
    <t>4.49</t>
  </si>
  <si>
    <t>11.06</t>
  </si>
  <si>
    <t>4.30</t>
  </si>
  <si>
    <t>6.32</t>
  </si>
  <si>
    <t>5.24</t>
  </si>
  <si>
    <t>11.20</t>
  </si>
  <si>
    <t>8.89</t>
  </si>
  <si>
    <t>92.30</t>
  </si>
  <si>
    <t>90.14</t>
  </si>
  <si>
    <t>95.36</t>
  </si>
  <si>
    <t>88.49</t>
  </si>
  <si>
    <t>95.47</t>
  </si>
  <si>
    <t>93.47</t>
  </si>
  <si>
    <t>89.49</t>
  </si>
  <si>
    <t>1.25</t>
  </si>
  <si>
    <t>1.54</t>
  </si>
  <si>
    <t>0.08</t>
  </si>
  <si>
    <t>0.25</t>
  </si>
  <si>
    <t>0.51</t>
  </si>
  <si>
    <t>0.02</t>
  </si>
  <si>
    <t>0.00</t>
  </si>
  <si>
    <t>1.64</t>
  </si>
  <si>
    <t>93.03</t>
  </si>
  <si>
    <t>85.19</t>
  </si>
  <si>
    <t>95.41</t>
  </si>
  <si>
    <t>93.70</t>
  </si>
  <si>
    <t>89.76</t>
  </si>
  <si>
    <t>95.92</t>
  </si>
  <si>
    <t>93.81</t>
  </si>
  <si>
    <t>94.95</t>
  </si>
  <si>
    <t>89.01</t>
  </si>
  <si>
    <t>90.68</t>
  </si>
  <si>
    <t>88.45</t>
  </si>
  <si>
    <t>81.84</t>
  </si>
  <si>
    <t>87.41</t>
  </si>
  <si>
    <t>93.53</t>
  </si>
  <si>
    <t>95.35</t>
  </si>
  <si>
    <t>88.11</t>
  </si>
  <si>
    <t>95.70</t>
  </si>
  <si>
    <t>93.27</t>
  </si>
  <si>
    <t>95.06</t>
  </si>
  <si>
    <t>88.64</t>
  </si>
  <si>
    <t>88.62</t>
  </si>
  <si>
    <t>http://www.world-nuclear.org/info/reactors.html</t>
  </si>
  <si>
    <t>WNA</t>
  </si>
  <si>
    <t>IAEA PRIS</t>
  </si>
  <si>
    <t>http://prisweb.iaea.org/Wedas/WEDAS.asp</t>
  </si>
  <si>
    <t>EPIC</t>
  </si>
  <si>
    <t>Platts</t>
  </si>
  <si>
    <t xml:space="preserve">BG-5   </t>
  </si>
  <si>
    <t>KOZLODUY-5</t>
  </si>
  <si>
    <t>BULGARIA</t>
  </si>
  <si>
    <t>KOZNPP (KOZLODUY NPP-plc)</t>
  </si>
  <si>
    <t>ME (ME)</t>
  </si>
  <si>
    <t>VVER V-320</t>
  </si>
  <si>
    <t>12.95</t>
  </si>
  <si>
    <t>15</t>
  </si>
  <si>
    <t>27000</t>
  </si>
  <si>
    <t>3.16</t>
  </si>
  <si>
    <t>3.55</t>
  </si>
  <si>
    <t>163</t>
  </si>
  <si>
    <t>76</t>
  </si>
  <si>
    <t>NEAU Information</t>
  </si>
  <si>
    <t>4</t>
  </si>
  <si>
    <t>District Heating</t>
  </si>
  <si>
    <t>16</t>
  </si>
  <si>
    <t>320</t>
  </si>
  <si>
    <t>84000</t>
  </si>
  <si>
    <t>1500</t>
  </si>
  <si>
    <t>5049.55</t>
  </si>
  <si>
    <t>5095.85</t>
  </si>
  <si>
    <t>4842.04</t>
  </si>
  <si>
    <t>6047.02</t>
  </si>
  <si>
    <t>6669.92</t>
  </si>
  <si>
    <t>7341.29</t>
  </si>
  <si>
    <t>7181.55</t>
  </si>
  <si>
    <t>7293.30</t>
  </si>
  <si>
    <t>104972.00</t>
  </si>
  <si>
    <t>61.48</t>
  </si>
  <si>
    <t>79.39</t>
  </si>
  <si>
    <t>98.60</t>
  </si>
  <si>
    <t>67.18</t>
  </si>
  <si>
    <t>75.23</t>
  </si>
  <si>
    <t>75.73</t>
  </si>
  <si>
    <t>80.25</t>
  </si>
  <si>
    <t>87.85</t>
  </si>
  <si>
    <t>87.72</t>
  </si>
  <si>
    <t>85.87</t>
  </si>
  <si>
    <t>65.74</t>
  </si>
  <si>
    <t>32.78</t>
  </si>
  <si>
    <t>20.08</t>
  </si>
  <si>
    <t>1.40</t>
  </si>
  <si>
    <t>32.75</t>
  </si>
  <si>
    <t>24.38</t>
  </si>
  <si>
    <t>21.61</t>
  </si>
  <si>
    <t>17.23</t>
  </si>
  <si>
    <t>11.44</t>
  </si>
  <si>
    <t>11.70</t>
  </si>
  <si>
    <t>13.17</t>
  </si>
  <si>
    <t>28.89</t>
  </si>
  <si>
    <t>66.56</t>
  </si>
  <si>
    <t>79.77</t>
  </si>
  <si>
    <t>67.19</t>
  </si>
  <si>
    <t>75.82</t>
  </si>
  <si>
    <t>80.42</t>
  </si>
  <si>
    <t>88.44</t>
  </si>
  <si>
    <t>88.30</t>
  </si>
  <si>
    <t>86.41</t>
  </si>
  <si>
    <t>68.63</t>
  </si>
  <si>
    <t>0.98</t>
  </si>
  <si>
    <t>0.10</t>
  </si>
  <si>
    <t>3.28</t>
  </si>
  <si>
    <t>2.83</t>
  </si>
  <si>
    <t>0.48</t>
  </si>
  <si>
    <t>3.48</t>
  </si>
  <si>
    <t>67.81</t>
  </si>
  <si>
    <t>79.94</t>
  </si>
  <si>
    <t>97.93</t>
  </si>
  <si>
    <t>67.24</t>
  </si>
  <si>
    <t>75.81</t>
  </si>
  <si>
    <t>76.38</t>
  </si>
  <si>
    <t>80.94</t>
  </si>
  <si>
    <t>88.75</t>
  </si>
  <si>
    <t>88.57</t>
  </si>
  <si>
    <t>87.00</t>
  </si>
  <si>
    <t>69.11</t>
  </si>
  <si>
    <t>60.49</t>
  </si>
  <si>
    <t>61.04</t>
  </si>
  <si>
    <t>67.04</t>
  </si>
  <si>
    <t>57.84</t>
  </si>
  <si>
    <t>72.43</t>
  </si>
  <si>
    <t>79.90</t>
  </si>
  <si>
    <t>87.70</t>
  </si>
  <si>
    <t>86.02</t>
  </si>
  <si>
    <t>87.37</t>
  </si>
  <si>
    <t>56.65</t>
  </si>
  <si>
    <t xml:space="preserve">BG-6   </t>
  </si>
  <si>
    <t>KOZLODUY-6</t>
  </si>
  <si>
    <t>61</t>
  </si>
  <si>
    <t>4189.45</t>
  </si>
  <si>
    <t>5324.95</t>
  </si>
  <si>
    <t>5480.56</t>
  </si>
  <si>
    <t>5298.10</t>
  </si>
  <si>
    <t>5917.29</t>
  </si>
  <si>
    <t>7024.83</t>
  </si>
  <si>
    <t>7400.25</t>
  </si>
  <si>
    <t>7037.38</t>
  </si>
  <si>
    <t>6943.07</t>
  </si>
  <si>
    <t>92263.00</t>
  </si>
  <si>
    <t>50.42</t>
  </si>
  <si>
    <t>71.52</t>
  </si>
  <si>
    <t>72.89</t>
  </si>
  <si>
    <t>75.25</t>
  </si>
  <si>
    <t>76.94</t>
  </si>
  <si>
    <t>76.96</t>
  </si>
  <si>
    <t>84.72</t>
  </si>
  <si>
    <t>87.23</t>
  </si>
  <si>
    <t>85.61</t>
  </si>
  <si>
    <t>82.68</t>
  </si>
  <si>
    <t>72.88</t>
  </si>
  <si>
    <t>36.58</t>
  </si>
  <si>
    <t>27.38</t>
  </si>
  <si>
    <t>27.00</t>
  </si>
  <si>
    <t>24.75</t>
  </si>
  <si>
    <t>22.91</t>
  </si>
  <si>
    <t>22.90</t>
  </si>
  <si>
    <t>14.52</t>
  </si>
  <si>
    <t>11.86</t>
  </si>
  <si>
    <t>13.75</t>
  </si>
  <si>
    <t>12.19</t>
  </si>
  <si>
    <t>23.87</t>
  </si>
  <si>
    <t>63.42</t>
  </si>
  <si>
    <t>77.05</t>
  </si>
  <si>
    <t>85.02</t>
  </si>
  <si>
    <t>88.14</t>
  </si>
  <si>
    <t>83.70</t>
  </si>
  <si>
    <t>75.36</t>
  </si>
  <si>
    <t>0.17</t>
  </si>
  <si>
    <t>0.06</t>
  </si>
  <si>
    <t>0.54</t>
  </si>
  <si>
    <t>2.98</t>
  </si>
  <si>
    <t>0.81</t>
  </si>
  <si>
    <t>62.11</t>
  </si>
  <si>
    <t>71.42</t>
  </si>
  <si>
    <t>73.90</t>
  </si>
  <si>
    <t>75.30</t>
  </si>
  <si>
    <t>77.31</t>
  </si>
  <si>
    <t>77.87</t>
  </si>
  <si>
    <t>85.54</t>
  </si>
  <si>
    <t>88.26</t>
  </si>
  <si>
    <t>86.32</t>
  </si>
  <si>
    <t>84.33</t>
  </si>
  <si>
    <t>75.89</t>
  </si>
  <si>
    <t>50.18</t>
  </si>
  <si>
    <t>63.78</t>
  </si>
  <si>
    <t>65.65</t>
  </si>
  <si>
    <t>63.29</t>
  </si>
  <si>
    <t>70.88</t>
  </si>
  <si>
    <t>84.15</t>
  </si>
  <si>
    <t>88.40</t>
  </si>
  <si>
    <t>84.30</t>
  </si>
  <si>
    <t>83.17</t>
  </si>
  <si>
    <t>64.75</t>
  </si>
  <si>
    <t xml:space="preserve">CZ-4   </t>
  </si>
  <si>
    <t>DUKOVANY-1</t>
  </si>
  <si>
    <t>CZECH REPUBLIC</t>
  </si>
  <si>
    <t>CEZ (CZECH POWER COMPANY , CEZ a.s.)</t>
  </si>
  <si>
    <t>SKODA (SKODA CONCERN NUCLEAR POWER PLANT WORKS)</t>
  </si>
  <si>
    <t>44000</t>
  </si>
  <si>
    <t>2.5</t>
  </si>
  <si>
    <t>349</t>
  </si>
  <si>
    <t>42</t>
  </si>
  <si>
    <t>12.26</t>
  </si>
  <si>
    <t>297</t>
  </si>
  <si>
    <t>31870</t>
  </si>
  <si>
    <t>4.3</t>
  </si>
  <si>
    <t>3328.90</t>
  </si>
  <si>
    <t>3267.45</t>
  </si>
  <si>
    <t>3032.00</t>
  </si>
  <si>
    <t>3035.50</t>
  </si>
  <si>
    <t>3324.55</t>
  </si>
  <si>
    <t>3271.63</t>
  </si>
  <si>
    <t>2967.32</t>
  </si>
  <si>
    <t>3485.30</t>
  </si>
  <si>
    <t>3518.64</t>
  </si>
  <si>
    <t>3573.83</t>
  </si>
  <si>
    <t>78518.84</t>
  </si>
  <si>
    <t>90.16</t>
  </si>
  <si>
    <t>88.92</t>
  </si>
  <si>
    <t>82.63</t>
  </si>
  <si>
    <t>82.91</t>
  </si>
  <si>
    <t>90.62</t>
  </si>
  <si>
    <t>89.73</t>
  </si>
  <si>
    <t>80.92</t>
  </si>
  <si>
    <t>91.59</t>
  </si>
  <si>
    <t>92.48</t>
  </si>
  <si>
    <t>93.76</t>
  </si>
  <si>
    <t>83.56</t>
  </si>
  <si>
    <t>8.73</t>
  </si>
  <si>
    <t>9.43</t>
  </si>
  <si>
    <t>17.06</t>
  </si>
  <si>
    <t>15.18</t>
  </si>
  <si>
    <t>8.74</t>
  </si>
  <si>
    <t>8.79</t>
  </si>
  <si>
    <t>17.63</t>
  </si>
  <si>
    <t>6.65</t>
  </si>
  <si>
    <t>5.96</t>
  </si>
  <si>
    <t>14.07</t>
  </si>
  <si>
    <t>90.57</t>
  </si>
  <si>
    <t>89.63</t>
  </si>
  <si>
    <t>82.89</t>
  </si>
  <si>
    <t>83.65</t>
  </si>
  <si>
    <t>91.26</t>
  </si>
  <si>
    <t>91.20</t>
  </si>
  <si>
    <t>81.36</t>
  </si>
  <si>
    <t>91.80</t>
  </si>
  <si>
    <t>92.68</t>
  </si>
  <si>
    <t>84.36</t>
  </si>
  <si>
    <t>0.77</t>
  </si>
  <si>
    <t>1.03</t>
  </si>
  <si>
    <t>1.66</t>
  </si>
  <si>
    <t>0.49</t>
  </si>
  <si>
    <t>1.77</t>
  </si>
  <si>
    <t>91.28</t>
  </si>
  <si>
    <t>90.48</t>
  </si>
  <si>
    <t>83.66</t>
  </si>
  <si>
    <t>91.50</t>
  </si>
  <si>
    <t>91.48</t>
  </si>
  <si>
    <t>82.17</t>
  </si>
  <si>
    <t>92.10</t>
  </si>
  <si>
    <t>93.45</t>
  </si>
  <si>
    <t>94.25</t>
  </si>
  <si>
    <t>86.23</t>
  </si>
  <si>
    <t>90.53</t>
  </si>
  <si>
    <t>84.01</t>
  </si>
  <si>
    <t>83.88</t>
  </si>
  <si>
    <t>92.12</t>
  </si>
  <si>
    <t>90.65</t>
  </si>
  <si>
    <t>81.72</t>
  </si>
  <si>
    <t>92.92</t>
  </si>
  <si>
    <t>94.07</t>
  </si>
  <si>
    <t>95.54</t>
  </si>
  <si>
    <t>84.64</t>
  </si>
  <si>
    <t xml:space="preserve">CZ-5   </t>
  </si>
  <si>
    <t>DUKOVANY-2</t>
  </si>
  <si>
    <t>3121.12</t>
  </si>
  <si>
    <t>3159.64</t>
  </si>
  <si>
    <t>3252.55</t>
  </si>
  <si>
    <t>3087.75</t>
  </si>
  <si>
    <t>3313.22</t>
  </si>
  <si>
    <t>3294.69</t>
  </si>
  <si>
    <t>3274.74</t>
  </si>
  <si>
    <t>3040.36</t>
  </si>
  <si>
    <t>3507.86</t>
  </si>
  <si>
    <t>3535.93</t>
  </si>
  <si>
    <t>76377.93</t>
  </si>
  <si>
    <t>86.35</t>
  </si>
  <si>
    <t>87.83</t>
  </si>
  <si>
    <t>89.20</t>
  </si>
  <si>
    <t>84.19</t>
  </si>
  <si>
    <t>90.75</t>
  </si>
  <si>
    <t>90.59</t>
  </si>
  <si>
    <t>90.12</t>
  </si>
  <si>
    <t>81.60</t>
  </si>
  <si>
    <t>92.78</t>
  </si>
  <si>
    <t>93.39</t>
  </si>
  <si>
    <t>83.97</t>
  </si>
  <si>
    <t>12.46</t>
  </si>
  <si>
    <t>11.35</t>
  </si>
  <si>
    <t>9.23</t>
  </si>
  <si>
    <t>15.48</t>
  </si>
  <si>
    <t>8.30</t>
  </si>
  <si>
    <t>8.58</t>
  </si>
  <si>
    <t>9.07</t>
  </si>
  <si>
    <t>17.52</t>
  </si>
  <si>
    <t>6.24</t>
  </si>
  <si>
    <t>6.14</t>
  </si>
  <si>
    <t>13.89</t>
  </si>
  <si>
    <t>86.92</t>
  </si>
  <si>
    <t>89.85</t>
  </si>
  <si>
    <t>91.25</t>
  </si>
  <si>
    <t>91.15</t>
  </si>
  <si>
    <t>90.88</t>
  </si>
  <si>
    <t>82.08</t>
  </si>
  <si>
    <t>93.15</t>
  </si>
  <si>
    <t>84.77</t>
  </si>
  <si>
    <t>0.71</t>
  </si>
  <si>
    <t>0.40</t>
  </si>
  <si>
    <t>0.19</t>
  </si>
  <si>
    <t>0.29</t>
  </si>
  <si>
    <t>0.41</t>
  </si>
  <si>
    <t>87.28</t>
  </si>
  <si>
    <t>88.08</t>
  </si>
  <si>
    <t>90.63</t>
  </si>
  <si>
    <t>84.68</t>
  </si>
  <si>
    <t>91.87</t>
  </si>
  <si>
    <t>91.52</t>
  </si>
  <si>
    <t>91.13</t>
  </si>
  <si>
    <t>82.29</t>
  </si>
  <si>
    <t>93.71</t>
  </si>
  <si>
    <t>94.18</t>
  </si>
  <si>
    <t>86.48</t>
  </si>
  <si>
    <t>87.55</t>
  </si>
  <si>
    <t>85.31</t>
  </si>
  <si>
    <t>91.29</t>
  </si>
  <si>
    <t>90.74</t>
  </si>
  <si>
    <t>82.01</t>
  </si>
  <si>
    <t>93.78</t>
  </si>
  <si>
    <t>85.15</t>
  </si>
  <si>
    <t xml:space="preserve">CZ-8   </t>
  </si>
  <si>
    <t>DUKOVANY-3</t>
  </si>
  <si>
    <t>3005.99</t>
  </si>
  <si>
    <t>3259.39</t>
  </si>
  <si>
    <t>3280.09</t>
  </si>
  <si>
    <t>3302.47</t>
  </si>
  <si>
    <t>2964.87</t>
  </si>
  <si>
    <t>3396.20</t>
  </si>
  <si>
    <t>3427.86</t>
  </si>
  <si>
    <t>3548.84</t>
  </si>
  <si>
    <t>2944.75</t>
  </si>
  <si>
    <t>3283.52</t>
  </si>
  <si>
    <t>73926.00</t>
  </si>
  <si>
    <t>82.67</t>
  </si>
  <si>
    <t>89.56</t>
  </si>
  <si>
    <t>89.83</t>
  </si>
  <si>
    <t>90.17</t>
  </si>
  <si>
    <t>79.55</t>
  </si>
  <si>
    <t>90.01</t>
  </si>
  <si>
    <t>90.90</t>
  </si>
  <si>
    <t>74.07</t>
  </si>
  <si>
    <t>80.01</t>
  </si>
  <si>
    <t>82.38</t>
  </si>
  <si>
    <t>16.16</t>
  </si>
  <si>
    <t>10.11</t>
  </si>
  <si>
    <t>9.47</t>
  </si>
  <si>
    <t>9.64</t>
  </si>
  <si>
    <t>19.32</t>
  </si>
  <si>
    <t>8.13</t>
  </si>
  <si>
    <t>24.40</t>
  </si>
  <si>
    <t>16.08</t>
  </si>
  <si>
    <t>13.96</t>
  </si>
  <si>
    <t>83.78</t>
  </si>
  <si>
    <t>89.89</t>
  </si>
  <si>
    <t>90.50</t>
  </si>
  <si>
    <t>90.27</t>
  </si>
  <si>
    <t>80.00</t>
  </si>
  <si>
    <t>90.83</t>
  </si>
  <si>
    <t>93.66</t>
  </si>
  <si>
    <t>74.81</t>
  </si>
  <si>
    <t>84.00</t>
  </si>
  <si>
    <t>0.85</t>
  </si>
  <si>
    <t>0.99</t>
  </si>
  <si>
    <t>1.97</t>
  </si>
  <si>
    <t>2.28</t>
  </si>
  <si>
    <t>83.44</t>
  </si>
  <si>
    <t>89.95</t>
  </si>
  <si>
    <t>80.30</t>
  </si>
  <si>
    <t>91.37</t>
  </si>
  <si>
    <t>76.35</t>
  </si>
  <si>
    <t>81.58</t>
  </si>
  <si>
    <t>85.80</t>
  </si>
  <si>
    <t>83.29</t>
  </si>
  <si>
    <t>90.31</t>
  </si>
  <si>
    <t>91.24</t>
  </si>
  <si>
    <t>80.19</t>
  </si>
  <si>
    <t>90.79</t>
  </si>
  <si>
    <t>91.64</t>
  </si>
  <si>
    <t>94.62</t>
  </si>
  <si>
    <t>73.63</t>
  </si>
  <si>
    <t>79.58</t>
  </si>
  <si>
    <t>83.69</t>
  </si>
  <si>
    <t xml:space="preserve">CZ-9   </t>
  </si>
  <si>
    <t>DUKOVANY-4</t>
  </si>
  <si>
    <t>3258.06</t>
  </si>
  <si>
    <t>2748.24</t>
  </si>
  <si>
    <t>3309.80</t>
  </si>
  <si>
    <t>3335.38</t>
  </si>
  <si>
    <t>3267.00</t>
  </si>
  <si>
    <t>3159.49</t>
  </si>
  <si>
    <t>3318.99</t>
  </si>
  <si>
    <t>3438.67</t>
  </si>
  <si>
    <t>3100.50</t>
  </si>
  <si>
    <t>2895.11</t>
  </si>
  <si>
    <t>72794.00</t>
  </si>
  <si>
    <t>89.25</t>
  </si>
  <si>
    <t>75.57</t>
  </si>
  <si>
    <t>90.66</t>
  </si>
  <si>
    <t>90.87</t>
  </si>
  <si>
    <t>89.62</t>
  </si>
  <si>
    <t>88.05</t>
  </si>
  <si>
    <t>90.35</t>
  </si>
  <si>
    <t>81.82</t>
  </si>
  <si>
    <t>76.74</t>
  </si>
  <si>
    <t>83.35</t>
  </si>
  <si>
    <t>9.39</t>
  </si>
  <si>
    <t>22.68</t>
  </si>
  <si>
    <t>8.63</t>
  </si>
  <si>
    <t>8.85</t>
  </si>
  <si>
    <t>8.83</t>
  </si>
  <si>
    <t>12.07</t>
  </si>
  <si>
    <t>10.96</t>
  </si>
  <si>
    <t>8.70</t>
  </si>
  <si>
    <t>17.75</t>
  </si>
  <si>
    <t>22.44</t>
  </si>
  <si>
    <t>14.13</t>
  </si>
  <si>
    <t>90.40</t>
  </si>
  <si>
    <t>77.29</t>
  </si>
  <si>
    <t>91.35</t>
  </si>
  <si>
    <t>91.09</t>
  </si>
  <si>
    <t>87.79</t>
  </si>
  <si>
    <t>88.70</t>
  </si>
  <si>
    <t>81.99</t>
  </si>
  <si>
    <t>84.22</t>
  </si>
  <si>
    <t>0.37</t>
  </si>
  <si>
    <t>0.62</t>
  </si>
  <si>
    <t>0.31</t>
  </si>
  <si>
    <t>1.92</t>
  </si>
  <si>
    <t>90.71</t>
  </si>
  <si>
    <t>77.00</t>
  </si>
  <si>
    <t>91.43</t>
  </si>
  <si>
    <t>91.42</t>
  </si>
  <si>
    <t>87.95</t>
  </si>
  <si>
    <t>89.66</t>
  </si>
  <si>
    <t>91.19</t>
  </si>
  <si>
    <t>82.73</t>
  </si>
  <si>
    <t>78.15</t>
  </si>
  <si>
    <t>86.34</t>
  </si>
  <si>
    <t>76.15</t>
  </si>
  <si>
    <t>91.71</t>
  </si>
  <si>
    <t>92.16</t>
  </si>
  <si>
    <t>90.52</t>
  </si>
  <si>
    <t>87.54</t>
  </si>
  <si>
    <t>88.73</t>
  </si>
  <si>
    <t>91.68</t>
  </si>
  <si>
    <t>77.40</t>
  </si>
  <si>
    <t>85.10</t>
  </si>
  <si>
    <t xml:space="preserve">CZ-23  </t>
  </si>
  <si>
    <t>TEMELIN-1</t>
  </si>
  <si>
    <t>45000</t>
  </si>
  <si>
    <t>3.63</t>
  </si>
  <si>
    <t>91.75</t>
  </si>
  <si>
    <t>15.7</t>
  </si>
  <si>
    <t>318</t>
  </si>
  <si>
    <t>64483</t>
  </si>
  <si>
    <t>6.2</t>
  </si>
  <si>
    <t>1064.34</t>
  </si>
  <si>
    <t>5147.87</t>
  </si>
  <si>
    <t>5455.32</t>
  </si>
  <si>
    <t>5715.82</t>
  </si>
  <si>
    <t>5443.97</t>
  </si>
  <si>
    <t>6124.86</t>
  </si>
  <si>
    <t>4901.35</t>
  </si>
  <si>
    <t>4526.45</t>
  </si>
  <si>
    <t>6229.78</t>
  </si>
  <si>
    <t>6305.63</t>
  </si>
  <si>
    <t>51231.00</t>
  </si>
  <si>
    <t>NO</t>
  </si>
  <si>
    <t>76.06</t>
  </si>
  <si>
    <t>65.30</t>
  </si>
  <si>
    <t>68.01</t>
  </si>
  <si>
    <t>66.30</t>
  </si>
  <si>
    <t>75.68</t>
  </si>
  <si>
    <t>60.02</t>
  </si>
  <si>
    <t>53.50</t>
  </si>
  <si>
    <t>73.81</t>
  </si>
  <si>
    <t>74.50</t>
  </si>
  <si>
    <t>67.74</t>
  </si>
  <si>
    <t>19.80</t>
  </si>
  <si>
    <t>29.99</t>
  </si>
  <si>
    <t>25.84</t>
  </si>
  <si>
    <t>13.42</t>
  </si>
  <si>
    <t>20.83</t>
  </si>
  <si>
    <t>31.44</t>
  </si>
  <si>
    <t>21.36</t>
  </si>
  <si>
    <t>20.12</t>
  </si>
  <si>
    <t>18.68</t>
  </si>
  <si>
    <t>22.48</t>
  </si>
  <si>
    <t>68.09</t>
  </si>
  <si>
    <t>66.33</t>
  </si>
  <si>
    <t>75.69</t>
  </si>
  <si>
    <t>53.57</t>
  </si>
  <si>
    <t>73.88</t>
  </si>
  <si>
    <t>74.83</t>
  </si>
  <si>
    <t>5.17</t>
  </si>
  <si>
    <t>4.15</t>
  </si>
  <si>
    <t>7.98</t>
  </si>
  <si>
    <t>16.34</t>
  </si>
  <si>
    <t>4.05</t>
  </si>
  <si>
    <t>11.75</t>
  </si>
  <si>
    <t>4.22</t>
  </si>
  <si>
    <t>6.58</t>
  </si>
  <si>
    <t>82.42</t>
  </si>
  <si>
    <t>66.91</t>
  </si>
  <si>
    <t>68.64</t>
  </si>
  <si>
    <t>66.74</t>
  </si>
  <si>
    <t>76.84</t>
  </si>
  <si>
    <t>60.30</t>
  </si>
  <si>
    <t>54.02</t>
  </si>
  <si>
    <t>74.51</t>
  </si>
  <si>
    <t>75.27</t>
  </si>
  <si>
    <t>68.89</t>
  </si>
  <si>
    <t>68.28</t>
  </si>
  <si>
    <t>68.50</t>
  </si>
  <si>
    <t>66.35</t>
  </si>
  <si>
    <t>75.18</t>
  </si>
  <si>
    <t>59.63</t>
  </si>
  <si>
    <t>53.51</t>
  </si>
  <si>
    <t>73.85</t>
  </si>
  <si>
    <t>74.75</t>
  </si>
  <si>
    <t>68.13</t>
  </si>
  <si>
    <t xml:space="preserve">CZ-24  </t>
  </si>
  <si>
    <t>TEMELIN-2</t>
  </si>
  <si>
    <t>6033.03</t>
  </si>
  <si>
    <t>6340.09</t>
  </si>
  <si>
    <t>4941.36</t>
  </si>
  <si>
    <t>5251.85</t>
  </si>
  <si>
    <t>6745.10</t>
  </si>
  <si>
    <t>6978.75</t>
  </si>
  <si>
    <t>6363.18</t>
  </si>
  <si>
    <t>6847.34</t>
  </si>
  <si>
    <t>49493.00</t>
  </si>
  <si>
    <t>84.23</t>
  </si>
  <si>
    <t>75.22</t>
  </si>
  <si>
    <t>65.10</t>
  </si>
  <si>
    <t>65.28</t>
  </si>
  <si>
    <t>79.93</t>
  </si>
  <si>
    <t>82.65</t>
  </si>
  <si>
    <t>75.39</t>
  </si>
  <si>
    <t>80.95</t>
  </si>
  <si>
    <t>75.93</t>
  </si>
  <si>
    <t>17.80</t>
  </si>
  <si>
    <t>24.54</t>
  </si>
  <si>
    <t>25.33</t>
  </si>
  <si>
    <t>17.50</t>
  </si>
  <si>
    <t>14.15</t>
  </si>
  <si>
    <t>23.00</t>
  </si>
  <si>
    <t>16.12</t>
  </si>
  <si>
    <t>17.99</t>
  </si>
  <si>
    <t>65.25</t>
  </si>
  <si>
    <t>65.82</t>
  </si>
  <si>
    <t>80.05</t>
  </si>
  <si>
    <t>83.23</t>
  </si>
  <si>
    <t>76.80</t>
  </si>
  <si>
    <t>81.10</t>
  </si>
  <si>
    <t>76.32</t>
  </si>
  <si>
    <t>15.60</t>
  </si>
  <si>
    <t>8.49</t>
  </si>
  <si>
    <t>6.34</t>
  </si>
  <si>
    <t>3.01</t>
  </si>
  <si>
    <t>3.05</t>
  </si>
  <si>
    <t>1.55</t>
  </si>
  <si>
    <t>4.62</t>
  </si>
  <si>
    <t>86.52</t>
  </si>
  <si>
    <t>76.02</t>
  </si>
  <si>
    <t>70.03</t>
  </si>
  <si>
    <t>65.81</t>
  </si>
  <si>
    <t>80.49</t>
  </si>
  <si>
    <t>84.47</t>
  </si>
  <si>
    <t>77.12</t>
  </si>
  <si>
    <t>81.46</t>
  </si>
  <si>
    <t>77.37</t>
  </si>
  <si>
    <t>86.59</t>
  </si>
  <si>
    <t>75.98</t>
  </si>
  <si>
    <t>65.36</t>
  </si>
  <si>
    <t>80.50</t>
  </si>
  <si>
    <t>82.50</t>
  </si>
  <si>
    <t>75.43</t>
  </si>
  <si>
    <t>81.18</t>
  </si>
  <si>
    <t>76.36</t>
  </si>
  <si>
    <t xml:space="preserve">HU-1   </t>
  </si>
  <si>
    <t>PAKS-1</t>
  </si>
  <si>
    <t>HUNGARY</t>
  </si>
  <si>
    <t>PAKS Zrt (PAKS NUCLEAR POWER PLANT LTD)</t>
  </si>
  <si>
    <t>MVM Zrt. (HUNGARIAN POWER COMPANIES LTD.)</t>
  </si>
  <si>
    <t>KTP (Kharkov Turbine Plant "Turboatom")</t>
  </si>
  <si>
    <t>41.9</t>
  </si>
  <si>
    <t>12.5</t>
  </si>
  <si>
    <t>39750</t>
  </si>
  <si>
    <t>4.2</t>
  </si>
  <si>
    <t>3514.87</t>
  </si>
  <si>
    <t>3330.66</t>
  </si>
  <si>
    <t>3097.84</t>
  </si>
  <si>
    <t>3342.33</t>
  </si>
  <si>
    <t>3503.53</t>
  </si>
  <si>
    <t>3468.50</t>
  </si>
  <si>
    <t>3179.36</t>
  </si>
  <si>
    <t>3670.29</t>
  </si>
  <si>
    <t>3708.04</t>
  </si>
  <si>
    <t>3762.00</t>
  </si>
  <si>
    <t>90708.00</t>
  </si>
  <si>
    <t>91.61</t>
  </si>
  <si>
    <t>90.08</t>
  </si>
  <si>
    <t>80.96</t>
  </si>
  <si>
    <t>87.07</t>
  </si>
  <si>
    <t>79.71</t>
  </si>
  <si>
    <t>88.94</t>
  </si>
  <si>
    <t>90.19</t>
  </si>
  <si>
    <t>91.46</t>
  </si>
  <si>
    <t>86.01</t>
  </si>
  <si>
    <t>8.07</t>
  </si>
  <si>
    <t>9.72</t>
  </si>
  <si>
    <t>16.00</t>
  </si>
  <si>
    <t>10.23</t>
  </si>
  <si>
    <t>8.23</t>
  </si>
  <si>
    <t>7.68</t>
  </si>
  <si>
    <t>16.96</t>
  </si>
  <si>
    <t>8.47</t>
  </si>
  <si>
    <t>7.87</t>
  </si>
  <si>
    <t>91.77</t>
  </si>
  <si>
    <t>90.21</t>
  </si>
  <si>
    <t>86.06</t>
  </si>
  <si>
    <t>0.07</t>
  </si>
  <si>
    <t>3.43</t>
  </si>
  <si>
    <t>0.26</t>
  </si>
  <si>
    <t>0.34</t>
  </si>
  <si>
    <t>1.96</t>
  </si>
  <si>
    <t>92.11</t>
  </si>
  <si>
    <t>90.29</t>
  </si>
  <si>
    <t>82.15</t>
  </si>
  <si>
    <t>87.57</t>
  </si>
  <si>
    <t>91.66</t>
  </si>
  <si>
    <t>91.08</t>
  </si>
  <si>
    <t>79.14</t>
  </si>
  <si>
    <t>89.07</t>
  </si>
  <si>
    <t>87.14</t>
  </si>
  <si>
    <t>91.82</t>
  </si>
  <si>
    <t>87.01</t>
  </si>
  <si>
    <t>80.91</t>
  </si>
  <si>
    <t>90.61</t>
  </si>
  <si>
    <t>79.74</t>
  </si>
  <si>
    <t>88.90</t>
  </si>
  <si>
    <t>90.06</t>
  </si>
  <si>
    <t>86.85</t>
  </si>
  <si>
    <t xml:space="preserve">HU-2   </t>
  </si>
  <si>
    <t>PAKS-2</t>
  </si>
  <si>
    <t>39450</t>
  </si>
  <si>
    <t>4.315</t>
  </si>
  <si>
    <t>3266.89</t>
  </si>
  <si>
    <t>3338.46</t>
  </si>
  <si>
    <t>918.84</t>
  </si>
  <si>
    <t>1137.22</t>
  </si>
  <si>
    <t>2929.48</t>
  </si>
  <si>
    <t>2399.56</t>
  </si>
  <si>
    <t>3477.05</t>
  </si>
  <si>
    <t>2993.79</t>
  </si>
  <si>
    <t>3772.51</t>
  </si>
  <si>
    <t>3715.76</t>
  </si>
  <si>
    <t>80496.00</t>
  </si>
  <si>
    <t>84.76</t>
  </si>
  <si>
    <t>86.54</t>
  </si>
  <si>
    <t>23.80</t>
  </si>
  <si>
    <t>29.36</t>
  </si>
  <si>
    <t>75.84</t>
  </si>
  <si>
    <t>62.34</t>
  </si>
  <si>
    <t>89.16</t>
  </si>
  <si>
    <t>76.24</t>
  </si>
  <si>
    <t>91.14</t>
  </si>
  <si>
    <t>89.74</t>
  </si>
  <si>
    <t>79.88</t>
  </si>
  <si>
    <t>9.15</t>
  </si>
  <si>
    <t>11.10</t>
  </si>
  <si>
    <t>10.94</t>
  </si>
  <si>
    <t>3.71</t>
  </si>
  <si>
    <t>22.63</t>
  </si>
  <si>
    <t>37.39</t>
  </si>
  <si>
    <t>19.50</t>
  </si>
  <si>
    <t>7.82</t>
  </si>
  <si>
    <t>7.95</t>
  </si>
  <si>
    <t>12.70</t>
  </si>
  <si>
    <t>84.94</t>
  </si>
  <si>
    <t>86.71</t>
  </si>
  <si>
    <t>62.59</t>
  </si>
  <si>
    <t>76.26</t>
  </si>
  <si>
    <t>79.96</t>
  </si>
  <si>
    <t>6.50</t>
  </si>
  <si>
    <t>1.93</t>
  </si>
  <si>
    <t>73.27</t>
  </si>
  <si>
    <t>4.66</t>
  </si>
  <si>
    <t>2.24</t>
  </si>
  <si>
    <t>0.70</t>
  </si>
  <si>
    <t>1.13</t>
  </si>
  <si>
    <t>1.99</t>
  </si>
  <si>
    <t>5.45</t>
  </si>
  <si>
    <t>85.43</t>
  </si>
  <si>
    <t>87.26</t>
  </si>
  <si>
    <t>23.85</t>
  </si>
  <si>
    <t>29.83</t>
  </si>
  <si>
    <t>76.13</t>
  </si>
  <si>
    <t>62.71</t>
  </si>
  <si>
    <t>90.03</t>
  </si>
  <si>
    <t>75.92</t>
  </si>
  <si>
    <t>90.09</t>
  </si>
  <si>
    <t>84.57</t>
  </si>
  <si>
    <t>86.42</t>
  </si>
  <si>
    <t>23.78</t>
  </si>
  <si>
    <t>75.83</t>
  </si>
  <si>
    <t>89.60</t>
  </si>
  <si>
    <t>76.50</t>
  </si>
  <si>
    <t>91.05</t>
  </si>
  <si>
    <t>89.68</t>
  </si>
  <si>
    <t>80.71</t>
  </si>
  <si>
    <t xml:space="preserve">HU-3   </t>
  </si>
  <si>
    <t>PAKS-3</t>
  </si>
  <si>
    <t>40600</t>
  </si>
  <si>
    <t>3040.40</t>
  </si>
  <si>
    <t>3256.84</t>
  </si>
  <si>
    <t>3008.34</t>
  </si>
  <si>
    <t>3333.25</t>
  </si>
  <si>
    <t>3038.71</t>
  </si>
  <si>
    <t>3454.91</t>
  </si>
  <si>
    <t>3396.00</t>
  </si>
  <si>
    <t>3530.43</t>
  </si>
  <si>
    <t>3174.02</t>
  </si>
  <si>
    <t>3831.50</t>
  </si>
  <si>
    <t>79943.00</t>
  </si>
  <si>
    <t>80.31</t>
  </si>
  <si>
    <t>90.36</t>
  </si>
  <si>
    <t>80.47</t>
  </si>
  <si>
    <t>87.64</t>
  </si>
  <si>
    <t>80.10</t>
  </si>
  <si>
    <t>91.18</t>
  </si>
  <si>
    <t>87.53</t>
  </si>
  <si>
    <t>80.88</t>
  </si>
  <si>
    <t>86.57</t>
  </si>
  <si>
    <t>9.17</t>
  </si>
  <si>
    <t>11.27</t>
  </si>
  <si>
    <t>7.91</t>
  </si>
  <si>
    <t>16.50</t>
  </si>
  <si>
    <t>7.42</t>
  </si>
  <si>
    <t>8.65</t>
  </si>
  <si>
    <t>17.91</t>
  </si>
  <si>
    <t>7.49</t>
  </si>
  <si>
    <t>11.01</t>
  </si>
  <si>
    <t>80.72</t>
  </si>
  <si>
    <t>90.69</t>
  </si>
  <si>
    <t>86.96</t>
  </si>
  <si>
    <t>2.68</t>
  </si>
  <si>
    <t>0.38</t>
  </si>
  <si>
    <t>1.86</t>
  </si>
  <si>
    <t>3.96</t>
  </si>
  <si>
    <t>0.45</t>
  </si>
  <si>
    <t>0.12</t>
  </si>
  <si>
    <t>2.04</t>
  </si>
  <si>
    <t>90.18</t>
  </si>
  <si>
    <t>88.42</t>
  </si>
  <si>
    <t>88.02</t>
  </si>
  <si>
    <t>87.80</t>
  </si>
  <si>
    <t>90.64</t>
  </si>
  <si>
    <t>80.80</t>
  </si>
  <si>
    <t>87.67</t>
  </si>
  <si>
    <t>80.16</t>
  </si>
  <si>
    <t>85.86</t>
  </si>
  <si>
    <t>79.31</t>
  </si>
  <si>
    <t>80.11</t>
  </si>
  <si>
    <t>90.73</t>
  </si>
  <si>
    <t>92.47</t>
  </si>
  <si>
    <t>87.35</t>
  </si>
  <si>
    <t xml:space="preserve">HU-4   </t>
  </si>
  <si>
    <t>PAKS-4</t>
  </si>
  <si>
    <t>40300</t>
  </si>
  <si>
    <t>3471.72</t>
  </si>
  <si>
    <t>3182.88</t>
  </si>
  <si>
    <t>3607.64</t>
  </si>
  <si>
    <t>3396.64</t>
  </si>
  <si>
    <t>3548.78</t>
  </si>
  <si>
    <t>3185.19</t>
  </si>
  <si>
    <t>3810.43</t>
  </si>
  <si>
    <t>3671.44</t>
  </si>
  <si>
    <t>3643.09</t>
  </si>
  <si>
    <t>3348.24</t>
  </si>
  <si>
    <t>79378.00</t>
  </si>
  <si>
    <t>89.98</t>
  </si>
  <si>
    <t>83.14</t>
  </si>
  <si>
    <t>92.75</t>
  </si>
  <si>
    <t>81.91</t>
  </si>
  <si>
    <t>91.99</t>
  </si>
  <si>
    <t>88.04</t>
  </si>
  <si>
    <t>80.85</t>
  </si>
  <si>
    <t>87.38</t>
  </si>
  <si>
    <t>8.36</t>
  </si>
  <si>
    <t>15.86</t>
  </si>
  <si>
    <t>6.40</t>
  </si>
  <si>
    <t>12.43</t>
  </si>
  <si>
    <t>16.42</t>
  </si>
  <si>
    <t>7.97</t>
  </si>
  <si>
    <t>9.91</t>
  </si>
  <si>
    <t>10.06</t>
  </si>
  <si>
    <t>16.71</t>
  </si>
  <si>
    <t>11.03</t>
  </si>
  <si>
    <t>92.99</t>
  </si>
  <si>
    <t>87.52</t>
  </si>
  <si>
    <t>1.63</t>
  </si>
  <si>
    <t>0.94</t>
  </si>
  <si>
    <t>1.10</t>
  </si>
  <si>
    <t>0.55</t>
  </si>
  <si>
    <t>0.33</t>
  </si>
  <si>
    <t>2.92</t>
  </si>
  <si>
    <t>1.38</t>
  </si>
  <si>
    <t>90.37</t>
  </si>
  <si>
    <t>83.18</t>
  </si>
  <si>
    <t>89.69</t>
  </si>
  <si>
    <t>91.85</t>
  </si>
  <si>
    <t>92.21</t>
  </si>
  <si>
    <t>89.41</t>
  </si>
  <si>
    <t>88.07</t>
  </si>
  <si>
    <t>89.26</t>
  </si>
  <si>
    <t>81.83</t>
  </si>
  <si>
    <t>81.89</t>
  </si>
  <si>
    <t>91.96</t>
  </si>
  <si>
    <t>88.37</t>
  </si>
  <si>
    <t>87.92</t>
  </si>
  <si>
    <t>88.77</t>
  </si>
  <si>
    <t xml:space="preserve">RO-1   </t>
  </si>
  <si>
    <t>CERNAVODA-1</t>
  </si>
  <si>
    <t>ROMANIA</t>
  </si>
  <si>
    <t>SNN (SOCIETATEA NATIONALA NUCLEARELECTRICA S.A.)</t>
  </si>
  <si>
    <t>MECMA (Ministerul Economiei, Comertului si mediului de Afaceri(Ministry of Economy,Trade and Bussines Enviroment))</t>
  </si>
  <si>
    <t>AECL (ATOMIC ENERGY OF CANADA LTD.)</t>
  </si>
  <si>
    <t>G.E. (General Electric)</t>
  </si>
  <si>
    <t xml:space="preserve">PHWR </t>
  </si>
  <si>
    <t>CANDU 6</t>
  </si>
  <si>
    <t>7100</t>
  </si>
  <si>
    <t>6.123</t>
  </si>
  <si>
    <t>5.94</t>
  </si>
  <si>
    <t>4560</t>
  </si>
  <si>
    <t>65</t>
  </si>
  <si>
    <t>D2O</t>
  </si>
  <si>
    <t>9.99</t>
  </si>
  <si>
    <t>310</t>
  </si>
  <si>
    <t>27720</t>
  </si>
  <si>
    <t>4.551</t>
  </si>
  <si>
    <t>5049.86</t>
  </si>
  <si>
    <t>5106.22</t>
  </si>
  <si>
    <t>4541.42</t>
  </si>
  <si>
    <t>5142.31</t>
  </si>
  <si>
    <t>5112.96</t>
  </si>
  <si>
    <t>5177.96</t>
  </si>
  <si>
    <t>5518.35</t>
  </si>
  <si>
    <t>4805.48</t>
  </si>
  <si>
    <t>5661.65</t>
  </si>
  <si>
    <t>5167.23</t>
  </si>
  <si>
    <t>72225.77</t>
  </si>
  <si>
    <t>88.65</t>
  </si>
  <si>
    <t>78.68</t>
  </si>
  <si>
    <t>89.10</t>
  </si>
  <si>
    <t>89.28</t>
  </si>
  <si>
    <t>96.51</t>
  </si>
  <si>
    <t>83.76</t>
  </si>
  <si>
    <t>98.94</t>
  </si>
  <si>
    <t>90.15</t>
  </si>
  <si>
    <t>88.33</t>
  </si>
  <si>
    <t>10.91</t>
  </si>
  <si>
    <t>6.15</t>
  </si>
  <si>
    <t>12.35</t>
  </si>
  <si>
    <t>7.70</t>
  </si>
  <si>
    <t>6.63</t>
  </si>
  <si>
    <t>7.34</t>
  </si>
  <si>
    <t>2.55</t>
  </si>
  <si>
    <t>11.58</t>
  </si>
  <si>
    <t>0.11</t>
  </si>
  <si>
    <t>7.32</t>
  </si>
  <si>
    <t>7.27</t>
  </si>
  <si>
    <t>88.24</t>
  </si>
  <si>
    <t>86.69</t>
  </si>
  <si>
    <t>89.39</t>
  </si>
  <si>
    <t>90.76</t>
  </si>
  <si>
    <t>97.13</t>
  </si>
  <si>
    <t>84.58</t>
  </si>
  <si>
    <t>99.17</t>
  </si>
  <si>
    <t>89.32</t>
  </si>
  <si>
    <t>0.96</t>
  </si>
  <si>
    <t>5.09</t>
  </si>
  <si>
    <t>0.57</t>
  </si>
  <si>
    <t>1.15</t>
  </si>
  <si>
    <t>2.05</t>
  </si>
  <si>
    <t>0.73</t>
  </si>
  <si>
    <t>2.33</t>
  </si>
  <si>
    <t>3.23</t>
  </si>
  <si>
    <t>80.18</t>
  </si>
  <si>
    <t>89.93</t>
  </si>
  <si>
    <t>97.34</t>
  </si>
  <si>
    <t>84.37</t>
  </si>
  <si>
    <t>99.42</t>
  </si>
  <si>
    <t>91.12</t>
  </si>
  <si>
    <t>88.01</t>
  </si>
  <si>
    <t>88.99</t>
  </si>
  <si>
    <t>79.15</t>
  </si>
  <si>
    <t>89.38</t>
  </si>
  <si>
    <t>89.11</t>
  </si>
  <si>
    <t>90.24</t>
  </si>
  <si>
    <t>96.18</t>
  </si>
  <si>
    <t>84.16</t>
  </si>
  <si>
    <t>99.43</t>
  </si>
  <si>
    <t>88.67</t>
  </si>
  <si>
    <t xml:space="preserve">RO-2   </t>
  </si>
  <si>
    <t>CERNAVODA-2</t>
  </si>
  <si>
    <t>1560.20</t>
  </si>
  <si>
    <t>5528.11</t>
  </si>
  <si>
    <t>5158.25</t>
  </si>
  <si>
    <t>5537.52</t>
  </si>
  <si>
    <t>17784.07</t>
  </si>
  <si>
    <t>96.85</t>
  </si>
  <si>
    <t>96.92</t>
  </si>
  <si>
    <t>0.13</t>
  </si>
  <si>
    <t>6.79</t>
  </si>
  <si>
    <t>2.23</t>
  </si>
  <si>
    <t>98.63</t>
  </si>
  <si>
    <t>91.32</t>
  </si>
  <si>
    <t>97.33</t>
  </si>
  <si>
    <t>6.91</t>
  </si>
  <si>
    <t>1.24</t>
  </si>
  <si>
    <t>2.02</t>
  </si>
  <si>
    <t>2.53</t>
  </si>
  <si>
    <t>2.19</t>
  </si>
  <si>
    <t>94.19</t>
  </si>
  <si>
    <t>98.69</t>
  </si>
  <si>
    <t>91.83</t>
  </si>
  <si>
    <t>97.61</t>
  </si>
  <si>
    <t>95.95</t>
  </si>
  <si>
    <t>93.24</t>
  </si>
  <si>
    <t xml:space="preserve">SK-13  </t>
  </si>
  <si>
    <t>BOHUNICE-3</t>
  </si>
  <si>
    <t>SLOVAK REPUBLIC</t>
  </si>
  <si>
    <t>SE,plc (Slovenské elektrárne, a.s.)</t>
  </si>
  <si>
    <t>46000</t>
  </si>
  <si>
    <t>Process Heating</t>
  </si>
  <si>
    <t>12.0</t>
  </si>
  <si>
    <t>295</t>
  </si>
  <si>
    <t>42000</t>
  </si>
  <si>
    <t>4.512</t>
  </si>
  <si>
    <t>2686.99</t>
  </si>
  <si>
    <t>2690.74</t>
  </si>
  <si>
    <t>2484.97</t>
  </si>
  <si>
    <t>2564.55</t>
  </si>
  <si>
    <t>2587.73</t>
  </si>
  <si>
    <t>2582.58</t>
  </si>
  <si>
    <t>2432.56</t>
  </si>
  <si>
    <t>3038.40</t>
  </si>
  <si>
    <t>3309.67</t>
  </si>
  <si>
    <t>3385.92</t>
  </si>
  <si>
    <t>72795.97</t>
  </si>
  <si>
    <t>76.48</t>
  </si>
  <si>
    <t>83.86</t>
  </si>
  <si>
    <t>75.46</t>
  </si>
  <si>
    <t>79.03</t>
  </si>
  <si>
    <t>76.69</t>
  </si>
  <si>
    <t>78.36</t>
  </si>
  <si>
    <t>71.57</t>
  </si>
  <si>
    <t>85.82</t>
  </si>
  <si>
    <t>87.18</t>
  </si>
  <si>
    <t>84.80</t>
  </si>
  <si>
    <t>78.29</t>
  </si>
  <si>
    <t>12.50</t>
  </si>
  <si>
    <t>21.59</t>
  </si>
  <si>
    <t>17.72</t>
  </si>
  <si>
    <t>19.83</t>
  </si>
  <si>
    <t>19.03</t>
  </si>
  <si>
    <t>20.45</t>
  </si>
  <si>
    <t>12.82</t>
  </si>
  <si>
    <t>10.56</t>
  </si>
  <si>
    <t>11.80</t>
  </si>
  <si>
    <t>17.18</t>
  </si>
  <si>
    <t>86.60</t>
  </si>
  <si>
    <t>78.28</t>
  </si>
  <si>
    <t>81.97</t>
  </si>
  <si>
    <t>79.44</t>
  </si>
  <si>
    <t>80.73</t>
  </si>
  <si>
    <t>73.84</t>
  </si>
  <si>
    <t>89.33</t>
  </si>
  <si>
    <t>87.97</t>
  </si>
  <si>
    <t>0.22</t>
  </si>
  <si>
    <t>0.91</t>
  </si>
  <si>
    <t>7.18</t>
  </si>
  <si>
    <t>0.56</t>
  </si>
  <si>
    <t>1.65</t>
  </si>
  <si>
    <t>88.03</t>
  </si>
  <si>
    <t>78.86</t>
  </si>
  <si>
    <t>81.12</t>
  </si>
  <si>
    <t>76.34</t>
  </si>
  <si>
    <t>87.43</t>
  </si>
  <si>
    <t>93.33</t>
  </si>
  <si>
    <t>75.28</t>
  </si>
  <si>
    <t>69.53</t>
  </si>
  <si>
    <t>71.56</t>
  </si>
  <si>
    <t>72.40</t>
  </si>
  <si>
    <t>72.26</t>
  </si>
  <si>
    <t>68.06</t>
  </si>
  <si>
    <t>87.40</t>
  </si>
  <si>
    <t>85.98</t>
  </si>
  <si>
    <t>76.57</t>
  </si>
  <si>
    <t xml:space="preserve">SK-14  </t>
  </si>
  <si>
    <t>BOHUNICE-4</t>
  </si>
  <si>
    <t>2793.27</t>
  </si>
  <si>
    <t>2823.23</t>
  </si>
  <si>
    <t>2814.89</t>
  </si>
  <si>
    <t>2390.94</t>
  </si>
  <si>
    <t>2840.98</t>
  </si>
  <si>
    <t>2489.28</t>
  </si>
  <si>
    <t>2648.45</t>
  </si>
  <si>
    <t>2739.03</t>
  </si>
  <si>
    <t>3239.57</t>
  </si>
  <si>
    <t>3513.14</t>
  </si>
  <si>
    <t>71560.12</t>
  </si>
  <si>
    <t>79.25</t>
  </si>
  <si>
    <t>84.99</t>
  </si>
  <si>
    <t>84.35</t>
  </si>
  <si>
    <t>74.44</t>
  </si>
  <si>
    <t>84.31</t>
  </si>
  <si>
    <t>77.03</t>
  </si>
  <si>
    <t>77.97</t>
  </si>
  <si>
    <t>78.82</t>
  </si>
  <si>
    <t>86.87</t>
  </si>
  <si>
    <t>87.73</t>
  </si>
  <si>
    <t>12.14</t>
  </si>
  <si>
    <t>11.81</t>
  </si>
  <si>
    <t>11.87</t>
  </si>
  <si>
    <t>22.86</t>
  </si>
  <si>
    <t>START</t>
  </si>
  <si>
    <t>END</t>
  </si>
  <si>
    <t>CAP_BND~UP</t>
  </si>
  <si>
    <t>Total new GW</t>
  </si>
  <si>
    <t>Total existing GW</t>
  </si>
  <si>
    <t>Existing in 2005</t>
  </si>
  <si>
    <t>Total Net Power  possible</t>
  </si>
  <si>
    <t>Italy</t>
  </si>
  <si>
    <t>AT</t>
  </si>
  <si>
    <t>PT</t>
  </si>
  <si>
    <t>GR</t>
  </si>
  <si>
    <t>No nuclear for:</t>
  </si>
  <si>
    <t>Poland</t>
  </si>
  <si>
    <t>MT</t>
  </si>
  <si>
    <t>CY</t>
  </si>
  <si>
    <t>Possible New</t>
  </si>
  <si>
    <t>LU</t>
  </si>
  <si>
    <t>IE</t>
  </si>
  <si>
    <t>DK</t>
  </si>
  <si>
    <t>Country</t>
  </si>
  <si>
    <t>IS</t>
  </si>
  <si>
    <t>This is modelled in Scen_ZIETAssumptions making all nuclear for these countries start in 2100 for all plants without any past investment, i.e. non-existing in base year</t>
  </si>
  <si>
    <t>Nothing defined for:</t>
  </si>
  <si>
    <t>Sofia Simoes 8 March 2013</t>
  </si>
  <si>
    <t>EE</t>
  </si>
  <si>
    <t>LV</t>
  </si>
  <si>
    <t>Reactor data: WNA to 1/7/13 (excluding 8 shut-down German units and 2 shut-down US units)</t>
  </si>
  <si>
    <t>IAEA- for nuclear electricity production &amp; percentage of electricity (% e) 13/4/12.</t>
  </si>
  <si>
    <t>WNA: Global Nuclear Fuel Market report Sept 2011 (reference scenario) - for U.</t>
  </si>
  <si>
    <t>Operable = Connected to the grid;</t>
  </si>
  <si>
    <t>Under Construction = first concrete for reactor poured, or major refurbishment under way;</t>
  </si>
  <si>
    <t>Proposed = Specific program or site proposals, expected operation mostly within 15 years.</t>
  </si>
  <si>
    <t>New plants coming on line are largely balanced by old plants being retired. Over 1996-2009, 43 reactors were retired as 49 started operation. There are no firm projections for retirements over the period covered by this Table, but WNA estimates that at least 60 of those now operating will close by 2030, most being small plants. The 2011 WNA Market Report reference case has 156 reactors closing by 2030, and 298 new ones coming on line.</t>
  </si>
  <si>
    <t>TWh = Terawatt-hours (billion kilowatt-hours), MWe = Megawatt (electrical as distinct from thermal), kWh = kilowatt-hour.</t>
  </si>
  <si>
    <t>66,512 tU = 78,438 t U3O8</t>
  </si>
  <si>
    <t>** The world total includes 6 reactors operating on Taiwan with a combined capacity of 4927 MWe, which generated a total of 38.7 billion kWh in 2012 (accounting for 18.4% of Taiwan's total electricity generation). Taiwan has two reactors under construction with a combined capacity of 2700 MWe. It is expected to require 1283 tU in 2013.</t>
  </si>
  <si>
    <t>Note: This table is routinely updated approximately every two months, and more frequently as required.</t>
  </si>
  <si>
    <t>Earlier tables: June 2013 May 2013 April 2013 January 2013 December 2012 November 2012 October 2012 September 2012 August 2012 July 2012 June 2012 May 2012 April 2012 March 2012 February 2012 January 2012 December 2011 November 2011 September 2011 August 2011;July 2011 June 2011 April 2011 March 2011 February 2011 January 2011 December 2010 November 2010 October 2010 August 2010 July 2010 June 2010 May 2010 April 2010 February 2010 January 2010 December 2009 October 2009 September 2009 August 2009;July 2009 May 2009 April 2009 February 2009 December 2008 October 2008 September 2008 August 2008;July 2008 March 2008 January 2008 December 2007 November 2007 September 2007 August 2007;July 2007 May 2007 March 2007</t>
  </si>
  <si>
    <t>COUNTRY</t>
  </si>
  <si>
    <t>Country Profile)</t>
  </si>
  <si>
    <t>billion kWh</t>
  </si>
  <si>
    <t>NUCLEAR ELECTRICITY GENERATION 2012</t>
  </si>
  <si>
    <t>REACTORS OPERABLE</t>
  </si>
  <si>
    <t>REACTORS UNDER CONSTRUCTION</t>
  </si>
  <si>
    <t>REACTORS PLANNED</t>
  </si>
  <si>
    <t>REACTORS PROPOSED</t>
  </si>
  <si>
    <t>URANIUM REQUIRED 2013</t>
  </si>
  <si>
    <t>% e</t>
  </si>
  <si>
    <t>No.</t>
  </si>
  <si>
    <t>MWe net</t>
  </si>
  <si>
    <t>MWe gross</t>
  </si>
  <si>
    <t>tonnes U</t>
  </si>
  <si>
    <t>Argentina</t>
  </si>
  <si>
    <t>Armenia</t>
  </si>
  <si>
    <t>Bangladesh</t>
  </si>
  <si>
    <t>Belarus</t>
  </si>
  <si>
    <t>Brazil</t>
  </si>
  <si>
    <t>Canada</t>
  </si>
  <si>
    <t>Chile</t>
  </si>
  <si>
    <t>China</t>
  </si>
  <si>
    <t>Egypt</t>
  </si>
  <si>
    <t>India</t>
  </si>
  <si>
    <t>Indonesia</t>
  </si>
  <si>
    <t>Iran</t>
  </si>
  <si>
    <t>Israel</t>
  </si>
  <si>
    <t>Japan</t>
  </si>
  <si>
    <t>Jordan</t>
  </si>
  <si>
    <t>Kazakhstan</t>
  </si>
  <si>
    <t>Korea DPR (North)</t>
  </si>
  <si>
    <t>Korea RO (South)</t>
  </si>
  <si>
    <t>Lithuania</t>
  </si>
  <si>
    <t>Malaysia</t>
  </si>
  <si>
    <t>Mexico</t>
  </si>
  <si>
    <t>Pakistan</t>
  </si>
  <si>
    <t>Russia</t>
  </si>
  <si>
    <t>Saudi Arabia</t>
  </si>
  <si>
    <t>South Africa</t>
  </si>
  <si>
    <t>Thailand</t>
  </si>
  <si>
    <t>Turkey</t>
  </si>
  <si>
    <t>Ukraine</t>
  </si>
  <si>
    <t>UAE</t>
  </si>
  <si>
    <t>USA</t>
  </si>
  <si>
    <t>Vietnam</t>
  </si>
  <si>
    <t>WORLD**</t>
  </si>
  <si>
    <t>c 11</t>
  </si>
  <si>
    <t>NUCLEAR ELECTRICITY GENERATION</t>
  </si>
  <si>
    <t>ON ORDER or PLANNED</t>
  </si>
  <si>
    <t>PROPOSED</t>
  </si>
  <si>
    <t>URANIUM REQUIRED</t>
  </si>
  <si>
    <t>AFA~2005</t>
  </si>
  <si>
    <t>UCF [%] 2002-2012</t>
  </si>
  <si>
    <t>Deployed GW/yr</t>
  </si>
  <si>
    <t>Years deployment</t>
  </si>
  <si>
    <t>Time for deployment of existing capacity</t>
  </si>
  <si>
    <t>No. years</t>
  </si>
  <si>
    <t>Rate of deployment of existing capacity</t>
  </si>
  <si>
    <t>GW/yr</t>
  </si>
  <si>
    <t>Total</t>
  </si>
  <si>
    <t>EU total annual average</t>
  </si>
  <si>
    <t>EU weighted average for one country</t>
  </si>
  <si>
    <t>ENFI_LOVIISA-1_00</t>
  </si>
  <si>
    <t>ENFI_LOVIISA-2_00</t>
  </si>
  <si>
    <t>ENFI_OLKILUOTO-1_00</t>
  </si>
  <si>
    <t>ENFI_OLKILUOTO-2_00</t>
  </si>
  <si>
    <t>ENFR_BELLEVILLE-1_00</t>
  </si>
  <si>
    <t>ENFR_BELLEVILLE-2_00</t>
  </si>
  <si>
    <t>ENFR_BLAYAIS-1_00</t>
  </si>
  <si>
    <t>ENFR_BLAYAIS-2_00</t>
  </si>
  <si>
    <t>ENFR_BLAYAIS-3_00</t>
  </si>
  <si>
    <t>ENFR_BLAYAIS-4_00</t>
  </si>
  <si>
    <t>ENFR_CATTENOM-1_00</t>
  </si>
  <si>
    <t>ENFR_BUGEY-2_00_00</t>
  </si>
  <si>
    <t>ENFR_BUGEY-3_00_00</t>
  </si>
  <si>
    <t>ENFR_BUGEY-4_00_00</t>
  </si>
  <si>
    <t>ENFR_BUGEY-5_00_00</t>
  </si>
  <si>
    <t>ENFR_CATTENOM-2_00</t>
  </si>
  <si>
    <t>ENFR_CATTENOM-3_00</t>
  </si>
  <si>
    <t>ENFR_CATTENOM-4_00</t>
  </si>
  <si>
    <t>ENFR_CHINON-B-1_00</t>
  </si>
  <si>
    <t>ENFR_CHINON-B-2_00</t>
  </si>
  <si>
    <t>ENFR_CHINON-B-3_00</t>
  </si>
  <si>
    <t>ENFR_CHINON-B-4_00</t>
  </si>
  <si>
    <t>ENFR_CHOOZ-B-1_00</t>
  </si>
  <si>
    <t>ENFR_CHOOZ-B-2_00</t>
  </si>
  <si>
    <t>ENFR_CIVAUX-1_00</t>
  </si>
  <si>
    <t>ENFR_CIVAUX-2_00</t>
  </si>
  <si>
    <t>ENFR_CRUAS-1_00</t>
  </si>
  <si>
    <t>ENFR_CRUAS-2_00</t>
  </si>
  <si>
    <t>ENFR_CRUAS-3_00</t>
  </si>
  <si>
    <t>ENFR_CRUAS-4_00</t>
  </si>
  <si>
    <t>ENFR_DAMPIERRE-1_00</t>
  </si>
  <si>
    <t>ENFR_DAMPIERRE-2_00</t>
  </si>
  <si>
    <t>ENFR_DAMPIERRE-3_00</t>
  </si>
  <si>
    <t>ENFR_DAMPIERRE-4_00</t>
  </si>
  <si>
    <t>ENFR_FESSENHEIM-1_00</t>
  </si>
  <si>
    <t>ENFR_FESSENHEIM-2_00</t>
  </si>
  <si>
    <t>ENFR_FLAMANVILLE-1_00</t>
  </si>
  <si>
    <t>ENFR_FLAMANVILLE-2_00</t>
  </si>
  <si>
    <t>ENFR_GOLFECH-1_00</t>
  </si>
  <si>
    <t>ENFR_GOLFECH-2_00</t>
  </si>
  <si>
    <t>ENFR_GRAVELINES-1_00</t>
  </si>
  <si>
    <t>ENFR_GRAVELINES-2_00</t>
  </si>
  <si>
    <t>ENFR_GRAVELINES-3_00</t>
  </si>
  <si>
    <t>ENFR_GRAVELINES-4_00</t>
  </si>
  <si>
    <t>ENFR_GRAVELINES-5_00</t>
  </si>
  <si>
    <t>ENFR_GRAVELINES-6_00</t>
  </si>
  <si>
    <t>ENFR_NOGENT-1_00</t>
  </si>
  <si>
    <t>ENFR_NOGENT-2_00</t>
  </si>
  <si>
    <t>ENFR_PALUEL-1_00</t>
  </si>
  <si>
    <t>ENFR_PALUEL-2_00</t>
  </si>
  <si>
    <t>ENFR_PALUEL-3_00</t>
  </si>
  <si>
    <t>ENFR_PALUEL-4_00</t>
  </si>
  <si>
    <t>ENFR_PENLY-1_00</t>
  </si>
  <si>
    <t>ENFR_PENLY-2_00</t>
  </si>
  <si>
    <t>ENFR_STALBAN-1_00</t>
  </si>
  <si>
    <t>ENFR_STALBAN-2_00</t>
  </si>
  <si>
    <t>ENFR_STLAURENT-B-1_00</t>
  </si>
  <si>
    <t>ENFR_STLAURENT-B-2_00</t>
  </si>
  <si>
    <t>ENFR_TRICASTIN-1_00</t>
  </si>
  <si>
    <t>ENFR_TRICASTIN-2_00</t>
  </si>
  <si>
    <t>ENFR_TRICASTIN-3_00</t>
  </si>
  <si>
    <t>ENFR_TRICASTIN-4_00</t>
  </si>
  <si>
    <t>ENBG_KOZLODUY-5_00</t>
  </si>
  <si>
    <t>ENBG_KOZLODUY-6_00</t>
  </si>
  <si>
    <t>ENCZ_DUKOVANY-1_00</t>
  </si>
  <si>
    <t>ENCZ_DUKOVANY-2_00</t>
  </si>
  <si>
    <t>ENCZ_DUKOVANY-3_00</t>
  </si>
  <si>
    <t>ENCZ_DUKOVANY-4_00</t>
  </si>
  <si>
    <t>ENCZ_TEMELIN-1_00</t>
  </si>
  <si>
    <t>ENCZ_TEMELIN-2_00</t>
  </si>
  <si>
    <t>ENHU_PAKS-1_00</t>
  </si>
  <si>
    <t>ENHU_PAKS-2_00</t>
  </si>
  <si>
    <t>ENHU_PAKS-3_00</t>
  </si>
  <si>
    <t>ENHU_PAKS-4_00</t>
  </si>
  <si>
    <t>ENRO_CERNAVODA-1_00</t>
  </si>
  <si>
    <t>ENSK_BOHUNICE-3_00</t>
  </si>
  <si>
    <t>ENSK_BOHUNICE-4_00</t>
  </si>
  <si>
    <t>ENSK_MOCHOVCE-1_00</t>
  </si>
  <si>
    <t>ENSK_MOCHOVCE-2_00</t>
  </si>
  <si>
    <t>ENSI_KRSKO_00</t>
  </si>
  <si>
    <t>ENBE_DOEL-1_00</t>
  </si>
  <si>
    <t>ENBE_DOEL-2_00</t>
  </si>
  <si>
    <t>ENBE_DOEL-3_00</t>
  </si>
  <si>
    <t>ENBE_DOEL-4_00</t>
  </si>
  <si>
    <t>ENBE_TIHANGE-1_00</t>
  </si>
  <si>
    <t>ENBE_TIHANGE-2_00</t>
  </si>
  <si>
    <t>ENBE_TIHANGE-3_00</t>
  </si>
  <si>
    <t>ENDE_BROKDORF_KBR_00</t>
  </si>
  <si>
    <t>ENDE_EMSLAND_KKE_00</t>
  </si>
  <si>
    <t>ENDE_GRAFENRHEINFELD_KKG_00</t>
  </si>
  <si>
    <t>ENDE_GROHNDE_KWG_00</t>
  </si>
  <si>
    <t>ENDE_ISAR-2_KKI2_00</t>
  </si>
  <si>
    <t>ENDE_PHILIPPSBURG-2_KKP2_00</t>
  </si>
  <si>
    <t>ENES_ALMARAZ-1_00</t>
  </si>
  <si>
    <t>ENES_ALMARAZ-2_00</t>
  </si>
  <si>
    <t>ENES_ASCO-1_00</t>
  </si>
  <si>
    <t>ENES_ASCO-2_00</t>
  </si>
  <si>
    <t>ENES_COFRENTES_00</t>
  </si>
  <si>
    <t>ENES_SANTAMARIADEGARONA_00</t>
  </si>
  <si>
    <t>ENES_TRILLO-1_00</t>
  </si>
  <si>
    <t>ENES_VANDELLOS-2_00</t>
  </si>
  <si>
    <t>ENSE_FORSMARK-1_00</t>
  </si>
  <si>
    <t>ENSE_FORSMARK-2_00</t>
  </si>
  <si>
    <t>ENSE_FORSMARK-3_00</t>
  </si>
  <si>
    <t>ENSE_OSKARSHAMN-1_00</t>
  </si>
  <si>
    <t>ENSE_OSKARSHAMN-2_00</t>
  </si>
  <si>
    <t>ENSE_OSKARSHAMN-3_00</t>
  </si>
  <si>
    <t>ENSE_RINGHALS-1_00</t>
  </si>
  <si>
    <t>ENSE_RINGHALS-2_00</t>
  </si>
  <si>
    <t>ENSE_RINGHALS-3_00</t>
  </si>
  <si>
    <t>ENSE_RINGHALS-4_00</t>
  </si>
  <si>
    <t>ENCH_BEZNAU-1_00</t>
  </si>
  <si>
    <t>ENCH_BEZNAU-2_00</t>
  </si>
  <si>
    <t>ENCH_GOESGEN_00</t>
  </si>
  <si>
    <t>ENCH_LEIBSTADT_00</t>
  </si>
  <si>
    <t>ENCH_MUEHLEBERG_00</t>
  </si>
  <si>
    <t>ENUK_DUNGENESS-B1_00</t>
  </si>
  <si>
    <t>ENUK_DUNGENESS-B2_00</t>
  </si>
  <si>
    <t>ENUK_HARTLEPOOL-A1_00</t>
  </si>
  <si>
    <t>ENUK_HARTLEPOOL-A2_00</t>
  </si>
  <si>
    <t>ENUK_HEYSHAM-A1_00</t>
  </si>
  <si>
    <t>ENUK_HEYSHAM-A2_00</t>
  </si>
  <si>
    <t>ENUK_HEYSHAM-B1_00</t>
  </si>
  <si>
    <t>ENUK_HEYSHAM-B2_00</t>
  </si>
  <si>
    <t>ENUK_HINKLEYPOINT-B1_00</t>
  </si>
  <si>
    <t>ENUK_HINKLEYPOINT-B2_00</t>
  </si>
  <si>
    <t>ENUK_HUNTERSTON-B1_00</t>
  </si>
  <si>
    <t>ENUK_HUNTERSTON-B2_00</t>
  </si>
  <si>
    <t>ENUK_OLDBURY-A1_00</t>
  </si>
  <si>
    <t>ENUK_TORNESS1_00</t>
  </si>
  <si>
    <t>ENUK_SIZEWELL-Bv_00</t>
  </si>
  <si>
    <t>ENUK_TORNESS2_00</t>
  </si>
  <si>
    <t>ENUK_WYLFA1_00</t>
  </si>
  <si>
    <t>ENUK_WYLFA2_00</t>
  </si>
  <si>
    <t>last update: 15 july 2013</t>
  </si>
  <si>
    <t>ENBG_KOZLODUY-3_00</t>
  </si>
  <si>
    <t>ENBG_KOZLODUY-4_00</t>
  </si>
  <si>
    <t>ENSK_BOHUNICE-1_00</t>
  </si>
  <si>
    <t>ENSK_BOHUNICE-2_00</t>
  </si>
  <si>
    <t>ENFR_PHENIX_00</t>
  </si>
  <si>
    <t>ENDE_BIBLIS-A_00</t>
  </si>
  <si>
    <t>ENDE_BIBLIS-B_00</t>
  </si>
  <si>
    <t>ENDE_NECKARWESTHEIM-1_00</t>
  </si>
  <si>
    <t>ENDE_BRUNSBUETTEL_00</t>
  </si>
  <si>
    <t>ENDE_ISAR-1_00</t>
  </si>
  <si>
    <t>ENDE_UNTERWESER_00</t>
  </si>
  <si>
    <t>ENDE_PHILIPPSBURG-1_00</t>
  </si>
  <si>
    <t>ENDE_KRUEMMEL_00</t>
  </si>
  <si>
    <t>ENNL_BORSSELE_00</t>
  </si>
  <si>
    <t>ORIGINAL STARTYEARS</t>
  </si>
  <si>
    <t>ENDE_GUNDREM-B_GUN-B_00</t>
  </si>
  <si>
    <t>ENDE_GUNDREM-C_GUN-C_00</t>
  </si>
  <si>
    <t>ENDE_NECKARWEST-2_GKN2_00</t>
  </si>
  <si>
    <t>Moved from FX to UP because looking for finance</t>
  </si>
  <si>
    <t>DAYNITE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</si>
</sst>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86" formatCode="[$-1010409]General"/>
    <numFmt numFmtId="187" formatCode="[$-1010409]yyyy\-mm\-dd"/>
    <numFmt numFmtId="188" formatCode="0.000"/>
    <numFmt numFmtId="189" formatCode="0.0"/>
    <numFmt numFmtId="190" formatCode="dd/mm/yyyy;@"/>
    <numFmt numFmtId="202" formatCode="#,##0.000"/>
    <numFmt numFmtId="203" formatCode="\Te\x\t"/>
  </numFmts>
  <fonts count="64">
    <font>
      <sz val="10"/>
      <name val="Arial"/>
      <charset val="1"/>
    </font>
    <font>
      <sz val="11"/>
      <color indexed="8"/>
      <name val="Calibri"/>
      <family val="2"/>
    </font>
    <font>
      <sz val="10"/>
      <color indexed="8"/>
      <name val="Arial"/>
      <family val="2"/>
    </font>
    <font>
      <b/>
      <sz val="10"/>
      <color indexed="8"/>
      <name val="Arial"/>
      <family val="2"/>
    </font>
    <font>
      <b/>
      <sz val="9"/>
      <color indexed="8"/>
      <name val="Arial"/>
      <family val="2"/>
    </font>
    <font>
      <sz val="6.95"/>
      <color indexed="8"/>
      <name val="Arial"/>
      <family val="2"/>
    </font>
    <font>
      <b/>
      <sz val="6.95"/>
      <color indexed="8"/>
      <name val="Arial"/>
      <family val="2"/>
    </font>
    <font>
      <b/>
      <u/>
      <sz val="6.95"/>
      <color indexed="8"/>
      <name val="Arial"/>
      <family val="2"/>
    </font>
    <font>
      <b/>
      <sz val="8"/>
      <color indexed="8"/>
      <name val="Arial"/>
      <family val="2"/>
    </font>
    <font>
      <sz val="6"/>
      <color indexed="55"/>
      <name val="Arial"/>
      <family val="2"/>
    </font>
    <font>
      <sz val="10"/>
      <color indexed="8"/>
      <name val="Tahoma"/>
      <family val="2"/>
    </font>
    <font>
      <sz val="6.95"/>
      <color indexed="8"/>
      <name val="Tahoma"/>
      <family val="2"/>
    </font>
    <font>
      <sz val="8"/>
      <color indexed="55"/>
      <name val="Arial"/>
      <family val="2"/>
    </font>
    <font>
      <sz val="8"/>
      <name val="Arial"/>
      <family val="2"/>
    </font>
    <font>
      <u/>
      <sz val="10"/>
      <color indexed="12"/>
      <name val="Arial"/>
      <family val="2"/>
    </font>
    <font>
      <b/>
      <sz val="24"/>
      <name val="Arial"/>
      <family val="2"/>
    </font>
    <font>
      <i/>
      <sz val="10"/>
      <name val="Arial"/>
      <family val="2"/>
    </font>
    <font>
      <b/>
      <sz val="10"/>
      <name val="Arial"/>
      <family val="2"/>
    </font>
    <font>
      <sz val="8"/>
      <color indexed="81"/>
      <name val="Tahoma"/>
      <family val="2"/>
    </font>
    <font>
      <b/>
      <sz val="8"/>
      <color indexed="81"/>
      <name val="Tahoma"/>
      <family val="2"/>
    </font>
    <font>
      <sz val="10"/>
      <name val="Arial"/>
      <family val="2"/>
    </font>
    <font>
      <b/>
      <sz val="10"/>
      <color indexed="9"/>
      <name val="Arial"/>
      <family val="2"/>
    </font>
    <font>
      <b/>
      <sz val="10"/>
      <color indexed="10"/>
      <name val="Arial"/>
      <family val="2"/>
    </font>
    <font>
      <b/>
      <sz val="10"/>
      <color indexed="12"/>
      <name val="Arial"/>
      <family val="2"/>
    </font>
    <font>
      <b/>
      <sz val="10"/>
      <color indexed="17"/>
      <name val="Arial"/>
      <family val="2"/>
    </font>
    <font>
      <sz val="10"/>
      <name val="Arial"/>
      <family val="2"/>
    </font>
    <font>
      <sz val="8"/>
      <color indexed="10"/>
      <name val="Tahoma"/>
      <family val="2"/>
    </font>
    <font>
      <sz val="9"/>
      <color indexed="81"/>
      <name val="Arial"/>
      <family val="2"/>
    </font>
    <font>
      <b/>
      <sz val="9"/>
      <color indexed="81"/>
      <name val="Arial"/>
      <family val="2"/>
    </font>
    <font>
      <sz val="10"/>
      <color indexed="10"/>
      <name val="Arial"/>
      <family val="2"/>
    </font>
    <font>
      <sz val="8"/>
      <color indexed="81"/>
      <name val="Tahoma"/>
      <family val="2"/>
    </font>
    <font>
      <b/>
      <sz val="8"/>
      <color indexed="81"/>
      <name val="Tahoma"/>
      <family val="2"/>
    </font>
    <font>
      <b/>
      <sz val="10"/>
      <color indexed="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9"/>
      <color indexed="81"/>
      <name val="Tahoma"/>
      <family val="2"/>
    </font>
    <font>
      <b/>
      <sz val="9"/>
      <color indexed="81"/>
      <name val="Tahoma"/>
      <family val="2"/>
    </font>
    <font>
      <b/>
      <sz val="8"/>
      <color indexed="81"/>
      <name val="Tahoma"/>
      <family val="2"/>
    </font>
    <font>
      <sz val="8"/>
      <color indexed="81"/>
      <name val="Tahoma"/>
      <family val="2"/>
    </font>
    <font>
      <b/>
      <strike/>
      <sz val="10"/>
      <color indexed="17"/>
      <name val="Arial"/>
      <family val="2"/>
    </font>
    <font>
      <strike/>
      <sz val="10"/>
      <name val="Arial"/>
      <family val="2"/>
    </font>
    <font>
      <strike/>
      <sz val="10"/>
      <color indexed="8"/>
      <name val="Arial"/>
      <family val="2"/>
    </font>
    <font>
      <sz val="11"/>
      <color theme="1"/>
      <name val="Calibri"/>
      <family val="2"/>
      <scheme val="minor"/>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0"/>
      <name val="Calibri"/>
      <family val="2"/>
      <scheme val="minor"/>
    </font>
    <font>
      <sz val="10"/>
      <name val="Calibri"/>
      <family val="2"/>
      <scheme val="minor"/>
    </font>
    <font>
      <u/>
      <sz val="10"/>
      <color indexed="12"/>
      <name val="Calibri"/>
      <family val="2"/>
      <scheme val="minor"/>
    </font>
    <font>
      <b/>
      <sz val="10"/>
      <color rgb="FFFFFFFF"/>
      <name val="Calibri"/>
      <family val="2"/>
      <scheme val="minor"/>
    </font>
  </fonts>
  <fills count="4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patternFill>
    </fill>
    <fill>
      <patternFill patternType="solid">
        <fgColor indexed="10"/>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51"/>
        <bgColor indexed="64"/>
      </patternFill>
    </fill>
    <fill>
      <patternFill patternType="solid">
        <fgColor indexed="53"/>
        <bgColor indexed="64"/>
      </patternFill>
    </fill>
    <fill>
      <patternFill patternType="solid">
        <fgColor indexed="47"/>
        <bgColor indexed="64"/>
      </patternFill>
    </fill>
    <fill>
      <patternFill patternType="solid">
        <fgColor indexed="36"/>
        <bgColor indexed="64"/>
      </patternFill>
    </fill>
    <fill>
      <patternFill patternType="solid">
        <fgColor indexed="62"/>
        <bgColor indexed="64"/>
      </patternFill>
    </fill>
    <fill>
      <patternFill patternType="solid">
        <fgColor indexed="19"/>
        <bgColor indexed="64"/>
      </patternFill>
    </fill>
    <fill>
      <patternFill patternType="solid">
        <fgColor indexed="60"/>
        <bgColor indexed="64"/>
      </patternFill>
    </fill>
    <fill>
      <patternFill patternType="solid">
        <fgColor indexed="45"/>
        <bgColor indexed="64"/>
      </patternFill>
    </fill>
    <fill>
      <patternFill patternType="solid">
        <fgColor indexed="41"/>
        <bgColor indexed="64"/>
      </patternFill>
    </fill>
    <fill>
      <patternFill patternType="solid">
        <fgColor rgb="FFC6EFCE"/>
      </patternFill>
    </fill>
    <fill>
      <patternFill patternType="solid">
        <fgColor rgb="FFFFCC99"/>
      </patternFill>
    </fill>
    <fill>
      <patternFill patternType="solid">
        <fgColor theme="3" tint="0.79998168889431442"/>
        <bgColor indexed="64"/>
      </patternFill>
    </fill>
    <fill>
      <patternFill patternType="solid">
        <fgColor theme="6" tint="0.59999389629810485"/>
        <bgColor indexed="64"/>
      </patternFill>
    </fill>
    <fill>
      <patternFill patternType="solid">
        <fgColor rgb="FFCCFFFF"/>
        <bgColor indexed="64"/>
      </patternFill>
    </fill>
  </fills>
  <borders count="4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diagonal/>
    </border>
    <border>
      <left/>
      <right style="medium">
        <color indexed="8"/>
      </right>
      <top/>
      <bottom/>
      <diagonal/>
    </border>
    <border>
      <left style="medium">
        <color indexed="9"/>
      </left>
      <right style="medium">
        <color indexed="9"/>
      </right>
      <top style="medium">
        <color indexed="52"/>
      </top>
      <bottom style="medium">
        <color indexed="9"/>
      </bottom>
      <diagonal/>
    </border>
    <border>
      <left style="medium">
        <color indexed="9"/>
      </left>
      <right style="medium">
        <color indexed="9"/>
      </right>
      <top style="medium">
        <color indexed="9"/>
      </top>
      <bottom style="medium">
        <color indexed="9"/>
      </bottom>
      <diagonal/>
    </border>
    <border>
      <left style="medium">
        <color indexed="22"/>
      </left>
      <right style="medium">
        <color indexed="22"/>
      </right>
      <top style="medium">
        <color indexed="22"/>
      </top>
      <bottom style="medium">
        <color indexed="22"/>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medium">
        <color indexed="22"/>
      </left>
      <right style="medium">
        <color indexed="22"/>
      </right>
      <top style="medium">
        <color indexed="52"/>
      </top>
      <bottom style="medium">
        <color indexed="2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right/>
      <top/>
      <bottom style="medium">
        <color indexed="52"/>
      </bottom>
      <diagonal/>
    </border>
    <border>
      <left/>
      <right style="medium">
        <color indexed="22"/>
      </right>
      <top/>
      <bottom/>
      <diagonal/>
    </border>
    <border>
      <left style="medium">
        <color indexed="22"/>
      </left>
      <right/>
      <top/>
      <bottom/>
      <diagonal/>
    </border>
    <border>
      <left/>
      <right style="medium">
        <color indexed="22"/>
      </right>
      <top/>
      <bottom style="medium">
        <color indexed="22"/>
      </bottom>
      <diagonal/>
    </border>
    <border>
      <left/>
      <right/>
      <top/>
      <bottom style="medium">
        <color indexed="22"/>
      </bottom>
      <diagonal/>
    </border>
    <border>
      <left style="medium">
        <color indexed="22"/>
      </left>
      <right style="medium">
        <color indexed="22"/>
      </right>
      <top style="medium">
        <color indexed="22"/>
      </top>
      <bottom style="thin">
        <color indexed="64"/>
      </bottom>
      <diagonal/>
    </border>
    <border>
      <left style="medium">
        <color indexed="22"/>
      </left>
      <right style="medium">
        <color indexed="22"/>
      </right>
      <top style="medium">
        <color indexed="22"/>
      </top>
      <bottom style="medium">
        <color indexed="52"/>
      </bottom>
      <diagonal/>
    </border>
    <border>
      <left style="medium">
        <color indexed="22"/>
      </left>
      <right/>
      <top/>
      <bottom style="medium">
        <color indexed="22"/>
      </bottom>
      <diagonal/>
    </border>
    <border>
      <left style="medium">
        <color indexed="8"/>
      </left>
      <right style="medium">
        <color indexed="8"/>
      </right>
      <top style="medium">
        <color indexed="8"/>
      </top>
      <bottom style="medium">
        <color indexed="8"/>
      </bottom>
      <diagonal/>
    </border>
    <border>
      <left style="medium">
        <color indexed="22"/>
      </left>
      <right style="medium">
        <color indexed="22"/>
      </right>
      <top/>
      <bottom style="medium">
        <color indexed="22"/>
      </bottom>
      <diagonal/>
    </border>
    <border>
      <left style="thin">
        <color rgb="FF7F7F7F"/>
      </left>
      <right style="thin">
        <color rgb="FF7F7F7F"/>
      </right>
      <top style="thin">
        <color rgb="FF7F7F7F"/>
      </top>
      <bottom style="thin">
        <color rgb="FF7F7F7F"/>
      </bottom>
      <diagonal/>
    </border>
  </borders>
  <cellStyleXfs count="67">
    <xf numFmtId="0" fontId="0" fillId="0" borderId="0">
      <alignment wrapText="1"/>
    </xf>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33" fillId="12" borderId="0" applyNumberFormat="0" applyBorder="0" applyAlignment="0" applyProtection="0"/>
    <xf numFmtId="0" fontId="33" fillId="9" borderId="0" applyNumberFormat="0" applyBorder="0" applyAlignment="0" applyProtection="0"/>
    <xf numFmtId="0" fontId="33" fillId="10" borderId="0" applyNumberFormat="0" applyBorder="0" applyAlignment="0" applyProtection="0"/>
    <xf numFmtId="0" fontId="33" fillId="13" borderId="0" applyNumberFormat="0" applyBorder="0" applyAlignment="0" applyProtection="0"/>
    <xf numFmtId="0" fontId="33" fillId="14" borderId="0" applyNumberFormat="0" applyBorder="0" applyAlignment="0" applyProtection="0"/>
    <xf numFmtId="0" fontId="33" fillId="15" borderId="0" applyNumberFormat="0" applyBorder="0" applyAlignment="0" applyProtection="0"/>
    <xf numFmtId="0" fontId="33" fillId="16" borderId="0" applyNumberFormat="0" applyBorder="0" applyAlignment="0" applyProtection="0"/>
    <xf numFmtId="0" fontId="33" fillId="17" borderId="0" applyNumberFormat="0" applyBorder="0" applyAlignment="0" applyProtection="0"/>
    <xf numFmtId="0" fontId="33" fillId="18" borderId="0" applyNumberFormat="0" applyBorder="0" applyAlignment="0" applyProtection="0"/>
    <xf numFmtId="0" fontId="33" fillId="13" borderId="0" applyNumberFormat="0" applyBorder="0" applyAlignment="0" applyProtection="0"/>
    <xf numFmtId="0" fontId="33" fillId="14" borderId="0" applyNumberFormat="0" applyBorder="0" applyAlignment="0" applyProtection="0"/>
    <xf numFmtId="0" fontId="33" fillId="19" borderId="0" applyNumberFormat="0" applyBorder="0" applyAlignment="0" applyProtection="0"/>
    <xf numFmtId="0" fontId="34" fillId="3" borderId="0" applyNumberFormat="0" applyBorder="0" applyAlignment="0" applyProtection="0"/>
    <xf numFmtId="0" fontId="35" fillId="20" borderId="1" applyNumberFormat="0" applyAlignment="0" applyProtection="0"/>
    <xf numFmtId="0" fontId="36" fillId="21" borderId="2" applyNumberFormat="0" applyAlignment="0" applyProtection="0"/>
    <xf numFmtId="0" fontId="37" fillId="0" borderId="0" applyNumberFormat="0" applyFill="0" applyBorder="0" applyAlignment="0" applyProtection="0"/>
    <xf numFmtId="0" fontId="57" fillId="38" borderId="0" applyNumberFormat="0" applyBorder="0" applyAlignment="0" applyProtection="0"/>
    <xf numFmtId="0" fontId="38" fillId="4" borderId="0" applyNumberFormat="0" applyBorder="0" applyAlignment="0" applyProtection="0"/>
    <xf numFmtId="0" fontId="39" fillId="0" borderId="3" applyNumberFormat="0" applyFill="0" applyAlignment="0" applyProtection="0"/>
    <xf numFmtId="0" fontId="40" fillId="0" borderId="4" applyNumberFormat="0" applyFill="0" applyAlignment="0" applyProtection="0"/>
    <xf numFmtId="0" fontId="41" fillId="0" borderId="5" applyNumberFormat="0" applyFill="0" applyAlignment="0" applyProtection="0"/>
    <xf numFmtId="0" fontId="41" fillId="0" borderId="0" applyNumberFormat="0" applyFill="0" applyBorder="0" applyAlignment="0" applyProtection="0"/>
    <xf numFmtId="0" fontId="14" fillId="0" borderId="0" applyNumberFormat="0" applyFill="0" applyBorder="0" applyAlignment="0" applyProtection="0">
      <alignment vertical="top"/>
      <protection locked="0"/>
    </xf>
    <xf numFmtId="0" fontId="58" fillId="39" borderId="43" applyNumberFormat="0" applyAlignment="0" applyProtection="0"/>
    <xf numFmtId="0" fontId="42" fillId="7" borderId="1" applyNumberFormat="0" applyAlignment="0" applyProtection="0"/>
    <xf numFmtId="0" fontId="43" fillId="0" borderId="6" applyNumberFormat="0" applyFill="0" applyAlignment="0" applyProtection="0"/>
    <xf numFmtId="0" fontId="44" fillId="22" borderId="0" applyNumberFormat="0" applyBorder="0" applyAlignment="0" applyProtection="0"/>
    <xf numFmtId="0" fontId="20" fillId="0" borderId="0"/>
    <xf numFmtId="0" fontId="56" fillId="0" borderId="0"/>
    <xf numFmtId="0" fontId="56" fillId="0" borderId="0"/>
    <xf numFmtId="0" fontId="20" fillId="0" borderId="0"/>
    <xf numFmtId="0" fontId="59" fillId="0" borderId="0"/>
    <xf numFmtId="0" fontId="56" fillId="0" borderId="0"/>
    <xf numFmtId="0" fontId="56" fillId="0" borderId="0"/>
    <xf numFmtId="0" fontId="56" fillId="0" borderId="0"/>
    <xf numFmtId="0" fontId="56" fillId="0" borderId="0"/>
    <xf numFmtId="0" fontId="25" fillId="0" borderId="0"/>
    <xf numFmtId="0" fontId="20" fillId="0" borderId="0"/>
    <xf numFmtId="0" fontId="25" fillId="0" borderId="0"/>
    <xf numFmtId="0" fontId="25" fillId="0" borderId="0"/>
    <xf numFmtId="0" fontId="25" fillId="0" borderId="0"/>
    <xf numFmtId="0" fontId="20" fillId="0" borderId="0"/>
    <xf numFmtId="0" fontId="25" fillId="0" borderId="0"/>
    <xf numFmtId="0" fontId="25" fillId="0" borderId="0"/>
    <xf numFmtId="0" fontId="20" fillId="0" borderId="0"/>
    <xf numFmtId="0" fontId="1" fillId="0" borderId="0"/>
    <xf numFmtId="0" fontId="1" fillId="23" borderId="7" applyNumberFormat="0" applyFont="0" applyAlignment="0" applyProtection="0"/>
    <xf numFmtId="0" fontId="45" fillId="20" borderId="8"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0" borderId="0" applyNumberFormat="0" applyFill="0" applyBorder="0" applyAlignment="0" applyProtection="0"/>
  </cellStyleXfs>
  <cellXfs count="272">
    <xf numFmtId="0" fontId="0" fillId="0" borderId="0" xfId="0">
      <alignment wrapText="1"/>
    </xf>
    <xf numFmtId="0" fontId="2" fillId="0" borderId="0" xfId="0" applyFont="1" applyFill="1" applyBorder="1" applyAlignment="1">
      <alignment vertical="top" wrapText="1"/>
    </xf>
    <xf numFmtId="0" fontId="2" fillId="0" borderId="0" xfId="0" applyFont="1" applyFill="1" applyAlignment="1">
      <alignment vertical="top" wrapText="1"/>
    </xf>
    <xf numFmtId="0" fontId="2" fillId="0" borderId="10" xfId="0" applyFont="1" applyFill="1" applyBorder="1" applyAlignment="1">
      <alignment vertical="top" wrapText="1"/>
    </xf>
    <xf numFmtId="0" fontId="2" fillId="0" borderId="11" xfId="0" applyFont="1" applyFill="1" applyBorder="1" applyAlignment="1">
      <alignment vertical="top" wrapText="1"/>
    </xf>
    <xf numFmtId="0" fontId="2" fillId="0" borderId="12" xfId="0" applyFont="1" applyFill="1" applyBorder="1" applyAlignment="1">
      <alignment vertical="top" wrapText="1"/>
    </xf>
    <xf numFmtId="0" fontId="2" fillId="0" borderId="13" xfId="0" applyFont="1" applyFill="1" applyBorder="1" applyAlignment="1">
      <alignment vertical="top" wrapText="1"/>
    </xf>
    <xf numFmtId="0" fontId="2" fillId="0" borderId="14" xfId="0" applyFont="1" applyFill="1" applyBorder="1" applyAlignment="1">
      <alignment vertical="top" wrapText="1"/>
    </xf>
    <xf numFmtId="0" fontId="5" fillId="0" borderId="0" xfId="0" applyFont="1" applyFill="1" applyBorder="1" applyAlignment="1">
      <alignment vertical="top" wrapText="1"/>
    </xf>
    <xf numFmtId="0" fontId="11" fillId="20" borderId="15" xfId="0" applyFont="1" applyFill="1" applyBorder="1" applyAlignment="1">
      <alignment horizontal="right" vertical="top" wrapText="1"/>
    </xf>
    <xf numFmtId="0" fontId="11" fillId="24" borderId="16" xfId="0" applyFont="1" applyFill="1" applyBorder="1" applyAlignment="1">
      <alignment horizontal="right" vertical="top" wrapText="1"/>
    </xf>
    <xf numFmtId="0" fontId="11" fillId="24" borderId="17" xfId="0" applyFont="1" applyFill="1" applyBorder="1" applyAlignment="1">
      <alignment horizontal="right" vertical="top" wrapText="1"/>
    </xf>
    <xf numFmtId="0" fontId="2" fillId="0" borderId="18" xfId="0" applyFont="1" applyFill="1" applyBorder="1" applyAlignment="1">
      <alignment vertical="top" wrapText="1"/>
    </xf>
    <xf numFmtId="0" fontId="2" fillId="0" borderId="19" xfId="0" applyFont="1" applyFill="1" applyBorder="1" applyAlignment="1">
      <alignment vertical="top" wrapText="1"/>
    </xf>
    <xf numFmtId="0" fontId="2" fillId="0" borderId="20" xfId="0" applyFont="1" applyFill="1" applyBorder="1" applyAlignment="1">
      <alignment vertical="top" wrapText="1"/>
    </xf>
    <xf numFmtId="0" fontId="11" fillId="20" borderId="21" xfId="0" applyFont="1" applyFill="1" applyBorder="1" applyAlignment="1">
      <alignment horizontal="right" vertical="top" wrapText="1"/>
    </xf>
    <xf numFmtId="0" fontId="0" fillId="0" borderId="0" xfId="0" applyAlignment="1">
      <alignment horizontal="center" wrapText="1"/>
    </xf>
    <xf numFmtId="0" fontId="0" fillId="0" borderId="0" xfId="0" applyAlignment="1">
      <alignment horizontal="left" wrapText="1"/>
    </xf>
    <xf numFmtId="0" fontId="0" fillId="0" borderId="0" xfId="0" applyAlignment="1">
      <alignment horizontal="left"/>
    </xf>
    <xf numFmtId="0" fontId="0" fillId="0" borderId="0" xfId="0" applyAlignment="1"/>
    <xf numFmtId="0" fontId="14" fillId="0" borderId="0" xfId="35" applyAlignment="1" applyProtection="1"/>
    <xf numFmtId="0" fontId="13" fillId="0" borderId="0" xfId="0" applyFont="1">
      <alignment wrapText="1"/>
    </xf>
    <xf numFmtId="0" fontId="0" fillId="25" borderId="0" xfId="0" applyFill="1">
      <alignment wrapText="1"/>
    </xf>
    <xf numFmtId="0" fontId="0" fillId="25" borderId="0" xfId="0" applyFill="1" applyAlignment="1">
      <alignment horizontal="left"/>
    </xf>
    <xf numFmtId="186" fontId="0" fillId="25" borderId="0" xfId="0" applyNumberFormat="1" applyFill="1" applyAlignment="1">
      <alignment horizontal="left"/>
    </xf>
    <xf numFmtId="187" fontId="0" fillId="25" borderId="0" xfId="0" applyNumberFormat="1" applyFill="1" applyAlignment="1">
      <alignment horizontal="left"/>
    </xf>
    <xf numFmtId="0" fontId="0" fillId="25" borderId="0" xfId="0" applyFill="1" applyAlignment="1">
      <alignment horizontal="left" wrapText="1"/>
    </xf>
    <xf numFmtId="0" fontId="0" fillId="0" borderId="0" xfId="0" applyAlignment="1">
      <alignment wrapText="1"/>
    </xf>
    <xf numFmtId="0" fontId="17" fillId="0" borderId="0" xfId="0" applyFont="1" applyFill="1" applyAlignment="1"/>
    <xf numFmtId="0" fontId="20" fillId="0" borderId="0" xfId="0" applyFont="1" applyFill="1" applyAlignment="1"/>
    <xf numFmtId="0" fontId="0" fillId="0" borderId="0" xfId="0" applyFill="1" applyAlignment="1"/>
    <xf numFmtId="0" fontId="17" fillId="26" borderId="0" xfId="0" applyFont="1" applyFill="1" applyAlignment="1"/>
    <xf numFmtId="0" fontId="20" fillId="0" borderId="0" xfId="0" applyFont="1" applyAlignment="1"/>
    <xf numFmtId="0" fontId="17" fillId="26" borderId="0" xfId="0" applyFont="1" applyFill="1" applyAlignment="1">
      <alignment horizontal="left"/>
    </xf>
    <xf numFmtId="0" fontId="20" fillId="27" borderId="0" xfId="0" applyFont="1" applyFill="1" applyAlignment="1"/>
    <xf numFmtId="0" fontId="0" fillId="25" borderId="0" xfId="0" applyFill="1" applyAlignment="1">
      <alignment vertical="top" wrapText="1"/>
    </xf>
    <xf numFmtId="0" fontId="20" fillId="25" borderId="0" xfId="0" applyFont="1" applyFill="1" applyAlignment="1">
      <alignment horizontal="left" vertical="top" wrapText="1"/>
    </xf>
    <xf numFmtId="0" fontId="22" fillId="28" borderId="0" xfId="0" applyFont="1" applyFill="1" applyAlignment="1"/>
    <xf numFmtId="0" fontId="0" fillId="28" borderId="22" xfId="0" applyFill="1" applyBorder="1" applyAlignment="1"/>
    <xf numFmtId="0" fontId="0" fillId="28" borderId="23" xfId="0" applyFill="1" applyBorder="1" applyAlignment="1"/>
    <xf numFmtId="0" fontId="0" fillId="28" borderId="24" xfId="0" applyFill="1" applyBorder="1" applyAlignment="1"/>
    <xf numFmtId="0" fontId="0" fillId="28" borderId="25" xfId="0" applyFill="1" applyBorder="1" applyAlignment="1"/>
    <xf numFmtId="0" fontId="0" fillId="28" borderId="0" xfId="0" applyFill="1" applyBorder="1" applyAlignment="1"/>
    <xf numFmtId="0" fontId="0" fillId="28" borderId="26" xfId="0" applyFill="1" applyBorder="1" applyAlignment="1"/>
    <xf numFmtId="0" fontId="0" fillId="28" borderId="27" xfId="0" applyFill="1" applyBorder="1" applyAlignment="1"/>
    <xf numFmtId="0" fontId="0" fillId="28" borderId="28" xfId="0" applyFill="1" applyBorder="1" applyAlignment="1"/>
    <xf numFmtId="0" fontId="0" fillId="28" borderId="29" xfId="0" applyFill="1" applyBorder="1" applyAlignment="1"/>
    <xf numFmtId="0" fontId="20" fillId="0" borderId="0" xfId="0" applyFont="1" applyAlignment="1">
      <alignment wrapText="1"/>
    </xf>
    <xf numFmtId="0" fontId="0" fillId="0" borderId="0" xfId="0" applyFill="1" applyAlignment="1">
      <alignment wrapText="1"/>
    </xf>
    <xf numFmtId="0" fontId="0" fillId="0" borderId="30" xfId="0" applyBorder="1" applyAlignment="1">
      <alignment horizontal="center" wrapText="1"/>
    </xf>
    <xf numFmtId="0" fontId="0" fillId="26" borderId="30" xfId="0" applyFill="1" applyBorder="1" applyAlignment="1">
      <alignment horizontal="center" wrapText="1"/>
    </xf>
    <xf numFmtId="0" fontId="0" fillId="0" borderId="0" xfId="0" applyFill="1" applyBorder="1" applyAlignment="1">
      <alignment horizontal="center" wrapText="1"/>
    </xf>
    <xf numFmtId="0" fontId="0" fillId="0" borderId="30" xfId="0" applyBorder="1" applyAlignment="1"/>
    <xf numFmtId="0" fontId="0" fillId="26" borderId="30" xfId="0" applyFill="1" applyBorder="1" applyAlignment="1"/>
    <xf numFmtId="0" fontId="0" fillId="0" borderId="0" xfId="0" applyFill="1" applyBorder="1" applyAlignment="1"/>
    <xf numFmtId="0" fontId="0" fillId="26" borderId="0" xfId="0" applyFill="1" applyAlignment="1"/>
    <xf numFmtId="0" fontId="20" fillId="29" borderId="0" xfId="0" applyFont="1" applyFill="1" applyBorder="1" applyAlignment="1">
      <alignment horizontal="left" vertical="center"/>
    </xf>
    <xf numFmtId="0" fontId="20" fillId="30" borderId="0" xfId="0" applyFont="1" applyFill="1" applyBorder="1" applyAlignment="1">
      <alignment horizontal="left" vertical="center"/>
    </xf>
    <xf numFmtId="0" fontId="0" fillId="29" borderId="0" xfId="0" applyFill="1" applyAlignment="1"/>
    <xf numFmtId="0" fontId="0" fillId="30" borderId="0" xfId="0" applyFill="1" applyAlignment="1"/>
    <xf numFmtId="0" fontId="20" fillId="0" borderId="0" xfId="0" applyFont="1" applyAlignment="1">
      <alignment horizontal="left"/>
    </xf>
    <xf numFmtId="0" fontId="20" fillId="31" borderId="0" xfId="0" applyFont="1" applyFill="1" applyBorder="1" applyAlignment="1">
      <alignment horizontal="left" vertical="center"/>
    </xf>
    <xf numFmtId="0" fontId="0" fillId="31" borderId="0" xfId="0" applyFill="1" applyAlignment="1"/>
    <xf numFmtId="0" fontId="20" fillId="31" borderId="0" xfId="0" applyFont="1" applyFill="1" applyAlignment="1"/>
    <xf numFmtId="0" fontId="20" fillId="32" borderId="0" xfId="0" applyFont="1" applyFill="1" applyAlignment="1"/>
    <xf numFmtId="0" fontId="0" fillId="32" borderId="0" xfId="0" applyFill="1" applyAlignment="1"/>
    <xf numFmtId="0" fontId="0" fillId="28" borderId="0" xfId="0" applyFill="1" applyAlignment="1"/>
    <xf numFmtId="0" fontId="17" fillId="0" borderId="0" xfId="0" applyFont="1" applyAlignment="1"/>
    <xf numFmtId="0" fontId="29" fillId="0" borderId="0" xfId="0" applyFont="1" applyAlignment="1"/>
    <xf numFmtId="0" fontId="29" fillId="0" borderId="0" xfId="0" applyFont="1" applyFill="1" applyAlignment="1"/>
    <xf numFmtId="0" fontId="0" fillId="0" borderId="0" xfId="0" applyAlignment="1">
      <alignment horizontal="right"/>
    </xf>
    <xf numFmtId="0" fontId="0" fillId="0" borderId="0" xfId="0" applyAlignment="1">
      <alignment horizontal="right" wrapText="1"/>
    </xf>
    <xf numFmtId="0" fontId="21" fillId="33" borderId="0" xfId="0" applyFont="1" applyFill="1" applyAlignment="1">
      <alignment horizontal="left"/>
    </xf>
    <xf numFmtId="0" fontId="0" fillId="27" borderId="0" xfId="0" applyFill="1" applyAlignment="1">
      <alignment horizontal="left"/>
    </xf>
    <xf numFmtId="0" fontId="24" fillId="31" borderId="0" xfId="0" applyFont="1" applyFill="1" applyAlignment="1">
      <alignment horizontal="left"/>
    </xf>
    <xf numFmtId="0" fontId="24" fillId="29" borderId="0" xfId="0" applyFont="1" applyFill="1" applyAlignment="1">
      <alignment horizontal="left"/>
    </xf>
    <xf numFmtId="0" fontId="24" fillId="30" borderId="0" xfId="0" applyFont="1" applyFill="1" applyAlignment="1">
      <alignment horizontal="left"/>
    </xf>
    <xf numFmtId="0" fontId="23" fillId="0" borderId="0" xfId="0" applyFont="1" applyAlignment="1">
      <alignment horizontal="left"/>
    </xf>
    <xf numFmtId="0" fontId="0" fillId="33" borderId="0" xfId="0" applyFill="1" applyAlignment="1">
      <alignment horizontal="left"/>
    </xf>
    <xf numFmtId="0" fontId="22" fillId="0" borderId="0" xfId="0" applyFont="1" applyFill="1" applyAlignment="1">
      <alignment horizontal="left"/>
    </xf>
    <xf numFmtId="0" fontId="20" fillId="27" borderId="0" xfId="0" applyFont="1" applyFill="1" applyAlignment="1">
      <alignment horizontal="left"/>
    </xf>
    <xf numFmtId="0" fontId="20" fillId="31" borderId="0" xfId="0" applyNumberFormat="1" applyFont="1" applyFill="1" applyBorder="1" applyAlignment="1">
      <alignment horizontal="left" vertical="center"/>
    </xf>
    <xf numFmtId="0" fontId="20" fillId="30" borderId="0" xfId="0" applyNumberFormat="1" applyFont="1" applyFill="1" applyBorder="1" applyAlignment="1">
      <alignment horizontal="left" vertical="center"/>
    </xf>
    <xf numFmtId="0" fontId="20" fillId="30" borderId="0" xfId="0" applyFont="1" applyFill="1" applyAlignment="1">
      <alignment horizontal="left"/>
    </xf>
    <xf numFmtId="0" fontId="20" fillId="0" borderId="0" xfId="0" applyFont="1" applyFill="1" applyAlignment="1">
      <alignment horizontal="left"/>
    </xf>
    <xf numFmtId="0" fontId="0" fillId="30" borderId="0" xfId="0" applyFill="1" applyAlignment="1">
      <alignment horizontal="left"/>
    </xf>
    <xf numFmtId="0" fontId="0" fillId="30" borderId="0" xfId="0" applyNumberFormat="1" applyFill="1" applyAlignment="1">
      <alignment horizontal="left"/>
    </xf>
    <xf numFmtId="0" fontId="0" fillId="0" borderId="0" xfId="0" applyFill="1" applyAlignment="1">
      <alignment horizontal="left"/>
    </xf>
    <xf numFmtId="0" fontId="20" fillId="29" borderId="0" xfId="0" applyNumberFormat="1" applyFont="1" applyFill="1" applyBorder="1" applyAlignment="1">
      <alignment horizontal="left" vertical="center"/>
    </xf>
    <xf numFmtId="1" fontId="16" fillId="0" borderId="0" xfId="0" applyNumberFormat="1" applyFont="1" applyAlignment="1">
      <alignment horizontal="left"/>
    </xf>
    <xf numFmtId="0" fontId="0" fillId="31" borderId="0" xfId="0" applyFill="1" applyAlignment="1">
      <alignment horizontal="left"/>
    </xf>
    <xf numFmtId="0" fontId="20" fillId="31" borderId="0" xfId="0" applyFont="1" applyFill="1" applyAlignment="1">
      <alignment horizontal="left"/>
    </xf>
    <xf numFmtId="0" fontId="0" fillId="29" borderId="0" xfId="0" applyFill="1" applyAlignment="1">
      <alignment horizontal="left"/>
    </xf>
    <xf numFmtId="0" fontId="0" fillId="31" borderId="0" xfId="0" applyFill="1" applyAlignment="1">
      <alignment horizontal="left" wrapText="1"/>
    </xf>
    <xf numFmtId="1" fontId="20" fillId="31" borderId="0" xfId="0" applyNumberFormat="1" applyFont="1" applyFill="1" applyAlignment="1">
      <alignment horizontal="left"/>
    </xf>
    <xf numFmtId="0" fontId="20" fillId="29" borderId="0" xfId="0" applyFont="1" applyFill="1" applyAlignment="1">
      <alignment horizontal="left"/>
    </xf>
    <xf numFmtId="0" fontId="0" fillId="29" borderId="0" xfId="0" applyFont="1" applyFill="1" applyAlignment="1">
      <alignment horizontal="left"/>
    </xf>
    <xf numFmtId="1" fontId="2" fillId="31" borderId="0" xfId="55" applyNumberFormat="1" applyFont="1" applyFill="1" applyAlignment="1">
      <alignment horizontal="left" vertical="top" wrapText="1"/>
    </xf>
    <xf numFmtId="188" fontId="0" fillId="31" borderId="0" xfId="0" applyNumberFormat="1" applyFill="1" applyAlignment="1">
      <alignment horizontal="left"/>
    </xf>
    <xf numFmtId="2" fontId="0" fillId="31" borderId="0" xfId="0" applyNumberFormat="1" applyFill="1" applyAlignment="1">
      <alignment horizontal="left"/>
    </xf>
    <xf numFmtId="2" fontId="20" fillId="31" borderId="0" xfId="0" applyNumberFormat="1" applyFont="1" applyFill="1" applyAlignment="1">
      <alignment horizontal="left"/>
    </xf>
    <xf numFmtId="188" fontId="20" fillId="31" borderId="0" xfId="0" applyNumberFormat="1" applyFont="1" applyFill="1" applyAlignment="1">
      <alignment horizontal="left"/>
    </xf>
    <xf numFmtId="1" fontId="0" fillId="31" borderId="0" xfId="0" applyNumberFormat="1" applyFill="1" applyAlignment="1">
      <alignment horizontal="left"/>
    </xf>
    <xf numFmtId="0" fontId="17" fillId="31" borderId="0" xfId="0" applyFont="1" applyFill="1" applyAlignment="1">
      <alignment horizontal="left"/>
    </xf>
    <xf numFmtId="188" fontId="20" fillId="31" borderId="0" xfId="0" applyNumberFormat="1" applyFont="1" applyFill="1" applyBorder="1" applyAlignment="1">
      <alignment horizontal="left"/>
    </xf>
    <xf numFmtId="14" fontId="0" fillId="31" borderId="0" xfId="0" applyNumberFormat="1" applyFill="1" applyAlignment="1">
      <alignment horizontal="left"/>
    </xf>
    <xf numFmtId="14" fontId="2" fillId="31" borderId="0" xfId="0" applyNumberFormat="1" applyFont="1" applyFill="1" applyAlignment="1">
      <alignment horizontal="left" vertical="top" wrapText="1"/>
    </xf>
    <xf numFmtId="189" fontId="0" fillId="31" borderId="0" xfId="0" applyNumberFormat="1" applyFill="1" applyAlignment="1">
      <alignment horizontal="left"/>
    </xf>
    <xf numFmtId="188" fontId="0" fillId="29" borderId="0" xfId="0" applyNumberFormat="1" applyFill="1" applyAlignment="1">
      <alignment horizontal="left"/>
    </xf>
    <xf numFmtId="2" fontId="0" fillId="29" borderId="0" xfId="0" applyNumberFormat="1" applyFill="1" applyAlignment="1">
      <alignment horizontal="left"/>
    </xf>
    <xf numFmtId="1" fontId="0" fillId="29" borderId="0" xfId="0" applyNumberFormat="1" applyFill="1" applyAlignment="1">
      <alignment horizontal="left"/>
    </xf>
    <xf numFmtId="0" fontId="17" fillId="29" borderId="0" xfId="0" applyFont="1" applyFill="1" applyAlignment="1">
      <alignment horizontal="left"/>
    </xf>
    <xf numFmtId="2" fontId="20" fillId="29" borderId="0" xfId="0" applyNumberFormat="1" applyFont="1" applyFill="1" applyAlignment="1">
      <alignment horizontal="left"/>
    </xf>
    <xf numFmtId="188" fontId="20" fillId="29" borderId="0" xfId="0" applyNumberFormat="1" applyFont="1" applyFill="1" applyBorder="1" applyAlignment="1">
      <alignment horizontal="left"/>
    </xf>
    <xf numFmtId="14" fontId="0" fillId="29" borderId="0" xfId="0" applyNumberFormat="1" applyFill="1" applyAlignment="1">
      <alignment horizontal="left"/>
    </xf>
    <xf numFmtId="14" fontId="2" fillId="29" borderId="0" xfId="0" applyNumberFormat="1" applyFont="1" applyFill="1" applyAlignment="1">
      <alignment horizontal="left" vertical="top" wrapText="1"/>
    </xf>
    <xf numFmtId="189" fontId="0" fillId="29" borderId="0" xfId="0" applyNumberFormat="1" applyFill="1" applyAlignment="1">
      <alignment horizontal="left"/>
    </xf>
    <xf numFmtId="188" fontId="0" fillId="30" borderId="0" xfId="0" applyNumberFormat="1" applyFill="1" applyAlignment="1">
      <alignment horizontal="left"/>
    </xf>
    <xf numFmtId="2" fontId="0" fillId="30" borderId="0" xfId="0" applyNumberFormat="1" applyFill="1" applyAlignment="1">
      <alignment horizontal="left"/>
    </xf>
    <xf numFmtId="1" fontId="0" fillId="30" borderId="0" xfId="0" applyNumberFormat="1" applyFill="1" applyAlignment="1">
      <alignment horizontal="left"/>
    </xf>
    <xf numFmtId="188" fontId="20" fillId="30" borderId="0" xfId="0" applyNumberFormat="1" applyFont="1" applyFill="1" applyAlignment="1">
      <alignment horizontal="left"/>
    </xf>
    <xf numFmtId="2" fontId="20" fillId="30" borderId="0" xfId="0" applyNumberFormat="1" applyFont="1" applyFill="1" applyAlignment="1">
      <alignment horizontal="left"/>
    </xf>
    <xf numFmtId="188" fontId="20" fillId="30" borderId="0" xfId="0" applyNumberFormat="1" applyFont="1" applyFill="1" applyBorder="1" applyAlignment="1">
      <alignment horizontal="left"/>
    </xf>
    <xf numFmtId="14" fontId="0" fillId="30" borderId="0" xfId="0" applyNumberFormat="1" applyFill="1" applyAlignment="1">
      <alignment horizontal="left"/>
    </xf>
    <xf numFmtId="14" fontId="2" fillId="30" borderId="0" xfId="0" applyNumberFormat="1" applyFont="1" applyFill="1" applyAlignment="1">
      <alignment horizontal="left" vertical="top" wrapText="1"/>
    </xf>
    <xf numFmtId="189" fontId="0" fillId="30" borderId="0" xfId="0" applyNumberFormat="1" applyFill="1" applyAlignment="1">
      <alignment horizontal="left"/>
    </xf>
    <xf numFmtId="190" fontId="0" fillId="30" borderId="0" xfId="0" applyNumberFormat="1" applyFill="1" applyAlignment="1">
      <alignment horizontal="left"/>
    </xf>
    <xf numFmtId="1" fontId="20" fillId="29" borderId="0" xfId="0" applyNumberFormat="1" applyFont="1" applyFill="1" applyAlignment="1">
      <alignment horizontal="left"/>
    </xf>
    <xf numFmtId="1" fontId="2" fillId="29" borderId="0" xfId="0" applyNumberFormat="1" applyFont="1" applyFill="1" applyAlignment="1">
      <alignment horizontal="left" vertical="top" wrapText="1"/>
    </xf>
    <xf numFmtId="1" fontId="2" fillId="30" borderId="0" xfId="0" applyNumberFormat="1" applyFont="1" applyFill="1" applyAlignment="1">
      <alignment horizontal="left" vertical="top" wrapText="1"/>
    </xf>
    <xf numFmtId="0" fontId="17" fillId="30" borderId="0" xfId="0" applyFont="1" applyFill="1" applyAlignment="1">
      <alignment horizontal="left"/>
    </xf>
    <xf numFmtId="0" fontId="2" fillId="29" borderId="0" xfId="0" applyNumberFormat="1" applyFont="1" applyFill="1" applyAlignment="1">
      <alignment horizontal="left" vertical="top" wrapText="1"/>
    </xf>
    <xf numFmtId="1" fontId="2" fillId="31" borderId="0" xfId="0" applyNumberFormat="1" applyFont="1" applyFill="1" applyAlignment="1">
      <alignment horizontal="left" vertical="top" wrapText="1"/>
    </xf>
    <xf numFmtId="0" fontId="2" fillId="30" borderId="0" xfId="0" applyNumberFormat="1" applyFont="1" applyFill="1" applyAlignment="1">
      <alignment horizontal="left" vertical="top" wrapText="1"/>
    </xf>
    <xf numFmtId="188" fontId="20" fillId="31" borderId="0" xfId="54" applyNumberFormat="1" applyFill="1" applyAlignment="1">
      <alignment horizontal="left"/>
    </xf>
    <xf numFmtId="2" fontId="2" fillId="31" borderId="0" xfId="54" applyNumberFormat="1" applyFont="1" applyFill="1" applyAlignment="1">
      <alignment horizontal="left"/>
    </xf>
    <xf numFmtId="14" fontId="2" fillId="31" borderId="0" xfId="55" applyNumberFormat="1" applyFont="1" applyFill="1" applyAlignment="1">
      <alignment horizontal="left" vertical="top" wrapText="1"/>
    </xf>
    <xf numFmtId="2" fontId="0" fillId="0" borderId="0" xfId="0" applyNumberFormat="1" applyAlignment="1">
      <alignment horizontal="left"/>
    </xf>
    <xf numFmtId="1" fontId="20" fillId="30" borderId="0" xfId="0" applyNumberFormat="1" applyFont="1" applyFill="1" applyAlignment="1">
      <alignment horizontal="left"/>
    </xf>
    <xf numFmtId="14" fontId="20" fillId="30" borderId="0" xfId="0" applyNumberFormat="1" applyFont="1" applyFill="1" applyAlignment="1">
      <alignment horizontal="left"/>
    </xf>
    <xf numFmtId="0" fontId="20" fillId="0" borderId="0" xfId="50"/>
    <xf numFmtId="1" fontId="20" fillId="0" borderId="0" xfId="50" applyNumberFormat="1"/>
    <xf numFmtId="14" fontId="2" fillId="31" borderId="0" xfId="50" applyNumberFormat="1" applyFont="1" applyFill="1" applyAlignment="1">
      <alignment horizontal="left" vertical="top" wrapText="1"/>
    </xf>
    <xf numFmtId="2" fontId="20" fillId="31" borderId="0" xfId="50" applyNumberFormat="1" applyFill="1" applyAlignment="1">
      <alignment horizontal="left"/>
    </xf>
    <xf numFmtId="0" fontId="20" fillId="0" borderId="0" xfId="0" applyFont="1" applyAlignment="1">
      <alignment horizontal="right"/>
    </xf>
    <xf numFmtId="0" fontId="0" fillId="30" borderId="0" xfId="0" applyFill="1" applyAlignment="1">
      <alignment horizontal="left" wrapText="1"/>
    </xf>
    <xf numFmtId="188" fontId="0" fillId="26" borderId="0" xfId="0" applyNumberFormat="1" applyFill="1" applyAlignment="1">
      <alignment horizontal="left"/>
    </xf>
    <xf numFmtId="188" fontId="0" fillId="34" borderId="0" xfId="0" applyNumberFormat="1" applyFill="1" applyAlignment="1">
      <alignment horizontal="left"/>
    </xf>
    <xf numFmtId="0" fontId="0" fillId="26" borderId="0" xfId="0" applyFill="1">
      <alignment wrapText="1"/>
    </xf>
    <xf numFmtId="0" fontId="0" fillId="34" borderId="0" xfId="0" applyFill="1" applyAlignment="1"/>
    <xf numFmtId="0" fontId="32" fillId="0" borderId="0" xfId="0" applyFont="1" applyAlignment="1">
      <alignment horizontal="left"/>
    </xf>
    <xf numFmtId="0" fontId="32" fillId="0" borderId="0" xfId="0" applyFont="1" applyAlignment="1"/>
    <xf numFmtId="2" fontId="32" fillId="29" borderId="0" xfId="0" applyNumberFormat="1" applyFont="1" applyFill="1" applyAlignment="1">
      <alignment horizontal="left"/>
    </xf>
    <xf numFmtId="0" fontId="0" fillId="35" borderId="0" xfId="0" applyFill="1" applyAlignment="1"/>
    <xf numFmtId="2" fontId="20" fillId="0" borderId="0" xfId="49" applyNumberFormat="1" applyFont="1" applyFill="1"/>
    <xf numFmtId="2" fontId="20" fillId="0" borderId="0" xfId="51" applyNumberFormat="1" applyFont="1" applyFill="1"/>
    <xf numFmtId="2" fontId="20" fillId="0" borderId="0" xfId="56" applyNumberFormat="1" applyFont="1" applyFill="1"/>
    <xf numFmtId="2" fontId="20" fillId="0" borderId="0" xfId="0" applyNumberFormat="1" applyFont="1" applyFill="1" applyAlignment="1">
      <alignment horizontal="left"/>
    </xf>
    <xf numFmtId="2" fontId="20" fillId="0" borderId="0" xfId="52" applyNumberFormat="1" applyFont="1" applyFill="1"/>
    <xf numFmtId="2" fontId="20" fillId="0" borderId="0" xfId="53" applyNumberFormat="1" applyFont="1" applyFill="1"/>
    <xf numFmtId="188" fontId="0" fillId="0" borderId="0" xfId="0" applyNumberFormat="1" applyAlignment="1">
      <alignment horizontal="left"/>
    </xf>
    <xf numFmtId="188" fontId="17" fillId="30" borderId="0" xfId="0" applyNumberFormat="1" applyFont="1" applyFill="1" applyAlignment="1">
      <alignment horizontal="left"/>
    </xf>
    <xf numFmtId="0" fontId="24" fillId="0" borderId="0" xfId="0" applyFont="1" applyFill="1" applyAlignment="1">
      <alignment horizontal="left"/>
    </xf>
    <xf numFmtId="0" fontId="20" fillId="0" borderId="0" xfId="0" applyFont="1" applyFill="1" applyBorder="1" applyAlignment="1">
      <alignment horizontal="left" vertical="center"/>
    </xf>
    <xf numFmtId="188" fontId="0" fillId="0" borderId="0" xfId="0" applyNumberFormat="1" applyFill="1" applyAlignment="1">
      <alignment horizontal="left"/>
    </xf>
    <xf numFmtId="188" fontId="20" fillId="0" borderId="0" xfId="0" applyNumberFormat="1" applyFont="1" applyFill="1" applyAlignment="1">
      <alignment horizontal="left"/>
    </xf>
    <xf numFmtId="14" fontId="0" fillId="0" borderId="0" xfId="0" applyNumberFormat="1" applyFill="1" applyAlignment="1">
      <alignment horizontal="left"/>
    </xf>
    <xf numFmtId="2" fontId="0" fillId="0" borderId="0" xfId="0" applyNumberFormat="1" applyAlignment="1"/>
    <xf numFmtId="2" fontId="0" fillId="0" borderId="30" xfId="0" applyNumberFormat="1" applyBorder="1" applyAlignment="1"/>
    <xf numFmtId="2" fontId="0" fillId="0" borderId="30" xfId="0" applyNumberFormat="1" applyBorder="1" applyAlignment="1">
      <alignment horizontal="center" wrapText="1"/>
    </xf>
    <xf numFmtId="0" fontId="0" fillId="0" borderId="30" xfId="0" applyBorder="1" applyAlignment="1">
      <alignment horizontal="left" wrapText="1"/>
    </xf>
    <xf numFmtId="0" fontId="0" fillId="0" borderId="0" xfId="0" applyFill="1">
      <alignment wrapText="1"/>
    </xf>
    <xf numFmtId="0" fontId="15" fillId="0" borderId="0" xfId="0" applyFont="1" applyFill="1" applyAlignment="1">
      <alignment horizontal="left"/>
    </xf>
    <xf numFmtId="0" fontId="0" fillId="0" borderId="0" xfId="0" applyFill="1" applyAlignment="1">
      <alignment horizontal="left" wrapText="1" indent="1"/>
    </xf>
    <xf numFmtId="15" fontId="0" fillId="0" borderId="0" xfId="0" applyNumberFormat="1" applyFill="1" applyAlignment="1">
      <alignment horizontal="center" wrapText="1"/>
    </xf>
    <xf numFmtId="0" fontId="0" fillId="0" borderId="0" xfId="0" applyFill="1" applyAlignment="1">
      <alignment horizontal="center" wrapText="1"/>
    </xf>
    <xf numFmtId="0" fontId="20" fillId="0" borderId="0" xfId="0" applyNumberFormat="1" applyFont="1" applyFill="1" applyAlignment="1">
      <alignment horizontal="left"/>
    </xf>
    <xf numFmtId="0" fontId="0" fillId="0" borderId="0" xfId="0" applyNumberFormat="1" applyFill="1" applyAlignment="1">
      <alignment horizontal="left"/>
    </xf>
    <xf numFmtId="0" fontId="14" fillId="0" borderId="0" xfId="35" applyFill="1" applyAlignment="1" applyProtection="1">
      <alignment horizontal="left"/>
    </xf>
    <xf numFmtId="0" fontId="16" fillId="0" borderId="0" xfId="0" applyFont="1" applyFill="1" applyAlignment="1">
      <alignment horizontal="left"/>
    </xf>
    <xf numFmtId="0" fontId="60" fillId="0" borderId="31" xfId="0" applyFont="1" applyFill="1" applyBorder="1" applyAlignment="1">
      <alignment horizontal="center" vertical="center" wrapText="1"/>
    </xf>
    <xf numFmtId="0" fontId="61" fillId="0" borderId="31" xfId="0" applyFont="1" applyFill="1" applyBorder="1" applyAlignment="1">
      <alignment horizontal="center" vertical="center" wrapText="1"/>
    </xf>
    <xf numFmtId="0" fontId="61" fillId="0" borderId="31" xfId="0" applyFont="1" applyFill="1" applyBorder="1" applyAlignment="1">
      <alignment vertical="center" wrapText="1"/>
    </xf>
    <xf numFmtId="0" fontId="62" fillId="0" borderId="31" xfId="35" applyFont="1" applyFill="1" applyBorder="1" applyAlignment="1" applyProtection="1">
      <alignment horizontal="left" vertical="center" wrapText="1"/>
    </xf>
    <xf numFmtId="0" fontId="63" fillId="0" borderId="31" xfId="0" applyFont="1" applyFill="1" applyBorder="1" applyAlignment="1">
      <alignment horizontal="center" vertical="center" wrapText="1"/>
    </xf>
    <xf numFmtId="3" fontId="63" fillId="0" borderId="31" xfId="0" applyNumberFormat="1" applyFont="1" applyFill="1" applyBorder="1" applyAlignment="1">
      <alignment horizontal="center" vertical="center" wrapText="1"/>
    </xf>
    <xf numFmtId="0" fontId="63" fillId="0" borderId="31" xfId="0" applyFont="1" applyFill="1" applyBorder="1" applyAlignment="1">
      <alignment horizontal="left" vertical="center" wrapText="1"/>
    </xf>
    <xf numFmtId="0" fontId="62" fillId="40" borderId="31" xfId="35" applyFont="1" applyFill="1" applyBorder="1" applyAlignment="1" applyProtection="1">
      <alignment horizontal="left" vertical="center" wrapText="1"/>
    </xf>
    <xf numFmtId="0" fontId="61" fillId="40" borderId="31" xfId="0" applyFont="1" applyFill="1" applyBorder="1" applyAlignment="1">
      <alignment horizontal="center" vertical="center" wrapText="1"/>
    </xf>
    <xf numFmtId="0" fontId="60" fillId="41" borderId="31" xfId="0" applyFont="1" applyFill="1" applyBorder="1" applyAlignment="1">
      <alignment horizontal="center" vertical="center" wrapText="1"/>
    </xf>
    <xf numFmtId="0" fontId="61" fillId="41" borderId="31" xfId="0" applyFont="1" applyFill="1" applyBorder="1" applyAlignment="1">
      <alignment horizontal="center" vertical="center" wrapText="1"/>
    </xf>
    <xf numFmtId="0" fontId="61" fillId="41" borderId="31" xfId="0" applyFont="1" applyFill="1" applyBorder="1" applyAlignment="1">
      <alignment vertical="center" wrapText="1"/>
    </xf>
    <xf numFmtId="186" fontId="0" fillId="36" borderId="0" xfId="0" applyNumberFormat="1" applyFill="1" applyAlignment="1">
      <alignment horizontal="left"/>
    </xf>
    <xf numFmtId="186" fontId="0" fillId="29" borderId="0" xfId="0" applyNumberFormat="1" applyFill="1" applyAlignment="1">
      <alignment horizontal="left"/>
    </xf>
    <xf numFmtId="187" fontId="0" fillId="36" borderId="0" xfId="0" applyNumberFormat="1" applyFill="1" applyAlignment="1">
      <alignment horizontal="left"/>
    </xf>
    <xf numFmtId="0" fontId="0" fillId="36" borderId="0" xfId="0" applyFill="1" applyAlignment="1">
      <alignment horizontal="left"/>
    </xf>
    <xf numFmtId="0" fontId="0" fillId="28" borderId="0" xfId="0" applyFill="1">
      <alignment wrapText="1"/>
    </xf>
    <xf numFmtId="188" fontId="0" fillId="37" borderId="0" xfId="0" applyNumberFormat="1" applyFill="1" applyAlignment="1">
      <alignment horizontal="left"/>
    </xf>
    <xf numFmtId="2" fontId="0" fillId="37" borderId="0" xfId="0" applyNumberFormat="1" applyFill="1" applyAlignment="1">
      <alignment horizontal="left"/>
    </xf>
    <xf numFmtId="0" fontId="0" fillId="0" borderId="0" xfId="0" applyAlignment="1">
      <alignment horizontal="center"/>
    </xf>
    <xf numFmtId="2" fontId="0" fillId="0" borderId="0" xfId="0" applyNumberFormat="1" applyFill="1" applyAlignment="1">
      <alignment horizontal="left"/>
    </xf>
    <xf numFmtId="2" fontId="0" fillId="42" borderId="0" xfId="0" applyNumberFormat="1" applyFill="1" applyAlignment="1">
      <alignment horizontal="left"/>
    </xf>
    <xf numFmtId="188" fontId="0" fillId="42" borderId="0" xfId="0" applyNumberFormat="1" applyFill="1" applyAlignment="1">
      <alignment horizontal="left"/>
    </xf>
    <xf numFmtId="2" fontId="20" fillId="37" borderId="0" xfId="0" applyNumberFormat="1" applyFont="1" applyFill="1" applyAlignment="1">
      <alignment horizontal="left"/>
    </xf>
    <xf numFmtId="0" fontId="53" fillId="37" borderId="0" xfId="0" applyFont="1" applyFill="1" applyAlignment="1">
      <alignment horizontal="left"/>
    </xf>
    <xf numFmtId="2" fontId="54" fillId="37" borderId="0" xfId="0" applyNumberFormat="1" applyFont="1" applyFill="1" applyAlignment="1">
      <alignment horizontal="left"/>
    </xf>
    <xf numFmtId="188" fontId="54" fillId="37" borderId="0" xfId="0" applyNumberFormat="1" applyFont="1" applyFill="1" applyAlignment="1">
      <alignment horizontal="left"/>
    </xf>
    <xf numFmtId="0" fontId="54" fillId="37" borderId="0" xfId="0" applyFont="1" applyFill="1" applyBorder="1" applyAlignment="1">
      <alignment horizontal="left" vertical="center"/>
    </xf>
    <xf numFmtId="1" fontId="55" fillId="37" borderId="0" xfId="0" applyNumberFormat="1" applyFont="1" applyFill="1" applyAlignment="1">
      <alignment horizontal="left" vertical="top" wrapText="1"/>
    </xf>
    <xf numFmtId="0" fontId="54" fillId="37" borderId="0" xfId="0" applyFont="1" applyFill="1" applyAlignment="1">
      <alignment horizontal="left"/>
    </xf>
    <xf numFmtId="188" fontId="54" fillId="37" borderId="0" xfId="0" applyNumberFormat="1" applyFont="1" applyFill="1" applyBorder="1" applyAlignment="1">
      <alignment horizontal="left"/>
    </xf>
    <xf numFmtId="14" fontId="54" fillId="37" borderId="0" xfId="0" applyNumberFormat="1" applyFont="1" applyFill="1" applyAlignment="1">
      <alignment horizontal="left"/>
    </xf>
    <xf numFmtId="14" fontId="55" fillId="37" borderId="0" xfId="0" applyNumberFormat="1" applyFont="1" applyFill="1" applyAlignment="1">
      <alignment horizontal="left" vertical="top" wrapText="1"/>
    </xf>
    <xf numFmtId="1" fontId="54" fillId="37" borderId="0" xfId="0" applyNumberFormat="1" applyFont="1" applyFill="1" applyAlignment="1">
      <alignment horizontal="left"/>
    </xf>
    <xf numFmtId="189" fontId="54" fillId="37" borderId="0" xfId="0" applyNumberFormat="1" applyFont="1" applyFill="1" applyAlignment="1">
      <alignment horizontal="left"/>
    </xf>
    <xf numFmtId="0" fontId="17" fillId="0" borderId="0" xfId="0" applyFont="1" applyFill="1" applyAlignment="1">
      <alignment horizontal="left"/>
    </xf>
    <xf numFmtId="0" fontId="2" fillId="0" borderId="0" xfId="0" applyNumberFormat="1" applyFont="1" applyFill="1" applyAlignment="1">
      <alignment horizontal="left" vertical="top" wrapText="1"/>
    </xf>
    <xf numFmtId="1" fontId="0" fillId="0" borderId="0" xfId="0" applyNumberFormat="1" applyFill="1" applyAlignment="1">
      <alignment horizontal="left"/>
    </xf>
    <xf numFmtId="188" fontId="20" fillId="0" borderId="0" xfId="0" applyNumberFormat="1" applyFont="1" applyFill="1" applyBorder="1" applyAlignment="1">
      <alignment horizontal="left"/>
    </xf>
    <xf numFmtId="0" fontId="0" fillId="0" borderId="0" xfId="0" applyFont="1" applyFill="1" applyAlignment="1">
      <alignment horizontal="left"/>
    </xf>
    <xf numFmtId="14" fontId="2" fillId="0" borderId="0" xfId="0" applyNumberFormat="1" applyFont="1" applyFill="1" applyAlignment="1">
      <alignment horizontal="left" vertical="top" wrapText="1"/>
    </xf>
    <xf numFmtId="189" fontId="0" fillId="0" borderId="0" xfId="0" applyNumberFormat="1" applyFill="1" applyAlignment="1">
      <alignment horizontal="left"/>
    </xf>
    <xf numFmtId="202" fontId="0" fillId="37" borderId="0" xfId="0" applyNumberFormat="1" applyFill="1" applyAlignment="1">
      <alignment horizontal="left"/>
    </xf>
    <xf numFmtId="202" fontId="0" fillId="29" borderId="0" xfId="0" applyNumberFormat="1" applyFill="1" applyAlignment="1">
      <alignment horizontal="left"/>
    </xf>
    <xf numFmtId="203" fontId="23" fillId="0" borderId="0" xfId="0" applyNumberFormat="1" applyFont="1" applyAlignment="1">
      <alignment horizontal="left"/>
    </xf>
    <xf numFmtId="203" fontId="0" fillId="0" borderId="0" xfId="0" applyNumberFormat="1" applyAlignment="1">
      <alignment horizontal="left"/>
    </xf>
    <xf numFmtId="203" fontId="17" fillId="26" borderId="32" xfId="57" applyNumberFormat="1" applyFont="1" applyFill="1" applyBorder="1" applyAlignment="1">
      <alignment horizontal="left" wrapText="1"/>
    </xf>
    <xf numFmtId="203" fontId="20" fillId="0" borderId="0" xfId="0" applyNumberFormat="1" applyFont="1" applyFill="1" applyBorder="1" applyAlignment="1">
      <alignment horizontal="left"/>
    </xf>
    <xf numFmtId="203" fontId="20" fillId="0" borderId="0" xfId="0" applyNumberFormat="1" applyFont="1" applyFill="1" applyAlignment="1">
      <alignment horizontal="left"/>
    </xf>
    <xf numFmtId="1" fontId="0" fillId="0" borderId="0" xfId="0" applyNumberFormat="1" applyAlignment="1">
      <alignment horizontal="left"/>
    </xf>
    <xf numFmtId="0" fontId="61" fillId="0" borderId="31" xfId="0" applyFont="1" applyFill="1" applyBorder="1" applyAlignment="1">
      <alignment horizontal="center" vertical="center" wrapText="1"/>
    </xf>
    <xf numFmtId="0" fontId="0" fillId="0" borderId="0" xfId="0" applyAlignment="1">
      <alignment horizontal="left" wrapText="1"/>
    </xf>
    <xf numFmtId="0" fontId="0" fillId="0" borderId="0" xfId="0" applyAlignment="1">
      <alignment wrapText="1"/>
    </xf>
    <xf numFmtId="0" fontId="61" fillId="41" borderId="31" xfId="0" applyFont="1" applyFill="1" applyBorder="1" applyAlignment="1">
      <alignment horizontal="center" vertical="center" wrapText="1"/>
    </xf>
    <xf numFmtId="17" fontId="61" fillId="41" borderId="31" xfId="0" applyNumberFormat="1" applyFont="1" applyFill="1" applyBorder="1" applyAlignment="1">
      <alignment horizontal="center" vertical="center" wrapText="1"/>
    </xf>
    <xf numFmtId="0" fontId="62" fillId="0" borderId="31" xfId="35" applyFont="1" applyFill="1" applyBorder="1" applyAlignment="1" applyProtection="1">
      <alignment horizontal="left" vertical="center" wrapText="1"/>
    </xf>
    <xf numFmtId="0" fontId="0" fillId="0" borderId="0" xfId="0" applyAlignment="1">
      <alignment horizontal="center" vertical="center" wrapText="1"/>
    </xf>
    <xf numFmtId="0" fontId="11" fillId="24" borderId="17" xfId="0" applyFont="1" applyFill="1" applyBorder="1" applyAlignment="1">
      <alignment horizontal="right" vertical="top" wrapText="1"/>
    </xf>
    <xf numFmtId="0" fontId="11" fillId="24" borderId="16" xfId="0" applyFont="1" applyFill="1" applyBorder="1" applyAlignment="1">
      <alignment horizontal="right" vertical="top" wrapText="1"/>
    </xf>
    <xf numFmtId="0" fontId="2" fillId="0" borderId="41" xfId="0" applyFont="1" applyFill="1" applyBorder="1" applyAlignment="1">
      <alignment vertical="top" wrapText="1"/>
    </xf>
    <xf numFmtId="0" fontId="4" fillId="20" borderId="39" xfId="0" applyFont="1" applyFill="1" applyBorder="1" applyAlignment="1">
      <alignment vertical="top" wrapText="1"/>
    </xf>
    <xf numFmtId="0" fontId="2" fillId="24" borderId="17" xfId="0" applyFont="1" applyFill="1" applyBorder="1" applyAlignment="1">
      <alignment vertical="top" wrapText="1"/>
    </xf>
    <xf numFmtId="0" fontId="2" fillId="24" borderId="42" xfId="0" applyFont="1" applyFill="1" applyBorder="1" applyAlignment="1">
      <alignment vertical="top" wrapText="1"/>
    </xf>
    <xf numFmtId="0" fontId="11" fillId="24" borderId="17" xfId="0" applyNumberFormat="1" applyFont="1" applyFill="1" applyBorder="1" applyAlignment="1">
      <alignment horizontal="right" vertical="top" wrapText="1"/>
    </xf>
    <xf numFmtId="0" fontId="11" fillId="20" borderId="17" xfId="0" applyFont="1" applyFill="1" applyBorder="1" applyAlignment="1">
      <alignment vertical="top" wrapText="1"/>
    </xf>
    <xf numFmtId="0" fontId="11" fillId="20" borderId="15" xfId="0" applyFont="1" applyFill="1" applyBorder="1" applyAlignment="1">
      <alignment horizontal="right" vertical="top" wrapText="1"/>
    </xf>
    <xf numFmtId="0" fontId="11" fillId="20" borderId="21" xfId="0" applyFont="1" applyFill="1" applyBorder="1" applyAlignment="1">
      <alignment horizontal="right" vertical="top" wrapText="1"/>
    </xf>
    <xf numFmtId="0" fontId="5" fillId="0" borderId="0" xfId="0" applyFont="1" applyFill="1" applyBorder="1" applyAlignment="1">
      <alignment vertical="top" wrapText="1"/>
    </xf>
    <xf numFmtId="0" fontId="5" fillId="0" borderId="17" xfId="0" applyFont="1" applyFill="1" applyBorder="1" applyAlignment="1">
      <alignment vertical="top" wrapText="1"/>
    </xf>
    <xf numFmtId="0" fontId="4" fillId="0" borderId="0" xfId="0" applyFont="1" applyFill="1" applyBorder="1" applyAlignment="1">
      <alignment vertical="top" wrapText="1"/>
    </xf>
    <xf numFmtId="0" fontId="9" fillId="0" borderId="0" xfId="0" applyFont="1" applyFill="1" applyBorder="1" applyAlignment="1">
      <alignment horizontal="right" vertical="top" wrapText="1"/>
    </xf>
    <xf numFmtId="0" fontId="10" fillId="24" borderId="21" xfId="0" applyFont="1" applyFill="1" applyBorder="1" applyAlignment="1">
      <alignment vertical="top" wrapText="1"/>
    </xf>
    <xf numFmtId="0" fontId="5" fillId="0" borderId="17" xfId="0" applyFont="1" applyFill="1" applyBorder="1" applyAlignment="1" applyProtection="1">
      <alignment vertical="top" wrapText="1"/>
    </xf>
    <xf numFmtId="0" fontId="7" fillId="0" borderId="17" xfId="0" applyFont="1" applyFill="1" applyBorder="1" applyAlignment="1" applyProtection="1">
      <alignment vertical="top" wrapText="1"/>
    </xf>
    <xf numFmtId="0" fontId="5" fillId="0" borderId="40" xfId="0" applyFont="1" applyFill="1" applyBorder="1" applyAlignment="1">
      <alignment vertical="top" wrapText="1"/>
    </xf>
    <xf numFmtId="0" fontId="5" fillId="0" borderId="37" xfId="0" applyFont="1" applyFill="1" applyBorder="1" applyAlignment="1">
      <alignment vertical="top" wrapText="1"/>
    </xf>
    <xf numFmtId="0" fontId="5" fillId="0" borderId="38" xfId="0" applyFont="1" applyFill="1" applyBorder="1" applyAlignment="1">
      <alignment vertical="top" wrapText="1"/>
    </xf>
    <xf numFmtId="187" fontId="5" fillId="0" borderId="38" xfId="0" applyNumberFormat="1" applyFont="1" applyFill="1" applyBorder="1" applyAlignment="1">
      <alignment vertical="top" wrapText="1"/>
    </xf>
    <xf numFmtId="0" fontId="5" fillId="0" borderId="36" xfId="0" applyFont="1" applyFill="1" applyBorder="1" applyAlignment="1">
      <alignment vertical="top" wrapText="1"/>
    </xf>
    <xf numFmtId="187" fontId="5" fillId="0" borderId="0" xfId="0" applyNumberFormat="1" applyFont="1" applyFill="1" applyBorder="1" applyAlignment="1">
      <alignment vertical="top" wrapText="1"/>
    </xf>
    <xf numFmtId="0" fontId="8" fillId="0" borderId="35" xfId="0" applyFont="1" applyFill="1" applyBorder="1" applyAlignment="1">
      <alignment vertical="top" wrapText="1"/>
    </xf>
    <xf numFmtId="0" fontId="2" fillId="0" borderId="0" xfId="0" applyFont="1" applyFill="1" applyBorder="1" applyAlignment="1">
      <alignment vertical="top" wrapText="1"/>
    </xf>
    <xf numFmtId="0" fontId="5" fillId="0" borderId="0" xfId="0" applyFont="1" applyFill="1" applyBorder="1" applyAlignment="1">
      <alignment horizontal="right" vertical="top" wrapText="1"/>
    </xf>
    <xf numFmtId="0" fontId="2" fillId="0" borderId="34" xfId="0" applyFont="1" applyFill="1" applyBorder="1" applyAlignment="1">
      <alignment vertical="top" wrapText="1"/>
    </xf>
    <xf numFmtId="186" fontId="5" fillId="0" borderId="0" xfId="0" applyNumberFormat="1" applyFont="1" applyFill="1" applyBorder="1" applyAlignment="1">
      <alignment vertical="top" wrapText="1"/>
    </xf>
    <xf numFmtId="0" fontId="4" fillId="20" borderId="17" xfId="0" applyFont="1" applyFill="1" applyBorder="1" applyAlignment="1">
      <alignment vertical="top" wrapText="1"/>
    </xf>
    <xf numFmtId="0" fontId="7" fillId="0" borderId="17" xfId="0" applyFont="1" applyFill="1" applyBorder="1" applyAlignment="1">
      <alignment vertical="top" wrapText="1"/>
    </xf>
    <xf numFmtId="0" fontId="12" fillId="0" borderId="0" xfId="0" applyFont="1" applyFill="1" applyBorder="1" applyAlignment="1">
      <alignment vertical="top" wrapText="1"/>
    </xf>
    <xf numFmtId="0" fontId="2" fillId="0" borderId="17" xfId="0" applyFont="1" applyFill="1" applyBorder="1" applyAlignment="1">
      <alignment vertical="top" wrapText="1"/>
    </xf>
    <xf numFmtId="0" fontId="3" fillId="0" borderId="33" xfId="0" applyFont="1" applyFill="1" applyBorder="1" applyAlignment="1">
      <alignment vertical="top" wrapText="1"/>
    </xf>
    <xf numFmtId="0" fontId="4" fillId="0" borderId="33" xfId="0" applyFont="1" applyFill="1" applyBorder="1" applyAlignment="1">
      <alignment horizontal="right" vertical="top" wrapText="1"/>
    </xf>
    <xf numFmtId="0" fontId="6" fillId="0" borderId="0" xfId="0" applyFont="1" applyFill="1" applyBorder="1" applyAlignment="1">
      <alignment vertical="top" wrapText="1"/>
    </xf>
  </cellXfs>
  <cellStyles count="67">
    <cellStyle name="20% - Accent1 2" xfId="1"/>
    <cellStyle name="20% - Accent2 2" xfId="2"/>
    <cellStyle name="20% - Accent3 2" xfId="3"/>
    <cellStyle name="20% - Accent4 2" xfId="4"/>
    <cellStyle name="20% - Accent5 2" xfId="5"/>
    <cellStyle name="20% - Accent6 2" xfId="6"/>
    <cellStyle name="40% - Accent1 2" xfId="7"/>
    <cellStyle name="40% - Accent2 2" xfId="8"/>
    <cellStyle name="40% - Accent3 2" xfId="9"/>
    <cellStyle name="40% - Accent4 2" xfId="10"/>
    <cellStyle name="40% - Accent5 2" xfId="11"/>
    <cellStyle name="40% - Accent6 2" xfId="12"/>
    <cellStyle name="60% - Accent1 2" xfId="13"/>
    <cellStyle name="60% - Accent2 2" xfId="14"/>
    <cellStyle name="60% - Accent3 2" xfId="15"/>
    <cellStyle name="60% - Accent4 2" xfId="16"/>
    <cellStyle name="60% - Accent5 2" xfId="17"/>
    <cellStyle name="60% - Accent6 2" xfId="18"/>
    <cellStyle name="Accent1 2" xfId="19"/>
    <cellStyle name="Accent2 2" xfId="20"/>
    <cellStyle name="Accent3 2" xfId="21"/>
    <cellStyle name="Accent4 2" xfId="22"/>
    <cellStyle name="Accent5 2" xfId="23"/>
    <cellStyle name="Accent6 2" xfId="24"/>
    <cellStyle name="Bad 2" xfId="25"/>
    <cellStyle name="Calculation 2" xfId="26"/>
    <cellStyle name="Check Cell 2" xfId="27"/>
    <cellStyle name="Explanatory Text 2" xfId="28"/>
    <cellStyle name="Good 2" xfId="29"/>
    <cellStyle name="Good 2 2" xfId="30"/>
    <cellStyle name="Heading 1 2" xfId="31"/>
    <cellStyle name="Heading 2 2" xfId="32"/>
    <cellStyle name="Heading 3 2" xfId="33"/>
    <cellStyle name="Heading 4 2" xfId="34"/>
    <cellStyle name="Hyperlink" xfId="35" builtinId="8"/>
    <cellStyle name="Input 2" xfId="36"/>
    <cellStyle name="Input 2 2" xfId="37"/>
    <cellStyle name="Linked Cell 2" xfId="38"/>
    <cellStyle name="Neutral 2" xfId="39"/>
    <cellStyle name="Normal" xfId="0" builtinId="0"/>
    <cellStyle name="Normal 10" xfId="40"/>
    <cellStyle name="Normal 2" xfId="41"/>
    <cellStyle name="Normal 2 2" xfId="42"/>
    <cellStyle name="Normal 2 3" xfId="43"/>
    <cellStyle name="Normal 3" xfId="44"/>
    <cellStyle name="Normal 3 2" xfId="45"/>
    <cellStyle name="Normal 4" xfId="46"/>
    <cellStyle name="Normal 4 2" xfId="47"/>
    <cellStyle name="Normal 6" xfId="48"/>
    <cellStyle name="Normal_ELC_FI" xfId="49"/>
    <cellStyle name="Normal_ELC_FR" xfId="50"/>
    <cellStyle name="Normal_ELC_FR_1" xfId="51"/>
    <cellStyle name="Normal_ELC_IT" xfId="52"/>
    <cellStyle name="Normal_ELC_LT" xfId="53"/>
    <cellStyle name="Normal_ELC_SK" xfId="54"/>
    <cellStyle name="Normal_ELC_SK_1" xfId="55"/>
    <cellStyle name="Normal_ELC_UK" xfId="56"/>
    <cellStyle name="Normal_SUBRES_B-NTech-BE" xfId="57"/>
    <cellStyle name="Normale_Scen_UC_IND-StrucConst" xfId="58"/>
    <cellStyle name="Note 2" xfId="59"/>
    <cellStyle name="Output 2" xfId="60"/>
    <cellStyle name="Percent 2" xfId="61"/>
    <cellStyle name="Percent 3 2" xfId="62"/>
    <cellStyle name="Percent 4" xfId="63"/>
    <cellStyle name="Title 2" xfId="64"/>
    <cellStyle name="Total 2" xfId="65"/>
    <cellStyle name="Warning Text 2" xfId="6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calcChain" Target="calcChain.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jpe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jpe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8.jpe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8.jpe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8.jpe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jpe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1.jpeg"/><Relationship Id="rId4"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jpeg"/><Relationship Id="rId4"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28.jpeg"/><Relationship Id="rId4"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28.jpeg"/><Relationship Id="rId4"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28.jpeg"/><Relationship Id="rId4"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jpeg"/><Relationship Id="rId4" Type="http://schemas.openxmlformats.org/officeDocument/2006/relationships/image" Target="../media/image4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1.jpeg"/><Relationship Id="rId4" Type="http://schemas.openxmlformats.org/officeDocument/2006/relationships/image" Target="../media/image4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jpeg"/><Relationship Id="rId4" Type="http://schemas.openxmlformats.org/officeDocument/2006/relationships/image" Target="../media/image5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48.jpe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jpeg"/><Relationship Id="rId4" Type="http://schemas.openxmlformats.org/officeDocument/2006/relationships/image" Target="../media/image5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jpeg"/><Relationship Id="rId4" Type="http://schemas.openxmlformats.org/officeDocument/2006/relationships/image" Target="../media/image6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jpeg"/><Relationship Id="rId4" Type="http://schemas.openxmlformats.org/officeDocument/2006/relationships/image" Target="../media/image6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6.jpeg"/><Relationship Id="rId4" Type="http://schemas.openxmlformats.org/officeDocument/2006/relationships/image" Target="../media/image72.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66.jpeg"/><Relationship Id="rId4" Type="http://schemas.openxmlformats.org/officeDocument/2006/relationships/image" Target="../media/image7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66.jpeg"/><Relationship Id="rId4" Type="http://schemas.openxmlformats.org/officeDocument/2006/relationships/image" Target="../media/image7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jpeg"/><Relationship Id="rId5" Type="http://schemas.openxmlformats.org/officeDocument/2006/relationships/image" Target="../media/image92.jpeg"/><Relationship Id="rId4" Type="http://schemas.openxmlformats.org/officeDocument/2006/relationships/image" Target="../media/image91.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88.jpeg"/><Relationship Id="rId5" Type="http://schemas.openxmlformats.org/officeDocument/2006/relationships/image" Target="../media/image92.jpeg"/><Relationship Id="rId4" Type="http://schemas.openxmlformats.org/officeDocument/2006/relationships/image" Target="../media/image95.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jpeg"/><Relationship Id="rId5" Type="http://schemas.openxmlformats.org/officeDocument/2006/relationships/image" Target="../media/image100.jpeg"/><Relationship Id="rId4" Type="http://schemas.openxmlformats.org/officeDocument/2006/relationships/image" Target="../media/image99.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96.jpeg"/><Relationship Id="rId5" Type="http://schemas.openxmlformats.org/officeDocument/2006/relationships/image" Target="../media/image100.jpeg"/><Relationship Id="rId4" Type="http://schemas.openxmlformats.org/officeDocument/2006/relationships/image" Target="../media/image10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jpeg"/><Relationship Id="rId4" Type="http://schemas.openxmlformats.org/officeDocument/2006/relationships/image" Target="../media/image107.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4.jpeg"/><Relationship Id="rId4" Type="http://schemas.openxmlformats.org/officeDocument/2006/relationships/image" Target="../media/image110.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37.png"/><Relationship Id="rId2" Type="http://schemas.openxmlformats.org/officeDocument/2006/relationships/image" Target="../media/image136.png"/><Relationship Id="rId1" Type="http://schemas.openxmlformats.org/officeDocument/2006/relationships/image" Target="../media/image135.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44.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45.xml.rels><?xml version="1.0" encoding="UTF-8" standalone="yes"?>
<Relationships xmlns="http://schemas.openxmlformats.org/package/2006/relationships"><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s>
</file>

<file path=xl/drawings/_rels/drawing46.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47.xml.rels><?xml version="1.0" encoding="UTF-8" standalone="yes"?>
<Relationships xmlns="http://schemas.openxmlformats.org/package/2006/relationships"><Relationship Id="rId3" Type="http://schemas.openxmlformats.org/officeDocument/2006/relationships/image" Target="../media/image155.png"/><Relationship Id="rId2" Type="http://schemas.openxmlformats.org/officeDocument/2006/relationships/image" Target="../media/image154.png"/><Relationship Id="rId1" Type="http://schemas.openxmlformats.org/officeDocument/2006/relationships/image" Target="../media/image153.png"/></Relationships>
</file>

<file path=xl/drawings/_rels/drawing48.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49.xml.rels><?xml version="1.0" encoding="UTF-8" standalone="yes"?>
<Relationships xmlns="http://schemas.openxmlformats.org/package/2006/relationships"><Relationship Id="rId3" Type="http://schemas.openxmlformats.org/officeDocument/2006/relationships/image" Target="../media/image161.png"/><Relationship Id="rId2" Type="http://schemas.openxmlformats.org/officeDocument/2006/relationships/image" Target="../media/image160.png"/><Relationship Id="rId1" Type="http://schemas.openxmlformats.org/officeDocument/2006/relationships/image" Target="../media/image159.png"/></Relationships>
</file>

<file path=xl/drawings/_rels/drawing50.xml.rels><?xml version="1.0" encoding="UTF-8" standalone="yes"?>
<Relationships xmlns="http://schemas.openxmlformats.org/package/2006/relationships"><Relationship Id="rId3" Type="http://schemas.openxmlformats.org/officeDocument/2006/relationships/image" Target="../media/image164.png"/><Relationship Id="rId2" Type="http://schemas.openxmlformats.org/officeDocument/2006/relationships/image" Target="../media/image163.png"/><Relationship Id="rId1" Type="http://schemas.openxmlformats.org/officeDocument/2006/relationships/image" Target="../media/image162.png"/></Relationships>
</file>

<file path=xl/drawings/_rels/drawing51.xml.rels><?xml version="1.0" encoding="UTF-8" standalone="yes"?>
<Relationships xmlns="http://schemas.openxmlformats.org/package/2006/relationships"><Relationship Id="rId3" Type="http://schemas.openxmlformats.org/officeDocument/2006/relationships/image" Target="../media/image167.png"/><Relationship Id="rId2" Type="http://schemas.openxmlformats.org/officeDocument/2006/relationships/image" Target="../media/image166.png"/><Relationship Id="rId1" Type="http://schemas.openxmlformats.org/officeDocument/2006/relationships/image" Target="../media/image165.png"/></Relationships>
</file>

<file path=xl/drawings/_rels/drawing52.xml.rels><?xml version="1.0" encoding="UTF-8" standalone="yes"?>
<Relationships xmlns="http://schemas.openxmlformats.org/package/2006/relationships"><Relationship Id="rId3" Type="http://schemas.openxmlformats.org/officeDocument/2006/relationships/image" Target="../media/image170.png"/><Relationship Id="rId2" Type="http://schemas.openxmlformats.org/officeDocument/2006/relationships/image" Target="../media/image169.png"/><Relationship Id="rId1" Type="http://schemas.openxmlformats.org/officeDocument/2006/relationships/image" Target="../media/image168.png"/></Relationships>
</file>

<file path=xl/drawings/_rels/drawing53.xml.rels><?xml version="1.0" encoding="UTF-8" standalone="yes"?>
<Relationships xmlns="http://schemas.openxmlformats.org/package/2006/relationships"><Relationship Id="rId3" Type="http://schemas.openxmlformats.org/officeDocument/2006/relationships/image" Target="../media/image173.png"/><Relationship Id="rId2" Type="http://schemas.openxmlformats.org/officeDocument/2006/relationships/image" Target="../media/image172.png"/><Relationship Id="rId1" Type="http://schemas.openxmlformats.org/officeDocument/2006/relationships/image" Target="../media/image171.png"/></Relationships>
</file>

<file path=xl/drawings/_rels/drawing54.xml.rels><?xml version="1.0" encoding="UTF-8" standalone="yes"?>
<Relationships xmlns="http://schemas.openxmlformats.org/package/2006/relationships"><Relationship Id="rId3" Type="http://schemas.openxmlformats.org/officeDocument/2006/relationships/image" Target="../media/image176.png"/><Relationship Id="rId2" Type="http://schemas.openxmlformats.org/officeDocument/2006/relationships/image" Target="../media/image175.png"/><Relationship Id="rId1" Type="http://schemas.openxmlformats.org/officeDocument/2006/relationships/image" Target="../media/image174.png"/></Relationships>
</file>

<file path=xl/drawings/_rels/drawing55.xml.rels><?xml version="1.0" encoding="UTF-8" standalone="yes"?>
<Relationships xmlns="http://schemas.openxmlformats.org/package/2006/relationships"><Relationship Id="rId3" Type="http://schemas.openxmlformats.org/officeDocument/2006/relationships/image" Target="../media/image179.png"/><Relationship Id="rId2" Type="http://schemas.openxmlformats.org/officeDocument/2006/relationships/image" Target="../media/image178.png"/><Relationship Id="rId1" Type="http://schemas.openxmlformats.org/officeDocument/2006/relationships/image" Target="../media/image177.png"/></Relationships>
</file>

<file path=xl/drawings/_rels/drawing56.xml.rels><?xml version="1.0" encoding="UTF-8" standalone="yes"?>
<Relationships xmlns="http://schemas.openxmlformats.org/package/2006/relationships"><Relationship Id="rId3" Type="http://schemas.openxmlformats.org/officeDocument/2006/relationships/image" Target="../media/image182.png"/><Relationship Id="rId2" Type="http://schemas.openxmlformats.org/officeDocument/2006/relationships/image" Target="../media/image181.png"/><Relationship Id="rId1" Type="http://schemas.openxmlformats.org/officeDocument/2006/relationships/image" Target="../media/image180.png"/></Relationships>
</file>

<file path=xl/drawings/_rels/drawing57.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s>
</file>

<file path=xl/drawings/_rels/drawing58.xml.rels><?xml version="1.0" encoding="UTF-8" standalone="yes"?>
<Relationships xmlns="http://schemas.openxmlformats.org/package/2006/relationships"><Relationship Id="rId3" Type="http://schemas.openxmlformats.org/officeDocument/2006/relationships/image" Target="../media/image188.png"/><Relationship Id="rId2" Type="http://schemas.openxmlformats.org/officeDocument/2006/relationships/image" Target="../media/image187.png"/><Relationship Id="rId1" Type="http://schemas.openxmlformats.org/officeDocument/2006/relationships/image" Target="../media/image186.png"/></Relationships>
</file>

<file path=xl/drawings/_rels/drawing59.xml.rels><?xml version="1.0" encoding="UTF-8" standalone="yes"?>
<Relationships xmlns="http://schemas.openxmlformats.org/package/2006/relationships"><Relationship Id="rId3" Type="http://schemas.openxmlformats.org/officeDocument/2006/relationships/image" Target="../media/image191.png"/><Relationship Id="rId2" Type="http://schemas.openxmlformats.org/officeDocument/2006/relationships/image" Target="../media/image190.png"/><Relationship Id="rId1" Type="http://schemas.openxmlformats.org/officeDocument/2006/relationships/image" Target="../media/image189.png"/></Relationships>
</file>

<file path=xl/drawings/_rels/drawing60.xml.rels><?xml version="1.0" encoding="UTF-8" standalone="yes"?>
<Relationships xmlns="http://schemas.openxmlformats.org/package/2006/relationships"><Relationship Id="rId3" Type="http://schemas.openxmlformats.org/officeDocument/2006/relationships/image" Target="../media/image194.png"/><Relationship Id="rId2" Type="http://schemas.openxmlformats.org/officeDocument/2006/relationships/image" Target="../media/image193.png"/><Relationship Id="rId1" Type="http://schemas.openxmlformats.org/officeDocument/2006/relationships/image" Target="../media/image192.png"/></Relationships>
</file>

<file path=xl/drawings/_rels/drawing61.xml.rels><?xml version="1.0" encoding="UTF-8" standalone="yes"?>
<Relationships xmlns="http://schemas.openxmlformats.org/package/2006/relationships"><Relationship Id="rId3" Type="http://schemas.openxmlformats.org/officeDocument/2006/relationships/image" Target="../media/image197.png"/><Relationship Id="rId2" Type="http://schemas.openxmlformats.org/officeDocument/2006/relationships/image" Target="../media/image196.png"/><Relationship Id="rId1" Type="http://schemas.openxmlformats.org/officeDocument/2006/relationships/image" Target="../media/image195.png"/></Relationships>
</file>

<file path=xl/drawings/_rels/drawing62.xml.rels><?xml version="1.0" encoding="UTF-8" standalone="yes"?>
<Relationships xmlns="http://schemas.openxmlformats.org/package/2006/relationships"><Relationship Id="rId3" Type="http://schemas.openxmlformats.org/officeDocument/2006/relationships/image" Target="../media/image200.png"/><Relationship Id="rId2" Type="http://schemas.openxmlformats.org/officeDocument/2006/relationships/image" Target="../media/image199.png"/><Relationship Id="rId1" Type="http://schemas.openxmlformats.org/officeDocument/2006/relationships/image" Target="../media/image198.png"/></Relationships>
</file>

<file path=xl/drawings/_rels/drawing63.xml.rels><?xml version="1.0" encoding="UTF-8" standalone="yes"?>
<Relationships xmlns="http://schemas.openxmlformats.org/package/2006/relationships"><Relationship Id="rId3" Type="http://schemas.openxmlformats.org/officeDocument/2006/relationships/image" Target="../media/image203.png"/><Relationship Id="rId2" Type="http://schemas.openxmlformats.org/officeDocument/2006/relationships/image" Target="../media/image202.png"/><Relationship Id="rId1" Type="http://schemas.openxmlformats.org/officeDocument/2006/relationships/image" Target="../media/image201.png"/></Relationships>
</file>

<file path=xl/drawings/_rels/drawing64.xml.rels><?xml version="1.0" encoding="UTF-8" standalone="yes"?>
<Relationships xmlns="http://schemas.openxmlformats.org/package/2006/relationships"><Relationship Id="rId3" Type="http://schemas.openxmlformats.org/officeDocument/2006/relationships/image" Target="../media/image206.png"/><Relationship Id="rId2" Type="http://schemas.openxmlformats.org/officeDocument/2006/relationships/image" Target="../media/image205.png"/><Relationship Id="rId1" Type="http://schemas.openxmlformats.org/officeDocument/2006/relationships/image" Target="../media/image204.png"/></Relationships>
</file>

<file path=xl/drawings/_rels/drawing65.xml.rels><?xml version="1.0" encoding="UTF-8" standalone="yes"?>
<Relationships xmlns="http://schemas.openxmlformats.org/package/2006/relationships"><Relationship Id="rId3" Type="http://schemas.openxmlformats.org/officeDocument/2006/relationships/image" Target="../media/image209.png"/><Relationship Id="rId2" Type="http://schemas.openxmlformats.org/officeDocument/2006/relationships/image" Target="../media/image208.png"/><Relationship Id="rId1" Type="http://schemas.openxmlformats.org/officeDocument/2006/relationships/image" Target="../media/image207.png"/></Relationships>
</file>

<file path=xl/drawings/_rels/drawing66.xml.rels><?xml version="1.0" encoding="UTF-8" standalone="yes"?>
<Relationships xmlns="http://schemas.openxmlformats.org/package/2006/relationships"><Relationship Id="rId3" Type="http://schemas.openxmlformats.org/officeDocument/2006/relationships/image" Target="../media/image212.png"/><Relationship Id="rId2" Type="http://schemas.openxmlformats.org/officeDocument/2006/relationships/image" Target="../media/image211.png"/><Relationship Id="rId1" Type="http://schemas.openxmlformats.org/officeDocument/2006/relationships/image" Target="../media/image210.png"/></Relationships>
</file>

<file path=xl/drawings/_rels/drawing67.xml.rels><?xml version="1.0" encoding="UTF-8" standalone="yes"?>
<Relationships xmlns="http://schemas.openxmlformats.org/package/2006/relationships"><Relationship Id="rId3" Type="http://schemas.openxmlformats.org/officeDocument/2006/relationships/image" Target="../media/image215.png"/><Relationship Id="rId2" Type="http://schemas.openxmlformats.org/officeDocument/2006/relationships/image" Target="../media/image214.png"/><Relationship Id="rId1" Type="http://schemas.openxmlformats.org/officeDocument/2006/relationships/image" Target="../media/image213.png"/></Relationships>
</file>

<file path=xl/drawings/_rels/drawing68.xml.rels><?xml version="1.0" encoding="UTF-8" standalone="yes"?>
<Relationships xmlns="http://schemas.openxmlformats.org/package/2006/relationships"><Relationship Id="rId3" Type="http://schemas.openxmlformats.org/officeDocument/2006/relationships/image" Target="../media/image218.png"/><Relationship Id="rId2" Type="http://schemas.openxmlformats.org/officeDocument/2006/relationships/image" Target="../media/image217.png"/><Relationship Id="rId1" Type="http://schemas.openxmlformats.org/officeDocument/2006/relationships/image" Target="../media/image216.png"/></Relationships>
</file>

<file path=xl/drawings/_rels/drawing69.xml.rels><?xml version="1.0" encoding="UTF-8" standalone="yes"?>
<Relationships xmlns="http://schemas.openxmlformats.org/package/2006/relationships"><Relationship Id="rId3" Type="http://schemas.openxmlformats.org/officeDocument/2006/relationships/image" Target="../media/image221.png"/><Relationship Id="rId2" Type="http://schemas.openxmlformats.org/officeDocument/2006/relationships/image" Target="../media/image220.png"/><Relationship Id="rId1" Type="http://schemas.openxmlformats.org/officeDocument/2006/relationships/image" Target="../media/image219.png"/></Relationships>
</file>

<file path=xl/drawings/_rels/drawing70.xml.rels><?xml version="1.0" encoding="UTF-8" standalone="yes"?>
<Relationships xmlns="http://schemas.openxmlformats.org/package/2006/relationships"><Relationship Id="rId3" Type="http://schemas.openxmlformats.org/officeDocument/2006/relationships/image" Target="../media/image224.png"/><Relationship Id="rId2" Type="http://schemas.openxmlformats.org/officeDocument/2006/relationships/image" Target="../media/image223.png"/><Relationship Id="rId1" Type="http://schemas.openxmlformats.org/officeDocument/2006/relationships/image" Target="../media/image222.png"/></Relationships>
</file>

<file path=xl/drawings/_rels/drawing71.xml.rels><?xml version="1.0" encoding="UTF-8" standalone="yes"?>
<Relationships xmlns="http://schemas.openxmlformats.org/package/2006/relationships"><Relationship Id="rId3" Type="http://schemas.openxmlformats.org/officeDocument/2006/relationships/image" Target="../media/image227.png"/><Relationship Id="rId2" Type="http://schemas.openxmlformats.org/officeDocument/2006/relationships/image" Target="../media/image226.png"/><Relationship Id="rId1" Type="http://schemas.openxmlformats.org/officeDocument/2006/relationships/image" Target="../media/image225.png"/></Relationships>
</file>

<file path=xl/drawings/_rels/drawing72.xml.rels><?xml version="1.0" encoding="UTF-8" standalone="yes"?>
<Relationships xmlns="http://schemas.openxmlformats.org/package/2006/relationships"><Relationship Id="rId3" Type="http://schemas.openxmlformats.org/officeDocument/2006/relationships/image" Target="../media/image230.png"/><Relationship Id="rId2" Type="http://schemas.openxmlformats.org/officeDocument/2006/relationships/image" Target="../media/image229.png"/><Relationship Id="rId1" Type="http://schemas.openxmlformats.org/officeDocument/2006/relationships/image" Target="../media/image228.png"/></Relationships>
</file>

<file path=xl/drawings/_rels/drawing73.xml.rels><?xml version="1.0" encoding="UTF-8" standalone="yes"?>
<Relationships xmlns="http://schemas.openxmlformats.org/package/2006/relationships"><Relationship Id="rId3" Type="http://schemas.openxmlformats.org/officeDocument/2006/relationships/image" Target="../media/image233.png"/><Relationship Id="rId2" Type="http://schemas.openxmlformats.org/officeDocument/2006/relationships/image" Target="../media/image232.png"/><Relationship Id="rId1" Type="http://schemas.openxmlformats.org/officeDocument/2006/relationships/image" Target="../media/image231.png"/></Relationships>
</file>

<file path=xl/drawings/_rels/drawing74.xml.rels><?xml version="1.0" encoding="UTF-8" standalone="yes"?>
<Relationships xmlns="http://schemas.openxmlformats.org/package/2006/relationships"><Relationship Id="rId3" Type="http://schemas.openxmlformats.org/officeDocument/2006/relationships/image" Target="../media/image236.png"/><Relationship Id="rId2" Type="http://schemas.openxmlformats.org/officeDocument/2006/relationships/image" Target="../media/image235.png"/><Relationship Id="rId1" Type="http://schemas.openxmlformats.org/officeDocument/2006/relationships/image" Target="../media/image234.png"/></Relationships>
</file>

<file path=xl/drawings/_rels/drawing75.xml.rels><?xml version="1.0" encoding="UTF-8" standalone="yes"?>
<Relationships xmlns="http://schemas.openxmlformats.org/package/2006/relationships"><Relationship Id="rId3" Type="http://schemas.openxmlformats.org/officeDocument/2006/relationships/image" Target="../media/image239.png"/><Relationship Id="rId2" Type="http://schemas.openxmlformats.org/officeDocument/2006/relationships/image" Target="../media/image238.png"/><Relationship Id="rId1" Type="http://schemas.openxmlformats.org/officeDocument/2006/relationships/image" Target="../media/image237.png"/></Relationships>
</file>

<file path=xl/drawings/_rels/drawing76.xml.rels><?xml version="1.0" encoding="UTF-8" standalone="yes"?>
<Relationships xmlns="http://schemas.openxmlformats.org/package/2006/relationships"><Relationship Id="rId3" Type="http://schemas.openxmlformats.org/officeDocument/2006/relationships/image" Target="../media/image242.png"/><Relationship Id="rId2" Type="http://schemas.openxmlformats.org/officeDocument/2006/relationships/image" Target="../media/image241.png"/><Relationship Id="rId1" Type="http://schemas.openxmlformats.org/officeDocument/2006/relationships/image" Target="../media/image240.png"/></Relationships>
</file>

<file path=xl/drawings/_rels/drawing77.xml.rels><?xml version="1.0" encoding="UTF-8" standalone="yes"?>
<Relationships xmlns="http://schemas.openxmlformats.org/package/2006/relationships"><Relationship Id="rId3" Type="http://schemas.openxmlformats.org/officeDocument/2006/relationships/image" Target="../media/image245.png"/><Relationship Id="rId2" Type="http://schemas.openxmlformats.org/officeDocument/2006/relationships/image" Target="../media/image244.png"/><Relationship Id="rId1" Type="http://schemas.openxmlformats.org/officeDocument/2006/relationships/image" Target="../media/image243.png"/></Relationships>
</file>

<file path=xl/drawings/_rels/drawing78.xml.rels><?xml version="1.0" encoding="UTF-8" standalone="yes"?>
<Relationships xmlns="http://schemas.openxmlformats.org/package/2006/relationships"><Relationship Id="rId3" Type="http://schemas.openxmlformats.org/officeDocument/2006/relationships/image" Target="../media/image248.png"/><Relationship Id="rId2" Type="http://schemas.openxmlformats.org/officeDocument/2006/relationships/image" Target="../media/image247.png"/><Relationship Id="rId1" Type="http://schemas.openxmlformats.org/officeDocument/2006/relationships/image" Target="../media/image246.png"/></Relationships>
</file>

<file path=xl/drawings/_rels/drawing79.xml.rels><?xml version="1.0" encoding="UTF-8" standalone="yes"?>
<Relationships xmlns="http://schemas.openxmlformats.org/package/2006/relationships"><Relationship Id="rId3" Type="http://schemas.openxmlformats.org/officeDocument/2006/relationships/image" Target="../media/image251.png"/><Relationship Id="rId2" Type="http://schemas.openxmlformats.org/officeDocument/2006/relationships/image" Target="../media/image250.png"/><Relationship Id="rId1" Type="http://schemas.openxmlformats.org/officeDocument/2006/relationships/image" Target="../media/image249.png"/></Relationships>
</file>

<file path=xl/drawings/_rels/drawing80.xml.rels><?xml version="1.0" encoding="UTF-8" standalone="yes"?>
<Relationships xmlns="http://schemas.openxmlformats.org/package/2006/relationships"><Relationship Id="rId3" Type="http://schemas.openxmlformats.org/officeDocument/2006/relationships/image" Target="../media/image254.png"/><Relationship Id="rId2" Type="http://schemas.openxmlformats.org/officeDocument/2006/relationships/image" Target="../media/image253.png"/><Relationship Id="rId1" Type="http://schemas.openxmlformats.org/officeDocument/2006/relationships/image" Target="../media/image252.png"/></Relationships>
</file>

<file path=xl/drawings/_rels/drawing81.xml.rels><?xml version="1.0" encoding="UTF-8" standalone="yes"?>
<Relationships xmlns="http://schemas.openxmlformats.org/package/2006/relationships"><Relationship Id="rId3" Type="http://schemas.openxmlformats.org/officeDocument/2006/relationships/image" Target="../media/image257.png"/><Relationship Id="rId2" Type="http://schemas.openxmlformats.org/officeDocument/2006/relationships/image" Target="../media/image256.png"/><Relationship Id="rId1" Type="http://schemas.openxmlformats.org/officeDocument/2006/relationships/image" Target="../media/image255.png"/></Relationships>
</file>

<file path=xl/drawings/_rels/drawing82.xml.rels><?xml version="1.0" encoding="UTF-8" standalone="yes"?>
<Relationships xmlns="http://schemas.openxmlformats.org/package/2006/relationships"><Relationship Id="rId3" Type="http://schemas.openxmlformats.org/officeDocument/2006/relationships/image" Target="../media/image260.png"/><Relationship Id="rId2" Type="http://schemas.openxmlformats.org/officeDocument/2006/relationships/image" Target="../media/image259.png"/><Relationship Id="rId1" Type="http://schemas.openxmlformats.org/officeDocument/2006/relationships/image" Target="../media/image258.png"/></Relationships>
</file>

<file path=xl/drawings/_rels/drawing83.xml.rels><?xml version="1.0" encoding="UTF-8" standalone="yes"?>
<Relationships xmlns="http://schemas.openxmlformats.org/package/2006/relationships"><Relationship Id="rId3" Type="http://schemas.openxmlformats.org/officeDocument/2006/relationships/image" Target="../media/image263.png"/><Relationship Id="rId2" Type="http://schemas.openxmlformats.org/officeDocument/2006/relationships/image" Target="../media/image262.png"/><Relationship Id="rId1" Type="http://schemas.openxmlformats.org/officeDocument/2006/relationships/image" Target="../media/image261.png"/></Relationships>
</file>

<file path=xl/drawings/_rels/drawing84.xml.rels><?xml version="1.0" encoding="UTF-8" standalone="yes"?>
<Relationships xmlns="http://schemas.openxmlformats.org/package/2006/relationships"><Relationship Id="rId3" Type="http://schemas.openxmlformats.org/officeDocument/2006/relationships/image" Target="../media/image266.png"/><Relationship Id="rId2" Type="http://schemas.openxmlformats.org/officeDocument/2006/relationships/image" Target="../media/image265.png"/><Relationship Id="rId1" Type="http://schemas.openxmlformats.org/officeDocument/2006/relationships/image" Target="../media/image264.png"/></Relationships>
</file>

<file path=xl/drawings/_rels/drawing85.xml.rels><?xml version="1.0" encoding="UTF-8" standalone="yes"?>
<Relationships xmlns="http://schemas.openxmlformats.org/package/2006/relationships"><Relationship Id="rId3" Type="http://schemas.openxmlformats.org/officeDocument/2006/relationships/image" Target="../media/image269.png"/><Relationship Id="rId2" Type="http://schemas.openxmlformats.org/officeDocument/2006/relationships/image" Target="../media/image268.png"/><Relationship Id="rId1" Type="http://schemas.openxmlformats.org/officeDocument/2006/relationships/image" Target="../media/image267.png"/></Relationships>
</file>

<file path=xl/drawings/_rels/drawing86.xml.rels><?xml version="1.0" encoding="UTF-8" standalone="yes"?>
<Relationships xmlns="http://schemas.openxmlformats.org/package/2006/relationships"><Relationship Id="rId3" Type="http://schemas.openxmlformats.org/officeDocument/2006/relationships/image" Target="../media/image272.png"/><Relationship Id="rId2" Type="http://schemas.openxmlformats.org/officeDocument/2006/relationships/image" Target="../media/image271.png"/><Relationship Id="rId1" Type="http://schemas.openxmlformats.org/officeDocument/2006/relationships/image" Target="../media/image270.png"/></Relationships>
</file>

<file path=xl/drawings/_rels/drawing87.xml.rels><?xml version="1.0" encoding="UTF-8" standalone="yes"?>
<Relationships xmlns="http://schemas.openxmlformats.org/package/2006/relationships"><Relationship Id="rId3" Type="http://schemas.openxmlformats.org/officeDocument/2006/relationships/image" Target="../media/image275.png"/><Relationship Id="rId2" Type="http://schemas.openxmlformats.org/officeDocument/2006/relationships/image" Target="../media/image274.png"/><Relationship Id="rId1" Type="http://schemas.openxmlformats.org/officeDocument/2006/relationships/image" Target="../media/image273.png"/></Relationships>
</file>

<file path=xl/drawings/_rels/drawing88.xml.rels><?xml version="1.0" encoding="UTF-8" standalone="yes"?>
<Relationships xmlns="http://schemas.openxmlformats.org/package/2006/relationships"><Relationship Id="rId3" Type="http://schemas.openxmlformats.org/officeDocument/2006/relationships/image" Target="../media/image278.png"/><Relationship Id="rId2" Type="http://schemas.openxmlformats.org/officeDocument/2006/relationships/image" Target="../media/image277.png"/><Relationship Id="rId1" Type="http://schemas.openxmlformats.org/officeDocument/2006/relationships/image" Target="../media/image276.png"/></Relationships>
</file>

<file path=xl/drawings/_rels/drawing89.xml.rels><?xml version="1.0" encoding="UTF-8" standalone="yes"?>
<Relationships xmlns="http://schemas.openxmlformats.org/package/2006/relationships"><Relationship Id="rId3" Type="http://schemas.openxmlformats.org/officeDocument/2006/relationships/image" Target="../media/image281.png"/><Relationship Id="rId2" Type="http://schemas.openxmlformats.org/officeDocument/2006/relationships/image" Target="../media/image280.png"/><Relationship Id="rId1" Type="http://schemas.openxmlformats.org/officeDocument/2006/relationships/image" Target="../media/image279.png"/></Relationships>
</file>

<file path=xl/drawings/_rels/drawing90.xml.rels><?xml version="1.0" encoding="UTF-8" standalone="yes"?>
<Relationships xmlns="http://schemas.openxmlformats.org/package/2006/relationships"><Relationship Id="rId3" Type="http://schemas.openxmlformats.org/officeDocument/2006/relationships/image" Target="../media/image284.png"/><Relationship Id="rId2" Type="http://schemas.openxmlformats.org/officeDocument/2006/relationships/image" Target="../media/image283.png"/><Relationship Id="rId1" Type="http://schemas.openxmlformats.org/officeDocument/2006/relationships/image" Target="../media/image282.png"/></Relationships>
</file>

<file path=xl/drawings/_rels/drawing91.xml.rels><?xml version="1.0" encoding="UTF-8" standalone="yes"?>
<Relationships xmlns="http://schemas.openxmlformats.org/package/2006/relationships"><Relationship Id="rId3" Type="http://schemas.openxmlformats.org/officeDocument/2006/relationships/image" Target="../media/image287.png"/><Relationship Id="rId2" Type="http://schemas.openxmlformats.org/officeDocument/2006/relationships/image" Target="../media/image286.png"/><Relationship Id="rId1" Type="http://schemas.openxmlformats.org/officeDocument/2006/relationships/image" Target="../media/image285.png"/></Relationships>
</file>

<file path=xl/drawings/_rels/drawing92.xml.rels><?xml version="1.0" encoding="UTF-8" standalone="yes"?>
<Relationships xmlns="http://schemas.openxmlformats.org/package/2006/relationships"><Relationship Id="rId3" Type="http://schemas.openxmlformats.org/officeDocument/2006/relationships/image" Target="../media/image290.png"/><Relationship Id="rId2" Type="http://schemas.openxmlformats.org/officeDocument/2006/relationships/image" Target="../media/image289.png"/><Relationship Id="rId1" Type="http://schemas.openxmlformats.org/officeDocument/2006/relationships/image" Target="../media/image288.png"/></Relationships>
</file>

<file path=xl/drawings/_rels/drawing93.xml.rels><?xml version="1.0" encoding="UTF-8" standalone="yes"?>
<Relationships xmlns="http://schemas.openxmlformats.org/package/2006/relationships"><Relationship Id="rId3" Type="http://schemas.openxmlformats.org/officeDocument/2006/relationships/image" Target="../media/image293.png"/><Relationship Id="rId2" Type="http://schemas.openxmlformats.org/officeDocument/2006/relationships/image" Target="../media/image292.png"/><Relationship Id="rId1" Type="http://schemas.openxmlformats.org/officeDocument/2006/relationships/image" Target="../media/image291.png"/></Relationships>
</file>

<file path=xl/drawings/_rels/drawing94.xml.rels><?xml version="1.0" encoding="UTF-8" standalone="yes"?>
<Relationships xmlns="http://schemas.openxmlformats.org/package/2006/relationships"><Relationship Id="rId3" Type="http://schemas.openxmlformats.org/officeDocument/2006/relationships/image" Target="../media/image296.png"/><Relationship Id="rId2" Type="http://schemas.openxmlformats.org/officeDocument/2006/relationships/image" Target="../media/image295.png"/><Relationship Id="rId1" Type="http://schemas.openxmlformats.org/officeDocument/2006/relationships/image" Target="../media/image294.png"/></Relationships>
</file>

<file path=xl/drawings/_rels/drawing95.xml.rels><?xml version="1.0" encoding="UTF-8" standalone="yes"?>
<Relationships xmlns="http://schemas.openxmlformats.org/package/2006/relationships"><Relationship Id="rId3" Type="http://schemas.openxmlformats.org/officeDocument/2006/relationships/image" Target="../media/image299.png"/><Relationship Id="rId2" Type="http://schemas.openxmlformats.org/officeDocument/2006/relationships/image" Target="../media/image298.png"/><Relationship Id="rId1" Type="http://schemas.openxmlformats.org/officeDocument/2006/relationships/image" Target="../media/image297.png"/></Relationships>
</file>

<file path=xl/drawings/_rels/drawing96.xml.rels><?xml version="1.0" encoding="UTF-8" standalone="yes"?>
<Relationships xmlns="http://schemas.openxmlformats.org/package/2006/relationships"><Relationship Id="rId3" Type="http://schemas.openxmlformats.org/officeDocument/2006/relationships/image" Target="../media/image302.png"/><Relationship Id="rId2" Type="http://schemas.openxmlformats.org/officeDocument/2006/relationships/image" Target="../media/image301.png"/><Relationship Id="rId1" Type="http://schemas.openxmlformats.org/officeDocument/2006/relationships/image" Target="../media/image300.png"/></Relationships>
</file>

<file path=xl/drawings/_rels/drawing97.xml.rels><?xml version="1.0" encoding="UTF-8" standalone="yes"?>
<Relationships xmlns="http://schemas.openxmlformats.org/package/2006/relationships"><Relationship Id="rId3" Type="http://schemas.openxmlformats.org/officeDocument/2006/relationships/image" Target="../media/image305.png"/><Relationship Id="rId2" Type="http://schemas.openxmlformats.org/officeDocument/2006/relationships/image" Target="../media/image304.png"/><Relationship Id="rId1" Type="http://schemas.openxmlformats.org/officeDocument/2006/relationships/image" Target="../media/image303.png"/></Relationships>
</file>

<file path=xl/drawings/_rels/drawing98.xml.rels><?xml version="1.0" encoding="UTF-8" standalone="yes"?>
<Relationships xmlns="http://schemas.openxmlformats.org/package/2006/relationships"><Relationship Id="rId3" Type="http://schemas.openxmlformats.org/officeDocument/2006/relationships/image" Target="../media/image308.png"/><Relationship Id="rId2" Type="http://schemas.openxmlformats.org/officeDocument/2006/relationships/image" Target="../media/image307.png"/><Relationship Id="rId1" Type="http://schemas.openxmlformats.org/officeDocument/2006/relationships/image" Target="../media/image306.jpeg"/><Relationship Id="rId4" Type="http://schemas.openxmlformats.org/officeDocument/2006/relationships/image" Target="../media/image309.png"/></Relationships>
</file>

<file path=xl/drawings/_rels/drawing99.xml.rels><?xml version="1.0" encoding="UTF-8" standalone="yes"?>
<Relationships xmlns="http://schemas.openxmlformats.org/package/2006/relationships"><Relationship Id="rId3" Type="http://schemas.openxmlformats.org/officeDocument/2006/relationships/image" Target="../media/image312.png"/><Relationship Id="rId2" Type="http://schemas.openxmlformats.org/officeDocument/2006/relationships/image" Target="../media/image311.png"/><Relationship Id="rId1" Type="http://schemas.openxmlformats.org/officeDocument/2006/relationships/image" Target="../media/image310.jpeg"/><Relationship Id="rId4" Type="http://schemas.openxmlformats.org/officeDocument/2006/relationships/image" Target="../media/image313.png"/></Relationships>
</file>

<file path=xl/drawings/_rels/drawing100.xml.rels><?xml version="1.0" encoding="UTF-8" standalone="yes"?>
<Relationships xmlns="http://schemas.openxmlformats.org/package/2006/relationships"><Relationship Id="rId3" Type="http://schemas.openxmlformats.org/officeDocument/2006/relationships/image" Target="../media/image315.png"/><Relationship Id="rId2" Type="http://schemas.openxmlformats.org/officeDocument/2006/relationships/image" Target="../media/image314.png"/><Relationship Id="rId1" Type="http://schemas.openxmlformats.org/officeDocument/2006/relationships/image" Target="../media/image310.jpeg"/><Relationship Id="rId4" Type="http://schemas.openxmlformats.org/officeDocument/2006/relationships/image" Target="../media/image316.png"/></Relationships>
</file>

<file path=xl/drawings/_rels/drawing101.xml.rels><?xml version="1.0" encoding="UTF-8" standalone="yes"?>
<Relationships xmlns="http://schemas.openxmlformats.org/package/2006/relationships"><Relationship Id="rId3" Type="http://schemas.openxmlformats.org/officeDocument/2006/relationships/image" Target="../media/image319.png"/><Relationship Id="rId2" Type="http://schemas.openxmlformats.org/officeDocument/2006/relationships/image" Target="../media/image318.png"/><Relationship Id="rId1" Type="http://schemas.openxmlformats.org/officeDocument/2006/relationships/image" Target="../media/image317.jpeg"/><Relationship Id="rId4" Type="http://schemas.openxmlformats.org/officeDocument/2006/relationships/image" Target="../media/image320.png"/></Relationships>
</file>

<file path=xl/drawings/_rels/drawing102.xml.rels><?xml version="1.0" encoding="UTF-8" standalone="yes"?>
<Relationships xmlns="http://schemas.openxmlformats.org/package/2006/relationships"><Relationship Id="rId3" Type="http://schemas.openxmlformats.org/officeDocument/2006/relationships/image" Target="../media/image322.png"/><Relationship Id="rId2" Type="http://schemas.openxmlformats.org/officeDocument/2006/relationships/image" Target="../media/image321.png"/><Relationship Id="rId1" Type="http://schemas.openxmlformats.org/officeDocument/2006/relationships/image" Target="../media/image317.jpeg"/><Relationship Id="rId4" Type="http://schemas.openxmlformats.org/officeDocument/2006/relationships/image" Target="../media/image323.png"/></Relationships>
</file>

<file path=xl/drawings/_rels/drawing103.xml.rels><?xml version="1.0" encoding="UTF-8" standalone="yes"?>
<Relationships xmlns="http://schemas.openxmlformats.org/package/2006/relationships"><Relationship Id="rId3" Type="http://schemas.openxmlformats.org/officeDocument/2006/relationships/image" Target="../media/image326.png"/><Relationship Id="rId2" Type="http://schemas.openxmlformats.org/officeDocument/2006/relationships/image" Target="../media/image325.png"/><Relationship Id="rId1" Type="http://schemas.openxmlformats.org/officeDocument/2006/relationships/image" Target="../media/image324.jpeg"/><Relationship Id="rId4" Type="http://schemas.openxmlformats.org/officeDocument/2006/relationships/image" Target="../media/image327.png"/></Relationships>
</file>

<file path=xl/drawings/_rels/drawing104.xml.rels><?xml version="1.0" encoding="UTF-8" standalone="yes"?>
<Relationships xmlns="http://schemas.openxmlformats.org/package/2006/relationships"><Relationship Id="rId3" Type="http://schemas.openxmlformats.org/officeDocument/2006/relationships/image" Target="../media/image330.png"/><Relationship Id="rId2" Type="http://schemas.openxmlformats.org/officeDocument/2006/relationships/image" Target="../media/image329.png"/><Relationship Id="rId1" Type="http://schemas.openxmlformats.org/officeDocument/2006/relationships/image" Target="../media/image328.jpeg"/><Relationship Id="rId4" Type="http://schemas.openxmlformats.org/officeDocument/2006/relationships/image" Target="../media/image331.png"/></Relationships>
</file>

<file path=xl/drawings/_rels/drawing105.xml.rels><?xml version="1.0" encoding="UTF-8" standalone="yes"?>
<Relationships xmlns="http://schemas.openxmlformats.org/package/2006/relationships"><Relationship Id="rId3" Type="http://schemas.openxmlformats.org/officeDocument/2006/relationships/image" Target="../media/image334.png"/><Relationship Id="rId2" Type="http://schemas.openxmlformats.org/officeDocument/2006/relationships/image" Target="../media/image333.png"/><Relationship Id="rId1" Type="http://schemas.openxmlformats.org/officeDocument/2006/relationships/image" Target="../media/image332.jpeg"/><Relationship Id="rId4" Type="http://schemas.openxmlformats.org/officeDocument/2006/relationships/image" Target="../media/image335.png"/></Relationships>
</file>

<file path=xl/drawings/_rels/drawing106.xml.rels><?xml version="1.0" encoding="UTF-8" standalone="yes"?>
<Relationships xmlns="http://schemas.openxmlformats.org/package/2006/relationships"><Relationship Id="rId3" Type="http://schemas.openxmlformats.org/officeDocument/2006/relationships/image" Target="../media/image338.png"/><Relationship Id="rId2" Type="http://schemas.openxmlformats.org/officeDocument/2006/relationships/image" Target="../media/image337.png"/><Relationship Id="rId1" Type="http://schemas.openxmlformats.org/officeDocument/2006/relationships/image" Target="../media/image336.jpeg"/><Relationship Id="rId4" Type="http://schemas.openxmlformats.org/officeDocument/2006/relationships/image" Target="../media/image339.png"/></Relationships>
</file>

<file path=xl/drawings/_rels/drawing107.xml.rels><?xml version="1.0" encoding="UTF-8" standalone="yes"?>
<Relationships xmlns="http://schemas.openxmlformats.org/package/2006/relationships"><Relationship Id="rId3" Type="http://schemas.openxmlformats.org/officeDocument/2006/relationships/image" Target="../media/image342.png"/><Relationship Id="rId2" Type="http://schemas.openxmlformats.org/officeDocument/2006/relationships/image" Target="../media/image341.png"/><Relationship Id="rId1" Type="http://schemas.openxmlformats.org/officeDocument/2006/relationships/image" Target="../media/image340.jpeg"/><Relationship Id="rId4" Type="http://schemas.openxmlformats.org/officeDocument/2006/relationships/image" Target="../media/image343.png"/></Relationships>
</file>

<file path=xl/drawings/_rels/drawing108.xml.rels><?xml version="1.0" encoding="UTF-8" standalone="yes"?>
<Relationships xmlns="http://schemas.openxmlformats.org/package/2006/relationships"><Relationship Id="rId3" Type="http://schemas.openxmlformats.org/officeDocument/2006/relationships/image" Target="../media/image345.png"/><Relationship Id="rId2" Type="http://schemas.openxmlformats.org/officeDocument/2006/relationships/image" Target="../media/image344.png"/><Relationship Id="rId1" Type="http://schemas.openxmlformats.org/officeDocument/2006/relationships/image" Target="../media/image340.jpeg"/><Relationship Id="rId4" Type="http://schemas.openxmlformats.org/officeDocument/2006/relationships/image" Target="../media/image346.png"/></Relationships>
</file>

<file path=xl/drawings/_rels/drawing109.xml.rels><?xml version="1.0" encoding="UTF-8" standalone="yes"?>
<Relationships xmlns="http://schemas.openxmlformats.org/package/2006/relationships"><Relationship Id="rId3" Type="http://schemas.openxmlformats.org/officeDocument/2006/relationships/image" Target="../media/image349.png"/><Relationship Id="rId2" Type="http://schemas.openxmlformats.org/officeDocument/2006/relationships/image" Target="../media/image348.png"/><Relationship Id="rId1" Type="http://schemas.openxmlformats.org/officeDocument/2006/relationships/image" Target="../media/image347.jpeg"/><Relationship Id="rId4" Type="http://schemas.openxmlformats.org/officeDocument/2006/relationships/image" Target="../media/image350.png"/></Relationships>
</file>

<file path=xl/drawings/_rels/drawing110.xml.rels><?xml version="1.0" encoding="UTF-8" standalone="yes"?>
<Relationships xmlns="http://schemas.openxmlformats.org/package/2006/relationships"><Relationship Id="rId3" Type="http://schemas.openxmlformats.org/officeDocument/2006/relationships/image" Target="../media/image353.png"/><Relationship Id="rId2" Type="http://schemas.openxmlformats.org/officeDocument/2006/relationships/image" Target="../media/image352.png"/><Relationship Id="rId1" Type="http://schemas.openxmlformats.org/officeDocument/2006/relationships/image" Target="../media/image351.jpeg"/><Relationship Id="rId4" Type="http://schemas.openxmlformats.org/officeDocument/2006/relationships/image" Target="../media/image354.png"/></Relationships>
</file>

<file path=xl/drawings/_rels/drawing111.xml.rels><?xml version="1.0" encoding="UTF-8" standalone="yes"?>
<Relationships xmlns="http://schemas.openxmlformats.org/package/2006/relationships"><Relationship Id="rId3" Type="http://schemas.openxmlformats.org/officeDocument/2006/relationships/image" Target="../media/image356.png"/><Relationship Id="rId2" Type="http://schemas.openxmlformats.org/officeDocument/2006/relationships/image" Target="../media/image355.png"/><Relationship Id="rId1" Type="http://schemas.openxmlformats.org/officeDocument/2006/relationships/image" Target="../media/image351.jpeg"/><Relationship Id="rId4" Type="http://schemas.openxmlformats.org/officeDocument/2006/relationships/image" Target="../media/image357.png"/></Relationships>
</file>

<file path=xl/drawings/_rels/drawing112.xml.rels><?xml version="1.0" encoding="UTF-8" standalone="yes"?>
<Relationships xmlns="http://schemas.openxmlformats.org/package/2006/relationships"><Relationship Id="rId3" Type="http://schemas.openxmlformats.org/officeDocument/2006/relationships/image" Target="../media/image360.png"/><Relationship Id="rId2" Type="http://schemas.openxmlformats.org/officeDocument/2006/relationships/image" Target="../media/image359.png"/><Relationship Id="rId1" Type="http://schemas.openxmlformats.org/officeDocument/2006/relationships/image" Target="../media/image358.jpeg"/><Relationship Id="rId4" Type="http://schemas.openxmlformats.org/officeDocument/2006/relationships/image" Target="../media/image361.png"/></Relationships>
</file>

<file path=xl/drawings/_rels/drawing113.xml.rels><?xml version="1.0" encoding="UTF-8" standalone="yes"?>
<Relationships xmlns="http://schemas.openxmlformats.org/package/2006/relationships"><Relationship Id="rId3" Type="http://schemas.openxmlformats.org/officeDocument/2006/relationships/image" Target="../media/image364.png"/><Relationship Id="rId2" Type="http://schemas.openxmlformats.org/officeDocument/2006/relationships/image" Target="../media/image363.png"/><Relationship Id="rId1" Type="http://schemas.openxmlformats.org/officeDocument/2006/relationships/image" Target="../media/image362.jpeg"/><Relationship Id="rId4" Type="http://schemas.openxmlformats.org/officeDocument/2006/relationships/image" Target="../media/image365.png"/></Relationships>
</file>

<file path=xl/drawings/_rels/drawing114.xml.rels><?xml version="1.0" encoding="UTF-8" standalone="yes"?>
<Relationships xmlns="http://schemas.openxmlformats.org/package/2006/relationships"><Relationship Id="rId3" Type="http://schemas.openxmlformats.org/officeDocument/2006/relationships/image" Target="../media/image367.png"/><Relationship Id="rId2" Type="http://schemas.openxmlformats.org/officeDocument/2006/relationships/image" Target="../media/image366.png"/><Relationship Id="rId1" Type="http://schemas.openxmlformats.org/officeDocument/2006/relationships/image" Target="../media/image362.jpeg"/><Relationship Id="rId4" Type="http://schemas.openxmlformats.org/officeDocument/2006/relationships/image" Target="../media/image368.png"/></Relationships>
</file>

<file path=xl/drawings/_rels/drawing115.xml.rels><?xml version="1.0" encoding="UTF-8" standalone="yes"?>
<Relationships xmlns="http://schemas.openxmlformats.org/package/2006/relationships"><Relationship Id="rId3" Type="http://schemas.openxmlformats.org/officeDocument/2006/relationships/image" Target="../media/image370.png"/><Relationship Id="rId2" Type="http://schemas.openxmlformats.org/officeDocument/2006/relationships/image" Target="../media/image369.png"/><Relationship Id="rId1" Type="http://schemas.openxmlformats.org/officeDocument/2006/relationships/image" Target="../media/image362.jpeg"/><Relationship Id="rId4" Type="http://schemas.openxmlformats.org/officeDocument/2006/relationships/image" Target="../media/image371.png"/></Relationships>
</file>

<file path=xl/drawings/_rels/drawing116.xml.rels><?xml version="1.0" encoding="UTF-8" standalone="yes"?>
<Relationships xmlns="http://schemas.openxmlformats.org/package/2006/relationships"><Relationship Id="rId3" Type="http://schemas.openxmlformats.org/officeDocument/2006/relationships/image" Target="../media/image373.png"/><Relationship Id="rId2" Type="http://schemas.openxmlformats.org/officeDocument/2006/relationships/image" Target="../media/image372.png"/><Relationship Id="rId1" Type="http://schemas.openxmlformats.org/officeDocument/2006/relationships/image" Target="../media/image362.jpeg"/><Relationship Id="rId4" Type="http://schemas.openxmlformats.org/officeDocument/2006/relationships/image" Target="../media/image374.png"/></Relationships>
</file>

<file path=xl/drawings/_rels/drawing117.xml.rels><?xml version="1.0" encoding="UTF-8" standalone="yes"?>
<Relationships xmlns="http://schemas.openxmlformats.org/package/2006/relationships"><Relationship Id="rId3" Type="http://schemas.openxmlformats.org/officeDocument/2006/relationships/image" Target="../media/image377.png"/><Relationship Id="rId2" Type="http://schemas.openxmlformats.org/officeDocument/2006/relationships/image" Target="../media/image376.png"/><Relationship Id="rId1" Type="http://schemas.openxmlformats.org/officeDocument/2006/relationships/image" Target="../media/image375.jpeg"/><Relationship Id="rId4" Type="http://schemas.openxmlformats.org/officeDocument/2006/relationships/image" Target="../media/image378.png"/></Relationships>
</file>

<file path=xl/drawings/_rels/drawing118.xml.rels><?xml version="1.0" encoding="UTF-8" standalone="yes"?>
<Relationships xmlns="http://schemas.openxmlformats.org/package/2006/relationships"><Relationship Id="rId3" Type="http://schemas.openxmlformats.org/officeDocument/2006/relationships/image" Target="../media/image380.png"/><Relationship Id="rId2" Type="http://schemas.openxmlformats.org/officeDocument/2006/relationships/image" Target="../media/image379.png"/><Relationship Id="rId1" Type="http://schemas.openxmlformats.org/officeDocument/2006/relationships/image" Target="../media/image375.jpeg"/><Relationship Id="rId4" Type="http://schemas.openxmlformats.org/officeDocument/2006/relationships/image" Target="../media/image381.png"/></Relationships>
</file>

<file path=xl/drawings/_rels/drawing119.xml.rels><?xml version="1.0" encoding="UTF-8" standalone="yes"?>
<Relationships xmlns="http://schemas.openxmlformats.org/package/2006/relationships"><Relationship Id="rId3" Type="http://schemas.openxmlformats.org/officeDocument/2006/relationships/image" Target="../media/image384.png"/><Relationship Id="rId2" Type="http://schemas.openxmlformats.org/officeDocument/2006/relationships/image" Target="../media/image383.png"/><Relationship Id="rId1" Type="http://schemas.openxmlformats.org/officeDocument/2006/relationships/image" Target="../media/image382.png"/></Relationships>
</file>

<file path=xl/drawings/_rels/drawing120.xml.rels><?xml version="1.0" encoding="UTF-8" standalone="yes"?>
<Relationships xmlns="http://schemas.openxmlformats.org/package/2006/relationships"><Relationship Id="rId3" Type="http://schemas.openxmlformats.org/officeDocument/2006/relationships/image" Target="../media/image387.png"/><Relationship Id="rId2" Type="http://schemas.openxmlformats.org/officeDocument/2006/relationships/image" Target="../media/image386.png"/><Relationship Id="rId1" Type="http://schemas.openxmlformats.org/officeDocument/2006/relationships/image" Target="../media/image385.jpeg"/><Relationship Id="rId4" Type="http://schemas.openxmlformats.org/officeDocument/2006/relationships/image" Target="../media/image388.png"/></Relationships>
</file>

<file path=xl/drawings/_rels/drawing121.xml.rels><?xml version="1.0" encoding="UTF-8" standalone="yes"?>
<Relationships xmlns="http://schemas.openxmlformats.org/package/2006/relationships"><Relationship Id="rId3" Type="http://schemas.openxmlformats.org/officeDocument/2006/relationships/image" Target="../media/image391.png"/><Relationship Id="rId2" Type="http://schemas.openxmlformats.org/officeDocument/2006/relationships/image" Target="../media/image390.png"/><Relationship Id="rId1" Type="http://schemas.openxmlformats.org/officeDocument/2006/relationships/image" Target="../media/image389.png"/><Relationship Id="rId4" Type="http://schemas.openxmlformats.org/officeDocument/2006/relationships/image" Target="../media/image392.png"/></Relationships>
</file>

<file path=xl/drawings/_rels/drawing122.xml.rels><?xml version="1.0" encoding="UTF-8" standalone="yes"?>
<Relationships xmlns="http://schemas.openxmlformats.org/package/2006/relationships"><Relationship Id="rId3" Type="http://schemas.openxmlformats.org/officeDocument/2006/relationships/image" Target="../media/image395.png"/><Relationship Id="rId2" Type="http://schemas.openxmlformats.org/officeDocument/2006/relationships/image" Target="../media/image394.png"/><Relationship Id="rId1" Type="http://schemas.openxmlformats.org/officeDocument/2006/relationships/image" Target="../media/image393.png"/></Relationships>
</file>

<file path=xl/drawings/_rels/drawing123.xml.rels><?xml version="1.0" encoding="UTF-8" standalone="yes"?>
<Relationships xmlns="http://schemas.openxmlformats.org/package/2006/relationships"><Relationship Id="rId3" Type="http://schemas.openxmlformats.org/officeDocument/2006/relationships/image" Target="../media/image398.png"/><Relationship Id="rId2" Type="http://schemas.openxmlformats.org/officeDocument/2006/relationships/image" Target="../media/image397.png"/><Relationship Id="rId1" Type="http://schemas.openxmlformats.org/officeDocument/2006/relationships/image" Target="../media/image396.png"/></Relationships>
</file>

<file path=xl/drawings/_rels/drawing124.xml.rels><?xml version="1.0" encoding="UTF-8" standalone="yes"?>
<Relationships xmlns="http://schemas.openxmlformats.org/package/2006/relationships"><Relationship Id="rId3" Type="http://schemas.openxmlformats.org/officeDocument/2006/relationships/image" Target="../media/image401.png"/><Relationship Id="rId2" Type="http://schemas.openxmlformats.org/officeDocument/2006/relationships/image" Target="../media/image400.png"/><Relationship Id="rId1" Type="http://schemas.openxmlformats.org/officeDocument/2006/relationships/image" Target="../media/image399.jpeg"/><Relationship Id="rId4" Type="http://schemas.openxmlformats.org/officeDocument/2006/relationships/image" Target="../media/image402.png"/></Relationships>
</file>

<file path=xl/drawings/_rels/drawing125.xml.rels><?xml version="1.0" encoding="UTF-8" standalone="yes"?>
<Relationships xmlns="http://schemas.openxmlformats.org/package/2006/relationships"><Relationship Id="rId3" Type="http://schemas.openxmlformats.org/officeDocument/2006/relationships/image" Target="../media/image404.png"/><Relationship Id="rId2" Type="http://schemas.openxmlformats.org/officeDocument/2006/relationships/image" Target="../media/image403.png"/><Relationship Id="rId1" Type="http://schemas.openxmlformats.org/officeDocument/2006/relationships/image" Target="../media/image399.jpeg"/><Relationship Id="rId4" Type="http://schemas.openxmlformats.org/officeDocument/2006/relationships/image" Target="../media/image405.png"/></Relationships>
</file>

<file path=xl/drawings/_rels/drawing126.xml.rels><?xml version="1.0" encoding="UTF-8" standalone="yes"?>
<Relationships xmlns="http://schemas.openxmlformats.org/package/2006/relationships"><Relationship Id="rId3" Type="http://schemas.openxmlformats.org/officeDocument/2006/relationships/image" Target="../media/image408.png"/><Relationship Id="rId2" Type="http://schemas.openxmlformats.org/officeDocument/2006/relationships/image" Target="../media/image407.png"/><Relationship Id="rId1" Type="http://schemas.openxmlformats.org/officeDocument/2006/relationships/image" Target="../media/image406.png"/></Relationships>
</file>

<file path=xl/drawings/_rels/drawing127.xml.rels><?xml version="1.0" encoding="UTF-8" standalone="yes"?>
<Relationships xmlns="http://schemas.openxmlformats.org/package/2006/relationships"><Relationship Id="rId3" Type="http://schemas.openxmlformats.org/officeDocument/2006/relationships/image" Target="../media/image411.png"/><Relationship Id="rId2" Type="http://schemas.openxmlformats.org/officeDocument/2006/relationships/image" Target="../media/image410.png"/><Relationship Id="rId1" Type="http://schemas.openxmlformats.org/officeDocument/2006/relationships/image" Target="../media/image409.png"/></Relationships>
</file>

<file path=xl/drawings/_rels/drawing128.xml.rels><?xml version="1.0" encoding="UTF-8" standalone="yes"?>
<Relationships xmlns="http://schemas.openxmlformats.org/package/2006/relationships"><Relationship Id="rId3" Type="http://schemas.openxmlformats.org/officeDocument/2006/relationships/image" Target="../media/image414.png"/><Relationship Id="rId2" Type="http://schemas.openxmlformats.org/officeDocument/2006/relationships/image" Target="../media/image413.png"/><Relationship Id="rId1" Type="http://schemas.openxmlformats.org/officeDocument/2006/relationships/image" Target="../media/image412.png"/></Relationships>
</file>

<file path=xl/drawings/_rels/drawing129.xml.rels><?xml version="1.0" encoding="UTF-8" standalone="yes"?>
<Relationships xmlns="http://schemas.openxmlformats.org/package/2006/relationships"><Relationship Id="rId3" Type="http://schemas.openxmlformats.org/officeDocument/2006/relationships/image" Target="../media/image417.png"/><Relationship Id="rId2" Type="http://schemas.openxmlformats.org/officeDocument/2006/relationships/image" Target="../media/image416.png"/><Relationship Id="rId1" Type="http://schemas.openxmlformats.org/officeDocument/2006/relationships/image" Target="../media/image415.png"/></Relationships>
</file>

<file path=xl/drawings/_rels/drawing130.xml.rels><?xml version="1.0" encoding="UTF-8" standalone="yes"?>
<Relationships xmlns="http://schemas.openxmlformats.org/package/2006/relationships"><Relationship Id="rId3" Type="http://schemas.openxmlformats.org/officeDocument/2006/relationships/image" Target="../media/image420.png"/><Relationship Id="rId2" Type="http://schemas.openxmlformats.org/officeDocument/2006/relationships/image" Target="../media/image419.png"/><Relationship Id="rId1" Type="http://schemas.openxmlformats.org/officeDocument/2006/relationships/image" Target="../media/image418.png"/></Relationships>
</file>

<file path=xl/drawings/_rels/drawing131.xml.rels><?xml version="1.0" encoding="UTF-8" standalone="yes"?>
<Relationships xmlns="http://schemas.openxmlformats.org/package/2006/relationships"><Relationship Id="rId3" Type="http://schemas.openxmlformats.org/officeDocument/2006/relationships/image" Target="../media/image423.png"/><Relationship Id="rId2" Type="http://schemas.openxmlformats.org/officeDocument/2006/relationships/image" Target="../media/image422.png"/><Relationship Id="rId1" Type="http://schemas.openxmlformats.org/officeDocument/2006/relationships/image" Target="../media/image421.png"/></Relationships>
</file>

<file path=xl/drawings/_rels/drawing132.xml.rels><?xml version="1.0" encoding="UTF-8" standalone="yes"?>
<Relationships xmlns="http://schemas.openxmlformats.org/package/2006/relationships"><Relationship Id="rId3" Type="http://schemas.openxmlformats.org/officeDocument/2006/relationships/image" Target="../media/image426.png"/><Relationship Id="rId2" Type="http://schemas.openxmlformats.org/officeDocument/2006/relationships/image" Target="../media/image425.png"/><Relationship Id="rId1" Type="http://schemas.openxmlformats.org/officeDocument/2006/relationships/image" Target="../media/image424.png"/></Relationships>
</file>

<file path=xl/drawings/_rels/drawing133.xml.rels><?xml version="1.0" encoding="UTF-8" standalone="yes"?>
<Relationships xmlns="http://schemas.openxmlformats.org/package/2006/relationships"><Relationship Id="rId3" Type="http://schemas.openxmlformats.org/officeDocument/2006/relationships/image" Target="../media/image429.png"/><Relationship Id="rId2" Type="http://schemas.openxmlformats.org/officeDocument/2006/relationships/image" Target="../media/image428.png"/><Relationship Id="rId1" Type="http://schemas.openxmlformats.org/officeDocument/2006/relationships/image" Target="../media/image427.png"/></Relationships>
</file>

<file path=xl/drawings/_rels/drawing134.xml.rels><?xml version="1.0" encoding="UTF-8" standalone="yes"?>
<Relationships xmlns="http://schemas.openxmlformats.org/package/2006/relationships"><Relationship Id="rId3" Type="http://schemas.openxmlformats.org/officeDocument/2006/relationships/image" Target="../media/image432.png"/><Relationship Id="rId2" Type="http://schemas.openxmlformats.org/officeDocument/2006/relationships/image" Target="../media/image431.png"/><Relationship Id="rId1" Type="http://schemas.openxmlformats.org/officeDocument/2006/relationships/image" Target="../media/image430.png"/></Relationships>
</file>

<file path=xl/drawings/_rels/drawing135.xml.rels><?xml version="1.0" encoding="UTF-8" standalone="yes"?>
<Relationships xmlns="http://schemas.openxmlformats.org/package/2006/relationships"><Relationship Id="rId3" Type="http://schemas.openxmlformats.org/officeDocument/2006/relationships/image" Target="../media/image435.png"/><Relationship Id="rId2" Type="http://schemas.openxmlformats.org/officeDocument/2006/relationships/image" Target="../media/image434.png"/><Relationship Id="rId1" Type="http://schemas.openxmlformats.org/officeDocument/2006/relationships/image" Target="../media/image433.png"/></Relationships>
</file>

<file path=xl/drawings/_rels/drawing136.xml.rels><?xml version="1.0" encoding="UTF-8" standalone="yes"?>
<Relationships xmlns="http://schemas.openxmlformats.org/package/2006/relationships"><Relationship Id="rId3" Type="http://schemas.openxmlformats.org/officeDocument/2006/relationships/image" Target="../media/image438.png"/><Relationship Id="rId2" Type="http://schemas.openxmlformats.org/officeDocument/2006/relationships/image" Target="../media/image437.png"/><Relationship Id="rId1" Type="http://schemas.openxmlformats.org/officeDocument/2006/relationships/image" Target="../media/image436.png"/></Relationships>
</file>

<file path=xl/drawings/_rels/drawing137.xml.rels><?xml version="1.0" encoding="UTF-8" standalone="yes"?>
<Relationships xmlns="http://schemas.openxmlformats.org/package/2006/relationships"><Relationship Id="rId3" Type="http://schemas.openxmlformats.org/officeDocument/2006/relationships/image" Target="../media/image441.png"/><Relationship Id="rId2" Type="http://schemas.openxmlformats.org/officeDocument/2006/relationships/image" Target="../media/image440.png"/><Relationship Id="rId1" Type="http://schemas.openxmlformats.org/officeDocument/2006/relationships/image" Target="../media/image439.png"/></Relationships>
</file>

<file path=xl/drawings/_rels/drawing138.xml.rels><?xml version="1.0" encoding="UTF-8" standalone="yes"?>
<Relationships xmlns="http://schemas.openxmlformats.org/package/2006/relationships"><Relationship Id="rId3" Type="http://schemas.openxmlformats.org/officeDocument/2006/relationships/image" Target="../media/image444.png"/><Relationship Id="rId2" Type="http://schemas.openxmlformats.org/officeDocument/2006/relationships/image" Target="../media/image443.png"/><Relationship Id="rId1" Type="http://schemas.openxmlformats.org/officeDocument/2006/relationships/image" Target="../media/image442.png"/></Relationships>
</file>

<file path=xl/drawings/_rels/drawing139.xml.rels><?xml version="1.0" encoding="UTF-8" standalone="yes"?>
<Relationships xmlns="http://schemas.openxmlformats.org/package/2006/relationships"><Relationship Id="rId3" Type="http://schemas.openxmlformats.org/officeDocument/2006/relationships/image" Target="../media/image447.png"/><Relationship Id="rId2" Type="http://schemas.openxmlformats.org/officeDocument/2006/relationships/image" Target="../media/image446.png"/><Relationship Id="rId1" Type="http://schemas.openxmlformats.org/officeDocument/2006/relationships/image" Target="../media/image445.png"/></Relationships>
</file>

<file path=xl/drawings/drawing1.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6760" name="Picture 1" descr="2198c644-74e7-43c4-bc2e-11465a49194d">
          <a:extLst>
            <a:ext uri="{FF2B5EF4-FFF2-40B4-BE49-F238E27FC236}">
              <a16:creationId xmlns:a16="http://schemas.microsoft.com/office/drawing/2014/main" id="{34314883-52A7-479C-9F58-6A70141C1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6761" name="Picture 2" descr="Chart_127">
          <a:extLst>
            <a:ext uri="{FF2B5EF4-FFF2-40B4-BE49-F238E27FC236}">
              <a16:creationId xmlns:a16="http://schemas.microsoft.com/office/drawing/2014/main" id="{E342F02B-32FB-49C7-B455-DD16518634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6762" name="Picture 3" descr="Chart_465">
          <a:extLst>
            <a:ext uri="{FF2B5EF4-FFF2-40B4-BE49-F238E27FC236}">
              <a16:creationId xmlns:a16="http://schemas.microsoft.com/office/drawing/2014/main" id="{C75EEB71-7D58-4716-A0DE-0FC0F08B77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6763" name="Picture 4" descr="Chart_514">
          <a:extLst>
            <a:ext uri="{FF2B5EF4-FFF2-40B4-BE49-F238E27FC236}">
              <a16:creationId xmlns:a16="http://schemas.microsoft.com/office/drawing/2014/main" id="{27B7C741-C669-4CDC-BC7A-F0E75FD1DCB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39555" name="Picture 1" descr="83081fdc-ce68-47f3-a986-b5442aef952e">
          <a:extLst>
            <a:ext uri="{FF2B5EF4-FFF2-40B4-BE49-F238E27FC236}">
              <a16:creationId xmlns:a16="http://schemas.microsoft.com/office/drawing/2014/main" id="{75FA34D6-9011-4DEE-8ED0-5E46A5082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39556" name="Picture 2" descr="Chart_127">
          <a:extLst>
            <a:ext uri="{FF2B5EF4-FFF2-40B4-BE49-F238E27FC236}">
              <a16:creationId xmlns:a16="http://schemas.microsoft.com/office/drawing/2014/main" id="{5C822A2B-965A-4C61-8FEC-9EB9CCA118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39557" name="Picture 3" descr="Chart_465">
          <a:extLst>
            <a:ext uri="{FF2B5EF4-FFF2-40B4-BE49-F238E27FC236}">
              <a16:creationId xmlns:a16="http://schemas.microsoft.com/office/drawing/2014/main" id="{A4D5D0DB-BD40-476E-9028-C184AABB2D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39558" name="Picture 4" descr="Chart_514">
          <a:extLst>
            <a:ext uri="{FF2B5EF4-FFF2-40B4-BE49-F238E27FC236}">
              <a16:creationId xmlns:a16="http://schemas.microsoft.com/office/drawing/2014/main" id="{55404EC8-D648-497D-B7CB-B53F0E3D7D7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0577" name="Picture 1" descr="0cb81dfa-70f1-4711-a2f0-5e7791cc3b42">
          <a:extLst>
            <a:ext uri="{FF2B5EF4-FFF2-40B4-BE49-F238E27FC236}">
              <a16:creationId xmlns:a16="http://schemas.microsoft.com/office/drawing/2014/main" id="{0964DFDC-BA9A-444F-9C7F-11ED6236D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0578" name="Picture 2" descr="Chart_127">
          <a:extLst>
            <a:ext uri="{FF2B5EF4-FFF2-40B4-BE49-F238E27FC236}">
              <a16:creationId xmlns:a16="http://schemas.microsoft.com/office/drawing/2014/main" id="{FE3A4545-1667-4ECA-BB9F-9E9A8B0541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0579" name="Picture 3" descr="Chart_465">
          <a:extLst>
            <a:ext uri="{FF2B5EF4-FFF2-40B4-BE49-F238E27FC236}">
              <a16:creationId xmlns:a16="http://schemas.microsoft.com/office/drawing/2014/main" id="{5BD365DA-4DDB-428F-A7C8-8CCC900889E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0580" name="Picture 4" descr="Chart_514">
          <a:extLst>
            <a:ext uri="{FF2B5EF4-FFF2-40B4-BE49-F238E27FC236}">
              <a16:creationId xmlns:a16="http://schemas.microsoft.com/office/drawing/2014/main" id="{84D57DCF-349C-48C3-949F-2CEAE8A7A4D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1601" name="Picture 1" descr="b9ee4a24-14bd-4f8c-9390-03aed9824eb8">
          <a:extLst>
            <a:ext uri="{FF2B5EF4-FFF2-40B4-BE49-F238E27FC236}">
              <a16:creationId xmlns:a16="http://schemas.microsoft.com/office/drawing/2014/main" id="{BB6D0A21-A801-4A68-B94D-82D269D8F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1602" name="Picture 2" descr="Chart_127">
          <a:extLst>
            <a:ext uri="{FF2B5EF4-FFF2-40B4-BE49-F238E27FC236}">
              <a16:creationId xmlns:a16="http://schemas.microsoft.com/office/drawing/2014/main" id="{2E0C88B4-0516-4480-985F-327BF87EDE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1603" name="Picture 3" descr="Chart_465">
          <a:extLst>
            <a:ext uri="{FF2B5EF4-FFF2-40B4-BE49-F238E27FC236}">
              <a16:creationId xmlns:a16="http://schemas.microsoft.com/office/drawing/2014/main" id="{ACE478FC-7A4A-4733-8B1A-8ECC0C1F9E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1604" name="Picture 4" descr="Chart_514">
          <a:extLst>
            <a:ext uri="{FF2B5EF4-FFF2-40B4-BE49-F238E27FC236}">
              <a16:creationId xmlns:a16="http://schemas.microsoft.com/office/drawing/2014/main" id="{3B8BD793-8500-40EA-ABDB-A7C997AECE4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2625" name="Picture 1" descr="b1759767-7d72-41f3-a1d5-00f90e79491f">
          <a:extLst>
            <a:ext uri="{FF2B5EF4-FFF2-40B4-BE49-F238E27FC236}">
              <a16:creationId xmlns:a16="http://schemas.microsoft.com/office/drawing/2014/main" id="{B72349B6-A8D1-4A0E-9F3E-5B68DB1F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2626" name="Picture 2" descr="Chart_127">
          <a:extLst>
            <a:ext uri="{FF2B5EF4-FFF2-40B4-BE49-F238E27FC236}">
              <a16:creationId xmlns:a16="http://schemas.microsoft.com/office/drawing/2014/main" id="{1BB411C5-B7F5-4A86-AA81-9AD223AA86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2627" name="Picture 3" descr="Chart_465">
          <a:extLst>
            <a:ext uri="{FF2B5EF4-FFF2-40B4-BE49-F238E27FC236}">
              <a16:creationId xmlns:a16="http://schemas.microsoft.com/office/drawing/2014/main" id="{7B4DBE8F-1865-4CC1-82B4-174F240AC7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2628" name="Picture 4" descr="Chart_514">
          <a:extLst>
            <a:ext uri="{FF2B5EF4-FFF2-40B4-BE49-F238E27FC236}">
              <a16:creationId xmlns:a16="http://schemas.microsoft.com/office/drawing/2014/main" id="{231402C0-9773-4C3D-8248-C8DAA6690B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3649" name="Picture 1" descr="0979b0a5-cdaf-4f1d-b433-19f1e530cbd0">
          <a:extLst>
            <a:ext uri="{FF2B5EF4-FFF2-40B4-BE49-F238E27FC236}">
              <a16:creationId xmlns:a16="http://schemas.microsoft.com/office/drawing/2014/main" id="{007970DB-C342-4DAA-AD43-13BC491B7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3650" name="Picture 2" descr="Chart_127">
          <a:extLst>
            <a:ext uri="{FF2B5EF4-FFF2-40B4-BE49-F238E27FC236}">
              <a16:creationId xmlns:a16="http://schemas.microsoft.com/office/drawing/2014/main" id="{79B0DFED-EACF-41CB-A9AC-8850420EADB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3651" name="Picture 3" descr="Chart_465">
          <a:extLst>
            <a:ext uri="{FF2B5EF4-FFF2-40B4-BE49-F238E27FC236}">
              <a16:creationId xmlns:a16="http://schemas.microsoft.com/office/drawing/2014/main" id="{D1A057DC-6020-443D-AFF7-9954896177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3652" name="Picture 4" descr="Chart_514">
          <a:extLst>
            <a:ext uri="{FF2B5EF4-FFF2-40B4-BE49-F238E27FC236}">
              <a16:creationId xmlns:a16="http://schemas.microsoft.com/office/drawing/2014/main" id="{8BC8FC13-033F-4D7B-8C2D-2F12225D518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4673" name="Picture 1" descr="33dabb80-265f-471a-a332-5dfe421f9f26">
          <a:extLst>
            <a:ext uri="{FF2B5EF4-FFF2-40B4-BE49-F238E27FC236}">
              <a16:creationId xmlns:a16="http://schemas.microsoft.com/office/drawing/2014/main" id="{0BAF4DF0-CBFC-4839-91AD-915216416B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4674" name="Picture 2" descr="Chart_127">
          <a:extLst>
            <a:ext uri="{FF2B5EF4-FFF2-40B4-BE49-F238E27FC236}">
              <a16:creationId xmlns:a16="http://schemas.microsoft.com/office/drawing/2014/main" id="{C014CE79-0E54-4A0F-84EB-55A24272842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4675" name="Picture 3" descr="Chart_465">
          <a:extLst>
            <a:ext uri="{FF2B5EF4-FFF2-40B4-BE49-F238E27FC236}">
              <a16:creationId xmlns:a16="http://schemas.microsoft.com/office/drawing/2014/main" id="{01A4E813-52BA-422E-B689-956B96C7F95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4676" name="Picture 4" descr="Chart_514">
          <a:extLst>
            <a:ext uri="{FF2B5EF4-FFF2-40B4-BE49-F238E27FC236}">
              <a16:creationId xmlns:a16="http://schemas.microsoft.com/office/drawing/2014/main" id="{3804F481-A6F2-4E46-9178-F7515E92CF8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5697" name="Picture 1" descr="8749d245-cf71-4680-af06-9de340caaaf5">
          <a:extLst>
            <a:ext uri="{FF2B5EF4-FFF2-40B4-BE49-F238E27FC236}">
              <a16:creationId xmlns:a16="http://schemas.microsoft.com/office/drawing/2014/main" id="{399CC2BE-868C-4AC6-B04A-17F1FB877A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5698" name="Picture 2" descr="Chart_127">
          <a:extLst>
            <a:ext uri="{FF2B5EF4-FFF2-40B4-BE49-F238E27FC236}">
              <a16:creationId xmlns:a16="http://schemas.microsoft.com/office/drawing/2014/main" id="{7892447F-8E61-49E3-8744-015C248BF1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5699" name="Picture 3" descr="Chart_456">
          <a:extLst>
            <a:ext uri="{FF2B5EF4-FFF2-40B4-BE49-F238E27FC236}">
              <a16:creationId xmlns:a16="http://schemas.microsoft.com/office/drawing/2014/main" id="{B1E93C45-47AD-4B24-BF5F-FE9524459C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5700" name="Picture 4" descr="Chart_505">
          <a:extLst>
            <a:ext uri="{FF2B5EF4-FFF2-40B4-BE49-F238E27FC236}">
              <a16:creationId xmlns:a16="http://schemas.microsoft.com/office/drawing/2014/main" id="{D2D00772-D742-487F-8330-965CACA7AA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6721" name="Picture 1" descr="26099a17-839f-4217-aff9-03463be08b0b">
          <a:extLst>
            <a:ext uri="{FF2B5EF4-FFF2-40B4-BE49-F238E27FC236}">
              <a16:creationId xmlns:a16="http://schemas.microsoft.com/office/drawing/2014/main" id="{C3FC2F01-2A24-4F46-9E40-A9E5C2806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6722" name="Picture 2" descr="Chart_127">
          <a:extLst>
            <a:ext uri="{FF2B5EF4-FFF2-40B4-BE49-F238E27FC236}">
              <a16:creationId xmlns:a16="http://schemas.microsoft.com/office/drawing/2014/main" id="{605093FB-DEC3-4BB1-BB93-56A391C2531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6723" name="Picture 3" descr="Chart_465">
          <a:extLst>
            <a:ext uri="{FF2B5EF4-FFF2-40B4-BE49-F238E27FC236}">
              <a16:creationId xmlns:a16="http://schemas.microsoft.com/office/drawing/2014/main" id="{C058F704-FE4C-405D-82A6-2C89E9BD94C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6724" name="Picture 4" descr="Chart_514">
          <a:extLst>
            <a:ext uri="{FF2B5EF4-FFF2-40B4-BE49-F238E27FC236}">
              <a16:creationId xmlns:a16="http://schemas.microsoft.com/office/drawing/2014/main" id="{E1D00AC4-EC79-415E-94FC-48F45CC4BB1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7745" name="Picture 1" descr="cf1eda04-f51d-436c-9bf7-af175c4474c1">
          <a:extLst>
            <a:ext uri="{FF2B5EF4-FFF2-40B4-BE49-F238E27FC236}">
              <a16:creationId xmlns:a16="http://schemas.microsoft.com/office/drawing/2014/main" id="{1AC5DB17-1A33-4C78-B6B6-1D00B42BC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7746" name="Picture 2" descr="Chart_127">
          <a:extLst>
            <a:ext uri="{FF2B5EF4-FFF2-40B4-BE49-F238E27FC236}">
              <a16:creationId xmlns:a16="http://schemas.microsoft.com/office/drawing/2014/main" id="{B36EECA5-A0BC-4ABD-8D56-ADAF4EA7C4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337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7747" name="Picture 3" descr="Chart_465">
          <a:extLst>
            <a:ext uri="{FF2B5EF4-FFF2-40B4-BE49-F238E27FC236}">
              <a16:creationId xmlns:a16="http://schemas.microsoft.com/office/drawing/2014/main" id="{C76C4C31-A05E-4493-9013-588B170813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66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7748" name="Picture 4" descr="Chart_514">
          <a:extLst>
            <a:ext uri="{FF2B5EF4-FFF2-40B4-BE49-F238E27FC236}">
              <a16:creationId xmlns:a16="http://schemas.microsoft.com/office/drawing/2014/main" id="{B23CBC98-5423-40D2-9F6A-B487B9C1B8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8660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8769" name="Picture 1" descr="f58bb30b-78d4-41e9-956a-ba4e44d7a724">
          <a:extLst>
            <a:ext uri="{FF2B5EF4-FFF2-40B4-BE49-F238E27FC236}">
              <a16:creationId xmlns:a16="http://schemas.microsoft.com/office/drawing/2014/main" id="{F9DE7019-43EE-4459-B94D-9F18612FF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8770" name="Picture 2" descr="Chart_127">
          <a:extLst>
            <a:ext uri="{FF2B5EF4-FFF2-40B4-BE49-F238E27FC236}">
              <a16:creationId xmlns:a16="http://schemas.microsoft.com/office/drawing/2014/main" id="{EB400DFB-E3C6-4286-837C-FEFC89DB09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956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8771" name="Picture 3" descr="Chart_465">
          <a:extLst>
            <a:ext uri="{FF2B5EF4-FFF2-40B4-BE49-F238E27FC236}">
              <a16:creationId xmlns:a16="http://schemas.microsoft.com/office/drawing/2014/main" id="{1EDF3F56-F9F8-4E85-B6AC-6C0AE331ADD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485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8772" name="Picture 4" descr="Chart_514">
          <a:extLst>
            <a:ext uri="{FF2B5EF4-FFF2-40B4-BE49-F238E27FC236}">
              <a16:creationId xmlns:a16="http://schemas.microsoft.com/office/drawing/2014/main" id="{9BBF1531-0DD9-4F9D-BFE6-BDB98ECE367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4850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9793" name="Picture 1" descr="3e28ffda-07a8-400e-9ab2-de49cf2e66ac">
          <a:extLst>
            <a:ext uri="{FF2B5EF4-FFF2-40B4-BE49-F238E27FC236}">
              <a16:creationId xmlns:a16="http://schemas.microsoft.com/office/drawing/2014/main" id="{231D1F63-8B0B-444D-A785-E40FEC774A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9794" name="Picture 2" descr="Chart_127">
          <a:extLst>
            <a:ext uri="{FF2B5EF4-FFF2-40B4-BE49-F238E27FC236}">
              <a16:creationId xmlns:a16="http://schemas.microsoft.com/office/drawing/2014/main" id="{2189EFA4-3F38-407D-A3A6-3805D1ED67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9795" name="Picture 3" descr="Chart_465">
          <a:extLst>
            <a:ext uri="{FF2B5EF4-FFF2-40B4-BE49-F238E27FC236}">
              <a16:creationId xmlns:a16="http://schemas.microsoft.com/office/drawing/2014/main" id="{75C979FF-F3D4-4B86-94DC-F82A5229D5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9796" name="Picture 4" descr="Chart_514">
          <a:extLst>
            <a:ext uri="{FF2B5EF4-FFF2-40B4-BE49-F238E27FC236}">
              <a16:creationId xmlns:a16="http://schemas.microsoft.com/office/drawing/2014/main" id="{05CEC20C-B730-475A-B49D-5D19FDAC5E7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50817" name="Picture 1" descr="3daf0c2d-f22d-4601-80bd-e0173ca09eda">
          <a:extLst>
            <a:ext uri="{FF2B5EF4-FFF2-40B4-BE49-F238E27FC236}">
              <a16:creationId xmlns:a16="http://schemas.microsoft.com/office/drawing/2014/main" id="{97E1210A-6846-4B7D-9F91-ED5600B763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0818" name="Picture 2" descr="Chart_127">
          <a:extLst>
            <a:ext uri="{FF2B5EF4-FFF2-40B4-BE49-F238E27FC236}">
              <a16:creationId xmlns:a16="http://schemas.microsoft.com/office/drawing/2014/main" id="{42B1D86E-AA95-4F74-8E45-C696727692C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0819" name="Picture 3" descr="Chart_465">
          <a:extLst>
            <a:ext uri="{FF2B5EF4-FFF2-40B4-BE49-F238E27FC236}">
              <a16:creationId xmlns:a16="http://schemas.microsoft.com/office/drawing/2014/main" id="{BABC1425-A63D-483B-9CC9-1569624527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50820" name="Picture 4" descr="Chart_514">
          <a:extLst>
            <a:ext uri="{FF2B5EF4-FFF2-40B4-BE49-F238E27FC236}">
              <a16:creationId xmlns:a16="http://schemas.microsoft.com/office/drawing/2014/main" id="{D7A75FF3-32A9-4827-8917-359911772DA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28</xdr:col>
      <xdr:colOff>0</xdr:colOff>
      <xdr:row>8</xdr:row>
      <xdr:rowOff>0</xdr:rowOff>
    </xdr:from>
    <xdr:to>
      <xdr:col>29</xdr:col>
      <xdr:colOff>0</xdr:colOff>
      <xdr:row>13</xdr:row>
      <xdr:rowOff>0</xdr:rowOff>
    </xdr:to>
    <xdr:pic>
      <xdr:nvPicPr>
        <xdr:cNvPr id="351841" name="Picture 1" descr="60912661-3b79-476b-b976-717ce59e0859">
          <a:extLst>
            <a:ext uri="{FF2B5EF4-FFF2-40B4-BE49-F238E27FC236}">
              <a16:creationId xmlns:a16="http://schemas.microsoft.com/office/drawing/2014/main" id="{D1C5420D-542D-4BD0-9BAC-26C527FBA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9537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1842" name="Picture 2" descr="Chart_127">
          <a:extLst>
            <a:ext uri="{FF2B5EF4-FFF2-40B4-BE49-F238E27FC236}">
              <a16:creationId xmlns:a16="http://schemas.microsoft.com/office/drawing/2014/main" id="{F3563E16-6198-4DD4-A1A2-D74F7FDEEB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1843" name="Picture 3" descr="Chart_411">
          <a:extLst>
            <a:ext uri="{FF2B5EF4-FFF2-40B4-BE49-F238E27FC236}">
              <a16:creationId xmlns:a16="http://schemas.microsoft.com/office/drawing/2014/main" id="{A685C34C-26DA-46FF-A718-F2CE23F765B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30</xdr:col>
      <xdr:colOff>0</xdr:colOff>
      <xdr:row>62</xdr:row>
      <xdr:rowOff>0</xdr:rowOff>
    </xdr:to>
    <xdr:pic>
      <xdr:nvPicPr>
        <xdr:cNvPr id="351844" name="Picture 4" descr="Chart_460">
          <a:extLst>
            <a:ext uri="{FF2B5EF4-FFF2-40B4-BE49-F238E27FC236}">
              <a16:creationId xmlns:a16="http://schemas.microsoft.com/office/drawing/2014/main" id="{E82E742A-53EF-4921-A050-8743C0754BB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52865" name="Picture 1" descr="249b9b9e-e470-4bc6-9a70-2d8469c89a62">
          <a:extLst>
            <a:ext uri="{FF2B5EF4-FFF2-40B4-BE49-F238E27FC236}">
              <a16:creationId xmlns:a16="http://schemas.microsoft.com/office/drawing/2014/main" id="{BF874842-D8CB-4BA4-9544-9C81D35A6B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2866" name="Picture 2" descr="Chart_127">
          <a:extLst>
            <a:ext uri="{FF2B5EF4-FFF2-40B4-BE49-F238E27FC236}">
              <a16:creationId xmlns:a16="http://schemas.microsoft.com/office/drawing/2014/main" id="{0EC6B648-DA7A-4525-9C0E-261D83E0DD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2867" name="Picture 3" descr="Chart_465">
          <a:extLst>
            <a:ext uri="{FF2B5EF4-FFF2-40B4-BE49-F238E27FC236}">
              <a16:creationId xmlns:a16="http://schemas.microsoft.com/office/drawing/2014/main" id="{98C3DD7F-94F7-4674-B53B-2BE8017C91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52868" name="Picture 4" descr="Chart_514">
          <a:extLst>
            <a:ext uri="{FF2B5EF4-FFF2-40B4-BE49-F238E27FC236}">
              <a16:creationId xmlns:a16="http://schemas.microsoft.com/office/drawing/2014/main" id="{EFA6F416-5A8A-4817-B113-67232F2C63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53889" name="Picture 1" descr="d3ba9956-71f2-48ad-8753-584cda7924d7">
          <a:extLst>
            <a:ext uri="{FF2B5EF4-FFF2-40B4-BE49-F238E27FC236}">
              <a16:creationId xmlns:a16="http://schemas.microsoft.com/office/drawing/2014/main" id="{5AFF8785-1CA5-4379-BF68-66C95D058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3890" name="Picture 2" descr="Chart_127">
          <a:extLst>
            <a:ext uri="{FF2B5EF4-FFF2-40B4-BE49-F238E27FC236}">
              <a16:creationId xmlns:a16="http://schemas.microsoft.com/office/drawing/2014/main" id="{0DFC5FA7-9B33-4C9B-AEEF-EB008C9E8A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337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3891" name="Picture 3" descr="Chart_465">
          <a:extLst>
            <a:ext uri="{FF2B5EF4-FFF2-40B4-BE49-F238E27FC236}">
              <a16:creationId xmlns:a16="http://schemas.microsoft.com/office/drawing/2014/main" id="{B201B063-E483-42A8-8766-F4483E62E8A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66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53892" name="Picture 4" descr="Chart_514">
          <a:extLst>
            <a:ext uri="{FF2B5EF4-FFF2-40B4-BE49-F238E27FC236}">
              <a16:creationId xmlns:a16="http://schemas.microsoft.com/office/drawing/2014/main" id="{B17192B0-BC44-47C2-A605-8FBBDA87FAA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8660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4913" name="Picture 1" descr="2abc9687-a76c-4ba6-8da1-1cb515624629">
          <a:extLst>
            <a:ext uri="{FF2B5EF4-FFF2-40B4-BE49-F238E27FC236}">
              <a16:creationId xmlns:a16="http://schemas.microsoft.com/office/drawing/2014/main" id="{F4EFF882-47CE-448E-AD71-1370EF8089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4914" name="Picture 2" descr="Chart_127">
          <a:extLst>
            <a:ext uri="{FF2B5EF4-FFF2-40B4-BE49-F238E27FC236}">
              <a16:creationId xmlns:a16="http://schemas.microsoft.com/office/drawing/2014/main" id="{D654346A-F21D-4CFB-9C79-6AED5CC4F7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4915" name="Picture 3" descr="Chart_465">
          <a:extLst>
            <a:ext uri="{FF2B5EF4-FFF2-40B4-BE49-F238E27FC236}">
              <a16:creationId xmlns:a16="http://schemas.microsoft.com/office/drawing/2014/main" id="{39857347-971D-4788-A4FD-B05990C0F1B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4916" name="Picture 4" descr="Chart_514">
          <a:extLst>
            <a:ext uri="{FF2B5EF4-FFF2-40B4-BE49-F238E27FC236}">
              <a16:creationId xmlns:a16="http://schemas.microsoft.com/office/drawing/2014/main" id="{DA08611C-B4D8-4F70-9D6B-AE87FACB1DC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55785" name="Picture 1" descr="Chart_127">
          <a:extLst>
            <a:ext uri="{FF2B5EF4-FFF2-40B4-BE49-F238E27FC236}">
              <a16:creationId xmlns:a16="http://schemas.microsoft.com/office/drawing/2014/main" id="{B1286F1C-5395-4637-B52C-A5EDD196D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671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55786" name="Picture 2" descr="Chart_465">
          <a:extLst>
            <a:ext uri="{FF2B5EF4-FFF2-40B4-BE49-F238E27FC236}">
              <a16:creationId xmlns:a16="http://schemas.microsoft.com/office/drawing/2014/main" id="{C6A628B8-369F-4443-A67D-6E41CAE7DE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55787" name="Picture 3" descr="Chart_514">
          <a:extLst>
            <a:ext uri="{FF2B5EF4-FFF2-40B4-BE49-F238E27FC236}">
              <a16:creationId xmlns:a16="http://schemas.microsoft.com/office/drawing/2014/main" id="{F97DAED5-91D7-453E-ACEA-6AE36BF378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199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6961" name="Picture 1" descr="dae0a5b9-2dd7-4590-9c07-91fd31154e3b">
          <a:extLst>
            <a:ext uri="{FF2B5EF4-FFF2-40B4-BE49-F238E27FC236}">
              <a16:creationId xmlns:a16="http://schemas.microsoft.com/office/drawing/2014/main" id="{9EBAA445-0C24-43D8-A71C-B47569100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6962" name="Picture 2" descr="Chart_127">
          <a:extLst>
            <a:ext uri="{FF2B5EF4-FFF2-40B4-BE49-F238E27FC236}">
              <a16:creationId xmlns:a16="http://schemas.microsoft.com/office/drawing/2014/main" id="{86EAC84A-00BF-438B-990B-75CFBD7F87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6963" name="Picture 3" descr="Chart_465">
          <a:extLst>
            <a:ext uri="{FF2B5EF4-FFF2-40B4-BE49-F238E27FC236}">
              <a16:creationId xmlns:a16="http://schemas.microsoft.com/office/drawing/2014/main" id="{D5EA1CE4-AA25-499E-9C36-D6DB3669003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6964" name="Picture 4" descr="Chart_514">
          <a:extLst>
            <a:ext uri="{FF2B5EF4-FFF2-40B4-BE49-F238E27FC236}">
              <a16:creationId xmlns:a16="http://schemas.microsoft.com/office/drawing/2014/main" id="{C9535541-07D6-41FD-A10A-BA76E6E36A0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7985" name="Picture 1" descr="9f5aa0cc-e95c-4276-96e8-39f5600dd09b">
          <a:extLst>
            <a:ext uri="{FF2B5EF4-FFF2-40B4-BE49-F238E27FC236}">
              <a16:creationId xmlns:a16="http://schemas.microsoft.com/office/drawing/2014/main" id="{2333EE2E-7D7E-4630-8CCC-BD50605FB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7986" name="Picture 2" descr="Chart_127">
          <a:extLst>
            <a:ext uri="{FF2B5EF4-FFF2-40B4-BE49-F238E27FC236}">
              <a16:creationId xmlns:a16="http://schemas.microsoft.com/office/drawing/2014/main" id="{09A0F95F-48FA-412B-9E42-4AF3271EC7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7987" name="Picture 3" descr="Chart_465">
          <a:extLst>
            <a:ext uri="{FF2B5EF4-FFF2-40B4-BE49-F238E27FC236}">
              <a16:creationId xmlns:a16="http://schemas.microsoft.com/office/drawing/2014/main" id="{EF4488A8-AF3A-460E-81A7-EB7CC68AD7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7988" name="Picture 4" descr="Chart_514">
          <a:extLst>
            <a:ext uri="{FF2B5EF4-FFF2-40B4-BE49-F238E27FC236}">
              <a16:creationId xmlns:a16="http://schemas.microsoft.com/office/drawing/2014/main" id="{D87E44A4-22C6-4084-8504-F851A225F0D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9009" name="Picture 1" descr="c2598447-e324-4606-acf6-59fcbcd2d053">
          <a:extLst>
            <a:ext uri="{FF2B5EF4-FFF2-40B4-BE49-F238E27FC236}">
              <a16:creationId xmlns:a16="http://schemas.microsoft.com/office/drawing/2014/main" id="{945C1836-3411-45CC-88CC-DB929E09D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9010" name="Picture 2" descr="Chart_127">
          <a:extLst>
            <a:ext uri="{FF2B5EF4-FFF2-40B4-BE49-F238E27FC236}">
              <a16:creationId xmlns:a16="http://schemas.microsoft.com/office/drawing/2014/main" id="{EA5C990C-F8C8-4227-BF53-92EED2EB9F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9011" name="Picture 3" descr="Chart_465">
          <a:extLst>
            <a:ext uri="{FF2B5EF4-FFF2-40B4-BE49-F238E27FC236}">
              <a16:creationId xmlns:a16="http://schemas.microsoft.com/office/drawing/2014/main" id="{CDCEF079-BA36-4E94-9E25-4C660495CE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9012" name="Picture 4" descr="Chart_514">
          <a:extLst>
            <a:ext uri="{FF2B5EF4-FFF2-40B4-BE49-F238E27FC236}">
              <a16:creationId xmlns:a16="http://schemas.microsoft.com/office/drawing/2014/main" id="{8A9B56FC-44D2-47EF-8D35-CD63B644B3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60033" name="Picture 1" descr="1816b623-0c73-477a-9ae7-5ce4b54a5959">
          <a:extLst>
            <a:ext uri="{FF2B5EF4-FFF2-40B4-BE49-F238E27FC236}">
              <a16:creationId xmlns:a16="http://schemas.microsoft.com/office/drawing/2014/main" id="{6E2DD21A-AB43-459E-A787-5CEE0665F1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60034" name="Picture 2" descr="Chart_127">
          <a:extLst>
            <a:ext uri="{FF2B5EF4-FFF2-40B4-BE49-F238E27FC236}">
              <a16:creationId xmlns:a16="http://schemas.microsoft.com/office/drawing/2014/main" id="{E1A3AE51-19D4-4464-B447-96E594F79E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60035" name="Picture 3" descr="Chart_465">
          <a:extLst>
            <a:ext uri="{FF2B5EF4-FFF2-40B4-BE49-F238E27FC236}">
              <a16:creationId xmlns:a16="http://schemas.microsoft.com/office/drawing/2014/main" id="{9D5A6F1B-8EAD-4723-8E59-EA7B97306F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60036" name="Picture 4" descr="Chart_514">
          <a:extLst>
            <a:ext uri="{FF2B5EF4-FFF2-40B4-BE49-F238E27FC236}">
              <a16:creationId xmlns:a16="http://schemas.microsoft.com/office/drawing/2014/main" id="{3902B3A6-2A93-4803-AFAE-114A4A52FD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61057" name="Picture 1" descr="08ea5aa1-2d14-4e6c-a890-60b9d57a23ad">
          <a:extLst>
            <a:ext uri="{FF2B5EF4-FFF2-40B4-BE49-F238E27FC236}">
              <a16:creationId xmlns:a16="http://schemas.microsoft.com/office/drawing/2014/main" id="{D3507E73-0BA4-4490-80EA-40BA044B1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61058" name="Picture 2" descr="Chart_127">
          <a:extLst>
            <a:ext uri="{FF2B5EF4-FFF2-40B4-BE49-F238E27FC236}">
              <a16:creationId xmlns:a16="http://schemas.microsoft.com/office/drawing/2014/main" id="{6AED9330-3B0F-41BF-B47C-D10CB87B2B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61059" name="Picture 3" descr="Chart_465">
          <a:extLst>
            <a:ext uri="{FF2B5EF4-FFF2-40B4-BE49-F238E27FC236}">
              <a16:creationId xmlns:a16="http://schemas.microsoft.com/office/drawing/2014/main" id="{E64DB8CF-E239-4A44-BBF1-0C3792F4886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61060" name="Picture 4" descr="Chart_514">
          <a:extLst>
            <a:ext uri="{FF2B5EF4-FFF2-40B4-BE49-F238E27FC236}">
              <a16:creationId xmlns:a16="http://schemas.microsoft.com/office/drawing/2014/main" id="{606F757B-AD5B-48A9-A899-68BC742691A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61929" name="Picture 1" descr="Chart_127">
          <a:extLst>
            <a:ext uri="{FF2B5EF4-FFF2-40B4-BE49-F238E27FC236}">
              <a16:creationId xmlns:a16="http://schemas.microsoft.com/office/drawing/2014/main" id="{766721E0-16D9-41EB-A5E8-4C48830E24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61930" name="Picture 2" descr="Chart_465">
          <a:extLst>
            <a:ext uri="{FF2B5EF4-FFF2-40B4-BE49-F238E27FC236}">
              <a16:creationId xmlns:a16="http://schemas.microsoft.com/office/drawing/2014/main" id="{78ACEE37-1CC9-4A11-8111-DB573FC8F4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61931" name="Picture 3" descr="Chart_514">
          <a:extLst>
            <a:ext uri="{FF2B5EF4-FFF2-40B4-BE49-F238E27FC236}">
              <a16:creationId xmlns:a16="http://schemas.microsoft.com/office/drawing/2014/main" id="{A56D0396-D185-46E5-B1B8-AD781152B7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62953" name="Picture 1" descr="Chart_127">
          <a:extLst>
            <a:ext uri="{FF2B5EF4-FFF2-40B4-BE49-F238E27FC236}">
              <a16:creationId xmlns:a16="http://schemas.microsoft.com/office/drawing/2014/main" id="{F1C08AF4-3950-4432-B60D-FCB20A471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62954" name="Picture 2" descr="Chart_465">
          <a:extLst>
            <a:ext uri="{FF2B5EF4-FFF2-40B4-BE49-F238E27FC236}">
              <a16:creationId xmlns:a16="http://schemas.microsoft.com/office/drawing/2014/main" id="{619BFE5A-D918-455B-AF0F-93BF24172B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62955" name="Picture 3" descr="Chart_514">
          <a:extLst>
            <a:ext uri="{FF2B5EF4-FFF2-40B4-BE49-F238E27FC236}">
              <a16:creationId xmlns:a16="http://schemas.microsoft.com/office/drawing/2014/main" id="{6A225473-193F-4073-9599-E807CEDC20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63977" name="Picture 1" descr="Chart_127">
          <a:extLst>
            <a:ext uri="{FF2B5EF4-FFF2-40B4-BE49-F238E27FC236}">
              <a16:creationId xmlns:a16="http://schemas.microsoft.com/office/drawing/2014/main" id="{17954654-D893-47A6-899F-96CFD11F8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195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63978" name="Picture 2" descr="Chart_465">
          <a:extLst>
            <a:ext uri="{FF2B5EF4-FFF2-40B4-BE49-F238E27FC236}">
              <a16:creationId xmlns:a16="http://schemas.microsoft.com/office/drawing/2014/main" id="{FDFB800A-A1B1-4BE0-A4A5-6E1D36B2209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723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63979" name="Picture 3" descr="Chart_514">
          <a:extLst>
            <a:ext uri="{FF2B5EF4-FFF2-40B4-BE49-F238E27FC236}">
              <a16:creationId xmlns:a16="http://schemas.microsoft.com/office/drawing/2014/main" id="{BA944BF7-9FCC-46AF-89AD-70626F9AED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723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3521" name="Picture 9" descr="68b39e84-032b-43f7-8cf6-9b24b08e5176">
          <a:extLst>
            <a:ext uri="{FF2B5EF4-FFF2-40B4-BE49-F238E27FC236}">
              <a16:creationId xmlns:a16="http://schemas.microsoft.com/office/drawing/2014/main" id="{12A1451E-DF07-40C3-AB6D-6F6DDAF9B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0"/>
          <a:ext cx="1085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3522" name="Picture 10" descr="Chart_127">
          <a:extLst>
            <a:ext uri="{FF2B5EF4-FFF2-40B4-BE49-F238E27FC236}">
              <a16:creationId xmlns:a16="http://schemas.microsoft.com/office/drawing/2014/main" id="{0915E208-96D1-4680-B9F0-E6F777C98F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3523" name="Picture 11" descr="Chart_465">
          <a:extLst>
            <a:ext uri="{FF2B5EF4-FFF2-40B4-BE49-F238E27FC236}">
              <a16:creationId xmlns:a16="http://schemas.microsoft.com/office/drawing/2014/main" id="{4DCBB653-AB5F-4D03-B282-B48F08099C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3524" name="Picture 12" descr="Chart_514">
          <a:extLst>
            <a:ext uri="{FF2B5EF4-FFF2-40B4-BE49-F238E27FC236}">
              <a16:creationId xmlns:a16="http://schemas.microsoft.com/office/drawing/2014/main" id="{7E928E1A-1485-4628-95AB-00DA258B4CB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0"/>
          <a:ext cx="31146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3525" name="Picture 13" descr="f935af98-fe86-44dd-9ec5-a8b10d2021aa">
          <a:extLst>
            <a:ext uri="{FF2B5EF4-FFF2-40B4-BE49-F238E27FC236}">
              <a16:creationId xmlns:a16="http://schemas.microsoft.com/office/drawing/2014/main" id="{BF79AB2C-DEE5-477B-BD90-DBFC08AF52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3526" name="Picture 14" descr="Chart_127">
          <a:extLst>
            <a:ext uri="{FF2B5EF4-FFF2-40B4-BE49-F238E27FC236}">
              <a16:creationId xmlns:a16="http://schemas.microsoft.com/office/drawing/2014/main" id="{1E1102A1-45BD-47B2-81A2-91560AD03C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3527" name="Picture 15" descr="Chart_465">
          <a:extLst>
            <a:ext uri="{FF2B5EF4-FFF2-40B4-BE49-F238E27FC236}">
              <a16:creationId xmlns:a16="http://schemas.microsoft.com/office/drawing/2014/main" id="{4DF8CCC5-A6F5-4987-9127-1D29B32946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3528" name="Picture 16" descr="Chart_514">
          <a:extLst>
            <a:ext uri="{FF2B5EF4-FFF2-40B4-BE49-F238E27FC236}">
              <a16:creationId xmlns:a16="http://schemas.microsoft.com/office/drawing/2014/main" id="{1852AFCC-6D4F-4764-AB4A-643BDF96D62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4545" name="Picture 13" descr="319b0c45-0062-4bd9-86bd-fef38119bcc9">
          <a:extLst>
            <a:ext uri="{FF2B5EF4-FFF2-40B4-BE49-F238E27FC236}">
              <a16:creationId xmlns:a16="http://schemas.microsoft.com/office/drawing/2014/main" id="{E3A135DC-BBC1-447B-AA6C-1944850E4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0"/>
          <a:ext cx="1085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4546" name="Picture 14" descr="Chart_127">
          <a:extLst>
            <a:ext uri="{FF2B5EF4-FFF2-40B4-BE49-F238E27FC236}">
              <a16:creationId xmlns:a16="http://schemas.microsoft.com/office/drawing/2014/main" id="{2E57DD0E-39AF-46F2-B43A-683E87C88F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4547" name="Picture 15" descr="Chart_465">
          <a:extLst>
            <a:ext uri="{FF2B5EF4-FFF2-40B4-BE49-F238E27FC236}">
              <a16:creationId xmlns:a16="http://schemas.microsoft.com/office/drawing/2014/main" id="{225FB83F-A622-4085-A954-E7275E3E03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4548" name="Picture 16" descr="Chart_514">
          <a:extLst>
            <a:ext uri="{FF2B5EF4-FFF2-40B4-BE49-F238E27FC236}">
              <a16:creationId xmlns:a16="http://schemas.microsoft.com/office/drawing/2014/main" id="{461A965C-9700-4A34-8DF4-4A723057068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0"/>
          <a:ext cx="31146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4549" name="Picture 17" descr="691ae5d3-6c46-492e-8f64-24d6bd7ba635">
          <a:extLst>
            <a:ext uri="{FF2B5EF4-FFF2-40B4-BE49-F238E27FC236}">
              <a16:creationId xmlns:a16="http://schemas.microsoft.com/office/drawing/2014/main" id="{1B17298D-004B-4549-8B9F-9EFB4B60679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4550" name="Picture 18" descr="Chart_127">
          <a:extLst>
            <a:ext uri="{FF2B5EF4-FFF2-40B4-BE49-F238E27FC236}">
              <a16:creationId xmlns:a16="http://schemas.microsoft.com/office/drawing/2014/main" id="{B83DB609-0232-4CA8-ADAC-6A5A6AE948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4551" name="Picture 19" descr="Chart_465">
          <a:extLst>
            <a:ext uri="{FF2B5EF4-FFF2-40B4-BE49-F238E27FC236}">
              <a16:creationId xmlns:a16="http://schemas.microsoft.com/office/drawing/2014/main" id="{E6864CB0-C324-44F3-8744-781D4766D88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4552" name="Picture 20" descr="Chart_514">
          <a:extLst>
            <a:ext uri="{FF2B5EF4-FFF2-40B4-BE49-F238E27FC236}">
              <a16:creationId xmlns:a16="http://schemas.microsoft.com/office/drawing/2014/main" id="{35731093-DC0A-42DC-8344-66814064933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5569" name="Picture 9" descr="7b0b0e68-56e6-45b0-b1c3-37527b550ce0">
          <a:extLst>
            <a:ext uri="{FF2B5EF4-FFF2-40B4-BE49-F238E27FC236}">
              <a16:creationId xmlns:a16="http://schemas.microsoft.com/office/drawing/2014/main" id="{584A0BB4-B7AE-4B1E-9AD8-E1B0ED628E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0"/>
          <a:ext cx="1085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5570" name="Picture 10" descr="Chart_127">
          <a:extLst>
            <a:ext uri="{FF2B5EF4-FFF2-40B4-BE49-F238E27FC236}">
              <a16:creationId xmlns:a16="http://schemas.microsoft.com/office/drawing/2014/main" id="{E885DE32-4952-40F8-9467-4FB242FE8F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5571" name="Picture 11" descr="Chart_465">
          <a:extLst>
            <a:ext uri="{FF2B5EF4-FFF2-40B4-BE49-F238E27FC236}">
              <a16:creationId xmlns:a16="http://schemas.microsoft.com/office/drawing/2014/main" id="{03F61721-546D-4963-BB6C-E57092E376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5572" name="Picture 12" descr="Chart_514">
          <a:extLst>
            <a:ext uri="{FF2B5EF4-FFF2-40B4-BE49-F238E27FC236}">
              <a16:creationId xmlns:a16="http://schemas.microsoft.com/office/drawing/2014/main" id="{6D60080F-8523-40A8-95BC-6DF732618F0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0"/>
          <a:ext cx="31146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5573" name="Picture 13" descr="18a75c7c-bb68-4bca-82ba-f0ef74fe95a1">
          <a:extLst>
            <a:ext uri="{FF2B5EF4-FFF2-40B4-BE49-F238E27FC236}">
              <a16:creationId xmlns:a16="http://schemas.microsoft.com/office/drawing/2014/main" id="{64B59BEC-4A40-4241-B005-974CF5451C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5574" name="Picture 14" descr="Chart_127">
          <a:extLst>
            <a:ext uri="{FF2B5EF4-FFF2-40B4-BE49-F238E27FC236}">
              <a16:creationId xmlns:a16="http://schemas.microsoft.com/office/drawing/2014/main" id="{3B588A7A-58DD-4537-9409-511C927F92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5575" name="Picture 15" descr="Chart_465">
          <a:extLst>
            <a:ext uri="{FF2B5EF4-FFF2-40B4-BE49-F238E27FC236}">
              <a16:creationId xmlns:a16="http://schemas.microsoft.com/office/drawing/2014/main" id="{B54477A4-7E56-4FDF-AD8A-171EA094103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5576" name="Picture 16" descr="Chart_514">
          <a:extLst>
            <a:ext uri="{FF2B5EF4-FFF2-40B4-BE49-F238E27FC236}">
              <a16:creationId xmlns:a16="http://schemas.microsoft.com/office/drawing/2014/main" id="{BFB126FB-8DC1-4C9B-A5BB-120C2275596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6593" name="Picture 1" descr="a98b3afb-357d-4ce2-ba76-959cd9b70f96">
          <a:extLst>
            <a:ext uri="{FF2B5EF4-FFF2-40B4-BE49-F238E27FC236}">
              <a16:creationId xmlns:a16="http://schemas.microsoft.com/office/drawing/2014/main" id="{021E51AB-C381-4E90-AF2B-AA8ACA880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0"/>
          <a:ext cx="1085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6594" name="Picture 2" descr="Chart_127">
          <a:extLst>
            <a:ext uri="{FF2B5EF4-FFF2-40B4-BE49-F238E27FC236}">
              <a16:creationId xmlns:a16="http://schemas.microsoft.com/office/drawing/2014/main" id="{66FDEDB6-DEB2-4950-BE85-281CE2E1A9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6595" name="Picture 3" descr="Chart_465">
          <a:extLst>
            <a:ext uri="{FF2B5EF4-FFF2-40B4-BE49-F238E27FC236}">
              <a16:creationId xmlns:a16="http://schemas.microsoft.com/office/drawing/2014/main" id="{79B9B2F3-5F49-42FC-AB83-2A687A5419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6596" name="Picture 4" descr="Chart_514">
          <a:extLst>
            <a:ext uri="{FF2B5EF4-FFF2-40B4-BE49-F238E27FC236}">
              <a16:creationId xmlns:a16="http://schemas.microsoft.com/office/drawing/2014/main" id="{2723B56C-D41B-47AB-B778-3402E3E7818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0"/>
          <a:ext cx="31146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6597" name="Picture 5" descr="74a0f6fd-1d79-4be4-b9c8-ad2719fb449a">
          <a:extLst>
            <a:ext uri="{FF2B5EF4-FFF2-40B4-BE49-F238E27FC236}">
              <a16:creationId xmlns:a16="http://schemas.microsoft.com/office/drawing/2014/main" id="{D4290F92-2D62-440B-A088-A64EF76D2AB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6598" name="Picture 6" descr="Chart_127">
          <a:extLst>
            <a:ext uri="{FF2B5EF4-FFF2-40B4-BE49-F238E27FC236}">
              <a16:creationId xmlns:a16="http://schemas.microsoft.com/office/drawing/2014/main" id="{9B8B46A8-1A50-4D56-BDA5-C1E5864597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6599" name="Picture 7" descr="Chart_465">
          <a:extLst>
            <a:ext uri="{FF2B5EF4-FFF2-40B4-BE49-F238E27FC236}">
              <a16:creationId xmlns:a16="http://schemas.microsoft.com/office/drawing/2014/main" id="{2B15C0F2-F866-4804-B01D-E01CD285E4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6600" name="Picture 8" descr="Chart_514">
          <a:extLst>
            <a:ext uri="{FF2B5EF4-FFF2-40B4-BE49-F238E27FC236}">
              <a16:creationId xmlns:a16="http://schemas.microsoft.com/office/drawing/2014/main" id="{74021F1F-944A-4EC8-96D5-D1AFBBBEDD8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69249" name="Picture 1" descr="b5618b2b-1511-4d4d-81f0-69cb6504690a">
          <a:extLst>
            <a:ext uri="{FF2B5EF4-FFF2-40B4-BE49-F238E27FC236}">
              <a16:creationId xmlns:a16="http://schemas.microsoft.com/office/drawing/2014/main" id="{4CC4C5D6-14A3-40AC-8809-F9ADD8B42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69250" name="Picture 2" descr="Chart_127">
          <a:extLst>
            <a:ext uri="{FF2B5EF4-FFF2-40B4-BE49-F238E27FC236}">
              <a16:creationId xmlns:a16="http://schemas.microsoft.com/office/drawing/2014/main" id="{C6F4D9C6-0B1D-465A-BC2E-08D2D29496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69251" name="Picture 3" descr="Chart_465">
          <a:extLst>
            <a:ext uri="{FF2B5EF4-FFF2-40B4-BE49-F238E27FC236}">
              <a16:creationId xmlns:a16="http://schemas.microsoft.com/office/drawing/2014/main" id="{B561E159-C9F5-46A5-9FB6-EDD1A7D3DA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69252" name="Picture 4" descr="Chart_514">
          <a:extLst>
            <a:ext uri="{FF2B5EF4-FFF2-40B4-BE49-F238E27FC236}">
              <a16:creationId xmlns:a16="http://schemas.microsoft.com/office/drawing/2014/main" id="{9FD842E5-7245-49C2-9DA9-CB3DAA025A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70273" name="Picture 1" descr="a8e4c569-6d28-4758-bfcb-bbf0ad9fdb47">
          <a:extLst>
            <a:ext uri="{FF2B5EF4-FFF2-40B4-BE49-F238E27FC236}">
              <a16:creationId xmlns:a16="http://schemas.microsoft.com/office/drawing/2014/main" id="{2DDAFD57-0070-4EFD-9E68-5B0DE1F41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10125" y="523875"/>
          <a:ext cx="9715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70274" name="Picture 2" descr="Chart_127">
          <a:extLst>
            <a:ext uri="{FF2B5EF4-FFF2-40B4-BE49-F238E27FC236}">
              <a16:creationId xmlns:a16="http://schemas.microsoft.com/office/drawing/2014/main" id="{7F59D7D0-43C7-446F-95DE-86664D390B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2905125"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70275" name="Picture 3" descr="Chart_465">
          <a:extLst>
            <a:ext uri="{FF2B5EF4-FFF2-40B4-BE49-F238E27FC236}">
              <a16:creationId xmlns:a16="http://schemas.microsoft.com/office/drawing/2014/main" id="{CF17C75D-BED4-4BA9-92EE-EC2B05281C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290512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70276" name="Picture 4" descr="Chart_514">
          <a:extLst>
            <a:ext uri="{FF2B5EF4-FFF2-40B4-BE49-F238E27FC236}">
              <a16:creationId xmlns:a16="http://schemas.microsoft.com/office/drawing/2014/main" id="{9FDD6AFA-B06D-499A-A61A-AF7BF195FAA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19425" y="7058025"/>
          <a:ext cx="27717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1145" name="Picture 1" descr="Chart_127">
          <a:extLst>
            <a:ext uri="{FF2B5EF4-FFF2-40B4-BE49-F238E27FC236}">
              <a16:creationId xmlns:a16="http://schemas.microsoft.com/office/drawing/2014/main" id="{720B8D16-A601-45A8-85F2-F3C4423FC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195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1146" name="Picture 2" descr="Chart_465">
          <a:extLst>
            <a:ext uri="{FF2B5EF4-FFF2-40B4-BE49-F238E27FC236}">
              <a16:creationId xmlns:a16="http://schemas.microsoft.com/office/drawing/2014/main" id="{B2DBEBA2-C108-4109-8FD7-75B12A09E84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723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1147" name="Picture 3" descr="Chart_514">
          <a:extLst>
            <a:ext uri="{FF2B5EF4-FFF2-40B4-BE49-F238E27FC236}">
              <a16:creationId xmlns:a16="http://schemas.microsoft.com/office/drawing/2014/main" id="{1A19707B-D71B-486C-AD19-5B3077EAEB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723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2169" name="Picture 1" descr="Chart_127">
          <a:extLst>
            <a:ext uri="{FF2B5EF4-FFF2-40B4-BE49-F238E27FC236}">
              <a16:creationId xmlns:a16="http://schemas.microsoft.com/office/drawing/2014/main" id="{574BC92B-CFFD-4145-A9BB-5EDB93767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2170" name="Picture 2" descr="Chart_465">
          <a:extLst>
            <a:ext uri="{FF2B5EF4-FFF2-40B4-BE49-F238E27FC236}">
              <a16:creationId xmlns:a16="http://schemas.microsoft.com/office/drawing/2014/main" id="{CE6C7578-1034-4B49-A125-17673CACBE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2171" name="Picture 3" descr="Chart_514">
          <a:extLst>
            <a:ext uri="{FF2B5EF4-FFF2-40B4-BE49-F238E27FC236}">
              <a16:creationId xmlns:a16="http://schemas.microsoft.com/office/drawing/2014/main" id="{8F0AD4BA-317A-4954-899B-ECCFAB9789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3193" name="Picture 1" descr="Chart_127">
          <a:extLst>
            <a:ext uri="{FF2B5EF4-FFF2-40B4-BE49-F238E27FC236}">
              <a16:creationId xmlns:a16="http://schemas.microsoft.com/office/drawing/2014/main" id="{A46B1AC7-AB31-45CB-92DA-69F958736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3194" name="Picture 2" descr="Chart_465">
          <a:extLst>
            <a:ext uri="{FF2B5EF4-FFF2-40B4-BE49-F238E27FC236}">
              <a16:creationId xmlns:a16="http://schemas.microsoft.com/office/drawing/2014/main" id="{2E67F11C-4DF4-4068-9DE0-81D87C1E97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3195" name="Picture 3" descr="Chart_514">
          <a:extLst>
            <a:ext uri="{FF2B5EF4-FFF2-40B4-BE49-F238E27FC236}">
              <a16:creationId xmlns:a16="http://schemas.microsoft.com/office/drawing/2014/main" id="{7E461C75-D62B-42DE-8CF5-8F3528B557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4217" name="Picture 1" descr="Chart_127">
          <a:extLst>
            <a:ext uri="{FF2B5EF4-FFF2-40B4-BE49-F238E27FC236}">
              <a16:creationId xmlns:a16="http://schemas.microsoft.com/office/drawing/2014/main" id="{CB537C69-4D11-4B30-A95D-9A06FB4861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4218" name="Picture 2" descr="Chart_465">
          <a:extLst>
            <a:ext uri="{FF2B5EF4-FFF2-40B4-BE49-F238E27FC236}">
              <a16:creationId xmlns:a16="http://schemas.microsoft.com/office/drawing/2014/main" id="{9332463A-7DDC-44F9-A482-75332B9BC8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4219" name="Picture 3" descr="Chart_514">
          <a:extLst>
            <a:ext uri="{FF2B5EF4-FFF2-40B4-BE49-F238E27FC236}">
              <a16:creationId xmlns:a16="http://schemas.microsoft.com/office/drawing/2014/main" id="{C29CC101-08D0-46AB-B4A2-CE92C1DCE8F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5241" name="Picture 1" descr="Chart_127">
          <a:extLst>
            <a:ext uri="{FF2B5EF4-FFF2-40B4-BE49-F238E27FC236}">
              <a16:creationId xmlns:a16="http://schemas.microsoft.com/office/drawing/2014/main" id="{C4CCDF8B-EAD3-4364-AEF7-B1D8C074D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5242" name="Picture 2" descr="Chart_465">
          <a:extLst>
            <a:ext uri="{FF2B5EF4-FFF2-40B4-BE49-F238E27FC236}">
              <a16:creationId xmlns:a16="http://schemas.microsoft.com/office/drawing/2014/main" id="{FDA9D836-F309-47FA-B38C-FA4BA19663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5243" name="Picture 3" descr="Chart_514">
          <a:extLst>
            <a:ext uri="{FF2B5EF4-FFF2-40B4-BE49-F238E27FC236}">
              <a16:creationId xmlns:a16="http://schemas.microsoft.com/office/drawing/2014/main" id="{FD153626-AF08-4F9A-AEDF-E7658A2F99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6265" name="Picture 1" descr="Chart_127">
          <a:extLst>
            <a:ext uri="{FF2B5EF4-FFF2-40B4-BE49-F238E27FC236}">
              <a16:creationId xmlns:a16="http://schemas.microsoft.com/office/drawing/2014/main" id="{8F8A0CCA-432B-458D-A595-418BF8DA46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6266" name="Picture 2" descr="Chart_465">
          <a:extLst>
            <a:ext uri="{FF2B5EF4-FFF2-40B4-BE49-F238E27FC236}">
              <a16:creationId xmlns:a16="http://schemas.microsoft.com/office/drawing/2014/main" id="{F2526D23-7832-43DA-8B30-6FD035C068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6267" name="Picture 3" descr="Chart_514">
          <a:extLst>
            <a:ext uri="{FF2B5EF4-FFF2-40B4-BE49-F238E27FC236}">
              <a16:creationId xmlns:a16="http://schemas.microsoft.com/office/drawing/2014/main" id="{F2B2E3E2-495C-4CEE-AE82-F616EA303B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7289" name="Picture 1" descr="Chart_127">
          <a:extLst>
            <a:ext uri="{FF2B5EF4-FFF2-40B4-BE49-F238E27FC236}">
              <a16:creationId xmlns:a16="http://schemas.microsoft.com/office/drawing/2014/main" id="{E14B2A2F-8626-496A-A603-01AD88E953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7290" name="Picture 2" descr="Chart_465">
          <a:extLst>
            <a:ext uri="{FF2B5EF4-FFF2-40B4-BE49-F238E27FC236}">
              <a16:creationId xmlns:a16="http://schemas.microsoft.com/office/drawing/2014/main" id="{A1A4B4B0-E3FC-4E09-B8F4-6C9E211CA9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7291" name="Picture 3" descr="Chart_514">
          <a:extLst>
            <a:ext uri="{FF2B5EF4-FFF2-40B4-BE49-F238E27FC236}">
              <a16:creationId xmlns:a16="http://schemas.microsoft.com/office/drawing/2014/main" id="{7954C32A-59C3-4992-AF68-C2E71733C7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8313" name="Picture 1" descr="Chart_127">
          <a:extLst>
            <a:ext uri="{FF2B5EF4-FFF2-40B4-BE49-F238E27FC236}">
              <a16:creationId xmlns:a16="http://schemas.microsoft.com/office/drawing/2014/main" id="{F94B6976-CAA8-46EE-A820-63C8ED6E4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8314" name="Picture 2" descr="Chart_465">
          <a:extLst>
            <a:ext uri="{FF2B5EF4-FFF2-40B4-BE49-F238E27FC236}">
              <a16:creationId xmlns:a16="http://schemas.microsoft.com/office/drawing/2014/main" id="{4015F7B5-7F91-4E87-AD9C-4DDB350BD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8315" name="Picture 3" descr="Chart_514">
          <a:extLst>
            <a:ext uri="{FF2B5EF4-FFF2-40B4-BE49-F238E27FC236}">
              <a16:creationId xmlns:a16="http://schemas.microsoft.com/office/drawing/2014/main" id="{4319B71D-E47D-4047-9AB8-FA1F90DD4F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9337" name="Picture 1" descr="Chart_127">
          <a:extLst>
            <a:ext uri="{FF2B5EF4-FFF2-40B4-BE49-F238E27FC236}">
              <a16:creationId xmlns:a16="http://schemas.microsoft.com/office/drawing/2014/main" id="{8505ED36-684D-4B76-9929-7C4806D49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9338" name="Picture 2" descr="Chart_465">
          <a:extLst>
            <a:ext uri="{FF2B5EF4-FFF2-40B4-BE49-F238E27FC236}">
              <a16:creationId xmlns:a16="http://schemas.microsoft.com/office/drawing/2014/main" id="{EC7E31C8-655F-4D81-8A53-F575B3DA5F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9339" name="Picture 3" descr="Chart_514">
          <a:extLst>
            <a:ext uri="{FF2B5EF4-FFF2-40B4-BE49-F238E27FC236}">
              <a16:creationId xmlns:a16="http://schemas.microsoft.com/office/drawing/2014/main" id="{77064BDB-65A9-4206-BC76-1EA70D1768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0361" name="Picture 1" descr="Chart_127">
          <a:extLst>
            <a:ext uri="{FF2B5EF4-FFF2-40B4-BE49-F238E27FC236}">
              <a16:creationId xmlns:a16="http://schemas.microsoft.com/office/drawing/2014/main" id="{8EF1DA17-3EFA-4297-AA12-7AE49AFC0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0362" name="Picture 2" descr="Chart_465">
          <a:extLst>
            <a:ext uri="{FF2B5EF4-FFF2-40B4-BE49-F238E27FC236}">
              <a16:creationId xmlns:a16="http://schemas.microsoft.com/office/drawing/2014/main" id="{D74BBCCA-9353-41D3-B58D-50CAC62C76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0363" name="Picture 3" descr="Chart_514">
          <a:extLst>
            <a:ext uri="{FF2B5EF4-FFF2-40B4-BE49-F238E27FC236}">
              <a16:creationId xmlns:a16="http://schemas.microsoft.com/office/drawing/2014/main" id="{8128DD57-0749-4C45-9335-ECA2D70172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1385" name="Picture 1" descr="Chart_127">
          <a:extLst>
            <a:ext uri="{FF2B5EF4-FFF2-40B4-BE49-F238E27FC236}">
              <a16:creationId xmlns:a16="http://schemas.microsoft.com/office/drawing/2014/main" id="{F0463162-EAE5-41DC-88B7-689C11DDD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1386" name="Picture 2" descr="Chart_465">
          <a:extLst>
            <a:ext uri="{FF2B5EF4-FFF2-40B4-BE49-F238E27FC236}">
              <a16:creationId xmlns:a16="http://schemas.microsoft.com/office/drawing/2014/main" id="{5FD403FE-4470-4F02-91C3-67DDE0C10F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1387" name="Picture 3" descr="Chart_514">
          <a:extLst>
            <a:ext uri="{FF2B5EF4-FFF2-40B4-BE49-F238E27FC236}">
              <a16:creationId xmlns:a16="http://schemas.microsoft.com/office/drawing/2014/main" id="{510B7475-7988-4B87-928D-CE2BE42C68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2409" name="Picture 1" descr="Chart_127">
          <a:extLst>
            <a:ext uri="{FF2B5EF4-FFF2-40B4-BE49-F238E27FC236}">
              <a16:creationId xmlns:a16="http://schemas.microsoft.com/office/drawing/2014/main" id="{D5EDFC89-C4E0-4723-B141-E5DF9E7E9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2410" name="Picture 2" descr="Chart_465">
          <a:extLst>
            <a:ext uri="{FF2B5EF4-FFF2-40B4-BE49-F238E27FC236}">
              <a16:creationId xmlns:a16="http://schemas.microsoft.com/office/drawing/2014/main" id="{15E6B510-18A6-4C70-A180-A0C475BAD6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2411" name="Picture 3" descr="Chart_514">
          <a:extLst>
            <a:ext uri="{FF2B5EF4-FFF2-40B4-BE49-F238E27FC236}">
              <a16:creationId xmlns:a16="http://schemas.microsoft.com/office/drawing/2014/main" id="{9E02F454-2375-496C-84B2-861D678792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3433" name="Picture 1" descr="Chart_127">
          <a:extLst>
            <a:ext uri="{FF2B5EF4-FFF2-40B4-BE49-F238E27FC236}">
              <a16:creationId xmlns:a16="http://schemas.microsoft.com/office/drawing/2014/main" id="{4A7BD9BD-AED3-4B5B-9730-DF7E6FF544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3434" name="Picture 2" descr="Chart_465">
          <a:extLst>
            <a:ext uri="{FF2B5EF4-FFF2-40B4-BE49-F238E27FC236}">
              <a16:creationId xmlns:a16="http://schemas.microsoft.com/office/drawing/2014/main" id="{23179429-C1C7-48FE-8CF8-309BE5D741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3435" name="Picture 3" descr="Chart_514">
          <a:extLst>
            <a:ext uri="{FF2B5EF4-FFF2-40B4-BE49-F238E27FC236}">
              <a16:creationId xmlns:a16="http://schemas.microsoft.com/office/drawing/2014/main" id="{68DBAF80-D3E4-49F7-9F16-CC2DFD8523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4457" name="Picture 1" descr="Chart_127">
          <a:extLst>
            <a:ext uri="{FF2B5EF4-FFF2-40B4-BE49-F238E27FC236}">
              <a16:creationId xmlns:a16="http://schemas.microsoft.com/office/drawing/2014/main" id="{579C6EE4-C243-497B-8838-B2C104A55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4458" name="Picture 2" descr="Chart_465">
          <a:extLst>
            <a:ext uri="{FF2B5EF4-FFF2-40B4-BE49-F238E27FC236}">
              <a16:creationId xmlns:a16="http://schemas.microsoft.com/office/drawing/2014/main" id="{DBC5595F-D60E-4438-8968-ABC0E4E0E5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4459" name="Picture 3" descr="Chart_514">
          <a:extLst>
            <a:ext uri="{FF2B5EF4-FFF2-40B4-BE49-F238E27FC236}">
              <a16:creationId xmlns:a16="http://schemas.microsoft.com/office/drawing/2014/main" id="{6CE9A3A4-AA9F-4045-A790-27551BB377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5481" name="Picture 1" descr="Chart_127">
          <a:extLst>
            <a:ext uri="{FF2B5EF4-FFF2-40B4-BE49-F238E27FC236}">
              <a16:creationId xmlns:a16="http://schemas.microsoft.com/office/drawing/2014/main" id="{D7D4EBCC-03C6-465E-8E91-164483A01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5482" name="Picture 2" descr="Chart_465">
          <a:extLst>
            <a:ext uri="{FF2B5EF4-FFF2-40B4-BE49-F238E27FC236}">
              <a16:creationId xmlns:a16="http://schemas.microsoft.com/office/drawing/2014/main" id="{1621B95F-CB2F-45E4-AB3D-91A9883DE7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5483" name="Picture 3" descr="Chart_514">
          <a:extLst>
            <a:ext uri="{FF2B5EF4-FFF2-40B4-BE49-F238E27FC236}">
              <a16:creationId xmlns:a16="http://schemas.microsoft.com/office/drawing/2014/main" id="{F910FAF5-7214-422E-B78F-AEB7FF0862C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6505" name="Picture 1" descr="Chart_127">
          <a:extLst>
            <a:ext uri="{FF2B5EF4-FFF2-40B4-BE49-F238E27FC236}">
              <a16:creationId xmlns:a16="http://schemas.microsoft.com/office/drawing/2014/main" id="{FC4E598C-DD40-4086-AC00-B2F2B2AF40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6506" name="Picture 2" descr="Chart_465">
          <a:extLst>
            <a:ext uri="{FF2B5EF4-FFF2-40B4-BE49-F238E27FC236}">
              <a16:creationId xmlns:a16="http://schemas.microsoft.com/office/drawing/2014/main" id="{2F0C7DD3-4662-4FEF-9D84-A25903BA4C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6507" name="Picture 3" descr="Chart_514">
          <a:extLst>
            <a:ext uri="{FF2B5EF4-FFF2-40B4-BE49-F238E27FC236}">
              <a16:creationId xmlns:a16="http://schemas.microsoft.com/office/drawing/2014/main" id="{946AE1B5-5113-4853-AA8B-A67F9E089B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7529" name="Picture 1" descr="Chart_127">
          <a:extLst>
            <a:ext uri="{FF2B5EF4-FFF2-40B4-BE49-F238E27FC236}">
              <a16:creationId xmlns:a16="http://schemas.microsoft.com/office/drawing/2014/main" id="{E47F1B86-69EE-4FC7-948B-1E3340082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7530" name="Picture 2" descr="Chart_465">
          <a:extLst>
            <a:ext uri="{FF2B5EF4-FFF2-40B4-BE49-F238E27FC236}">
              <a16:creationId xmlns:a16="http://schemas.microsoft.com/office/drawing/2014/main" id="{9456DD6E-4C8F-4F38-894A-E7607C15CC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7531" name="Picture 3" descr="Chart_514">
          <a:extLst>
            <a:ext uri="{FF2B5EF4-FFF2-40B4-BE49-F238E27FC236}">
              <a16:creationId xmlns:a16="http://schemas.microsoft.com/office/drawing/2014/main" id="{BECCDDAB-8F2E-4ED3-A529-27645F774D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8553" name="Picture 1" descr="Chart_127">
          <a:extLst>
            <a:ext uri="{FF2B5EF4-FFF2-40B4-BE49-F238E27FC236}">
              <a16:creationId xmlns:a16="http://schemas.microsoft.com/office/drawing/2014/main" id="{1CA793A2-3067-47DD-BED1-C0A3D20B8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8554" name="Picture 2" descr="Chart_465">
          <a:extLst>
            <a:ext uri="{FF2B5EF4-FFF2-40B4-BE49-F238E27FC236}">
              <a16:creationId xmlns:a16="http://schemas.microsoft.com/office/drawing/2014/main" id="{0DCB04D9-CABF-48F7-97AC-167670C1C7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8555" name="Picture 3" descr="Chart_514">
          <a:extLst>
            <a:ext uri="{FF2B5EF4-FFF2-40B4-BE49-F238E27FC236}">
              <a16:creationId xmlns:a16="http://schemas.microsoft.com/office/drawing/2014/main" id="{934AF0EB-B875-48B9-AC5D-934F3E0BDD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9577" name="Picture 1" descr="Chart_127">
          <a:extLst>
            <a:ext uri="{FF2B5EF4-FFF2-40B4-BE49-F238E27FC236}">
              <a16:creationId xmlns:a16="http://schemas.microsoft.com/office/drawing/2014/main" id="{DD3793AC-7DDA-4F05-B396-E53B69AC4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9578" name="Picture 2" descr="Chart_465">
          <a:extLst>
            <a:ext uri="{FF2B5EF4-FFF2-40B4-BE49-F238E27FC236}">
              <a16:creationId xmlns:a16="http://schemas.microsoft.com/office/drawing/2014/main" id="{9D1777ED-14CF-47FA-A29F-E433427F12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9579" name="Picture 3" descr="Chart_514">
          <a:extLst>
            <a:ext uri="{FF2B5EF4-FFF2-40B4-BE49-F238E27FC236}">
              <a16:creationId xmlns:a16="http://schemas.microsoft.com/office/drawing/2014/main" id="{AFE04FE2-A95D-4A51-A1DF-E68F1DA39A4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0601" name="Picture 1" descr="Chart_127">
          <a:extLst>
            <a:ext uri="{FF2B5EF4-FFF2-40B4-BE49-F238E27FC236}">
              <a16:creationId xmlns:a16="http://schemas.microsoft.com/office/drawing/2014/main" id="{B5E16E41-91EA-45C1-899C-893F94692E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0602" name="Picture 2" descr="Chart_465">
          <a:extLst>
            <a:ext uri="{FF2B5EF4-FFF2-40B4-BE49-F238E27FC236}">
              <a16:creationId xmlns:a16="http://schemas.microsoft.com/office/drawing/2014/main" id="{90848385-5CF0-4D58-8A58-C1C4AB08C7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0603" name="Picture 3" descr="Chart_514">
          <a:extLst>
            <a:ext uri="{FF2B5EF4-FFF2-40B4-BE49-F238E27FC236}">
              <a16:creationId xmlns:a16="http://schemas.microsoft.com/office/drawing/2014/main" id="{E51A42E6-D387-4AA6-B2BD-B45F5774FF3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1625" name="Picture 1" descr="Chart_127">
          <a:extLst>
            <a:ext uri="{FF2B5EF4-FFF2-40B4-BE49-F238E27FC236}">
              <a16:creationId xmlns:a16="http://schemas.microsoft.com/office/drawing/2014/main" id="{C7510262-200D-4AF5-AF1B-0FD47C389C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1626" name="Picture 2" descr="Chart_465">
          <a:extLst>
            <a:ext uri="{FF2B5EF4-FFF2-40B4-BE49-F238E27FC236}">
              <a16:creationId xmlns:a16="http://schemas.microsoft.com/office/drawing/2014/main" id="{7909A4BA-07AC-4C56-B7DD-9758FD805C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1627" name="Picture 3" descr="Chart_514">
          <a:extLst>
            <a:ext uri="{FF2B5EF4-FFF2-40B4-BE49-F238E27FC236}">
              <a16:creationId xmlns:a16="http://schemas.microsoft.com/office/drawing/2014/main" id="{E1DD96C4-D6F9-42F6-9222-B8C0673D57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2649" name="Picture 1" descr="Chart_127">
          <a:extLst>
            <a:ext uri="{FF2B5EF4-FFF2-40B4-BE49-F238E27FC236}">
              <a16:creationId xmlns:a16="http://schemas.microsoft.com/office/drawing/2014/main" id="{E8AF6236-A072-432A-86FC-28280A00F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2650" name="Picture 2" descr="Chart_465">
          <a:extLst>
            <a:ext uri="{FF2B5EF4-FFF2-40B4-BE49-F238E27FC236}">
              <a16:creationId xmlns:a16="http://schemas.microsoft.com/office/drawing/2014/main" id="{0EBC9C34-5258-4511-8B4F-DB1D754C89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2651" name="Picture 3" descr="Chart_514">
          <a:extLst>
            <a:ext uri="{FF2B5EF4-FFF2-40B4-BE49-F238E27FC236}">
              <a16:creationId xmlns:a16="http://schemas.microsoft.com/office/drawing/2014/main" id="{929142C8-264E-4BBB-B124-D21AD8BB09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3673" name="Picture 1" descr="Chart_127">
          <a:extLst>
            <a:ext uri="{FF2B5EF4-FFF2-40B4-BE49-F238E27FC236}">
              <a16:creationId xmlns:a16="http://schemas.microsoft.com/office/drawing/2014/main" id="{541F0587-926F-49C3-B59E-B04C3CD02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3674" name="Picture 2" descr="Chart_465">
          <a:extLst>
            <a:ext uri="{FF2B5EF4-FFF2-40B4-BE49-F238E27FC236}">
              <a16:creationId xmlns:a16="http://schemas.microsoft.com/office/drawing/2014/main" id="{64A32BD0-39D2-41B1-907E-00FD18647B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3675" name="Picture 3" descr="Chart_514">
          <a:extLst>
            <a:ext uri="{FF2B5EF4-FFF2-40B4-BE49-F238E27FC236}">
              <a16:creationId xmlns:a16="http://schemas.microsoft.com/office/drawing/2014/main" id="{D43AE5CF-6F98-436A-9EA1-62888F09FA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4697" name="Picture 1" descr="Chart_127">
          <a:extLst>
            <a:ext uri="{FF2B5EF4-FFF2-40B4-BE49-F238E27FC236}">
              <a16:creationId xmlns:a16="http://schemas.microsoft.com/office/drawing/2014/main" id="{C4114576-6BF6-4F26-9B5A-766FB492BC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4698" name="Picture 2" descr="Chart_465">
          <a:extLst>
            <a:ext uri="{FF2B5EF4-FFF2-40B4-BE49-F238E27FC236}">
              <a16:creationId xmlns:a16="http://schemas.microsoft.com/office/drawing/2014/main" id="{3EBCC580-3E99-4BA4-8F2D-4EB2956635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4699" name="Picture 3" descr="Chart_514">
          <a:extLst>
            <a:ext uri="{FF2B5EF4-FFF2-40B4-BE49-F238E27FC236}">
              <a16:creationId xmlns:a16="http://schemas.microsoft.com/office/drawing/2014/main" id="{0D67A056-637D-41A3-9758-2F7382F7CF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5721" name="Picture 1" descr="Chart_127">
          <a:extLst>
            <a:ext uri="{FF2B5EF4-FFF2-40B4-BE49-F238E27FC236}">
              <a16:creationId xmlns:a16="http://schemas.microsoft.com/office/drawing/2014/main" id="{869B1566-5E4A-4554-80A5-50C66A6F1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5722" name="Picture 2" descr="Chart_465">
          <a:extLst>
            <a:ext uri="{FF2B5EF4-FFF2-40B4-BE49-F238E27FC236}">
              <a16:creationId xmlns:a16="http://schemas.microsoft.com/office/drawing/2014/main" id="{8B3D4845-C815-47EC-9910-5D4E401AEE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5723" name="Picture 3" descr="Chart_514">
          <a:extLst>
            <a:ext uri="{FF2B5EF4-FFF2-40B4-BE49-F238E27FC236}">
              <a16:creationId xmlns:a16="http://schemas.microsoft.com/office/drawing/2014/main" id="{1A9F4942-58F9-468B-8309-C278F6E87B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6745" name="Picture 1" descr="Chart_127">
          <a:extLst>
            <a:ext uri="{FF2B5EF4-FFF2-40B4-BE49-F238E27FC236}">
              <a16:creationId xmlns:a16="http://schemas.microsoft.com/office/drawing/2014/main" id="{090F1BAE-07E1-41B6-8234-882793087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6746" name="Picture 2" descr="Chart_465">
          <a:extLst>
            <a:ext uri="{FF2B5EF4-FFF2-40B4-BE49-F238E27FC236}">
              <a16:creationId xmlns:a16="http://schemas.microsoft.com/office/drawing/2014/main" id="{2F5D1CEE-AFCF-449F-9160-75F232BFDC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6747" name="Picture 3" descr="Chart_514">
          <a:extLst>
            <a:ext uri="{FF2B5EF4-FFF2-40B4-BE49-F238E27FC236}">
              <a16:creationId xmlns:a16="http://schemas.microsoft.com/office/drawing/2014/main" id="{4CE5BCB5-6BAC-49A5-9E2A-53A9A95248C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7769" name="Picture 1" descr="Chart_127">
          <a:extLst>
            <a:ext uri="{FF2B5EF4-FFF2-40B4-BE49-F238E27FC236}">
              <a16:creationId xmlns:a16="http://schemas.microsoft.com/office/drawing/2014/main" id="{E9DB77A0-BFA8-4DBD-B50F-7E3D7EA6C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7770" name="Picture 2" descr="Chart_465">
          <a:extLst>
            <a:ext uri="{FF2B5EF4-FFF2-40B4-BE49-F238E27FC236}">
              <a16:creationId xmlns:a16="http://schemas.microsoft.com/office/drawing/2014/main" id="{005BBFAC-A520-4794-9A48-54D51BEC50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7771" name="Picture 3" descr="Chart_514">
          <a:extLst>
            <a:ext uri="{FF2B5EF4-FFF2-40B4-BE49-F238E27FC236}">
              <a16:creationId xmlns:a16="http://schemas.microsoft.com/office/drawing/2014/main" id="{4E8B6031-C7E8-47F9-9B34-98FE95AB1E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8793" name="Picture 1" descr="Chart_127">
          <a:extLst>
            <a:ext uri="{FF2B5EF4-FFF2-40B4-BE49-F238E27FC236}">
              <a16:creationId xmlns:a16="http://schemas.microsoft.com/office/drawing/2014/main" id="{2AF659BA-17A2-41B4-AAE4-AB5176BB6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8794" name="Picture 2" descr="Chart_465">
          <a:extLst>
            <a:ext uri="{FF2B5EF4-FFF2-40B4-BE49-F238E27FC236}">
              <a16:creationId xmlns:a16="http://schemas.microsoft.com/office/drawing/2014/main" id="{18CCB309-4623-464F-B8ED-FBB2A95022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8795" name="Picture 3" descr="Chart_514">
          <a:extLst>
            <a:ext uri="{FF2B5EF4-FFF2-40B4-BE49-F238E27FC236}">
              <a16:creationId xmlns:a16="http://schemas.microsoft.com/office/drawing/2014/main" id="{96403D43-9247-4C19-A52A-A9EFA62C90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9817" name="Picture 1" descr="Chart_127">
          <a:extLst>
            <a:ext uri="{FF2B5EF4-FFF2-40B4-BE49-F238E27FC236}">
              <a16:creationId xmlns:a16="http://schemas.microsoft.com/office/drawing/2014/main" id="{B1D53E25-E0D7-4ACE-9A0D-DDC494224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9818" name="Picture 2" descr="Chart_465">
          <a:extLst>
            <a:ext uri="{FF2B5EF4-FFF2-40B4-BE49-F238E27FC236}">
              <a16:creationId xmlns:a16="http://schemas.microsoft.com/office/drawing/2014/main" id="{52C0A972-9A9F-4B10-B7E6-5F9B5E7C9A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9819" name="Picture 3" descr="Chart_514">
          <a:extLst>
            <a:ext uri="{FF2B5EF4-FFF2-40B4-BE49-F238E27FC236}">
              <a16:creationId xmlns:a16="http://schemas.microsoft.com/office/drawing/2014/main" id="{4C35587B-9211-4C5B-AB17-495D40FF0A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0841" name="Picture 1" descr="Chart_127">
          <a:extLst>
            <a:ext uri="{FF2B5EF4-FFF2-40B4-BE49-F238E27FC236}">
              <a16:creationId xmlns:a16="http://schemas.microsoft.com/office/drawing/2014/main" id="{F21C05E3-E148-4BC7-B950-2E82B5A8C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0842" name="Picture 2" descr="Chart_465">
          <a:extLst>
            <a:ext uri="{FF2B5EF4-FFF2-40B4-BE49-F238E27FC236}">
              <a16:creationId xmlns:a16="http://schemas.microsoft.com/office/drawing/2014/main" id="{CA6636C0-8741-45FD-8B40-5BD1F4B5FB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0843" name="Picture 3" descr="Chart_514">
          <a:extLst>
            <a:ext uri="{FF2B5EF4-FFF2-40B4-BE49-F238E27FC236}">
              <a16:creationId xmlns:a16="http://schemas.microsoft.com/office/drawing/2014/main" id="{DD814C6F-B962-4DBD-9044-4B052837AE1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1865" name="Picture 1" descr="Chart_127">
          <a:extLst>
            <a:ext uri="{FF2B5EF4-FFF2-40B4-BE49-F238E27FC236}">
              <a16:creationId xmlns:a16="http://schemas.microsoft.com/office/drawing/2014/main" id="{19979421-0E4E-4232-840A-FB5CB956C2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1866" name="Picture 2" descr="Chart_465">
          <a:extLst>
            <a:ext uri="{FF2B5EF4-FFF2-40B4-BE49-F238E27FC236}">
              <a16:creationId xmlns:a16="http://schemas.microsoft.com/office/drawing/2014/main" id="{6765861F-8076-435C-A76A-11568D1405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1867" name="Picture 3" descr="Chart_514">
          <a:extLst>
            <a:ext uri="{FF2B5EF4-FFF2-40B4-BE49-F238E27FC236}">
              <a16:creationId xmlns:a16="http://schemas.microsoft.com/office/drawing/2014/main" id="{3AF18E6C-C6B5-4635-B9FD-BAA135FFBF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2889" name="Picture 1" descr="Chart_127">
          <a:extLst>
            <a:ext uri="{FF2B5EF4-FFF2-40B4-BE49-F238E27FC236}">
              <a16:creationId xmlns:a16="http://schemas.microsoft.com/office/drawing/2014/main" id="{EEC9F5B9-EE5E-47DE-8ED3-5C313A92C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2890" name="Picture 2" descr="Chart_465">
          <a:extLst>
            <a:ext uri="{FF2B5EF4-FFF2-40B4-BE49-F238E27FC236}">
              <a16:creationId xmlns:a16="http://schemas.microsoft.com/office/drawing/2014/main" id="{F2EA7857-918C-4C56-B576-917D524383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2891" name="Picture 3" descr="Chart_514">
          <a:extLst>
            <a:ext uri="{FF2B5EF4-FFF2-40B4-BE49-F238E27FC236}">
              <a16:creationId xmlns:a16="http://schemas.microsoft.com/office/drawing/2014/main" id="{33A11197-5225-4B24-A212-86F1488719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3913" name="Picture 1" descr="Chart_127">
          <a:extLst>
            <a:ext uri="{FF2B5EF4-FFF2-40B4-BE49-F238E27FC236}">
              <a16:creationId xmlns:a16="http://schemas.microsoft.com/office/drawing/2014/main" id="{69836453-A5FF-445C-8E9F-C1100746F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3914" name="Picture 2" descr="Chart_465">
          <a:extLst>
            <a:ext uri="{FF2B5EF4-FFF2-40B4-BE49-F238E27FC236}">
              <a16:creationId xmlns:a16="http://schemas.microsoft.com/office/drawing/2014/main" id="{AE7524E2-8019-41C7-964F-587F52CE8F7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3915" name="Picture 3" descr="Chart_514">
          <a:extLst>
            <a:ext uri="{FF2B5EF4-FFF2-40B4-BE49-F238E27FC236}">
              <a16:creationId xmlns:a16="http://schemas.microsoft.com/office/drawing/2014/main" id="{890DED14-BCD4-4724-943C-63731BBB2C0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4937" name="Picture 1" descr="Chart_127">
          <a:extLst>
            <a:ext uri="{FF2B5EF4-FFF2-40B4-BE49-F238E27FC236}">
              <a16:creationId xmlns:a16="http://schemas.microsoft.com/office/drawing/2014/main" id="{47230DC8-2FE8-4680-8626-7D66351FD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4938" name="Picture 2" descr="Chart_465">
          <a:extLst>
            <a:ext uri="{FF2B5EF4-FFF2-40B4-BE49-F238E27FC236}">
              <a16:creationId xmlns:a16="http://schemas.microsoft.com/office/drawing/2014/main" id="{061FDB9D-0443-4F8D-ACEA-026FF99BAA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4939" name="Picture 3" descr="Chart_514">
          <a:extLst>
            <a:ext uri="{FF2B5EF4-FFF2-40B4-BE49-F238E27FC236}">
              <a16:creationId xmlns:a16="http://schemas.microsoft.com/office/drawing/2014/main" id="{0D14A9D0-3C70-468C-BD89-F3E9113E8A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5961" name="Picture 1" descr="Chart_127">
          <a:extLst>
            <a:ext uri="{FF2B5EF4-FFF2-40B4-BE49-F238E27FC236}">
              <a16:creationId xmlns:a16="http://schemas.microsoft.com/office/drawing/2014/main" id="{DD0888B9-0BB6-4B2A-919C-6E9581C11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5962" name="Picture 2" descr="Chart_465">
          <a:extLst>
            <a:ext uri="{FF2B5EF4-FFF2-40B4-BE49-F238E27FC236}">
              <a16:creationId xmlns:a16="http://schemas.microsoft.com/office/drawing/2014/main" id="{1AF8A794-BFF2-4C76-AC6A-0EC1E0134D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5963" name="Picture 3" descr="Chart_514">
          <a:extLst>
            <a:ext uri="{FF2B5EF4-FFF2-40B4-BE49-F238E27FC236}">
              <a16:creationId xmlns:a16="http://schemas.microsoft.com/office/drawing/2014/main" id="{F144A4DD-E5AD-4C34-85C4-341C5C5A58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6985" name="Picture 1" descr="Chart_127">
          <a:extLst>
            <a:ext uri="{FF2B5EF4-FFF2-40B4-BE49-F238E27FC236}">
              <a16:creationId xmlns:a16="http://schemas.microsoft.com/office/drawing/2014/main" id="{4D120AF2-EF2C-4420-ACF6-EA31B48562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6986" name="Picture 2" descr="Chart_465">
          <a:extLst>
            <a:ext uri="{FF2B5EF4-FFF2-40B4-BE49-F238E27FC236}">
              <a16:creationId xmlns:a16="http://schemas.microsoft.com/office/drawing/2014/main" id="{3C1FF288-AE74-49BE-B61D-0C0B8E162B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6987" name="Picture 3" descr="Chart_514">
          <a:extLst>
            <a:ext uri="{FF2B5EF4-FFF2-40B4-BE49-F238E27FC236}">
              <a16:creationId xmlns:a16="http://schemas.microsoft.com/office/drawing/2014/main" id="{B8287583-9A58-4195-8DA6-C0D08CF1B5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8009" name="Picture 1" descr="Chart_127">
          <a:extLst>
            <a:ext uri="{FF2B5EF4-FFF2-40B4-BE49-F238E27FC236}">
              <a16:creationId xmlns:a16="http://schemas.microsoft.com/office/drawing/2014/main" id="{1D8ED279-11CF-48FC-B139-732A431A3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8010" name="Picture 2" descr="Chart_465">
          <a:extLst>
            <a:ext uri="{FF2B5EF4-FFF2-40B4-BE49-F238E27FC236}">
              <a16:creationId xmlns:a16="http://schemas.microsoft.com/office/drawing/2014/main" id="{6B16D4A5-E1E6-4708-AB0C-4799E5504C1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8011" name="Picture 3" descr="Chart_514">
          <a:extLst>
            <a:ext uri="{FF2B5EF4-FFF2-40B4-BE49-F238E27FC236}">
              <a16:creationId xmlns:a16="http://schemas.microsoft.com/office/drawing/2014/main" id="{A9C4BE7C-46F5-4BEF-A7AD-CDB74BB341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9033" name="Picture 1" descr="Chart_127">
          <a:extLst>
            <a:ext uri="{FF2B5EF4-FFF2-40B4-BE49-F238E27FC236}">
              <a16:creationId xmlns:a16="http://schemas.microsoft.com/office/drawing/2014/main" id="{1A592BD1-9747-4151-896B-D18A91616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9034" name="Picture 2" descr="Chart_465">
          <a:extLst>
            <a:ext uri="{FF2B5EF4-FFF2-40B4-BE49-F238E27FC236}">
              <a16:creationId xmlns:a16="http://schemas.microsoft.com/office/drawing/2014/main" id="{F0F487EA-ED99-48E7-8612-3B22C1D9DC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9035" name="Picture 3" descr="Chart_514">
          <a:extLst>
            <a:ext uri="{FF2B5EF4-FFF2-40B4-BE49-F238E27FC236}">
              <a16:creationId xmlns:a16="http://schemas.microsoft.com/office/drawing/2014/main" id="{D5C3C230-FE04-43BD-A363-4401ED79AD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0057" name="Picture 1" descr="Chart_127">
          <a:extLst>
            <a:ext uri="{FF2B5EF4-FFF2-40B4-BE49-F238E27FC236}">
              <a16:creationId xmlns:a16="http://schemas.microsoft.com/office/drawing/2014/main" id="{910352AF-E2FA-4EA2-AAB9-C5E5596C3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0058" name="Picture 2" descr="Chart_465">
          <a:extLst>
            <a:ext uri="{FF2B5EF4-FFF2-40B4-BE49-F238E27FC236}">
              <a16:creationId xmlns:a16="http://schemas.microsoft.com/office/drawing/2014/main" id="{8CFFB44C-00AA-47B3-B6B0-9413101232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0059" name="Picture 3" descr="Chart_514">
          <a:extLst>
            <a:ext uri="{FF2B5EF4-FFF2-40B4-BE49-F238E27FC236}">
              <a16:creationId xmlns:a16="http://schemas.microsoft.com/office/drawing/2014/main" id="{94A6F76D-2339-4DA4-8949-6A60969513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1081" name="Picture 1" descr="Chart_127">
          <a:extLst>
            <a:ext uri="{FF2B5EF4-FFF2-40B4-BE49-F238E27FC236}">
              <a16:creationId xmlns:a16="http://schemas.microsoft.com/office/drawing/2014/main" id="{2E16EAB2-10A4-43FC-A338-468314916F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1082" name="Picture 2" descr="Chart_465">
          <a:extLst>
            <a:ext uri="{FF2B5EF4-FFF2-40B4-BE49-F238E27FC236}">
              <a16:creationId xmlns:a16="http://schemas.microsoft.com/office/drawing/2014/main" id="{667B29CA-A210-4DA6-8B9F-53CA5DCD8A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1083" name="Picture 3" descr="Chart_514">
          <a:extLst>
            <a:ext uri="{FF2B5EF4-FFF2-40B4-BE49-F238E27FC236}">
              <a16:creationId xmlns:a16="http://schemas.microsoft.com/office/drawing/2014/main" id="{ED2E0330-789B-4A21-86B9-B3CA7611002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2105" name="Picture 1" descr="Chart_127">
          <a:extLst>
            <a:ext uri="{FF2B5EF4-FFF2-40B4-BE49-F238E27FC236}">
              <a16:creationId xmlns:a16="http://schemas.microsoft.com/office/drawing/2014/main" id="{3B2DD1A1-C80B-4D00-AD04-8616D46CC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2106" name="Picture 2" descr="Chart_465">
          <a:extLst>
            <a:ext uri="{FF2B5EF4-FFF2-40B4-BE49-F238E27FC236}">
              <a16:creationId xmlns:a16="http://schemas.microsoft.com/office/drawing/2014/main" id="{DBF93A44-EBC1-4CED-BBF9-012B81E758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2107" name="Picture 3" descr="Chart_514">
          <a:extLst>
            <a:ext uri="{FF2B5EF4-FFF2-40B4-BE49-F238E27FC236}">
              <a16:creationId xmlns:a16="http://schemas.microsoft.com/office/drawing/2014/main" id="{61EF93D9-E632-4EED-B83F-1D09115C118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3129" name="Picture 1" descr="Chart_127">
          <a:extLst>
            <a:ext uri="{FF2B5EF4-FFF2-40B4-BE49-F238E27FC236}">
              <a16:creationId xmlns:a16="http://schemas.microsoft.com/office/drawing/2014/main" id="{99C25A39-B4A5-4085-94F5-6A2B7D568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3130" name="Picture 2" descr="Chart_465">
          <a:extLst>
            <a:ext uri="{FF2B5EF4-FFF2-40B4-BE49-F238E27FC236}">
              <a16:creationId xmlns:a16="http://schemas.microsoft.com/office/drawing/2014/main" id="{A3C39D35-E9AE-4F2F-9F3C-CA7891EF08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3131" name="Picture 3" descr="Chart_514">
          <a:extLst>
            <a:ext uri="{FF2B5EF4-FFF2-40B4-BE49-F238E27FC236}">
              <a16:creationId xmlns:a16="http://schemas.microsoft.com/office/drawing/2014/main" id="{451ECD39-CE63-4303-B5D7-2A1C22D026F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4153" name="Picture 1" descr="Chart_127">
          <a:extLst>
            <a:ext uri="{FF2B5EF4-FFF2-40B4-BE49-F238E27FC236}">
              <a16:creationId xmlns:a16="http://schemas.microsoft.com/office/drawing/2014/main" id="{444BE136-A91F-49E2-AAC8-EE4FFFF9E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4154" name="Picture 2" descr="Chart_465">
          <a:extLst>
            <a:ext uri="{FF2B5EF4-FFF2-40B4-BE49-F238E27FC236}">
              <a16:creationId xmlns:a16="http://schemas.microsoft.com/office/drawing/2014/main" id="{1C186CA0-DB6E-4236-8442-0780D5825D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4155" name="Picture 3" descr="Chart_514">
          <a:extLst>
            <a:ext uri="{FF2B5EF4-FFF2-40B4-BE49-F238E27FC236}">
              <a16:creationId xmlns:a16="http://schemas.microsoft.com/office/drawing/2014/main" id="{B4AD44CB-FC60-46AD-809D-66F8A84670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5177" name="Picture 1" descr="Chart_127">
          <a:extLst>
            <a:ext uri="{FF2B5EF4-FFF2-40B4-BE49-F238E27FC236}">
              <a16:creationId xmlns:a16="http://schemas.microsoft.com/office/drawing/2014/main" id="{7D091555-F07D-4EED-9657-D756D880D1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5178" name="Picture 2" descr="Chart_465">
          <a:extLst>
            <a:ext uri="{FF2B5EF4-FFF2-40B4-BE49-F238E27FC236}">
              <a16:creationId xmlns:a16="http://schemas.microsoft.com/office/drawing/2014/main" id="{A68B0CEF-B754-48FD-84BE-876BA22D05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5179" name="Picture 3" descr="Chart_514">
          <a:extLst>
            <a:ext uri="{FF2B5EF4-FFF2-40B4-BE49-F238E27FC236}">
              <a16:creationId xmlns:a16="http://schemas.microsoft.com/office/drawing/2014/main" id="{3D10DAA3-ECC3-4CFB-96EA-1301EA3F241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6201" name="Picture 1" descr="Chart_127">
          <a:extLst>
            <a:ext uri="{FF2B5EF4-FFF2-40B4-BE49-F238E27FC236}">
              <a16:creationId xmlns:a16="http://schemas.microsoft.com/office/drawing/2014/main" id="{60BC4991-EAFE-4A96-BC01-F4F6706AE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6202" name="Picture 2" descr="Chart_465">
          <a:extLst>
            <a:ext uri="{FF2B5EF4-FFF2-40B4-BE49-F238E27FC236}">
              <a16:creationId xmlns:a16="http://schemas.microsoft.com/office/drawing/2014/main" id="{2953CBF7-2F8E-4226-B103-BF8A8F4D13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6203" name="Picture 3" descr="Chart_514">
          <a:extLst>
            <a:ext uri="{FF2B5EF4-FFF2-40B4-BE49-F238E27FC236}">
              <a16:creationId xmlns:a16="http://schemas.microsoft.com/office/drawing/2014/main" id="{9895CA8F-7E4D-47E8-9BEC-5056969EE3D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7225" name="Picture 1" descr="Chart_127">
          <a:extLst>
            <a:ext uri="{FF2B5EF4-FFF2-40B4-BE49-F238E27FC236}">
              <a16:creationId xmlns:a16="http://schemas.microsoft.com/office/drawing/2014/main" id="{3A67B3CD-DA21-4C2E-89D1-2B0CF0065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7226" name="Picture 2" descr="Chart_465">
          <a:extLst>
            <a:ext uri="{FF2B5EF4-FFF2-40B4-BE49-F238E27FC236}">
              <a16:creationId xmlns:a16="http://schemas.microsoft.com/office/drawing/2014/main" id="{04830E66-2F3C-40E6-8CE6-1EF09806BB8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7227" name="Picture 3" descr="Chart_514">
          <a:extLst>
            <a:ext uri="{FF2B5EF4-FFF2-40B4-BE49-F238E27FC236}">
              <a16:creationId xmlns:a16="http://schemas.microsoft.com/office/drawing/2014/main" id="{50B27329-7316-4405-B48C-094AE75A7F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8249" name="Picture 1" descr="Chart_127">
          <a:extLst>
            <a:ext uri="{FF2B5EF4-FFF2-40B4-BE49-F238E27FC236}">
              <a16:creationId xmlns:a16="http://schemas.microsoft.com/office/drawing/2014/main" id="{58361DD6-6C4C-488D-A46C-58DCDB3C54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8250" name="Picture 2" descr="Chart_465">
          <a:extLst>
            <a:ext uri="{FF2B5EF4-FFF2-40B4-BE49-F238E27FC236}">
              <a16:creationId xmlns:a16="http://schemas.microsoft.com/office/drawing/2014/main" id="{D1C8896F-0FAF-4D1E-9F1C-444C5C5C3E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8251" name="Picture 3" descr="Chart_514">
          <a:extLst>
            <a:ext uri="{FF2B5EF4-FFF2-40B4-BE49-F238E27FC236}">
              <a16:creationId xmlns:a16="http://schemas.microsoft.com/office/drawing/2014/main" id="{21AC9EDF-D8F9-4296-9F73-D18E0AFA57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9273" name="Picture 1" descr="Chart_127">
          <a:extLst>
            <a:ext uri="{FF2B5EF4-FFF2-40B4-BE49-F238E27FC236}">
              <a16:creationId xmlns:a16="http://schemas.microsoft.com/office/drawing/2014/main" id="{1D5E1ED2-D462-432D-AFA8-4001390A0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9274" name="Picture 2" descr="Chart_465">
          <a:extLst>
            <a:ext uri="{FF2B5EF4-FFF2-40B4-BE49-F238E27FC236}">
              <a16:creationId xmlns:a16="http://schemas.microsoft.com/office/drawing/2014/main" id="{9E1B242C-4EB3-4062-AB66-13A6FDF355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9275" name="Picture 3" descr="Chart_514">
          <a:extLst>
            <a:ext uri="{FF2B5EF4-FFF2-40B4-BE49-F238E27FC236}">
              <a16:creationId xmlns:a16="http://schemas.microsoft.com/office/drawing/2014/main" id="{1A262C01-6420-4F02-A34A-DDFBC763DC8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0297" name="Picture 1" descr="Chart_127">
          <a:extLst>
            <a:ext uri="{FF2B5EF4-FFF2-40B4-BE49-F238E27FC236}">
              <a16:creationId xmlns:a16="http://schemas.microsoft.com/office/drawing/2014/main" id="{0F403381-8673-4411-8005-A5ABBABE0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0298" name="Picture 2" descr="Chart_465">
          <a:extLst>
            <a:ext uri="{FF2B5EF4-FFF2-40B4-BE49-F238E27FC236}">
              <a16:creationId xmlns:a16="http://schemas.microsoft.com/office/drawing/2014/main" id="{1C822A06-48F1-4BDA-815D-37036E5DBE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0299" name="Picture 3" descr="Chart_514">
          <a:extLst>
            <a:ext uri="{FF2B5EF4-FFF2-40B4-BE49-F238E27FC236}">
              <a16:creationId xmlns:a16="http://schemas.microsoft.com/office/drawing/2014/main" id="{6E5DA55D-3FE5-4F2B-8B02-71297BFD9A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1321" name="Picture 1" descr="Chart_127">
          <a:extLst>
            <a:ext uri="{FF2B5EF4-FFF2-40B4-BE49-F238E27FC236}">
              <a16:creationId xmlns:a16="http://schemas.microsoft.com/office/drawing/2014/main" id="{031BD5F2-10CC-489C-A717-4D7C7FF88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1322" name="Picture 2" descr="Chart_465">
          <a:extLst>
            <a:ext uri="{FF2B5EF4-FFF2-40B4-BE49-F238E27FC236}">
              <a16:creationId xmlns:a16="http://schemas.microsoft.com/office/drawing/2014/main" id="{C328ED25-A7B0-4387-8501-71FBDE505EC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1323" name="Picture 3" descr="Chart_514">
          <a:extLst>
            <a:ext uri="{FF2B5EF4-FFF2-40B4-BE49-F238E27FC236}">
              <a16:creationId xmlns:a16="http://schemas.microsoft.com/office/drawing/2014/main" id="{52B9AE7E-3EEE-41A9-9908-C2B6E739F6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2345" name="Picture 1" descr="Chart_127">
          <a:extLst>
            <a:ext uri="{FF2B5EF4-FFF2-40B4-BE49-F238E27FC236}">
              <a16:creationId xmlns:a16="http://schemas.microsoft.com/office/drawing/2014/main" id="{93238BC8-C511-44E3-B35B-B210CEFFE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2346" name="Picture 2" descr="Chart_465">
          <a:extLst>
            <a:ext uri="{FF2B5EF4-FFF2-40B4-BE49-F238E27FC236}">
              <a16:creationId xmlns:a16="http://schemas.microsoft.com/office/drawing/2014/main" id="{E8B23E0B-AFD8-4665-9FEE-4AA60AF280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2347" name="Picture 3" descr="Chart_514">
          <a:extLst>
            <a:ext uri="{FF2B5EF4-FFF2-40B4-BE49-F238E27FC236}">
              <a16:creationId xmlns:a16="http://schemas.microsoft.com/office/drawing/2014/main" id="{254C86F8-8D8F-4E21-B99F-0EED1B8FD8A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3369" name="Picture 1" descr="Chart_127">
          <a:extLst>
            <a:ext uri="{FF2B5EF4-FFF2-40B4-BE49-F238E27FC236}">
              <a16:creationId xmlns:a16="http://schemas.microsoft.com/office/drawing/2014/main" id="{FEE6EAE7-AA9F-4086-B7BB-69076998B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3370" name="Picture 2" descr="Chart_465">
          <a:extLst>
            <a:ext uri="{FF2B5EF4-FFF2-40B4-BE49-F238E27FC236}">
              <a16:creationId xmlns:a16="http://schemas.microsoft.com/office/drawing/2014/main" id="{5370079A-5AC9-435E-8385-B294523D11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3371" name="Picture 3" descr="Chart_514">
          <a:extLst>
            <a:ext uri="{FF2B5EF4-FFF2-40B4-BE49-F238E27FC236}">
              <a16:creationId xmlns:a16="http://schemas.microsoft.com/office/drawing/2014/main" id="{E599A29B-76E5-484B-A37C-F3F34F61E7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4393" name="Picture 1" descr="Chart_127">
          <a:extLst>
            <a:ext uri="{FF2B5EF4-FFF2-40B4-BE49-F238E27FC236}">
              <a16:creationId xmlns:a16="http://schemas.microsoft.com/office/drawing/2014/main" id="{CA7F876E-6B61-4AB2-8C26-A6C57EEE5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4394" name="Picture 2" descr="Chart_465">
          <a:extLst>
            <a:ext uri="{FF2B5EF4-FFF2-40B4-BE49-F238E27FC236}">
              <a16:creationId xmlns:a16="http://schemas.microsoft.com/office/drawing/2014/main" id="{6FB8242F-7CCC-45FD-9E12-0FB2465B7E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4395" name="Picture 3" descr="Chart_514">
          <a:extLst>
            <a:ext uri="{FF2B5EF4-FFF2-40B4-BE49-F238E27FC236}">
              <a16:creationId xmlns:a16="http://schemas.microsoft.com/office/drawing/2014/main" id="{169C6AD6-74F5-4A5A-969C-9936212356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5417" name="Picture 1" descr="Chart_127">
          <a:extLst>
            <a:ext uri="{FF2B5EF4-FFF2-40B4-BE49-F238E27FC236}">
              <a16:creationId xmlns:a16="http://schemas.microsoft.com/office/drawing/2014/main" id="{5DF08279-B3FF-4A10-8099-7552B04CB1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5418" name="Picture 2" descr="Chart_465">
          <a:extLst>
            <a:ext uri="{FF2B5EF4-FFF2-40B4-BE49-F238E27FC236}">
              <a16:creationId xmlns:a16="http://schemas.microsoft.com/office/drawing/2014/main" id="{27A6A71C-B116-434C-A315-A250C439956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5419" name="Picture 3" descr="Chart_514">
          <a:extLst>
            <a:ext uri="{FF2B5EF4-FFF2-40B4-BE49-F238E27FC236}">
              <a16:creationId xmlns:a16="http://schemas.microsoft.com/office/drawing/2014/main" id="{C8CDEF99-3D51-4C97-A85F-113FDB76E9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6441" name="Picture 1" descr="Chart_127">
          <a:extLst>
            <a:ext uri="{FF2B5EF4-FFF2-40B4-BE49-F238E27FC236}">
              <a16:creationId xmlns:a16="http://schemas.microsoft.com/office/drawing/2014/main" id="{293883D1-0DC2-450B-9F41-FEC2694C0A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6442" name="Picture 2" descr="Chart_465">
          <a:extLst>
            <a:ext uri="{FF2B5EF4-FFF2-40B4-BE49-F238E27FC236}">
              <a16:creationId xmlns:a16="http://schemas.microsoft.com/office/drawing/2014/main" id="{3BA9AD87-87FC-4104-9FCA-8FF67504D1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6443" name="Picture 3" descr="Chart_514">
          <a:extLst>
            <a:ext uri="{FF2B5EF4-FFF2-40B4-BE49-F238E27FC236}">
              <a16:creationId xmlns:a16="http://schemas.microsoft.com/office/drawing/2014/main" id="{AD547F31-A5D1-4B09-ACCF-1F24A9CC80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7465" name="Picture 1" descr="Chart_127">
          <a:extLst>
            <a:ext uri="{FF2B5EF4-FFF2-40B4-BE49-F238E27FC236}">
              <a16:creationId xmlns:a16="http://schemas.microsoft.com/office/drawing/2014/main" id="{58B95EE1-57C1-4358-80E5-70F7195B7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7466" name="Picture 2" descr="Chart_465">
          <a:extLst>
            <a:ext uri="{FF2B5EF4-FFF2-40B4-BE49-F238E27FC236}">
              <a16:creationId xmlns:a16="http://schemas.microsoft.com/office/drawing/2014/main" id="{EFBDBCC0-38C4-4F24-B1A8-9BB01CD72DC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7467" name="Picture 3" descr="Chart_514">
          <a:extLst>
            <a:ext uri="{FF2B5EF4-FFF2-40B4-BE49-F238E27FC236}">
              <a16:creationId xmlns:a16="http://schemas.microsoft.com/office/drawing/2014/main" id="{BFD4D769-5261-4107-AA41-C8F992870C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8489" name="Picture 1" descr="Chart_127">
          <a:extLst>
            <a:ext uri="{FF2B5EF4-FFF2-40B4-BE49-F238E27FC236}">
              <a16:creationId xmlns:a16="http://schemas.microsoft.com/office/drawing/2014/main" id="{60D63677-FCF7-4BDB-8B23-0B770E2C69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8490" name="Picture 2" descr="Chart_465">
          <a:extLst>
            <a:ext uri="{FF2B5EF4-FFF2-40B4-BE49-F238E27FC236}">
              <a16:creationId xmlns:a16="http://schemas.microsoft.com/office/drawing/2014/main" id="{E2EE7232-75A1-4456-A8FC-EFCDE3DB46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8491" name="Picture 3" descr="Chart_514">
          <a:extLst>
            <a:ext uri="{FF2B5EF4-FFF2-40B4-BE49-F238E27FC236}">
              <a16:creationId xmlns:a16="http://schemas.microsoft.com/office/drawing/2014/main" id="{7FA2A693-50B8-4EC1-90AA-EADDF7B3C4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9513" name="Picture 1" descr="Chart_127">
          <a:extLst>
            <a:ext uri="{FF2B5EF4-FFF2-40B4-BE49-F238E27FC236}">
              <a16:creationId xmlns:a16="http://schemas.microsoft.com/office/drawing/2014/main" id="{23844B61-84E3-4D67-9278-A03FECD4C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9514" name="Picture 2" descr="Chart_465">
          <a:extLst>
            <a:ext uri="{FF2B5EF4-FFF2-40B4-BE49-F238E27FC236}">
              <a16:creationId xmlns:a16="http://schemas.microsoft.com/office/drawing/2014/main" id="{AE422BD5-68DE-475F-9BD2-5DEBAA0C46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9515" name="Picture 3" descr="Chart_514">
          <a:extLst>
            <a:ext uri="{FF2B5EF4-FFF2-40B4-BE49-F238E27FC236}">
              <a16:creationId xmlns:a16="http://schemas.microsoft.com/office/drawing/2014/main" id="{235FB6FA-BBE2-4F74-805F-1C14BE9E72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0537" name="Picture 1" descr="Chart_127">
          <a:extLst>
            <a:ext uri="{FF2B5EF4-FFF2-40B4-BE49-F238E27FC236}">
              <a16:creationId xmlns:a16="http://schemas.microsoft.com/office/drawing/2014/main" id="{96F09CE0-EB15-4B9E-8138-918FCFA5F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0538" name="Picture 2" descr="Chart_465">
          <a:extLst>
            <a:ext uri="{FF2B5EF4-FFF2-40B4-BE49-F238E27FC236}">
              <a16:creationId xmlns:a16="http://schemas.microsoft.com/office/drawing/2014/main" id="{9CA3EE27-8698-42E7-880D-D2E5B592DD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0539" name="Picture 3" descr="Chart_514">
          <a:extLst>
            <a:ext uri="{FF2B5EF4-FFF2-40B4-BE49-F238E27FC236}">
              <a16:creationId xmlns:a16="http://schemas.microsoft.com/office/drawing/2014/main" id="{3DD87D04-9CA4-42A3-B4A9-2F6AFC585A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1561" name="Picture 1" descr="Chart_127">
          <a:extLst>
            <a:ext uri="{FF2B5EF4-FFF2-40B4-BE49-F238E27FC236}">
              <a16:creationId xmlns:a16="http://schemas.microsoft.com/office/drawing/2014/main" id="{31D80BB3-DCCC-4F82-9584-ADF2F0E94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1562" name="Picture 2" descr="Chart_465">
          <a:extLst>
            <a:ext uri="{FF2B5EF4-FFF2-40B4-BE49-F238E27FC236}">
              <a16:creationId xmlns:a16="http://schemas.microsoft.com/office/drawing/2014/main" id="{39F5160F-FF11-4C3E-AAAA-7DE65682EC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1563" name="Picture 3" descr="Chart_514">
          <a:extLst>
            <a:ext uri="{FF2B5EF4-FFF2-40B4-BE49-F238E27FC236}">
              <a16:creationId xmlns:a16="http://schemas.microsoft.com/office/drawing/2014/main" id="{55480BEF-C429-4AB5-A444-D610AC584A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2585" name="Picture 1" descr="Chart_127">
          <a:extLst>
            <a:ext uri="{FF2B5EF4-FFF2-40B4-BE49-F238E27FC236}">
              <a16:creationId xmlns:a16="http://schemas.microsoft.com/office/drawing/2014/main" id="{FA9C84EC-B821-45AF-978A-FF1E9C782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2586" name="Picture 2" descr="Chart_465">
          <a:extLst>
            <a:ext uri="{FF2B5EF4-FFF2-40B4-BE49-F238E27FC236}">
              <a16:creationId xmlns:a16="http://schemas.microsoft.com/office/drawing/2014/main" id="{86CA6085-DECC-4686-99CD-9DB5A090DA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2587" name="Picture 3" descr="Chart_514">
          <a:extLst>
            <a:ext uri="{FF2B5EF4-FFF2-40B4-BE49-F238E27FC236}">
              <a16:creationId xmlns:a16="http://schemas.microsoft.com/office/drawing/2014/main" id="{3EA8E9A7-29CC-4EF0-8690-FE286DDE73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3609" name="Picture 1" descr="Chart_127">
          <a:extLst>
            <a:ext uri="{FF2B5EF4-FFF2-40B4-BE49-F238E27FC236}">
              <a16:creationId xmlns:a16="http://schemas.microsoft.com/office/drawing/2014/main" id="{BA93717F-F311-461F-9910-E59B70739E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3610" name="Picture 2" descr="Chart_465">
          <a:extLst>
            <a:ext uri="{FF2B5EF4-FFF2-40B4-BE49-F238E27FC236}">
              <a16:creationId xmlns:a16="http://schemas.microsoft.com/office/drawing/2014/main" id="{86215C6E-91BF-4DB8-9F9C-DC4F1EC5F3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3611" name="Picture 3" descr="Chart_514">
          <a:extLst>
            <a:ext uri="{FF2B5EF4-FFF2-40B4-BE49-F238E27FC236}">
              <a16:creationId xmlns:a16="http://schemas.microsoft.com/office/drawing/2014/main" id="{5AF46CFB-0430-4FCC-9104-AB05871E14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4633" name="Picture 1" descr="Chart_127">
          <a:extLst>
            <a:ext uri="{FF2B5EF4-FFF2-40B4-BE49-F238E27FC236}">
              <a16:creationId xmlns:a16="http://schemas.microsoft.com/office/drawing/2014/main" id="{7BB5654A-5117-4810-B0B7-3C26C033B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4634" name="Picture 2" descr="Chart_465">
          <a:extLst>
            <a:ext uri="{FF2B5EF4-FFF2-40B4-BE49-F238E27FC236}">
              <a16:creationId xmlns:a16="http://schemas.microsoft.com/office/drawing/2014/main" id="{BC201B5D-D811-4708-9B19-66F28883CA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4635" name="Picture 3" descr="Chart_514">
          <a:extLst>
            <a:ext uri="{FF2B5EF4-FFF2-40B4-BE49-F238E27FC236}">
              <a16:creationId xmlns:a16="http://schemas.microsoft.com/office/drawing/2014/main" id="{B00D730C-20D4-4B56-B132-C0D39E74DC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5657" name="Picture 1" descr="Chart_127">
          <a:extLst>
            <a:ext uri="{FF2B5EF4-FFF2-40B4-BE49-F238E27FC236}">
              <a16:creationId xmlns:a16="http://schemas.microsoft.com/office/drawing/2014/main" id="{504F6EAD-46BB-4038-AC65-49FFFA4BE9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5658" name="Picture 2" descr="Chart_465">
          <a:extLst>
            <a:ext uri="{FF2B5EF4-FFF2-40B4-BE49-F238E27FC236}">
              <a16:creationId xmlns:a16="http://schemas.microsoft.com/office/drawing/2014/main" id="{63508860-3DCC-49E6-B6B5-3C8FFCF55E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5659" name="Picture 3" descr="Chart_514">
          <a:extLst>
            <a:ext uri="{FF2B5EF4-FFF2-40B4-BE49-F238E27FC236}">
              <a16:creationId xmlns:a16="http://schemas.microsoft.com/office/drawing/2014/main" id="{CBB5B4AD-9B4A-436B-85A9-0A1DA46E2E8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6681" name="Picture 1" descr="Chart_127">
          <a:extLst>
            <a:ext uri="{FF2B5EF4-FFF2-40B4-BE49-F238E27FC236}">
              <a16:creationId xmlns:a16="http://schemas.microsoft.com/office/drawing/2014/main" id="{93DD8469-9FBE-4496-B338-CA3DA9EF8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6682" name="Picture 2" descr="Chart_465">
          <a:extLst>
            <a:ext uri="{FF2B5EF4-FFF2-40B4-BE49-F238E27FC236}">
              <a16:creationId xmlns:a16="http://schemas.microsoft.com/office/drawing/2014/main" id="{F4DFE795-9272-452D-8D8D-016AF3FBE2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6683" name="Picture 3" descr="Chart_514">
          <a:extLst>
            <a:ext uri="{FF2B5EF4-FFF2-40B4-BE49-F238E27FC236}">
              <a16:creationId xmlns:a16="http://schemas.microsoft.com/office/drawing/2014/main" id="{8BEA759E-7D2D-43F1-B483-5A98F0B70E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8.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37857" name="Picture 1" descr="36467bf4-a15c-43e9-b655-d7594e5c88d0">
          <a:extLst>
            <a:ext uri="{FF2B5EF4-FFF2-40B4-BE49-F238E27FC236}">
              <a16:creationId xmlns:a16="http://schemas.microsoft.com/office/drawing/2014/main" id="{7AEEE3BD-B34B-4F6C-B7B8-D4314041D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37858" name="Picture 2" descr="Chart_127">
          <a:extLst>
            <a:ext uri="{FF2B5EF4-FFF2-40B4-BE49-F238E27FC236}">
              <a16:creationId xmlns:a16="http://schemas.microsoft.com/office/drawing/2014/main" id="{CF693A93-9A6E-48C6-9A01-0E765961AC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37859" name="Picture 3" descr="Chart_465">
          <a:extLst>
            <a:ext uri="{FF2B5EF4-FFF2-40B4-BE49-F238E27FC236}">
              <a16:creationId xmlns:a16="http://schemas.microsoft.com/office/drawing/2014/main" id="{BFDD32B7-0B48-4203-A74F-B3C8FB5536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37860" name="Picture 4" descr="Chart_514">
          <a:extLst>
            <a:ext uri="{FF2B5EF4-FFF2-40B4-BE49-F238E27FC236}">
              <a16:creationId xmlns:a16="http://schemas.microsoft.com/office/drawing/2014/main" id="{B853B028-0BD7-46E7-8BE3-A2E5EB0A08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38881" name="Picture 1" descr="8d3fef0e-f8c5-4d8c-a25e-f21e4aa97dff">
          <a:extLst>
            <a:ext uri="{FF2B5EF4-FFF2-40B4-BE49-F238E27FC236}">
              <a16:creationId xmlns:a16="http://schemas.microsoft.com/office/drawing/2014/main" id="{B453B54C-1904-45A6-810F-9C2729196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38882" name="Picture 2" descr="Chart_127">
          <a:extLst>
            <a:ext uri="{FF2B5EF4-FFF2-40B4-BE49-F238E27FC236}">
              <a16:creationId xmlns:a16="http://schemas.microsoft.com/office/drawing/2014/main" id="{82791F3D-2685-46BC-AF36-6F2A6389FB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38883" name="Picture 3" descr="Chart_465">
          <a:extLst>
            <a:ext uri="{FF2B5EF4-FFF2-40B4-BE49-F238E27FC236}">
              <a16:creationId xmlns:a16="http://schemas.microsoft.com/office/drawing/2014/main" id="{954452F9-3AC1-4AD4-9096-92E61792335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38884" name="Picture 4" descr="Chart_514">
          <a:extLst>
            <a:ext uri="{FF2B5EF4-FFF2-40B4-BE49-F238E27FC236}">
              <a16:creationId xmlns:a16="http://schemas.microsoft.com/office/drawing/2014/main" id="{6C856E7A-A377-46CC-827D-E0BDA05D08C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39905" name="Picture 1" descr="22db07d3-43a9-4d4d-882b-13f25cb3aa22">
          <a:extLst>
            <a:ext uri="{FF2B5EF4-FFF2-40B4-BE49-F238E27FC236}">
              <a16:creationId xmlns:a16="http://schemas.microsoft.com/office/drawing/2014/main" id="{03FF8C11-0DE1-4A8D-BD39-8D6D74B930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39906" name="Picture 2" descr="Chart_127">
          <a:extLst>
            <a:ext uri="{FF2B5EF4-FFF2-40B4-BE49-F238E27FC236}">
              <a16:creationId xmlns:a16="http://schemas.microsoft.com/office/drawing/2014/main" id="{22126374-08D0-4016-B779-E19DC92579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39907" name="Picture 3" descr="Chart_465">
          <a:extLst>
            <a:ext uri="{FF2B5EF4-FFF2-40B4-BE49-F238E27FC236}">
              <a16:creationId xmlns:a16="http://schemas.microsoft.com/office/drawing/2014/main" id="{830710F3-594A-4A15-9305-5651B7C0B5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39908" name="Picture 4" descr="Chart_514">
          <a:extLst>
            <a:ext uri="{FF2B5EF4-FFF2-40B4-BE49-F238E27FC236}">
              <a16:creationId xmlns:a16="http://schemas.microsoft.com/office/drawing/2014/main" id="{B978909B-3217-468F-A343-CC430915A3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0929" name="Picture 1" descr="87a0f7cc-d8a5-4db9-96f4-4fa307a0503b">
          <a:extLst>
            <a:ext uri="{FF2B5EF4-FFF2-40B4-BE49-F238E27FC236}">
              <a16:creationId xmlns:a16="http://schemas.microsoft.com/office/drawing/2014/main" id="{4E6B6F93-61A4-450D-A2C4-B876751B1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0930" name="Picture 2" descr="Chart_127">
          <a:extLst>
            <a:ext uri="{FF2B5EF4-FFF2-40B4-BE49-F238E27FC236}">
              <a16:creationId xmlns:a16="http://schemas.microsoft.com/office/drawing/2014/main" id="{BDBDF88B-E078-456C-A171-92761A36824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0931" name="Picture 3" descr="Chart_465">
          <a:extLst>
            <a:ext uri="{FF2B5EF4-FFF2-40B4-BE49-F238E27FC236}">
              <a16:creationId xmlns:a16="http://schemas.microsoft.com/office/drawing/2014/main" id="{2F722E71-45A9-4F64-BC37-B8A2F5ECBD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0932" name="Picture 4" descr="Chart_514">
          <a:extLst>
            <a:ext uri="{FF2B5EF4-FFF2-40B4-BE49-F238E27FC236}">
              <a16:creationId xmlns:a16="http://schemas.microsoft.com/office/drawing/2014/main" id="{381F7AF4-701C-4CDD-A7DD-9E03E66B64D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1953" name="Picture 1" descr="3267976a-46d6-460a-8f54-a8d953295e4b">
          <a:extLst>
            <a:ext uri="{FF2B5EF4-FFF2-40B4-BE49-F238E27FC236}">
              <a16:creationId xmlns:a16="http://schemas.microsoft.com/office/drawing/2014/main" id="{8460CD0E-6FBE-455C-9843-BF2EBD1E1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1954" name="Picture 2" descr="Chart_127">
          <a:extLst>
            <a:ext uri="{FF2B5EF4-FFF2-40B4-BE49-F238E27FC236}">
              <a16:creationId xmlns:a16="http://schemas.microsoft.com/office/drawing/2014/main" id="{C14C8DAF-1FEB-42EF-8DEB-86EAB1A361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1955" name="Picture 3" descr="Chart_465">
          <a:extLst>
            <a:ext uri="{FF2B5EF4-FFF2-40B4-BE49-F238E27FC236}">
              <a16:creationId xmlns:a16="http://schemas.microsoft.com/office/drawing/2014/main" id="{5FEDAE3B-0494-43BF-AB13-800A380E87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1956" name="Picture 4" descr="Chart_514">
          <a:extLst>
            <a:ext uri="{FF2B5EF4-FFF2-40B4-BE49-F238E27FC236}">
              <a16:creationId xmlns:a16="http://schemas.microsoft.com/office/drawing/2014/main" id="{1F24610A-E51D-4534-9F2C-B9F6C0FD0D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2977" name="Picture 1" descr="d2a2bb01-5d38-40a3-909b-f613da9e201f">
          <a:extLst>
            <a:ext uri="{FF2B5EF4-FFF2-40B4-BE49-F238E27FC236}">
              <a16:creationId xmlns:a16="http://schemas.microsoft.com/office/drawing/2014/main" id="{D1ABA90B-544C-4167-8E77-4A49EBB4F1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2978" name="Picture 2" descr="Chart_127">
          <a:extLst>
            <a:ext uri="{FF2B5EF4-FFF2-40B4-BE49-F238E27FC236}">
              <a16:creationId xmlns:a16="http://schemas.microsoft.com/office/drawing/2014/main" id="{9AD93A0F-2F81-4E41-B026-AA87489A4E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2979" name="Picture 3" descr="Chart_465">
          <a:extLst>
            <a:ext uri="{FF2B5EF4-FFF2-40B4-BE49-F238E27FC236}">
              <a16:creationId xmlns:a16="http://schemas.microsoft.com/office/drawing/2014/main" id="{8C81CA5B-3022-4B21-A394-F03FA95399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2980" name="Picture 4" descr="Chart_514">
          <a:extLst>
            <a:ext uri="{FF2B5EF4-FFF2-40B4-BE49-F238E27FC236}">
              <a16:creationId xmlns:a16="http://schemas.microsoft.com/office/drawing/2014/main" id="{598C416E-65A3-4B0E-8126-ABC50C23431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4001" name="Picture 1" descr="e368691a-ffcc-4881-bdd2-37691801bb47">
          <a:extLst>
            <a:ext uri="{FF2B5EF4-FFF2-40B4-BE49-F238E27FC236}">
              <a16:creationId xmlns:a16="http://schemas.microsoft.com/office/drawing/2014/main" id="{4ADF0271-A9F5-40CD-BFEA-F0855F0CEF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4002" name="Picture 2" descr="Chart_127">
          <a:extLst>
            <a:ext uri="{FF2B5EF4-FFF2-40B4-BE49-F238E27FC236}">
              <a16:creationId xmlns:a16="http://schemas.microsoft.com/office/drawing/2014/main" id="{6025B8AC-55D2-4598-B05A-B1F6D1360F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4003" name="Picture 3" descr="Chart_465">
          <a:extLst>
            <a:ext uri="{FF2B5EF4-FFF2-40B4-BE49-F238E27FC236}">
              <a16:creationId xmlns:a16="http://schemas.microsoft.com/office/drawing/2014/main" id="{E7251FE6-09DB-498D-BF0B-8C446991E86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4004" name="Picture 4" descr="Chart_514">
          <a:extLst>
            <a:ext uri="{FF2B5EF4-FFF2-40B4-BE49-F238E27FC236}">
              <a16:creationId xmlns:a16="http://schemas.microsoft.com/office/drawing/2014/main" id="{3BA5EA03-8876-4CA2-BCB6-119F7473EA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5025" name="Picture 1" descr="2072e8e0-c434-4035-aa55-bc3282633dde">
          <a:extLst>
            <a:ext uri="{FF2B5EF4-FFF2-40B4-BE49-F238E27FC236}">
              <a16:creationId xmlns:a16="http://schemas.microsoft.com/office/drawing/2014/main" id="{94710A9C-E246-428A-A6BA-A08A7BC8D9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5026" name="Picture 2" descr="Chart_127">
          <a:extLst>
            <a:ext uri="{FF2B5EF4-FFF2-40B4-BE49-F238E27FC236}">
              <a16:creationId xmlns:a16="http://schemas.microsoft.com/office/drawing/2014/main" id="{AD45B77D-63A1-4641-BA8B-DE4F3A51A1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5027" name="Picture 3" descr="Chart_465">
          <a:extLst>
            <a:ext uri="{FF2B5EF4-FFF2-40B4-BE49-F238E27FC236}">
              <a16:creationId xmlns:a16="http://schemas.microsoft.com/office/drawing/2014/main" id="{A0A9F671-B391-468C-9FDD-EB3E67B5A9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5028" name="Picture 4" descr="Chart_514">
          <a:extLst>
            <a:ext uri="{FF2B5EF4-FFF2-40B4-BE49-F238E27FC236}">
              <a16:creationId xmlns:a16="http://schemas.microsoft.com/office/drawing/2014/main" id="{ACAA9E96-D750-4C77-8A7A-7DF81068FC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6.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6049" name="Picture 1" descr="ee2bd3c9-f14d-45f8-b5d1-7466382eb6ec">
          <a:extLst>
            <a:ext uri="{FF2B5EF4-FFF2-40B4-BE49-F238E27FC236}">
              <a16:creationId xmlns:a16="http://schemas.microsoft.com/office/drawing/2014/main" id="{908FD2F4-34DF-4584-9C0D-49F4B68AC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6050" name="Picture 2" descr="Chart_127">
          <a:extLst>
            <a:ext uri="{FF2B5EF4-FFF2-40B4-BE49-F238E27FC236}">
              <a16:creationId xmlns:a16="http://schemas.microsoft.com/office/drawing/2014/main" id="{F4EFC19C-44D2-4020-B506-A5E41FAF7C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6051" name="Picture 3" descr="Chart_465">
          <a:extLst>
            <a:ext uri="{FF2B5EF4-FFF2-40B4-BE49-F238E27FC236}">
              <a16:creationId xmlns:a16="http://schemas.microsoft.com/office/drawing/2014/main" id="{680949F4-F3DF-4CB6-8A12-B83277F7F4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6052" name="Picture 4" descr="Chart_514">
          <a:extLst>
            <a:ext uri="{FF2B5EF4-FFF2-40B4-BE49-F238E27FC236}">
              <a16:creationId xmlns:a16="http://schemas.microsoft.com/office/drawing/2014/main" id="{AA0581FF-AF20-4EB7-A1D1-926CEF07138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7.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7073" name="Picture 1" descr="ef6aa1f6-6769-4070-aa95-b07b5ade6310">
          <a:extLst>
            <a:ext uri="{FF2B5EF4-FFF2-40B4-BE49-F238E27FC236}">
              <a16:creationId xmlns:a16="http://schemas.microsoft.com/office/drawing/2014/main" id="{D727C265-99A1-44CE-A06B-8DD42B11F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7074" name="Picture 2" descr="Chart_127">
          <a:extLst>
            <a:ext uri="{FF2B5EF4-FFF2-40B4-BE49-F238E27FC236}">
              <a16:creationId xmlns:a16="http://schemas.microsoft.com/office/drawing/2014/main" id="{CB94F47F-887B-4AE3-8059-9D5E282B16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7075" name="Picture 3" descr="Chart_465">
          <a:extLst>
            <a:ext uri="{FF2B5EF4-FFF2-40B4-BE49-F238E27FC236}">
              <a16:creationId xmlns:a16="http://schemas.microsoft.com/office/drawing/2014/main" id="{003D9081-4FE5-4E2C-B74E-D1EE554EC3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7076" name="Picture 4" descr="Chart_514">
          <a:extLst>
            <a:ext uri="{FF2B5EF4-FFF2-40B4-BE49-F238E27FC236}">
              <a16:creationId xmlns:a16="http://schemas.microsoft.com/office/drawing/2014/main" id="{ECD79D52-4480-4429-8616-F8AF7D691BA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8.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8097" name="Picture 1" descr="8be4169f-0e5d-46a3-8a13-4ccc8cf53bfa">
          <a:extLst>
            <a:ext uri="{FF2B5EF4-FFF2-40B4-BE49-F238E27FC236}">
              <a16:creationId xmlns:a16="http://schemas.microsoft.com/office/drawing/2014/main" id="{53108D3E-8425-46F0-AA3A-AF4A23040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8098" name="Picture 2" descr="Chart_127">
          <a:extLst>
            <a:ext uri="{FF2B5EF4-FFF2-40B4-BE49-F238E27FC236}">
              <a16:creationId xmlns:a16="http://schemas.microsoft.com/office/drawing/2014/main" id="{02A2A886-6835-4059-874F-1BF223B684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8099" name="Picture 3" descr="Chart_465">
          <a:extLst>
            <a:ext uri="{FF2B5EF4-FFF2-40B4-BE49-F238E27FC236}">
              <a16:creationId xmlns:a16="http://schemas.microsoft.com/office/drawing/2014/main" id="{940526AA-DC26-4FCA-8287-6305B8948A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8100" name="Picture 4" descr="Chart_514">
          <a:extLst>
            <a:ext uri="{FF2B5EF4-FFF2-40B4-BE49-F238E27FC236}">
              <a16:creationId xmlns:a16="http://schemas.microsoft.com/office/drawing/2014/main" id="{DBDFC94A-42B7-4467-BFB2-927B36A78E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9121" name="Picture 1" descr="8b6f3962-5020-4bfa-a112-f56360afef40">
          <a:extLst>
            <a:ext uri="{FF2B5EF4-FFF2-40B4-BE49-F238E27FC236}">
              <a16:creationId xmlns:a16="http://schemas.microsoft.com/office/drawing/2014/main" id="{D1558BDE-37A8-4076-BAA8-C5533486B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9122" name="Picture 2" descr="Chart_127">
          <a:extLst>
            <a:ext uri="{FF2B5EF4-FFF2-40B4-BE49-F238E27FC236}">
              <a16:creationId xmlns:a16="http://schemas.microsoft.com/office/drawing/2014/main" id="{7699DBE6-0BF1-4E8D-B597-DB96E1A22D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9123" name="Picture 3" descr="Chart_465">
          <a:extLst>
            <a:ext uri="{FF2B5EF4-FFF2-40B4-BE49-F238E27FC236}">
              <a16:creationId xmlns:a16="http://schemas.microsoft.com/office/drawing/2014/main" id="{A363EAA5-345C-4ACC-9F0E-01F4646CEC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9124" name="Picture 4" descr="Chart_514">
          <a:extLst>
            <a:ext uri="{FF2B5EF4-FFF2-40B4-BE49-F238E27FC236}">
              <a16:creationId xmlns:a16="http://schemas.microsoft.com/office/drawing/2014/main" id="{B1608C0D-71F2-41F8-81B3-F6B88AD5CB5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0145" name="Picture 1" descr="cb42aa2d-c2af-4836-b999-00b664fb54d4">
          <a:extLst>
            <a:ext uri="{FF2B5EF4-FFF2-40B4-BE49-F238E27FC236}">
              <a16:creationId xmlns:a16="http://schemas.microsoft.com/office/drawing/2014/main" id="{D780E7FC-44A3-435B-AFEF-567415D341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0146" name="Picture 2" descr="Chart_127">
          <a:extLst>
            <a:ext uri="{FF2B5EF4-FFF2-40B4-BE49-F238E27FC236}">
              <a16:creationId xmlns:a16="http://schemas.microsoft.com/office/drawing/2014/main" id="{DAF4AFB8-950D-40A7-9DD0-E02EA86D01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0147" name="Picture 3" descr="Chart_465">
          <a:extLst>
            <a:ext uri="{FF2B5EF4-FFF2-40B4-BE49-F238E27FC236}">
              <a16:creationId xmlns:a16="http://schemas.microsoft.com/office/drawing/2014/main" id="{91B16BBA-DB3B-403A-8CA1-E6839920EF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0148" name="Picture 4" descr="Chart_514">
          <a:extLst>
            <a:ext uri="{FF2B5EF4-FFF2-40B4-BE49-F238E27FC236}">
              <a16:creationId xmlns:a16="http://schemas.microsoft.com/office/drawing/2014/main" id="{79724680-C0F6-406E-BF16-18C25D6E92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1169" name="Picture 1" descr="4d25b3b5-ac2b-4323-bee0-7621c8d3b528">
          <a:extLst>
            <a:ext uri="{FF2B5EF4-FFF2-40B4-BE49-F238E27FC236}">
              <a16:creationId xmlns:a16="http://schemas.microsoft.com/office/drawing/2014/main" id="{315CA89E-99C3-44C1-AAC2-08ACA8F68A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1170" name="Picture 2" descr="Chart_127">
          <a:extLst>
            <a:ext uri="{FF2B5EF4-FFF2-40B4-BE49-F238E27FC236}">
              <a16:creationId xmlns:a16="http://schemas.microsoft.com/office/drawing/2014/main" id="{A0D5E0AE-8A11-4954-BD69-7C953899BF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1171" name="Picture 3" descr="Chart_465">
          <a:extLst>
            <a:ext uri="{FF2B5EF4-FFF2-40B4-BE49-F238E27FC236}">
              <a16:creationId xmlns:a16="http://schemas.microsoft.com/office/drawing/2014/main" id="{F69EE67C-D945-4853-9387-49939C3BFA3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1172" name="Picture 4" descr="Chart_514">
          <a:extLst>
            <a:ext uri="{FF2B5EF4-FFF2-40B4-BE49-F238E27FC236}">
              <a16:creationId xmlns:a16="http://schemas.microsoft.com/office/drawing/2014/main" id="{5472B111-3A57-4A61-8E40-1F993F89F57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2193" name="Picture 1" descr="0a3556a4-3f9a-4bbf-aa55-f0450ba65add">
          <a:extLst>
            <a:ext uri="{FF2B5EF4-FFF2-40B4-BE49-F238E27FC236}">
              <a16:creationId xmlns:a16="http://schemas.microsoft.com/office/drawing/2014/main" id="{6B0FA65C-DA83-4941-8E76-1F1627C9A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2194" name="Picture 2" descr="Chart_127">
          <a:extLst>
            <a:ext uri="{FF2B5EF4-FFF2-40B4-BE49-F238E27FC236}">
              <a16:creationId xmlns:a16="http://schemas.microsoft.com/office/drawing/2014/main" id="{104A78F4-92FB-4EC8-AD34-5430AE9561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2195" name="Picture 3" descr="Chart_465">
          <a:extLst>
            <a:ext uri="{FF2B5EF4-FFF2-40B4-BE49-F238E27FC236}">
              <a16:creationId xmlns:a16="http://schemas.microsoft.com/office/drawing/2014/main" id="{2342305D-E486-4F8D-9D5A-31A0F2E834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2196" name="Picture 4" descr="Chart_514">
          <a:extLst>
            <a:ext uri="{FF2B5EF4-FFF2-40B4-BE49-F238E27FC236}">
              <a16:creationId xmlns:a16="http://schemas.microsoft.com/office/drawing/2014/main" id="{6F5F2EBD-27E7-4DFC-85F1-631D25E146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3217" name="Picture 1" descr="710c6182-f7da-4132-853b-671cc7d3ddf8">
          <a:extLst>
            <a:ext uri="{FF2B5EF4-FFF2-40B4-BE49-F238E27FC236}">
              <a16:creationId xmlns:a16="http://schemas.microsoft.com/office/drawing/2014/main" id="{F953DB2A-D7AF-4483-B228-AF858D28C7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3218" name="Picture 2" descr="Chart_127">
          <a:extLst>
            <a:ext uri="{FF2B5EF4-FFF2-40B4-BE49-F238E27FC236}">
              <a16:creationId xmlns:a16="http://schemas.microsoft.com/office/drawing/2014/main" id="{DE103111-0955-4FEA-A026-B0802853B2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3219" name="Picture 3" descr="Chart_465">
          <a:extLst>
            <a:ext uri="{FF2B5EF4-FFF2-40B4-BE49-F238E27FC236}">
              <a16:creationId xmlns:a16="http://schemas.microsoft.com/office/drawing/2014/main" id="{D5D06AC0-9BA2-419D-9A23-F70BAD1523A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3220" name="Picture 4" descr="Chart_514">
          <a:extLst>
            <a:ext uri="{FF2B5EF4-FFF2-40B4-BE49-F238E27FC236}">
              <a16:creationId xmlns:a16="http://schemas.microsoft.com/office/drawing/2014/main" id="{D56DB163-3F3F-4790-9388-3D5D3F92834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4241" name="Picture 1" descr="35e01b42-ff89-47ca-bdbd-d4f2604d76d1">
          <a:extLst>
            <a:ext uri="{FF2B5EF4-FFF2-40B4-BE49-F238E27FC236}">
              <a16:creationId xmlns:a16="http://schemas.microsoft.com/office/drawing/2014/main" id="{E643C8DC-34DC-4A25-A568-1D948CC2A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4242" name="Picture 2" descr="Chart_127">
          <a:extLst>
            <a:ext uri="{FF2B5EF4-FFF2-40B4-BE49-F238E27FC236}">
              <a16:creationId xmlns:a16="http://schemas.microsoft.com/office/drawing/2014/main" id="{977823C6-45EC-4D10-9332-D094D64AB5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4243" name="Picture 3" descr="Chart_465">
          <a:extLst>
            <a:ext uri="{FF2B5EF4-FFF2-40B4-BE49-F238E27FC236}">
              <a16:creationId xmlns:a16="http://schemas.microsoft.com/office/drawing/2014/main" id="{582CD597-1808-4714-BC2A-DDEDA79389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4244" name="Picture 4" descr="Chart_514">
          <a:extLst>
            <a:ext uri="{FF2B5EF4-FFF2-40B4-BE49-F238E27FC236}">
              <a16:creationId xmlns:a16="http://schemas.microsoft.com/office/drawing/2014/main" id="{04D9C7A0-6B3C-49F5-BD66-5DA0C12219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5265" name="Picture 1" descr="9372e34a-af0e-4b06-adc9-59fc9e74c4cb">
          <a:extLst>
            <a:ext uri="{FF2B5EF4-FFF2-40B4-BE49-F238E27FC236}">
              <a16:creationId xmlns:a16="http://schemas.microsoft.com/office/drawing/2014/main" id="{00632EF4-59A0-4C02-929F-5FEB88CEE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5266" name="Picture 2" descr="Chart_127">
          <a:extLst>
            <a:ext uri="{FF2B5EF4-FFF2-40B4-BE49-F238E27FC236}">
              <a16:creationId xmlns:a16="http://schemas.microsoft.com/office/drawing/2014/main" id="{BBD9B51D-C4A8-482B-9236-FEF0A8E6B9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5267" name="Picture 3" descr="Chart_465">
          <a:extLst>
            <a:ext uri="{FF2B5EF4-FFF2-40B4-BE49-F238E27FC236}">
              <a16:creationId xmlns:a16="http://schemas.microsoft.com/office/drawing/2014/main" id="{C5989977-22DB-44D0-AB29-778F0C30E0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5268" name="Picture 4" descr="Chart_514">
          <a:extLst>
            <a:ext uri="{FF2B5EF4-FFF2-40B4-BE49-F238E27FC236}">
              <a16:creationId xmlns:a16="http://schemas.microsoft.com/office/drawing/2014/main" id="{D7552C66-698F-491A-ABA3-86F52511577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6.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6289" name="Picture 1" descr="aaf5ad55-5253-477e-aa89-f6b5b42f2a88">
          <a:extLst>
            <a:ext uri="{FF2B5EF4-FFF2-40B4-BE49-F238E27FC236}">
              <a16:creationId xmlns:a16="http://schemas.microsoft.com/office/drawing/2014/main" id="{4AF800C0-FD07-4DFC-8710-B3A7F52DC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6290" name="Picture 2" descr="Chart_127">
          <a:extLst>
            <a:ext uri="{FF2B5EF4-FFF2-40B4-BE49-F238E27FC236}">
              <a16:creationId xmlns:a16="http://schemas.microsoft.com/office/drawing/2014/main" id="{01DB764F-597E-49A4-B89B-692322B445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6291" name="Picture 3" descr="Chart_465">
          <a:extLst>
            <a:ext uri="{FF2B5EF4-FFF2-40B4-BE49-F238E27FC236}">
              <a16:creationId xmlns:a16="http://schemas.microsoft.com/office/drawing/2014/main" id="{705A4E52-E93B-4349-9FFF-1652E95C8F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6292" name="Picture 4" descr="Chart_514">
          <a:extLst>
            <a:ext uri="{FF2B5EF4-FFF2-40B4-BE49-F238E27FC236}">
              <a16:creationId xmlns:a16="http://schemas.microsoft.com/office/drawing/2014/main" id="{6EFA176F-6692-4426-B7BB-9F9585ED64C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7.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457313" name="Picture 1" descr="16dcbf09-078e-43ac-acf9-e3ad73f96bdf">
          <a:extLst>
            <a:ext uri="{FF2B5EF4-FFF2-40B4-BE49-F238E27FC236}">
              <a16:creationId xmlns:a16="http://schemas.microsoft.com/office/drawing/2014/main" id="{5CC78326-BCF6-4D6D-9D84-9C62DFDBA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457314" name="Picture 2" descr="Chart_127">
          <a:extLst>
            <a:ext uri="{FF2B5EF4-FFF2-40B4-BE49-F238E27FC236}">
              <a16:creationId xmlns:a16="http://schemas.microsoft.com/office/drawing/2014/main" id="{DD8CEFE8-FEDC-4667-959B-752B96F237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457315" name="Picture 3" descr="Chart_465">
          <a:extLst>
            <a:ext uri="{FF2B5EF4-FFF2-40B4-BE49-F238E27FC236}">
              <a16:creationId xmlns:a16="http://schemas.microsoft.com/office/drawing/2014/main" id="{5AA8262A-71F9-483A-B87B-8FED689BA71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457316" name="Picture 4" descr="Chart_514">
          <a:extLst>
            <a:ext uri="{FF2B5EF4-FFF2-40B4-BE49-F238E27FC236}">
              <a16:creationId xmlns:a16="http://schemas.microsoft.com/office/drawing/2014/main" id="{251D8F07-A3C2-43FF-8FA1-5D4F9C832F6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8.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458337" name="Picture 1" descr="8f97077a-4bcf-4dc4-9507-dcc235fe76f7">
          <a:extLst>
            <a:ext uri="{FF2B5EF4-FFF2-40B4-BE49-F238E27FC236}">
              <a16:creationId xmlns:a16="http://schemas.microsoft.com/office/drawing/2014/main" id="{0F50A933-44B6-4768-991F-2FE6C5F77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458338" name="Picture 2" descr="Chart_127">
          <a:extLst>
            <a:ext uri="{FF2B5EF4-FFF2-40B4-BE49-F238E27FC236}">
              <a16:creationId xmlns:a16="http://schemas.microsoft.com/office/drawing/2014/main" id="{7A86BE32-80D2-4A49-B580-E4D91A952A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458339" name="Picture 3" descr="Chart_465">
          <a:extLst>
            <a:ext uri="{FF2B5EF4-FFF2-40B4-BE49-F238E27FC236}">
              <a16:creationId xmlns:a16="http://schemas.microsoft.com/office/drawing/2014/main" id="{CF71A04E-C8C3-4D35-AABE-7C229C81A6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458340" name="Picture 4" descr="Chart_514">
          <a:extLst>
            <a:ext uri="{FF2B5EF4-FFF2-40B4-BE49-F238E27FC236}">
              <a16:creationId xmlns:a16="http://schemas.microsoft.com/office/drawing/2014/main" id="{F81581FB-DB9A-4EDF-A811-145C826D27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9.xml><?xml version="1.0" encoding="utf-8"?>
<xdr:wsDr xmlns:xdr="http://schemas.openxmlformats.org/drawingml/2006/spreadsheetDrawing" xmlns:a="http://schemas.openxmlformats.org/drawingml/2006/main">
  <xdr:twoCellAnchor>
    <xdr:from>
      <xdr:col>3</xdr:col>
      <xdr:colOff>0</xdr:colOff>
      <xdr:row>36</xdr:row>
      <xdr:rowOff>0</xdr:rowOff>
    </xdr:from>
    <xdr:to>
      <xdr:col>18</xdr:col>
      <xdr:colOff>0</xdr:colOff>
      <xdr:row>46</xdr:row>
      <xdr:rowOff>0</xdr:rowOff>
    </xdr:to>
    <xdr:pic>
      <xdr:nvPicPr>
        <xdr:cNvPr id="459209" name="Picture 1" descr="Chart_127">
          <a:extLst>
            <a:ext uri="{FF2B5EF4-FFF2-40B4-BE49-F238E27FC236}">
              <a16:creationId xmlns:a16="http://schemas.microsoft.com/office/drawing/2014/main" id="{3080A6F7-427A-434C-A896-1079909FE1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5909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59</xdr:row>
      <xdr:rowOff>0</xdr:rowOff>
    </xdr:from>
    <xdr:to>
      <xdr:col>18</xdr:col>
      <xdr:colOff>0</xdr:colOff>
      <xdr:row>60</xdr:row>
      <xdr:rowOff>0</xdr:rowOff>
    </xdr:to>
    <xdr:pic>
      <xdr:nvPicPr>
        <xdr:cNvPr id="459210" name="Picture 2" descr="Chart_465">
          <a:extLst>
            <a:ext uri="{FF2B5EF4-FFF2-40B4-BE49-F238E27FC236}">
              <a16:creationId xmlns:a16="http://schemas.microsoft.com/office/drawing/2014/main" id="{D33FD6BE-3174-4539-9CF9-DA1A7CB3DE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437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59</xdr:row>
      <xdr:rowOff>0</xdr:rowOff>
    </xdr:from>
    <xdr:to>
      <xdr:col>33</xdr:col>
      <xdr:colOff>0</xdr:colOff>
      <xdr:row>60</xdr:row>
      <xdr:rowOff>0</xdr:rowOff>
    </xdr:to>
    <xdr:pic>
      <xdr:nvPicPr>
        <xdr:cNvPr id="459211" name="Picture 3" descr="Chart_514">
          <a:extLst>
            <a:ext uri="{FF2B5EF4-FFF2-40B4-BE49-F238E27FC236}">
              <a16:creationId xmlns:a16="http://schemas.microsoft.com/office/drawing/2014/main" id="{8262E364-B264-4CAE-B915-11F0861E9F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437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0385" name="Picture 1" descr="26823c25-2a76-42a8-b0c8-fba5c5f368c5">
          <a:extLst>
            <a:ext uri="{FF2B5EF4-FFF2-40B4-BE49-F238E27FC236}">
              <a16:creationId xmlns:a16="http://schemas.microsoft.com/office/drawing/2014/main" id="{EC7B2D9B-71E7-461E-9905-84FB4A9874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0386" name="Picture 2" descr="Chart_127">
          <a:extLst>
            <a:ext uri="{FF2B5EF4-FFF2-40B4-BE49-F238E27FC236}">
              <a16:creationId xmlns:a16="http://schemas.microsoft.com/office/drawing/2014/main" id="{B24CC334-01C3-4988-A45E-8E3DAB9420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0387" name="Picture 3" descr="Chart_465">
          <a:extLst>
            <a:ext uri="{FF2B5EF4-FFF2-40B4-BE49-F238E27FC236}">
              <a16:creationId xmlns:a16="http://schemas.microsoft.com/office/drawing/2014/main" id="{25DD6756-F4E1-4FAA-A509-287321370BD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0388" name="Picture 4" descr="Chart_514">
          <a:extLst>
            <a:ext uri="{FF2B5EF4-FFF2-40B4-BE49-F238E27FC236}">
              <a16:creationId xmlns:a16="http://schemas.microsoft.com/office/drawing/2014/main" id="{8EF78756-A100-42FE-A3B7-8009E81421A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1409" name="Picture 1" descr="e393afc6-d30f-4a2e-8f7b-46743da99e11">
          <a:extLst>
            <a:ext uri="{FF2B5EF4-FFF2-40B4-BE49-F238E27FC236}">
              <a16:creationId xmlns:a16="http://schemas.microsoft.com/office/drawing/2014/main" id="{E06DE697-A1FA-4B61-BAA7-8EA734DD7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1410" name="Picture 2" descr="Chart_127">
          <a:extLst>
            <a:ext uri="{FF2B5EF4-FFF2-40B4-BE49-F238E27FC236}">
              <a16:creationId xmlns:a16="http://schemas.microsoft.com/office/drawing/2014/main" id="{34965D68-6C15-4933-9585-598024F253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1411" name="Picture 3" descr="Chart_465">
          <a:extLst>
            <a:ext uri="{FF2B5EF4-FFF2-40B4-BE49-F238E27FC236}">
              <a16:creationId xmlns:a16="http://schemas.microsoft.com/office/drawing/2014/main" id="{9F41A1FB-D10F-44D6-8A70-580F802AF2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1412" name="Picture 4" descr="Chart_514">
          <a:extLst>
            <a:ext uri="{FF2B5EF4-FFF2-40B4-BE49-F238E27FC236}">
              <a16:creationId xmlns:a16="http://schemas.microsoft.com/office/drawing/2014/main" id="{4C8CE51A-A1C8-4DDB-A599-7745DFA669B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2281" name="Picture 1" descr="Chart_127">
          <a:extLst>
            <a:ext uri="{FF2B5EF4-FFF2-40B4-BE49-F238E27FC236}">
              <a16:creationId xmlns:a16="http://schemas.microsoft.com/office/drawing/2014/main" id="{E3DC18ED-2676-4E84-94E5-785408778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290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2282" name="Picture 2" descr="Chart_465">
          <a:extLst>
            <a:ext uri="{FF2B5EF4-FFF2-40B4-BE49-F238E27FC236}">
              <a16:creationId xmlns:a16="http://schemas.microsoft.com/office/drawing/2014/main" id="{3618EBB1-2042-4C0C-B22E-2F7DBBFF77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818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2283" name="Picture 3" descr="Chart_514">
          <a:extLst>
            <a:ext uri="{FF2B5EF4-FFF2-40B4-BE49-F238E27FC236}">
              <a16:creationId xmlns:a16="http://schemas.microsoft.com/office/drawing/2014/main" id="{D7E22134-BE86-4718-AC5B-28E727EF0FB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818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3305" name="Picture 1" descr="Chart_127">
          <a:extLst>
            <a:ext uri="{FF2B5EF4-FFF2-40B4-BE49-F238E27FC236}">
              <a16:creationId xmlns:a16="http://schemas.microsoft.com/office/drawing/2014/main" id="{DBF62333-31EE-4328-A8FD-15AF5A404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3306" name="Picture 2" descr="Chart_465">
          <a:extLst>
            <a:ext uri="{FF2B5EF4-FFF2-40B4-BE49-F238E27FC236}">
              <a16:creationId xmlns:a16="http://schemas.microsoft.com/office/drawing/2014/main" id="{7A5ED8F3-26EF-4A82-B3FF-FED5EB58C7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3307" name="Picture 3" descr="Chart_514">
          <a:extLst>
            <a:ext uri="{FF2B5EF4-FFF2-40B4-BE49-F238E27FC236}">
              <a16:creationId xmlns:a16="http://schemas.microsoft.com/office/drawing/2014/main" id="{023DB978-DEDD-4FD0-994D-701F028B9C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4481" name="Picture 1" descr="cdb7e6e6-68cb-4280-b449-5f521dfcb9ba">
          <a:extLst>
            <a:ext uri="{FF2B5EF4-FFF2-40B4-BE49-F238E27FC236}">
              <a16:creationId xmlns:a16="http://schemas.microsoft.com/office/drawing/2014/main" id="{86BBBA78-643D-4D4E-B68C-139D83D76A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4482" name="Picture 2" descr="Chart_127">
          <a:extLst>
            <a:ext uri="{FF2B5EF4-FFF2-40B4-BE49-F238E27FC236}">
              <a16:creationId xmlns:a16="http://schemas.microsoft.com/office/drawing/2014/main" id="{A5BD94DA-43C1-4D47-AA86-3A8BF38AA4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4483" name="Picture 3" descr="Chart_465">
          <a:extLst>
            <a:ext uri="{FF2B5EF4-FFF2-40B4-BE49-F238E27FC236}">
              <a16:creationId xmlns:a16="http://schemas.microsoft.com/office/drawing/2014/main" id="{25ABD260-7186-4ADD-BF49-C6D229C2DC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4484" name="Picture 4" descr="Chart_514">
          <a:extLst>
            <a:ext uri="{FF2B5EF4-FFF2-40B4-BE49-F238E27FC236}">
              <a16:creationId xmlns:a16="http://schemas.microsoft.com/office/drawing/2014/main" id="{4AB2322E-7A63-4932-B8E6-9FF2713EEB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5505" name="Picture 1" descr="2cfcd192-66da-4bff-a354-9fbba83fa05f">
          <a:extLst>
            <a:ext uri="{FF2B5EF4-FFF2-40B4-BE49-F238E27FC236}">
              <a16:creationId xmlns:a16="http://schemas.microsoft.com/office/drawing/2014/main" id="{33AAA814-7B8D-4724-B0CE-F0138831E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5506" name="Picture 2" descr="Chart_127">
          <a:extLst>
            <a:ext uri="{FF2B5EF4-FFF2-40B4-BE49-F238E27FC236}">
              <a16:creationId xmlns:a16="http://schemas.microsoft.com/office/drawing/2014/main" id="{D7C48E0B-3A06-4D25-B2BC-431756815F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5507" name="Picture 3" descr="Chart_465">
          <a:extLst>
            <a:ext uri="{FF2B5EF4-FFF2-40B4-BE49-F238E27FC236}">
              <a16:creationId xmlns:a16="http://schemas.microsoft.com/office/drawing/2014/main" id="{A272075A-B1A7-4BFA-933C-32A3236548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5508" name="Picture 4" descr="Chart_514">
          <a:extLst>
            <a:ext uri="{FF2B5EF4-FFF2-40B4-BE49-F238E27FC236}">
              <a16:creationId xmlns:a16="http://schemas.microsoft.com/office/drawing/2014/main" id="{21624E4C-5D87-49DF-9575-BEAA2769941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6377" name="Picture 1" descr="Chart_127">
          <a:extLst>
            <a:ext uri="{FF2B5EF4-FFF2-40B4-BE49-F238E27FC236}">
              <a16:creationId xmlns:a16="http://schemas.microsoft.com/office/drawing/2014/main" id="{4918FEEB-5144-450E-8E3D-25444E84D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6378" name="Picture 2" descr="Chart_465">
          <a:extLst>
            <a:ext uri="{FF2B5EF4-FFF2-40B4-BE49-F238E27FC236}">
              <a16:creationId xmlns:a16="http://schemas.microsoft.com/office/drawing/2014/main" id="{A9B4131F-68A8-4204-AC1B-4539FB4A3A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6379" name="Picture 3" descr="Chart_514">
          <a:extLst>
            <a:ext uri="{FF2B5EF4-FFF2-40B4-BE49-F238E27FC236}">
              <a16:creationId xmlns:a16="http://schemas.microsoft.com/office/drawing/2014/main" id="{A46C4031-47A6-4873-B504-03AA4B3723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7401" name="Picture 1" descr="Chart_127">
          <a:extLst>
            <a:ext uri="{FF2B5EF4-FFF2-40B4-BE49-F238E27FC236}">
              <a16:creationId xmlns:a16="http://schemas.microsoft.com/office/drawing/2014/main" id="{D0585E74-0C60-495B-9D97-6762C0B35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7402" name="Picture 2" descr="Chart_465">
          <a:extLst>
            <a:ext uri="{FF2B5EF4-FFF2-40B4-BE49-F238E27FC236}">
              <a16:creationId xmlns:a16="http://schemas.microsoft.com/office/drawing/2014/main" id="{EFEDBCC5-2F2F-4F5F-9A01-CEAB8C7052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7403" name="Picture 3" descr="Chart_514">
          <a:extLst>
            <a:ext uri="{FF2B5EF4-FFF2-40B4-BE49-F238E27FC236}">
              <a16:creationId xmlns:a16="http://schemas.microsoft.com/office/drawing/2014/main" id="{82873F84-031F-4FE4-AF14-ECEA6557E6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8425" name="Picture 1" descr="Chart_127">
          <a:extLst>
            <a:ext uri="{FF2B5EF4-FFF2-40B4-BE49-F238E27FC236}">
              <a16:creationId xmlns:a16="http://schemas.microsoft.com/office/drawing/2014/main" id="{8C1231AC-3D55-443A-B4E8-280E6D54E5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8426" name="Picture 2" descr="Chart_465">
          <a:extLst>
            <a:ext uri="{FF2B5EF4-FFF2-40B4-BE49-F238E27FC236}">
              <a16:creationId xmlns:a16="http://schemas.microsoft.com/office/drawing/2014/main" id="{CB1FD87B-4139-4AAB-A6D2-1A474F34B1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8427" name="Picture 3" descr="Chart_514">
          <a:extLst>
            <a:ext uri="{FF2B5EF4-FFF2-40B4-BE49-F238E27FC236}">
              <a16:creationId xmlns:a16="http://schemas.microsoft.com/office/drawing/2014/main" id="{8FB658C3-9287-430E-B677-7CA0F7F05F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9449" name="Picture 1" descr="Chart_127">
          <a:extLst>
            <a:ext uri="{FF2B5EF4-FFF2-40B4-BE49-F238E27FC236}">
              <a16:creationId xmlns:a16="http://schemas.microsoft.com/office/drawing/2014/main" id="{C4BFD4A2-05EA-4F56-A41E-29FC45019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9450" name="Picture 2" descr="Chart_465">
          <a:extLst>
            <a:ext uri="{FF2B5EF4-FFF2-40B4-BE49-F238E27FC236}">
              <a16:creationId xmlns:a16="http://schemas.microsoft.com/office/drawing/2014/main" id="{355F1142-5BF8-42C0-9EBD-958E50D0FA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9451" name="Picture 3" descr="Chart_514">
          <a:extLst>
            <a:ext uri="{FF2B5EF4-FFF2-40B4-BE49-F238E27FC236}">
              <a16:creationId xmlns:a16="http://schemas.microsoft.com/office/drawing/2014/main" id="{1B645EDE-A9CB-4AC8-BF15-67B5936F93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0473" name="Picture 1" descr="Chart_127">
          <a:extLst>
            <a:ext uri="{FF2B5EF4-FFF2-40B4-BE49-F238E27FC236}">
              <a16:creationId xmlns:a16="http://schemas.microsoft.com/office/drawing/2014/main" id="{0BA87E5F-3F73-4F38-B7A6-A357904D9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0474" name="Picture 2" descr="Chart_465">
          <a:extLst>
            <a:ext uri="{FF2B5EF4-FFF2-40B4-BE49-F238E27FC236}">
              <a16:creationId xmlns:a16="http://schemas.microsoft.com/office/drawing/2014/main" id="{6D3441DE-F954-45F3-B56B-20DFCA4E4A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0475" name="Picture 3" descr="Chart_514">
          <a:extLst>
            <a:ext uri="{FF2B5EF4-FFF2-40B4-BE49-F238E27FC236}">
              <a16:creationId xmlns:a16="http://schemas.microsoft.com/office/drawing/2014/main" id="{D7B20878-524C-46A8-B94A-AFFB801713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1497" name="Picture 1" descr="Chart_127">
          <a:extLst>
            <a:ext uri="{FF2B5EF4-FFF2-40B4-BE49-F238E27FC236}">
              <a16:creationId xmlns:a16="http://schemas.microsoft.com/office/drawing/2014/main" id="{5F3B11A3-4F35-4268-9FA8-40FD157505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1498" name="Picture 2" descr="Chart_465">
          <a:extLst>
            <a:ext uri="{FF2B5EF4-FFF2-40B4-BE49-F238E27FC236}">
              <a16:creationId xmlns:a16="http://schemas.microsoft.com/office/drawing/2014/main" id="{E0327482-D926-49AB-A110-099B6AE37E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1499" name="Picture 3" descr="Chart_514">
          <a:extLst>
            <a:ext uri="{FF2B5EF4-FFF2-40B4-BE49-F238E27FC236}">
              <a16:creationId xmlns:a16="http://schemas.microsoft.com/office/drawing/2014/main" id="{4DC1FED8-B3CC-4023-8135-E2541A2DA5D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2521" name="Picture 1" descr="Chart_127">
          <a:extLst>
            <a:ext uri="{FF2B5EF4-FFF2-40B4-BE49-F238E27FC236}">
              <a16:creationId xmlns:a16="http://schemas.microsoft.com/office/drawing/2014/main" id="{7326E8ED-3608-4B7A-8B09-45DBCE59D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2522" name="Picture 2" descr="Chart_465">
          <a:extLst>
            <a:ext uri="{FF2B5EF4-FFF2-40B4-BE49-F238E27FC236}">
              <a16:creationId xmlns:a16="http://schemas.microsoft.com/office/drawing/2014/main" id="{001DB16B-EFC5-4ECE-A674-4DD29D908E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2523" name="Picture 3" descr="Chart_514">
          <a:extLst>
            <a:ext uri="{FF2B5EF4-FFF2-40B4-BE49-F238E27FC236}">
              <a16:creationId xmlns:a16="http://schemas.microsoft.com/office/drawing/2014/main" id="{817B53BD-95B9-4EFC-ADEA-80CF66CE34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3545" name="Picture 1" descr="Chart_127">
          <a:extLst>
            <a:ext uri="{FF2B5EF4-FFF2-40B4-BE49-F238E27FC236}">
              <a16:creationId xmlns:a16="http://schemas.microsoft.com/office/drawing/2014/main" id="{BA6241EF-644B-4DCC-BA1D-EA9386A4D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3546" name="Picture 2" descr="Chart_465">
          <a:extLst>
            <a:ext uri="{FF2B5EF4-FFF2-40B4-BE49-F238E27FC236}">
              <a16:creationId xmlns:a16="http://schemas.microsoft.com/office/drawing/2014/main" id="{D5DFFCDA-24C7-483F-92C2-7A7E5D5407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3547" name="Picture 3" descr="Chart_514">
          <a:extLst>
            <a:ext uri="{FF2B5EF4-FFF2-40B4-BE49-F238E27FC236}">
              <a16:creationId xmlns:a16="http://schemas.microsoft.com/office/drawing/2014/main" id="{96852927-D7E4-4210-ABA7-BFC4105912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4569" name="Picture 1" descr="Chart_127">
          <a:extLst>
            <a:ext uri="{FF2B5EF4-FFF2-40B4-BE49-F238E27FC236}">
              <a16:creationId xmlns:a16="http://schemas.microsoft.com/office/drawing/2014/main" id="{31922EF3-1583-41AD-9BE3-C8EDD8C2F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4570" name="Picture 2" descr="Chart_465">
          <a:extLst>
            <a:ext uri="{FF2B5EF4-FFF2-40B4-BE49-F238E27FC236}">
              <a16:creationId xmlns:a16="http://schemas.microsoft.com/office/drawing/2014/main" id="{D17DA362-C476-40BD-916D-5FE9B3B03C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4571" name="Picture 3" descr="Chart_514">
          <a:extLst>
            <a:ext uri="{FF2B5EF4-FFF2-40B4-BE49-F238E27FC236}">
              <a16:creationId xmlns:a16="http://schemas.microsoft.com/office/drawing/2014/main" id="{8CB48855-CDCC-42D2-877F-AB68AF18DDE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5593" name="Picture 1" descr="Chart_127">
          <a:extLst>
            <a:ext uri="{FF2B5EF4-FFF2-40B4-BE49-F238E27FC236}">
              <a16:creationId xmlns:a16="http://schemas.microsoft.com/office/drawing/2014/main" id="{819C27E4-5C44-4C2C-9D3B-CC4FB70930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5594" name="Picture 2" descr="Chart_465">
          <a:extLst>
            <a:ext uri="{FF2B5EF4-FFF2-40B4-BE49-F238E27FC236}">
              <a16:creationId xmlns:a16="http://schemas.microsoft.com/office/drawing/2014/main" id="{1FA0E53F-D92D-4D50-990A-65CB73D451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5595" name="Picture 3" descr="Chart_514">
          <a:extLst>
            <a:ext uri="{FF2B5EF4-FFF2-40B4-BE49-F238E27FC236}">
              <a16:creationId xmlns:a16="http://schemas.microsoft.com/office/drawing/2014/main" id="{9083DA72-7D6D-4309-88A7-000B22633A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6617" name="Picture 1" descr="Chart_127">
          <a:extLst>
            <a:ext uri="{FF2B5EF4-FFF2-40B4-BE49-F238E27FC236}">
              <a16:creationId xmlns:a16="http://schemas.microsoft.com/office/drawing/2014/main" id="{DC5DD2FD-7C52-4FFC-8961-674B462AB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6618" name="Picture 2" descr="Chart_465">
          <a:extLst>
            <a:ext uri="{FF2B5EF4-FFF2-40B4-BE49-F238E27FC236}">
              <a16:creationId xmlns:a16="http://schemas.microsoft.com/office/drawing/2014/main" id="{AA11F2CE-8508-4114-812D-80C090BA29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6619" name="Picture 3" descr="Chart_514">
          <a:extLst>
            <a:ext uri="{FF2B5EF4-FFF2-40B4-BE49-F238E27FC236}">
              <a16:creationId xmlns:a16="http://schemas.microsoft.com/office/drawing/2014/main" id="{DE7F5B66-9328-436F-A7E4-C7E5143DFD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7641" name="Picture 1" descr="Chart_127">
          <a:extLst>
            <a:ext uri="{FF2B5EF4-FFF2-40B4-BE49-F238E27FC236}">
              <a16:creationId xmlns:a16="http://schemas.microsoft.com/office/drawing/2014/main" id="{B1F45426-786C-4BCE-86C6-33AC923BF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7642" name="Picture 2" descr="Chart_465">
          <a:extLst>
            <a:ext uri="{FF2B5EF4-FFF2-40B4-BE49-F238E27FC236}">
              <a16:creationId xmlns:a16="http://schemas.microsoft.com/office/drawing/2014/main" id="{199F9682-B6D2-4C4E-93CE-3D2C6411167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7643" name="Picture 3" descr="Chart_514">
          <a:extLst>
            <a:ext uri="{FF2B5EF4-FFF2-40B4-BE49-F238E27FC236}">
              <a16:creationId xmlns:a16="http://schemas.microsoft.com/office/drawing/2014/main" id="{A835B46C-ED3C-453A-BF83-17D5F3C4E59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8665" name="Picture 1" descr="Chart_127">
          <a:extLst>
            <a:ext uri="{FF2B5EF4-FFF2-40B4-BE49-F238E27FC236}">
              <a16:creationId xmlns:a16="http://schemas.microsoft.com/office/drawing/2014/main" id="{716063CA-55B3-4394-B956-389BA6B76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8666" name="Picture 2" descr="Chart_465">
          <a:extLst>
            <a:ext uri="{FF2B5EF4-FFF2-40B4-BE49-F238E27FC236}">
              <a16:creationId xmlns:a16="http://schemas.microsoft.com/office/drawing/2014/main" id="{A3891D84-10C3-4AEF-BF2F-B1C72E72D5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8667" name="Picture 3" descr="Chart_514">
          <a:extLst>
            <a:ext uri="{FF2B5EF4-FFF2-40B4-BE49-F238E27FC236}">
              <a16:creationId xmlns:a16="http://schemas.microsoft.com/office/drawing/2014/main" id="{18F5F597-9140-49AB-A08A-20475BD847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9689" name="Picture 1" descr="Chart_127">
          <a:extLst>
            <a:ext uri="{FF2B5EF4-FFF2-40B4-BE49-F238E27FC236}">
              <a16:creationId xmlns:a16="http://schemas.microsoft.com/office/drawing/2014/main" id="{3970D669-069F-498D-B01C-E6074C41E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9690" name="Picture 2" descr="Chart_465">
          <a:extLst>
            <a:ext uri="{FF2B5EF4-FFF2-40B4-BE49-F238E27FC236}">
              <a16:creationId xmlns:a16="http://schemas.microsoft.com/office/drawing/2014/main" id="{2BE39D3E-2D70-48A3-8D01-5DF1CE825B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9691" name="Picture 3" descr="Chart_514">
          <a:extLst>
            <a:ext uri="{FF2B5EF4-FFF2-40B4-BE49-F238E27FC236}">
              <a16:creationId xmlns:a16="http://schemas.microsoft.com/office/drawing/2014/main" id="{543C1858-5C29-4F02-B2DE-5F32E972F5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EDA/VEDA_Models/JRC-EU-TIMES_20140131ETL/SubRES_Tmpl/SubRES_Nuc-EU_JohanS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Assumptions"/>
      <sheetName val="Total"/>
      <sheetName val="Sheet1"/>
      <sheetName val="ELC_BG"/>
      <sheetName val="ELC_CZ"/>
      <sheetName val="ELC_HU"/>
      <sheetName val="ELC_RO"/>
      <sheetName val="ELC_SK"/>
      <sheetName val="ELC_SI"/>
      <sheetName val="ELC_BE"/>
      <sheetName val="ELC_FI"/>
      <sheetName val="ELC_FR"/>
      <sheetName val="ELC_DE"/>
      <sheetName val="ELC_NL"/>
      <sheetName val="ELC_ES"/>
      <sheetName val="ELC_SE"/>
      <sheetName val="ELC_CH"/>
      <sheetName val="ELC_UK"/>
      <sheetName val="ELC_IT"/>
      <sheetName val="ELC_LT"/>
      <sheetName val="ELC_PL"/>
      <sheetName val="BG-5"/>
      <sheetName val="BG-6"/>
      <sheetName val="CZ-4"/>
      <sheetName val="CZ-5"/>
      <sheetName val="CZ-8"/>
      <sheetName val="CZ-9"/>
      <sheetName val="CZ-23"/>
      <sheetName val="CZ-24"/>
      <sheetName val="HU-1"/>
      <sheetName val="HU-2"/>
      <sheetName val="HU-3"/>
      <sheetName val="HU-4"/>
      <sheetName val="RO-1"/>
      <sheetName val="RO-2"/>
      <sheetName val="SK-13"/>
      <sheetName val="SK-14"/>
      <sheetName val="SK-6"/>
      <sheetName val="SK-7"/>
      <sheetName val="SI-1"/>
      <sheetName val="BE-2"/>
      <sheetName val="BE-4"/>
      <sheetName val="BE-5"/>
      <sheetName val="BE-7"/>
      <sheetName val="BE-3"/>
      <sheetName val="BE-6"/>
      <sheetName val="BE-8"/>
      <sheetName val="FI-1"/>
      <sheetName val="FI-2"/>
      <sheetName val="FI-3"/>
      <sheetName val="FI-4"/>
      <sheetName val="FR-54"/>
      <sheetName val="FR-55"/>
      <sheetName val="FR-32"/>
      <sheetName val="FR-33"/>
      <sheetName val="FR-34"/>
      <sheetName val="FR-35"/>
      <sheetName val="FR-13"/>
      <sheetName val="FR-14"/>
      <sheetName val="FR-15"/>
      <sheetName val="FR-16"/>
      <sheetName val="FR-50"/>
      <sheetName val="FR-53"/>
      <sheetName val="FR-60"/>
      <sheetName val="FR-65"/>
      <sheetName val="FR-40"/>
      <sheetName val="FR-41"/>
      <sheetName val="FR-56"/>
      <sheetName val="FR-57"/>
      <sheetName val="FR-62"/>
      <sheetName val="FR-70"/>
      <sheetName val="FR-72"/>
      <sheetName val="FR-73"/>
      <sheetName val="FR-42"/>
      <sheetName val="FR-43"/>
      <sheetName val="FR-44"/>
      <sheetName val="FR-45"/>
      <sheetName val="FR-22"/>
      <sheetName val="FR-29"/>
      <sheetName val="FR-30"/>
      <sheetName val="FR-31"/>
      <sheetName val="FR-11"/>
      <sheetName val="FR-12"/>
      <sheetName val="FR-46"/>
      <sheetName val="FR-47"/>
      <sheetName val="FR-61"/>
      <sheetName val="FR-68"/>
      <sheetName val="FR-20"/>
      <sheetName val="FR-21"/>
      <sheetName val="FR-27"/>
      <sheetName val="FR-28"/>
      <sheetName val="FR-51"/>
      <sheetName val="FR-52"/>
      <sheetName val="FR-58"/>
      <sheetName val="FR-59"/>
      <sheetName val="FR-36"/>
      <sheetName val="FR-37"/>
      <sheetName val="FR-38"/>
      <sheetName val="FR-39"/>
      <sheetName val="FR-63"/>
      <sheetName val="FR-64"/>
      <sheetName val="FR-48"/>
      <sheetName val="FR-49"/>
      <sheetName val="FR-17"/>
      <sheetName val="FR-23"/>
      <sheetName val="FR-18"/>
      <sheetName val="FR-19"/>
      <sheetName val="FR-25"/>
      <sheetName val="FR-26"/>
      <sheetName val="DE-32"/>
      <sheetName val="DE-33"/>
      <sheetName val="DE-23"/>
      <sheetName val="DE-27"/>
      <sheetName val="DE-26"/>
      <sheetName val="DE-28"/>
      <sheetName val="DE-31"/>
      <sheetName val="DE-44"/>
      <sheetName val="DE-24"/>
      <sheetName val="NL-2"/>
      <sheetName val="ES-6"/>
      <sheetName val="ES-7"/>
      <sheetName val="ES-8"/>
      <sheetName val="ES-9"/>
      <sheetName val="ES-10"/>
      <sheetName val="ES-2"/>
      <sheetName val="ES-11"/>
      <sheetName val="ES-16"/>
      <sheetName val="SE-9"/>
      <sheetName val="SE-11"/>
      <sheetName val="SE-14"/>
      <sheetName val="SE-2"/>
      <sheetName val="SE-3"/>
      <sheetName val="SE-12"/>
      <sheetName val="SE-4"/>
      <sheetName val="SE-5"/>
      <sheetName val="SE-7"/>
      <sheetName val="SE-10"/>
      <sheetName val="CH-1"/>
      <sheetName val="CH-3"/>
      <sheetName val="CH-4"/>
      <sheetName val="CH-5"/>
      <sheetName val="CH-2"/>
      <sheetName val="GB-18A"/>
      <sheetName val="GB-18B"/>
      <sheetName val="GB-19A"/>
      <sheetName val="GB-19B"/>
      <sheetName val="GB-20A"/>
      <sheetName val="GB-20B"/>
      <sheetName val="GB-22A"/>
      <sheetName val="GB-22B"/>
      <sheetName val="GB-16A"/>
      <sheetName val="GB-16B"/>
      <sheetName val="GB-17A"/>
      <sheetName val="GB-17B"/>
      <sheetName val="GB-11A"/>
      <sheetName val="GB-24"/>
      <sheetName val="GB-23A"/>
      <sheetName val="GB-23B"/>
      <sheetName val="GB-13A"/>
      <sheetName val="GB-13B"/>
    </sheetNames>
    <sheetDataSet>
      <sheetData sheetId="0"/>
      <sheetData sheetId="1">
        <row r="8">
          <cell r="H8">
            <v>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ow r="16">
          <cell r="AU16">
            <v>1022</v>
          </cell>
        </row>
      </sheetData>
      <sheetData sheetId="129"/>
      <sheetData sheetId="130">
        <row r="16">
          <cell r="AU16">
            <v>1212</v>
          </cell>
        </row>
        <row r="17">
          <cell r="AU17">
            <v>1170</v>
          </cell>
        </row>
      </sheetData>
      <sheetData sheetId="131">
        <row r="16">
          <cell r="AU16">
            <v>492</v>
          </cell>
        </row>
        <row r="17">
          <cell r="AU17">
            <v>473</v>
          </cell>
        </row>
      </sheetData>
      <sheetData sheetId="132">
        <row r="16">
          <cell r="AU16">
            <v>661</v>
          </cell>
        </row>
        <row r="17">
          <cell r="AU17">
            <v>638</v>
          </cell>
        </row>
      </sheetData>
      <sheetData sheetId="133">
        <row r="16">
          <cell r="AU16">
            <v>1450</v>
          </cell>
        </row>
        <row r="17">
          <cell r="AU17">
            <v>1400</v>
          </cell>
        </row>
      </sheetData>
      <sheetData sheetId="134"/>
      <sheetData sheetId="135">
        <row r="16">
          <cell r="AU16">
            <v>917</v>
          </cell>
        </row>
      </sheetData>
      <sheetData sheetId="136"/>
      <sheetData sheetId="137"/>
      <sheetData sheetId="138"/>
      <sheetData sheetId="139"/>
      <sheetData sheetId="140"/>
      <sheetData sheetId="141"/>
      <sheetData sheetId="142"/>
      <sheetData sheetId="143">
        <row r="16">
          <cell r="AU16">
            <v>615</v>
          </cell>
        </row>
        <row r="17">
          <cell r="AU17">
            <v>520</v>
          </cell>
        </row>
        <row r="20">
          <cell r="AU20" t="str">
            <v>60.78</v>
          </cell>
        </row>
        <row r="21">
          <cell r="AU21" t="str">
            <v>20.83</v>
          </cell>
        </row>
      </sheetData>
      <sheetData sheetId="144">
        <row r="16">
          <cell r="AU16">
            <v>615</v>
          </cell>
        </row>
        <row r="17">
          <cell r="AU17">
            <v>520</v>
          </cell>
        </row>
        <row r="20">
          <cell r="AU20" t="str">
            <v>56.35</v>
          </cell>
        </row>
        <row r="21">
          <cell r="AU21" t="str">
            <v>60.72</v>
          </cell>
        </row>
      </sheetData>
      <sheetData sheetId="145">
        <row r="16">
          <cell r="AU16">
            <v>655</v>
          </cell>
        </row>
        <row r="17">
          <cell r="AU17">
            <v>595</v>
          </cell>
        </row>
        <row r="20">
          <cell r="AU20" t="str">
            <v>43.83</v>
          </cell>
        </row>
        <row r="21">
          <cell r="AU21" t="str">
            <v>84.56</v>
          </cell>
        </row>
      </sheetData>
      <sheetData sheetId="146">
        <row r="16">
          <cell r="AU16">
            <v>655</v>
          </cell>
        </row>
        <row r="20">
          <cell r="AU20" t="str">
            <v>68.90</v>
          </cell>
        </row>
        <row r="21">
          <cell r="AU21" t="str">
            <v>71.72</v>
          </cell>
        </row>
      </sheetData>
      <sheetData sheetId="147">
        <row r="16">
          <cell r="AU16">
            <v>625</v>
          </cell>
        </row>
        <row r="17">
          <cell r="AU17">
            <v>585</v>
          </cell>
        </row>
        <row r="20">
          <cell r="AU20" t="str">
            <v>80.07</v>
          </cell>
        </row>
        <row r="21">
          <cell r="AU21" t="str">
            <v>55.16</v>
          </cell>
        </row>
      </sheetData>
      <sheetData sheetId="148">
        <row r="16">
          <cell r="AU16">
            <v>625</v>
          </cell>
        </row>
        <row r="17">
          <cell r="AU17">
            <v>575</v>
          </cell>
        </row>
        <row r="20">
          <cell r="AU20" t="str">
            <v>41.94</v>
          </cell>
        </row>
        <row r="21">
          <cell r="AU21" t="str">
            <v>48.08</v>
          </cell>
        </row>
      </sheetData>
      <sheetData sheetId="149">
        <row r="16">
          <cell r="AU16">
            <v>680</v>
          </cell>
        </row>
        <row r="20">
          <cell r="AU20" t="str">
            <v>77.85</v>
          </cell>
        </row>
        <row r="21">
          <cell r="AU21" t="str">
            <v>92.06</v>
          </cell>
        </row>
      </sheetData>
      <sheetData sheetId="150">
        <row r="16">
          <cell r="AU16">
            <v>680</v>
          </cell>
        </row>
        <row r="20">
          <cell r="AU20" t="str">
            <v>92.36</v>
          </cell>
        </row>
        <row r="21">
          <cell r="AU21" t="str">
            <v>26.47</v>
          </cell>
        </row>
      </sheetData>
      <sheetData sheetId="151">
        <row r="16">
          <cell r="AU16">
            <v>655</v>
          </cell>
        </row>
        <row r="17">
          <cell r="AU17">
            <v>435</v>
          </cell>
        </row>
        <row r="20">
          <cell r="AU20" t="str">
            <v>85.72</v>
          </cell>
        </row>
        <row r="21">
          <cell r="AU21" t="str">
            <v>87.77</v>
          </cell>
        </row>
      </sheetData>
      <sheetData sheetId="152">
        <row r="16">
          <cell r="AU16">
            <v>655</v>
          </cell>
        </row>
        <row r="17">
          <cell r="AU17">
            <v>435</v>
          </cell>
        </row>
        <row r="20">
          <cell r="AU20" t="str">
            <v>62.83</v>
          </cell>
        </row>
        <row r="21">
          <cell r="AU21" t="str">
            <v>86.63</v>
          </cell>
        </row>
      </sheetData>
      <sheetData sheetId="153">
        <row r="16">
          <cell r="AU16">
            <v>644</v>
          </cell>
        </row>
        <row r="17">
          <cell r="AU17">
            <v>460</v>
          </cell>
        </row>
        <row r="20">
          <cell r="AU20" t="str">
            <v>78.59</v>
          </cell>
        </row>
        <row r="21">
          <cell r="AU21" t="str">
            <v>96.51</v>
          </cell>
        </row>
      </sheetData>
      <sheetData sheetId="154">
        <row r="16">
          <cell r="AU16">
            <v>644</v>
          </cell>
        </row>
        <row r="17">
          <cell r="AU17">
            <v>430</v>
          </cell>
        </row>
        <row r="20">
          <cell r="AU20" t="str">
            <v>69.71</v>
          </cell>
        </row>
        <row r="21">
          <cell r="AU21" t="str">
            <v>85.45</v>
          </cell>
        </row>
      </sheetData>
      <sheetData sheetId="155">
        <row r="7">
          <cell r="AU7" t="str">
            <v>OLDBURY-A1</v>
          </cell>
        </row>
        <row r="11">
          <cell r="AU11" t="str">
            <v xml:space="preserve">GCR  </v>
          </cell>
        </row>
        <row r="12">
          <cell r="AU12" t="str">
            <v>MAGNOX</v>
          </cell>
        </row>
        <row r="13">
          <cell r="AU13">
            <v>730</v>
          </cell>
        </row>
        <row r="16">
          <cell r="AU16">
            <v>230</v>
          </cell>
        </row>
        <row r="17">
          <cell r="AU17">
            <v>217</v>
          </cell>
        </row>
        <row r="18">
          <cell r="AU18">
            <v>24783</v>
          </cell>
        </row>
        <row r="19">
          <cell r="AU19" t="str">
            <v>5430</v>
          </cell>
        </row>
        <row r="20">
          <cell r="AU20" t="str">
            <v>39.17</v>
          </cell>
        </row>
        <row r="21">
          <cell r="AU21" t="str">
            <v>90.92</v>
          </cell>
        </row>
      </sheetData>
      <sheetData sheetId="156">
        <row r="16">
          <cell r="AU16">
            <v>1250</v>
          </cell>
        </row>
        <row r="17">
          <cell r="AU17">
            <v>1191</v>
          </cell>
        </row>
        <row r="20">
          <cell r="AU20" t="str">
            <v>83.56</v>
          </cell>
        </row>
        <row r="21">
          <cell r="AU21" t="str">
            <v>45.88</v>
          </cell>
        </row>
      </sheetData>
      <sheetData sheetId="157">
        <row r="16">
          <cell r="AU16">
            <v>682</v>
          </cell>
        </row>
        <row r="20">
          <cell r="AU20" t="str">
            <v>85.26</v>
          </cell>
        </row>
        <row r="21">
          <cell r="AU21" t="str">
            <v>48.81</v>
          </cell>
        </row>
      </sheetData>
      <sheetData sheetId="158">
        <row r="16">
          <cell r="AU16">
            <v>682</v>
          </cell>
        </row>
        <row r="20">
          <cell r="AU20" t="str">
            <v>88.07</v>
          </cell>
        </row>
        <row r="21">
          <cell r="AU21" t="str">
            <v>85.50</v>
          </cell>
        </row>
      </sheetData>
      <sheetData sheetId="159">
        <row r="16">
          <cell r="AU16">
            <v>540</v>
          </cell>
        </row>
        <row r="17">
          <cell r="AU17">
            <v>490</v>
          </cell>
        </row>
        <row r="20">
          <cell r="AU20" t="str">
            <v>69.14</v>
          </cell>
        </row>
        <row r="21">
          <cell r="AU21" t="str">
            <v>81.09</v>
          </cell>
        </row>
      </sheetData>
      <sheetData sheetId="160">
        <row r="7">
          <cell r="AU7" t="str">
            <v>WYLFA 2</v>
          </cell>
        </row>
        <row r="11">
          <cell r="AU11" t="str">
            <v xml:space="preserve">GCR  </v>
          </cell>
        </row>
        <row r="12">
          <cell r="AU12" t="str">
            <v>MAGNOX</v>
          </cell>
        </row>
        <row r="13">
          <cell r="AU13">
            <v>1920</v>
          </cell>
        </row>
        <row r="16">
          <cell r="AU16">
            <v>540</v>
          </cell>
        </row>
        <row r="17">
          <cell r="AU17">
            <v>490</v>
          </cell>
        </row>
        <row r="18">
          <cell r="AU18">
            <v>26135</v>
          </cell>
        </row>
        <row r="19">
          <cell r="AU19" t="str">
            <v>54000</v>
          </cell>
        </row>
        <row r="20">
          <cell r="AU20" t="str">
            <v>88.11</v>
          </cell>
        </row>
        <row r="21">
          <cell r="AU21" t="str">
            <v>36.92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world-nuclear.org/WorkArea/linkit.aspx?LinkIdentifier=id&amp;ItemID=322" TargetMode="External"/><Relationship Id="rId18" Type="http://schemas.openxmlformats.org/officeDocument/2006/relationships/hyperlink" Target="http://www.world-nuclear.org/WorkArea/linkit.aspx?LinkIdentifier=id&amp;ItemID=334" TargetMode="External"/><Relationship Id="rId26" Type="http://schemas.openxmlformats.org/officeDocument/2006/relationships/hyperlink" Target="http://www.world-nuclear.org/WorkArea/linkit.aspx?LinkIdentifier=id&amp;ItemID=346" TargetMode="External"/><Relationship Id="rId39" Type="http://schemas.openxmlformats.org/officeDocument/2006/relationships/hyperlink" Target="http://www.world-nuclear.org/WorkArea/linkit.aspx?LinkIdentifier=id&amp;ItemID=370" TargetMode="External"/><Relationship Id="rId3" Type="http://schemas.openxmlformats.org/officeDocument/2006/relationships/hyperlink" Target="http://www.world-nuclear.org/WorkArea/linkit.aspx?LinkIdentifier=id&amp;ItemID=306" TargetMode="External"/><Relationship Id="rId21" Type="http://schemas.openxmlformats.org/officeDocument/2006/relationships/hyperlink" Target="http://http/www.world-nuclear.org/info/inf119_nucleariran.html" TargetMode="External"/><Relationship Id="rId34" Type="http://schemas.openxmlformats.org/officeDocument/2006/relationships/hyperlink" Target="http://http/www.world-nuclear.org/info/inf132_poland.html" TargetMode="External"/><Relationship Id="rId42" Type="http://schemas.openxmlformats.org/officeDocument/2006/relationships/hyperlink" Target="http://www.world-nuclear.org/WorkArea/linkit.aspx?LinkIdentifier=id&amp;ItemID=376" TargetMode="External"/><Relationship Id="rId47" Type="http://schemas.openxmlformats.org/officeDocument/2006/relationships/hyperlink" Target="http://http/www.world-nuclear.org/info/UAE_nuclear_power_inf123.html" TargetMode="External"/><Relationship Id="rId50" Type="http://schemas.openxmlformats.org/officeDocument/2006/relationships/hyperlink" Target="http://www.world-nuclear.org/info/vietnam_inf131.html" TargetMode="External"/><Relationship Id="rId7" Type="http://schemas.openxmlformats.org/officeDocument/2006/relationships/hyperlink" Target="http://www.world-nuclear.org/WorkArea/linkit.aspx?LinkIdentifier=id&amp;ItemID=312" TargetMode="External"/><Relationship Id="rId12" Type="http://schemas.openxmlformats.org/officeDocument/2006/relationships/hyperlink" Target="http://www.world-nuclear.org/WorkArea/linkit.aspx?LinkIdentifier=id&amp;ItemID=320" TargetMode="External"/><Relationship Id="rId17" Type="http://schemas.openxmlformats.org/officeDocument/2006/relationships/hyperlink" Target="http://www.world-nuclear.org/WorkArea/linkit.aspx?LinkIdentifier=id&amp;ItemID=332" TargetMode="External"/><Relationship Id="rId25" Type="http://schemas.openxmlformats.org/officeDocument/2006/relationships/hyperlink" Target="http://www.world-nuclear.org/info/inf102.html" TargetMode="External"/><Relationship Id="rId33" Type="http://schemas.openxmlformats.org/officeDocument/2006/relationships/hyperlink" Target="http://www.world-nuclear.org/WorkArea/linkit.aspx?LinkIdentifier=id&amp;ItemID=362" TargetMode="External"/><Relationship Id="rId38" Type="http://schemas.openxmlformats.org/officeDocument/2006/relationships/hyperlink" Target="http://www.world-nuclear.org/WorkArea/linkit.aspx?LinkIdentifier=id&amp;ItemID=368" TargetMode="External"/><Relationship Id="rId46" Type="http://schemas.openxmlformats.org/officeDocument/2006/relationships/hyperlink" Target="http://www.world-nuclear.org/WorkArea/linkit.aspx?LinkIdentifier=id&amp;ItemID=380" TargetMode="External"/><Relationship Id="rId2" Type="http://schemas.openxmlformats.org/officeDocument/2006/relationships/hyperlink" Target="http://prisweb.iaea.org/Wedas/WEDAS.asp" TargetMode="External"/><Relationship Id="rId16" Type="http://schemas.openxmlformats.org/officeDocument/2006/relationships/hyperlink" Target="http://www.world-nuclear.org/WorkArea/linkit.aspx?LinkIdentifier=id&amp;ItemID=330" TargetMode="External"/><Relationship Id="rId20" Type="http://schemas.openxmlformats.org/officeDocument/2006/relationships/hyperlink" Target="http://www.world-nuclear.org/WorkArea/linkit.aspx?LinkIdentifier=id&amp;ItemID=326" TargetMode="External"/><Relationship Id="rId29" Type="http://schemas.openxmlformats.org/officeDocument/2006/relationships/hyperlink" Target="http://www.world-nuclear.org/WorkArea/linkit.aspx?LinkIdentifier=id&amp;ItemID=350" TargetMode="External"/><Relationship Id="rId41" Type="http://schemas.openxmlformats.org/officeDocument/2006/relationships/hyperlink" Target="http://www.world-nuclear.org/WorkArea/linkit.aspx?LinkIdentifier=id&amp;ItemID=374" TargetMode="External"/><Relationship Id="rId1" Type="http://schemas.openxmlformats.org/officeDocument/2006/relationships/hyperlink" Target="http://www.world-nuclear.org/info/reactors.html" TargetMode="External"/><Relationship Id="rId6" Type="http://schemas.openxmlformats.org/officeDocument/2006/relationships/hyperlink" Target="http://www.world-nuclear.org/info/inf133_belarus.html" TargetMode="External"/><Relationship Id="rId11" Type="http://schemas.openxmlformats.org/officeDocument/2006/relationships/hyperlink" Target="http://www.world-nuclear.org/WorkArea/linkit.aspx?LinkIdentifier=id&amp;ItemID=326" TargetMode="External"/><Relationship Id="rId24" Type="http://schemas.openxmlformats.org/officeDocument/2006/relationships/hyperlink" Target="http://www.world-nuclear.org/WorkArea/linkit.aspx?LinkIdentifier=id&amp;ItemID=344" TargetMode="External"/><Relationship Id="rId32" Type="http://schemas.openxmlformats.org/officeDocument/2006/relationships/hyperlink" Target="http://www.world-nuclear.org/WorkArea/linkit.aspx?LinkIdentifier=id&amp;ItemID=356" TargetMode="External"/><Relationship Id="rId37" Type="http://schemas.openxmlformats.org/officeDocument/2006/relationships/hyperlink" Target="http://www.world-nuclear.org/info/inf102.html" TargetMode="External"/><Relationship Id="rId40" Type="http://schemas.openxmlformats.org/officeDocument/2006/relationships/hyperlink" Target="http://www.world-nuclear.org/WorkArea/linkit.aspx?LinkIdentifier=id&amp;ItemID=372" TargetMode="External"/><Relationship Id="rId45" Type="http://schemas.openxmlformats.org/officeDocument/2006/relationships/hyperlink" Target="http://http/www.world-nuclear.org/info/inf128-nuclear_power_in_turkey.html" TargetMode="External"/><Relationship Id="rId5" Type="http://schemas.openxmlformats.org/officeDocument/2006/relationships/hyperlink" Target="http://www.world-nuclear.org/WorkArea/linkit.aspx?LinkIdentifier=id&amp;ItemID=326" TargetMode="External"/><Relationship Id="rId15" Type="http://schemas.openxmlformats.org/officeDocument/2006/relationships/hyperlink" Target="http://www.world-nuclear.org/WorkArea/linkit.aspx?LinkIdentifier=id&amp;ItemID=328" TargetMode="External"/><Relationship Id="rId23" Type="http://schemas.openxmlformats.org/officeDocument/2006/relationships/hyperlink" Target="http://www.world-nuclear.org/info/inf101.html" TargetMode="External"/><Relationship Id="rId28" Type="http://schemas.openxmlformats.org/officeDocument/2006/relationships/hyperlink" Target="http://www.world-nuclear.org/WorkArea/linkit.aspx?LinkIdentifier=id&amp;ItemID=348" TargetMode="External"/><Relationship Id="rId36" Type="http://schemas.openxmlformats.org/officeDocument/2006/relationships/hyperlink" Target="http://www.world-nuclear.org/WorkArea/linkit.aspx?LinkIdentifier=id&amp;ItemID=366" TargetMode="External"/><Relationship Id="rId49" Type="http://schemas.openxmlformats.org/officeDocument/2006/relationships/hyperlink" Target="http://www.world-nuclear.org/WorkArea/linkit.aspx?LinkIdentifier=id&amp;ItemID=384" TargetMode="External"/><Relationship Id="rId10" Type="http://schemas.openxmlformats.org/officeDocument/2006/relationships/hyperlink" Target="http://www.world-nuclear.org/info/inf49a_Nuclear_Power_in_Canada.html" TargetMode="External"/><Relationship Id="rId19" Type="http://schemas.openxmlformats.org/officeDocument/2006/relationships/hyperlink" Target="http://www.world-nuclear.org/WorkArea/linkit.aspx?LinkIdentifier=id&amp;ItemID=338" TargetMode="External"/><Relationship Id="rId31" Type="http://schemas.openxmlformats.org/officeDocument/2006/relationships/hyperlink" Target="http://www.world-nuclear.org/WorkArea/linkit.aspx?LinkIdentifier=id&amp;ItemID=352" TargetMode="External"/><Relationship Id="rId44" Type="http://schemas.openxmlformats.org/officeDocument/2006/relationships/hyperlink" Target="http://www.world-nuclear.org/WorkArea/linkit.aspx?LinkIdentifier=id&amp;ItemID=326" TargetMode="External"/><Relationship Id="rId4" Type="http://schemas.openxmlformats.org/officeDocument/2006/relationships/hyperlink" Target="http://www.world-nuclear.org/WorkArea/linkit.aspx?LinkIdentifier=id&amp;ItemID=308" TargetMode="External"/><Relationship Id="rId9" Type="http://schemas.openxmlformats.org/officeDocument/2006/relationships/hyperlink" Target="http://www.world-nuclear.org/WorkArea/linkit.aspx?LinkIdentifier=id&amp;ItemID=316" TargetMode="External"/><Relationship Id="rId14" Type="http://schemas.openxmlformats.org/officeDocument/2006/relationships/hyperlink" Target="http://www.world-nuclear.org/WorkArea/linkit.aspx?LinkIdentifier=id&amp;ItemID=326" TargetMode="External"/><Relationship Id="rId22" Type="http://schemas.openxmlformats.org/officeDocument/2006/relationships/hyperlink" Target="http://www.world-nuclear.org/WorkArea/linkit.aspx?LinkIdentifier=id&amp;ItemID=326" TargetMode="External"/><Relationship Id="rId27" Type="http://schemas.openxmlformats.org/officeDocument/2006/relationships/hyperlink" Target="http://www.world-nuclear.org/WorkArea/linkit.aspx?LinkIdentifier=id&amp;ItemID=326" TargetMode="External"/><Relationship Id="rId30" Type="http://schemas.openxmlformats.org/officeDocument/2006/relationships/hyperlink" Target="http://www.world-nuclear.org/WorkArea/linkit.aspx?LinkIdentifier=id&amp;ItemID=326" TargetMode="External"/><Relationship Id="rId35" Type="http://schemas.openxmlformats.org/officeDocument/2006/relationships/hyperlink" Target="http://www.world-nuclear.org/WorkArea/linkit.aspx?LinkIdentifier=id&amp;ItemID=364" TargetMode="External"/><Relationship Id="rId43" Type="http://schemas.openxmlformats.org/officeDocument/2006/relationships/hyperlink" Target="http://www.world-nuclear.org/WorkArea/linkit.aspx?LinkIdentifier=id&amp;ItemID=378" TargetMode="External"/><Relationship Id="rId48" Type="http://schemas.openxmlformats.org/officeDocument/2006/relationships/hyperlink" Target="http://www.world-nuclear.org/WorkArea/linkit.aspx?LinkIdentifier=id&amp;ItemID=382" TargetMode="External"/><Relationship Id="rId8" Type="http://schemas.openxmlformats.org/officeDocument/2006/relationships/hyperlink" Target="http://www.world-nuclear.org/WorkArea/linkit.aspx?LinkIdentifier=id&amp;ItemID=314" TargetMode="External"/><Relationship Id="rId5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www.iaea.org/cgi-bin/db.page.pl/pris.prdeta.htm?country=FR&amp;site=PHENIX&amp;units=&amp;refno=10&amp;link=HOT&amp;sort=&amp;sortlong=Alphabetic" TargetMode="Externa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drawing" Target="../drawings/drawing1.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3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indexed="10"/>
  </sheetPr>
  <dimension ref="A1:M102"/>
  <sheetViews>
    <sheetView zoomScale="85" zoomScaleNormal="85" zoomScalePageLayoutView="150" workbookViewId="0">
      <selection activeCell="F2" sqref="F2"/>
    </sheetView>
  </sheetViews>
  <sheetFormatPr defaultColWidth="8.85546875" defaultRowHeight="12.75"/>
  <cols>
    <col min="1" max="1" width="2.7109375" customWidth="1"/>
    <col min="2" max="2" width="12.7109375" style="171" customWidth="1"/>
    <col min="3" max="3" width="22.42578125" customWidth="1"/>
    <col min="4" max="4" width="14" customWidth="1"/>
    <col min="5" max="5" width="12.42578125" customWidth="1"/>
  </cols>
  <sheetData>
    <row r="1" spans="1:6">
      <c r="C1" s="19"/>
    </row>
    <row r="2" spans="1:6">
      <c r="B2" s="171" t="s">
        <v>6111</v>
      </c>
      <c r="C2" s="20" t="s">
        <v>6110</v>
      </c>
      <c r="F2" s="19" t="s">
        <v>3578</v>
      </c>
    </row>
    <row r="3" spans="1:6">
      <c r="C3" s="19"/>
    </row>
    <row r="4" spans="1:6">
      <c r="B4" s="171" t="s">
        <v>6112</v>
      </c>
      <c r="C4" s="20" t="s">
        <v>6113</v>
      </c>
      <c r="F4" s="19"/>
    </row>
    <row r="5" spans="1:6">
      <c r="F5" s="19"/>
    </row>
    <row r="7" spans="1:6">
      <c r="B7" s="171" t="s">
        <v>6114</v>
      </c>
      <c r="C7" t="s">
        <v>4408</v>
      </c>
    </row>
    <row r="9" spans="1:6">
      <c r="B9" s="171" t="s">
        <v>6115</v>
      </c>
      <c r="C9" t="s">
        <v>4408</v>
      </c>
    </row>
    <row r="13" spans="1:6" ht="30">
      <c r="A13" s="17"/>
      <c r="B13" s="172" t="s">
        <v>4407</v>
      </c>
    </row>
    <row r="14" spans="1:6">
      <c r="B14" s="173"/>
    </row>
    <row r="15" spans="1:6">
      <c r="B15" s="174">
        <v>41466</v>
      </c>
    </row>
    <row r="16" spans="1:6">
      <c r="B16" s="175"/>
    </row>
    <row r="17" spans="1:13">
      <c r="B17" s="173"/>
    </row>
    <row r="18" spans="1:13">
      <c r="B18" s="175"/>
    </row>
    <row r="19" spans="1:13" ht="40.5" customHeight="1">
      <c r="B19" s="231" t="s">
        <v>3575</v>
      </c>
      <c r="C19" s="232"/>
      <c r="D19" s="232"/>
      <c r="E19" s="232"/>
      <c r="F19" s="232"/>
      <c r="G19" s="232"/>
      <c r="H19" s="232"/>
      <c r="I19" s="232"/>
      <c r="J19" s="232"/>
      <c r="K19" s="232"/>
      <c r="L19" s="232"/>
      <c r="M19" s="232"/>
    </row>
    <row r="20" spans="1:13">
      <c r="B20" s="175"/>
    </row>
    <row r="21" spans="1:13" ht="38.25" customHeight="1">
      <c r="B21" s="189" t="s">
        <v>7162</v>
      </c>
      <c r="C21" s="233" t="s">
        <v>7165</v>
      </c>
      <c r="D21" s="233"/>
      <c r="E21" s="233" t="s">
        <v>7166</v>
      </c>
      <c r="F21" s="233"/>
      <c r="G21" s="233" t="s">
        <v>7167</v>
      </c>
      <c r="H21" s="233"/>
      <c r="I21" s="233" t="s">
        <v>7168</v>
      </c>
      <c r="J21" s="233"/>
      <c r="K21" s="233" t="s">
        <v>7169</v>
      </c>
      <c r="L21" s="233"/>
      <c r="M21" s="233" t="s">
        <v>7170</v>
      </c>
    </row>
    <row r="22" spans="1:13" ht="25.5">
      <c r="B22" s="190" t="s">
        <v>3576</v>
      </c>
      <c r="C22" s="233"/>
      <c r="D22" s="233"/>
      <c r="E22" s="234">
        <v>41456</v>
      </c>
      <c r="F22" s="234"/>
      <c r="G22" s="234">
        <v>41456</v>
      </c>
      <c r="H22" s="234"/>
      <c r="I22" s="234">
        <v>41456</v>
      </c>
      <c r="J22" s="234"/>
      <c r="K22" s="234">
        <v>41456</v>
      </c>
      <c r="L22" s="234"/>
      <c r="M22" s="233"/>
    </row>
    <row r="23" spans="1:13" ht="12.75" customHeight="1">
      <c r="B23" s="190" t="s">
        <v>7163</v>
      </c>
      <c r="C23" s="190" t="s">
        <v>7164</v>
      </c>
      <c r="D23" s="190" t="s">
        <v>7171</v>
      </c>
      <c r="E23" s="190" t="s">
        <v>7172</v>
      </c>
      <c r="F23" s="190" t="s">
        <v>7173</v>
      </c>
      <c r="G23" s="190" t="s">
        <v>7172</v>
      </c>
      <c r="H23" s="190" t="s">
        <v>7174</v>
      </c>
      <c r="I23" s="190" t="s">
        <v>7172</v>
      </c>
      <c r="J23" s="190" t="s">
        <v>7174</v>
      </c>
      <c r="K23" s="190" t="s">
        <v>7172</v>
      </c>
      <c r="L23" s="190" t="s">
        <v>7174</v>
      </c>
      <c r="M23" s="191" t="s">
        <v>7175</v>
      </c>
    </row>
    <row r="24" spans="1:13">
      <c r="B24" s="183" t="s">
        <v>7176</v>
      </c>
      <c r="C24" s="181">
        <v>5.9</v>
      </c>
      <c r="D24" s="181">
        <v>4.7</v>
      </c>
      <c r="E24" s="181">
        <v>2</v>
      </c>
      <c r="F24" s="181">
        <v>935</v>
      </c>
      <c r="G24" s="181">
        <v>1</v>
      </c>
      <c r="H24" s="181">
        <v>745</v>
      </c>
      <c r="I24" s="181">
        <v>1</v>
      </c>
      <c r="J24" s="181">
        <v>33</v>
      </c>
      <c r="K24" s="181">
        <v>2</v>
      </c>
      <c r="L24" s="181">
        <v>1400</v>
      </c>
      <c r="M24" s="181">
        <v>213</v>
      </c>
    </row>
    <row r="25" spans="1:13">
      <c r="A25" s="21"/>
      <c r="B25" s="235" t="s">
        <v>7177</v>
      </c>
      <c r="C25" s="230">
        <v>2.1</v>
      </c>
      <c r="D25" s="230">
        <v>26.6</v>
      </c>
      <c r="E25" s="230">
        <v>1</v>
      </c>
      <c r="F25" s="230">
        <v>376</v>
      </c>
      <c r="G25" s="230">
        <v>0</v>
      </c>
      <c r="H25" s="230">
        <v>0</v>
      </c>
      <c r="I25" s="230">
        <v>1</v>
      </c>
      <c r="J25" s="230">
        <v>1060</v>
      </c>
      <c r="K25" s="230"/>
      <c r="L25" s="230"/>
      <c r="M25" s="230">
        <v>64</v>
      </c>
    </row>
    <row r="26" spans="1:13">
      <c r="A26" s="21"/>
      <c r="B26" s="235"/>
      <c r="C26" s="230"/>
      <c r="D26" s="230"/>
      <c r="E26" s="230"/>
      <c r="F26" s="230"/>
      <c r="G26" s="230"/>
      <c r="H26" s="230"/>
      <c r="I26" s="230"/>
      <c r="J26" s="230"/>
      <c r="K26" s="230"/>
      <c r="L26" s="230"/>
      <c r="M26" s="230"/>
    </row>
    <row r="27" spans="1:13">
      <c r="A27" s="21"/>
      <c r="B27" s="183" t="s">
        <v>7178</v>
      </c>
      <c r="C27" s="181">
        <v>0</v>
      </c>
      <c r="D27" s="181">
        <v>0</v>
      </c>
      <c r="E27" s="181">
        <v>0</v>
      </c>
      <c r="F27" s="181">
        <v>0</v>
      </c>
      <c r="G27" s="181">
        <v>0</v>
      </c>
      <c r="H27" s="181">
        <v>0</v>
      </c>
      <c r="I27" s="181">
        <v>2</v>
      </c>
      <c r="J27" s="181">
        <v>2000</v>
      </c>
      <c r="K27" s="181">
        <v>0</v>
      </c>
      <c r="L27" s="181">
        <v>0</v>
      </c>
      <c r="M27" s="181">
        <v>0</v>
      </c>
    </row>
    <row r="28" spans="1:13">
      <c r="A28" s="21"/>
      <c r="B28" s="183" t="s">
        <v>7179</v>
      </c>
      <c r="C28" s="181">
        <v>0</v>
      </c>
      <c r="D28" s="181">
        <v>0</v>
      </c>
      <c r="E28" s="181">
        <v>0</v>
      </c>
      <c r="F28" s="181">
        <v>0</v>
      </c>
      <c r="G28" s="181">
        <v>0</v>
      </c>
      <c r="H28" s="181">
        <v>0</v>
      </c>
      <c r="I28" s="181">
        <v>2</v>
      </c>
      <c r="J28" s="181">
        <v>2400</v>
      </c>
      <c r="K28" s="181">
        <v>2</v>
      </c>
      <c r="L28" s="181">
        <v>2400</v>
      </c>
      <c r="M28" s="181">
        <v>0</v>
      </c>
    </row>
    <row r="29" spans="1:13">
      <c r="A29" s="21"/>
      <c r="B29" s="187" t="s">
        <v>1622</v>
      </c>
      <c r="C29" s="188">
        <v>38.5</v>
      </c>
      <c r="D29" s="188">
        <v>51</v>
      </c>
      <c r="E29" s="188">
        <v>7</v>
      </c>
      <c r="F29" s="188">
        <v>5943</v>
      </c>
      <c r="G29" s="188">
        <v>0</v>
      </c>
      <c r="H29" s="188">
        <v>0</v>
      </c>
      <c r="I29" s="188">
        <v>0</v>
      </c>
      <c r="J29" s="188">
        <v>0</v>
      </c>
      <c r="K29" s="188">
        <v>0</v>
      </c>
      <c r="L29" s="188">
        <v>0</v>
      </c>
      <c r="M29" s="188">
        <v>995</v>
      </c>
    </row>
    <row r="30" spans="1:13">
      <c r="A30" s="21"/>
      <c r="B30" s="183" t="s">
        <v>7180</v>
      </c>
      <c r="C30" s="181">
        <v>15.2</v>
      </c>
      <c r="D30" s="181">
        <v>3.1</v>
      </c>
      <c r="E30" s="181">
        <v>2</v>
      </c>
      <c r="F30" s="181">
        <v>1901</v>
      </c>
      <c r="G30" s="181">
        <v>1</v>
      </c>
      <c r="H30" s="181">
        <v>1405</v>
      </c>
      <c r="I30" s="181">
        <v>0</v>
      </c>
      <c r="J30" s="181">
        <v>0</v>
      </c>
      <c r="K30" s="181">
        <v>4</v>
      </c>
      <c r="L30" s="181">
        <v>4000</v>
      </c>
      <c r="M30" s="181">
        <v>325</v>
      </c>
    </row>
    <row r="31" spans="1:13">
      <c r="A31" s="21"/>
      <c r="B31" s="187" t="s">
        <v>1623</v>
      </c>
      <c r="C31" s="188">
        <v>14.9</v>
      </c>
      <c r="D31" s="188">
        <v>31.6</v>
      </c>
      <c r="E31" s="188">
        <v>2</v>
      </c>
      <c r="F31" s="188">
        <v>1906</v>
      </c>
      <c r="G31" s="188">
        <v>0</v>
      </c>
      <c r="H31" s="188">
        <v>0</v>
      </c>
      <c r="I31" s="188">
        <v>1</v>
      </c>
      <c r="J31" s="188">
        <v>950</v>
      </c>
      <c r="K31" s="188">
        <v>0</v>
      </c>
      <c r="L31" s="188">
        <v>0</v>
      </c>
      <c r="M31" s="188">
        <v>317</v>
      </c>
    </row>
    <row r="32" spans="1:13">
      <c r="A32" s="21"/>
      <c r="B32" s="183" t="s">
        <v>7181</v>
      </c>
      <c r="C32" s="181">
        <v>89.1</v>
      </c>
      <c r="D32" s="181">
        <v>15.3</v>
      </c>
      <c r="E32" s="181">
        <v>19</v>
      </c>
      <c r="F32" s="181">
        <v>13553</v>
      </c>
      <c r="G32" s="181">
        <v>0</v>
      </c>
      <c r="H32" s="181">
        <v>0</v>
      </c>
      <c r="I32" s="181">
        <v>2</v>
      </c>
      <c r="J32" s="181">
        <v>1500</v>
      </c>
      <c r="K32" s="181">
        <v>3</v>
      </c>
      <c r="L32" s="181">
        <v>3800</v>
      </c>
      <c r="M32" s="181">
        <v>1906</v>
      </c>
    </row>
    <row r="33" spans="1:13">
      <c r="A33" s="21"/>
      <c r="B33" s="183" t="s">
        <v>7182</v>
      </c>
      <c r="C33" s="181">
        <v>0</v>
      </c>
      <c r="D33" s="181">
        <v>0</v>
      </c>
      <c r="E33" s="181">
        <v>0</v>
      </c>
      <c r="F33" s="181">
        <v>0</v>
      </c>
      <c r="G33" s="181">
        <v>0</v>
      </c>
      <c r="H33" s="181">
        <v>0</v>
      </c>
      <c r="I33" s="181">
        <v>0</v>
      </c>
      <c r="J33" s="181">
        <v>0</v>
      </c>
      <c r="K33" s="181">
        <v>4</v>
      </c>
      <c r="L33" s="181">
        <v>4400</v>
      </c>
      <c r="M33" s="181">
        <v>0</v>
      </c>
    </row>
    <row r="34" spans="1:13">
      <c r="A34" s="21"/>
      <c r="B34" s="183" t="s">
        <v>7183</v>
      </c>
      <c r="C34" s="181">
        <v>92.7</v>
      </c>
      <c r="D34" s="181">
        <v>2</v>
      </c>
      <c r="E34" s="181">
        <v>17</v>
      </c>
      <c r="F34" s="181">
        <v>13842</v>
      </c>
      <c r="G34" s="181">
        <v>28</v>
      </c>
      <c r="H34" s="181">
        <v>30550</v>
      </c>
      <c r="I34" s="181">
        <v>53</v>
      </c>
      <c r="J34" s="181">
        <v>66160</v>
      </c>
      <c r="K34" s="181">
        <v>118</v>
      </c>
      <c r="L34" s="181">
        <v>122000</v>
      </c>
      <c r="M34" s="181">
        <v>5999</v>
      </c>
    </row>
    <row r="35" spans="1:13">
      <c r="A35" s="21"/>
      <c r="B35" s="187" t="s">
        <v>1625</v>
      </c>
      <c r="C35" s="188">
        <v>28.6</v>
      </c>
      <c r="D35" s="188">
        <v>35.299999999999997</v>
      </c>
      <c r="E35" s="188">
        <v>6</v>
      </c>
      <c r="F35" s="188">
        <v>3766</v>
      </c>
      <c r="G35" s="188">
        <v>0</v>
      </c>
      <c r="H35" s="188">
        <v>0</v>
      </c>
      <c r="I35" s="188">
        <v>2</v>
      </c>
      <c r="J35" s="188">
        <v>2400</v>
      </c>
      <c r="K35" s="188">
        <v>1</v>
      </c>
      <c r="L35" s="188">
        <v>1200</v>
      </c>
      <c r="M35" s="188">
        <v>577</v>
      </c>
    </row>
    <row r="36" spans="1:13">
      <c r="A36" s="21"/>
      <c r="B36" s="183" t="s">
        <v>7184</v>
      </c>
      <c r="C36" s="181">
        <v>0</v>
      </c>
      <c r="D36" s="181">
        <v>0</v>
      </c>
      <c r="E36" s="181">
        <v>0</v>
      </c>
      <c r="F36" s="181">
        <v>0</v>
      </c>
      <c r="G36" s="181">
        <v>0</v>
      </c>
      <c r="H36" s="181">
        <v>0</v>
      </c>
      <c r="I36" s="181">
        <v>1</v>
      </c>
      <c r="J36" s="181">
        <v>1000</v>
      </c>
      <c r="K36" s="181">
        <v>1</v>
      </c>
      <c r="L36" s="181">
        <v>1000</v>
      </c>
      <c r="M36" s="181">
        <v>0</v>
      </c>
    </row>
    <row r="37" spans="1:13">
      <c r="A37" s="21"/>
      <c r="B37" s="187" t="s">
        <v>1628</v>
      </c>
      <c r="C37" s="188">
        <v>22.1</v>
      </c>
      <c r="D37" s="188">
        <v>32.6</v>
      </c>
      <c r="E37" s="188">
        <v>4</v>
      </c>
      <c r="F37" s="188">
        <v>2741</v>
      </c>
      <c r="G37" s="188">
        <v>1</v>
      </c>
      <c r="H37" s="188">
        <v>1700</v>
      </c>
      <c r="I37" s="188">
        <v>0</v>
      </c>
      <c r="J37" s="188">
        <v>0</v>
      </c>
      <c r="K37" s="188">
        <v>2</v>
      </c>
      <c r="L37" s="188">
        <v>3000</v>
      </c>
      <c r="M37" s="188">
        <v>728</v>
      </c>
    </row>
    <row r="38" spans="1:13">
      <c r="A38" s="21"/>
      <c r="B38" s="187" t="s">
        <v>1629</v>
      </c>
      <c r="C38" s="188">
        <v>407.4</v>
      </c>
      <c r="D38" s="188">
        <v>74.8</v>
      </c>
      <c r="E38" s="188">
        <v>58</v>
      </c>
      <c r="F38" s="188">
        <v>63130</v>
      </c>
      <c r="G38" s="188">
        <v>1</v>
      </c>
      <c r="H38" s="188">
        <v>1720</v>
      </c>
      <c r="I38" s="188">
        <v>1</v>
      </c>
      <c r="J38" s="188">
        <v>1720</v>
      </c>
      <c r="K38" s="188">
        <v>1</v>
      </c>
      <c r="L38" s="188">
        <v>1100</v>
      </c>
      <c r="M38" s="188">
        <v>9254</v>
      </c>
    </row>
    <row r="39" spans="1:13">
      <c r="A39" s="21"/>
      <c r="B39" s="187" t="s">
        <v>1626</v>
      </c>
      <c r="C39" s="188">
        <v>94.1</v>
      </c>
      <c r="D39" s="188">
        <v>16.100000000000001</v>
      </c>
      <c r="E39" s="188">
        <v>9</v>
      </c>
      <c r="F39" s="188">
        <v>12003</v>
      </c>
      <c r="G39" s="188">
        <v>0</v>
      </c>
      <c r="H39" s="188">
        <v>0</v>
      </c>
      <c r="I39" s="188">
        <v>0</v>
      </c>
      <c r="J39" s="188">
        <v>0</v>
      </c>
      <c r="K39" s="188">
        <v>0</v>
      </c>
      <c r="L39" s="188">
        <v>0</v>
      </c>
      <c r="M39" s="188">
        <v>1934</v>
      </c>
    </row>
    <row r="40" spans="1:13">
      <c r="A40" s="21"/>
      <c r="B40" s="187" t="s">
        <v>1630</v>
      </c>
      <c r="C40" s="188">
        <v>14.8</v>
      </c>
      <c r="D40" s="188">
        <v>45.9</v>
      </c>
      <c r="E40" s="188">
        <v>4</v>
      </c>
      <c r="F40" s="188">
        <v>1880</v>
      </c>
      <c r="G40" s="188">
        <v>0</v>
      </c>
      <c r="H40" s="188">
        <v>0</v>
      </c>
      <c r="I40" s="188">
        <v>0</v>
      </c>
      <c r="J40" s="188">
        <v>0</v>
      </c>
      <c r="K40" s="188">
        <v>2</v>
      </c>
      <c r="L40" s="188">
        <v>2200</v>
      </c>
      <c r="M40" s="188">
        <v>331</v>
      </c>
    </row>
    <row r="41" spans="1:13">
      <c r="A41" s="21"/>
      <c r="B41" s="183" t="s">
        <v>7185</v>
      </c>
      <c r="C41" s="181">
        <v>29.7</v>
      </c>
      <c r="D41" s="181">
        <v>3.6</v>
      </c>
      <c r="E41" s="181">
        <v>20</v>
      </c>
      <c r="F41" s="181">
        <v>4385</v>
      </c>
      <c r="G41" s="181">
        <v>7</v>
      </c>
      <c r="H41" s="181">
        <v>5300</v>
      </c>
      <c r="I41" s="181">
        <v>18</v>
      </c>
      <c r="J41" s="181">
        <v>15100</v>
      </c>
      <c r="K41" s="181">
        <v>39</v>
      </c>
      <c r="L41" s="181">
        <v>45000</v>
      </c>
      <c r="M41" s="181">
        <v>1261</v>
      </c>
    </row>
    <row r="42" spans="1:13">
      <c r="A42" s="21"/>
      <c r="B42" s="183" t="s">
        <v>7186</v>
      </c>
      <c r="C42" s="181">
        <v>0</v>
      </c>
      <c r="D42" s="181">
        <v>0</v>
      </c>
      <c r="E42" s="181">
        <v>0</v>
      </c>
      <c r="F42" s="181">
        <v>0</v>
      </c>
      <c r="G42" s="181">
        <v>0</v>
      </c>
      <c r="H42" s="181">
        <v>0</v>
      </c>
      <c r="I42" s="181">
        <v>2</v>
      </c>
      <c r="J42" s="181">
        <v>2000</v>
      </c>
      <c r="K42" s="181">
        <v>4</v>
      </c>
      <c r="L42" s="181">
        <v>4000</v>
      </c>
      <c r="M42" s="181">
        <v>0</v>
      </c>
    </row>
    <row r="43" spans="1:13">
      <c r="A43" s="21"/>
      <c r="B43" s="183" t="s">
        <v>7187</v>
      </c>
      <c r="C43" s="181">
        <v>1.3</v>
      </c>
      <c r="D43" s="181">
        <v>0.6</v>
      </c>
      <c r="E43" s="181">
        <v>1</v>
      </c>
      <c r="F43" s="181">
        <v>915</v>
      </c>
      <c r="G43" s="181">
        <v>0</v>
      </c>
      <c r="H43" s="181">
        <v>0</v>
      </c>
      <c r="I43" s="181">
        <v>1</v>
      </c>
      <c r="J43" s="181">
        <v>1000</v>
      </c>
      <c r="K43" s="181">
        <v>1</v>
      </c>
      <c r="L43" s="181">
        <v>300</v>
      </c>
      <c r="M43" s="181">
        <v>172</v>
      </c>
    </row>
    <row r="44" spans="1:13">
      <c r="A44" s="21"/>
      <c r="B44" s="183" t="s">
        <v>7188</v>
      </c>
      <c r="C44" s="181">
        <v>0</v>
      </c>
      <c r="D44" s="181">
        <v>0</v>
      </c>
      <c r="E44" s="181">
        <v>0</v>
      </c>
      <c r="F44" s="181">
        <v>0</v>
      </c>
      <c r="G44" s="181">
        <v>0</v>
      </c>
      <c r="H44" s="181">
        <v>0</v>
      </c>
      <c r="I44" s="181">
        <v>0</v>
      </c>
      <c r="J44" s="181">
        <v>0</v>
      </c>
      <c r="K44" s="181">
        <v>1</v>
      </c>
      <c r="L44" s="181">
        <v>1200</v>
      </c>
      <c r="M44" s="181">
        <v>0</v>
      </c>
    </row>
    <row r="45" spans="1:13">
      <c r="A45" s="21"/>
      <c r="B45" s="187" t="s">
        <v>7131</v>
      </c>
      <c r="C45" s="188">
        <v>0</v>
      </c>
      <c r="D45" s="188">
        <v>0</v>
      </c>
      <c r="E45" s="188">
        <v>0</v>
      </c>
      <c r="F45" s="188">
        <v>0</v>
      </c>
      <c r="G45" s="188">
        <v>0</v>
      </c>
      <c r="H45" s="188">
        <v>0</v>
      </c>
      <c r="I45" s="188">
        <v>0</v>
      </c>
      <c r="J45" s="188">
        <v>0</v>
      </c>
      <c r="K45" s="188">
        <v>10</v>
      </c>
      <c r="L45" s="188">
        <v>17000</v>
      </c>
      <c r="M45" s="188">
        <v>0</v>
      </c>
    </row>
    <row r="46" spans="1:13">
      <c r="A46" s="21"/>
      <c r="B46" s="183" t="s">
        <v>7189</v>
      </c>
      <c r="C46" s="181">
        <v>17.2</v>
      </c>
      <c r="D46" s="181">
        <v>2.1</v>
      </c>
      <c r="E46" s="181">
        <v>50</v>
      </c>
      <c r="F46" s="181">
        <v>44396</v>
      </c>
      <c r="G46" s="181">
        <v>3</v>
      </c>
      <c r="H46" s="181">
        <v>3036</v>
      </c>
      <c r="I46" s="181">
        <v>9</v>
      </c>
      <c r="J46" s="181">
        <v>12947</v>
      </c>
      <c r="K46" s="181">
        <v>3</v>
      </c>
      <c r="L46" s="181">
        <v>4145</v>
      </c>
      <c r="M46" s="181">
        <v>4425</v>
      </c>
    </row>
    <row r="47" spans="1:13">
      <c r="A47" s="21"/>
      <c r="B47" s="235" t="s">
        <v>7190</v>
      </c>
      <c r="C47" s="230">
        <v>0</v>
      </c>
      <c r="D47" s="230">
        <v>0</v>
      </c>
      <c r="E47" s="230">
        <v>0</v>
      </c>
      <c r="F47" s="230">
        <v>0</v>
      </c>
      <c r="G47" s="230">
        <v>0</v>
      </c>
      <c r="H47" s="230">
        <v>0</v>
      </c>
      <c r="I47" s="230">
        <v>1</v>
      </c>
      <c r="J47" s="230">
        <v>1000</v>
      </c>
      <c r="K47" s="230"/>
      <c r="L47" s="230"/>
      <c r="M47" s="230">
        <v>0</v>
      </c>
    </row>
    <row r="48" spans="1:13">
      <c r="A48" s="21"/>
      <c r="B48" s="235"/>
      <c r="C48" s="230"/>
      <c r="D48" s="230"/>
      <c r="E48" s="230"/>
      <c r="F48" s="230"/>
      <c r="G48" s="230"/>
      <c r="H48" s="230"/>
      <c r="I48" s="230"/>
      <c r="J48" s="230"/>
      <c r="K48" s="230"/>
      <c r="L48" s="230"/>
      <c r="M48" s="230"/>
    </row>
    <row r="49" spans="1:13">
      <c r="A49" s="21"/>
      <c r="B49" s="183" t="s">
        <v>7191</v>
      </c>
      <c r="C49" s="181">
        <v>0</v>
      </c>
      <c r="D49" s="181">
        <v>0</v>
      </c>
      <c r="E49" s="181">
        <v>0</v>
      </c>
      <c r="F49" s="181">
        <v>0</v>
      </c>
      <c r="G49" s="181">
        <v>0</v>
      </c>
      <c r="H49" s="181">
        <v>0</v>
      </c>
      <c r="I49" s="181">
        <v>2</v>
      </c>
      <c r="J49" s="181">
        <v>600</v>
      </c>
      <c r="K49" s="181">
        <v>2</v>
      </c>
      <c r="L49" s="181">
        <v>600</v>
      </c>
      <c r="M49" s="181">
        <v>0</v>
      </c>
    </row>
    <row r="50" spans="1:13" ht="25.5">
      <c r="A50" s="21"/>
      <c r="B50" s="183" t="s">
        <v>7192</v>
      </c>
      <c r="C50" s="181">
        <v>0</v>
      </c>
      <c r="D50" s="181">
        <v>0</v>
      </c>
      <c r="E50" s="181">
        <v>0</v>
      </c>
      <c r="F50" s="181">
        <v>0</v>
      </c>
      <c r="G50" s="181">
        <v>0</v>
      </c>
      <c r="H50" s="181">
        <v>0</v>
      </c>
      <c r="I50" s="181">
        <v>0</v>
      </c>
      <c r="J50" s="181">
        <v>0</v>
      </c>
      <c r="K50" s="181">
        <v>1</v>
      </c>
      <c r="L50" s="181">
        <v>950</v>
      </c>
      <c r="M50" s="181">
        <v>0</v>
      </c>
    </row>
    <row r="51" spans="1:13" ht="25.5">
      <c r="A51" s="21"/>
      <c r="B51" s="183" t="s">
        <v>7193</v>
      </c>
      <c r="C51" s="181">
        <v>143.5</v>
      </c>
      <c r="D51" s="181">
        <v>30.4</v>
      </c>
      <c r="E51" s="181">
        <v>23</v>
      </c>
      <c r="F51" s="181">
        <v>20787</v>
      </c>
      <c r="G51" s="181">
        <v>5</v>
      </c>
      <c r="H51" s="181">
        <v>6870</v>
      </c>
      <c r="I51" s="181">
        <v>5</v>
      </c>
      <c r="J51" s="181">
        <v>7275</v>
      </c>
      <c r="K51" s="181">
        <v>0</v>
      </c>
      <c r="L51" s="181">
        <v>0</v>
      </c>
      <c r="M51" s="181">
        <v>3769</v>
      </c>
    </row>
    <row r="52" spans="1:13">
      <c r="A52" s="21"/>
      <c r="B52" s="187" t="s">
        <v>7194</v>
      </c>
      <c r="C52" s="188">
        <v>0</v>
      </c>
      <c r="D52" s="188">
        <v>0</v>
      </c>
      <c r="E52" s="188">
        <v>0</v>
      </c>
      <c r="F52" s="188">
        <v>0</v>
      </c>
      <c r="G52" s="188">
        <v>0</v>
      </c>
      <c r="H52" s="188">
        <v>0</v>
      </c>
      <c r="I52" s="188">
        <v>1</v>
      </c>
      <c r="J52" s="188">
        <v>1350</v>
      </c>
      <c r="K52" s="188">
        <v>0</v>
      </c>
      <c r="L52" s="188">
        <v>0</v>
      </c>
      <c r="M52" s="188">
        <v>0</v>
      </c>
    </row>
    <row r="53" spans="1:13">
      <c r="A53" s="21"/>
      <c r="B53" s="183" t="s">
        <v>7195</v>
      </c>
      <c r="C53" s="181">
        <v>0</v>
      </c>
      <c r="D53" s="181">
        <v>0</v>
      </c>
      <c r="E53" s="181">
        <v>0</v>
      </c>
      <c r="F53" s="181">
        <v>0</v>
      </c>
      <c r="G53" s="181">
        <v>0</v>
      </c>
      <c r="H53" s="181">
        <v>0</v>
      </c>
      <c r="I53" s="181">
        <v>0</v>
      </c>
      <c r="J53" s="181">
        <v>0</v>
      </c>
      <c r="K53" s="181">
        <v>2</v>
      </c>
      <c r="L53" s="181">
        <v>2000</v>
      </c>
      <c r="M53" s="181">
        <v>0</v>
      </c>
    </row>
    <row r="54" spans="1:13">
      <c r="A54" s="21"/>
      <c r="B54" s="183" t="s">
        <v>7196</v>
      </c>
      <c r="C54" s="181">
        <v>8.4</v>
      </c>
      <c r="D54" s="181">
        <v>4.7</v>
      </c>
      <c r="E54" s="181">
        <v>2</v>
      </c>
      <c r="F54" s="181">
        <v>1600</v>
      </c>
      <c r="G54" s="181">
        <v>0</v>
      </c>
      <c r="H54" s="181">
        <v>0</v>
      </c>
      <c r="I54" s="181">
        <v>0</v>
      </c>
      <c r="J54" s="181">
        <v>0</v>
      </c>
      <c r="K54" s="181">
        <v>2</v>
      </c>
      <c r="L54" s="181">
        <v>2000</v>
      </c>
      <c r="M54" s="181">
        <v>279</v>
      </c>
    </row>
    <row r="55" spans="1:13">
      <c r="A55" s="21"/>
      <c r="B55" s="187" t="s">
        <v>1632</v>
      </c>
      <c r="C55" s="188">
        <v>3.7</v>
      </c>
      <c r="D55" s="188">
        <v>4.4000000000000004</v>
      </c>
      <c r="E55" s="188">
        <v>1</v>
      </c>
      <c r="F55" s="188">
        <v>485</v>
      </c>
      <c r="G55" s="188">
        <v>0</v>
      </c>
      <c r="H55" s="188">
        <v>0</v>
      </c>
      <c r="I55" s="188">
        <v>0</v>
      </c>
      <c r="J55" s="188">
        <v>0</v>
      </c>
      <c r="K55" s="188">
        <v>1</v>
      </c>
      <c r="L55" s="188">
        <v>1000</v>
      </c>
      <c r="M55" s="188">
        <v>102</v>
      </c>
    </row>
    <row r="56" spans="1:13">
      <c r="A56" s="21"/>
      <c r="B56" s="183" t="s">
        <v>7197</v>
      </c>
      <c r="C56" s="181">
        <v>5.3</v>
      </c>
      <c r="D56" s="181">
        <v>5.3</v>
      </c>
      <c r="E56" s="181">
        <v>3</v>
      </c>
      <c r="F56" s="181">
        <v>725</v>
      </c>
      <c r="G56" s="181">
        <v>2</v>
      </c>
      <c r="H56" s="181">
        <v>680</v>
      </c>
      <c r="I56" s="181">
        <v>0</v>
      </c>
      <c r="J56" s="181">
        <v>0</v>
      </c>
      <c r="K56" s="181">
        <v>2</v>
      </c>
      <c r="L56" s="181">
        <v>2000</v>
      </c>
      <c r="M56" s="181">
        <v>117</v>
      </c>
    </row>
    <row r="57" spans="1:13">
      <c r="A57" s="21"/>
      <c r="B57" s="187" t="s">
        <v>7136</v>
      </c>
      <c r="C57" s="188">
        <v>0</v>
      </c>
      <c r="D57" s="188">
        <v>0</v>
      </c>
      <c r="E57" s="188">
        <v>0</v>
      </c>
      <c r="F57" s="188">
        <v>0</v>
      </c>
      <c r="G57" s="188">
        <v>0</v>
      </c>
      <c r="H57" s="188">
        <v>0</v>
      </c>
      <c r="I57" s="188">
        <v>6</v>
      </c>
      <c r="J57" s="188">
        <v>6000</v>
      </c>
      <c r="K57" s="188">
        <v>0</v>
      </c>
      <c r="L57" s="188">
        <v>0</v>
      </c>
      <c r="M57" s="188">
        <v>0</v>
      </c>
    </row>
    <row r="58" spans="1:13">
      <c r="A58" s="21"/>
      <c r="B58" s="187" t="s">
        <v>1633</v>
      </c>
      <c r="C58" s="188">
        <v>10.6</v>
      </c>
      <c r="D58" s="188">
        <v>19.399999999999999</v>
      </c>
      <c r="E58" s="188">
        <v>2</v>
      </c>
      <c r="F58" s="188">
        <v>1310</v>
      </c>
      <c r="G58" s="188">
        <v>0</v>
      </c>
      <c r="H58" s="188">
        <v>0</v>
      </c>
      <c r="I58" s="188">
        <v>2</v>
      </c>
      <c r="J58" s="188">
        <v>1310</v>
      </c>
      <c r="K58" s="188">
        <v>1</v>
      </c>
      <c r="L58" s="188">
        <v>655</v>
      </c>
      <c r="M58" s="188">
        <v>177</v>
      </c>
    </row>
    <row r="59" spans="1:13">
      <c r="A59" s="21"/>
      <c r="B59" s="183" t="s">
        <v>7198</v>
      </c>
      <c r="C59" s="181">
        <v>166.3</v>
      </c>
      <c r="D59" s="181">
        <v>17.8</v>
      </c>
      <c r="E59" s="181">
        <v>33</v>
      </c>
      <c r="F59" s="181">
        <v>24253</v>
      </c>
      <c r="G59" s="181">
        <v>10</v>
      </c>
      <c r="H59" s="181">
        <v>9160</v>
      </c>
      <c r="I59" s="181">
        <v>24</v>
      </c>
      <c r="J59" s="181">
        <v>24180</v>
      </c>
      <c r="K59" s="181">
        <v>20</v>
      </c>
      <c r="L59" s="181">
        <v>20000</v>
      </c>
      <c r="M59" s="181">
        <v>5073</v>
      </c>
    </row>
    <row r="60" spans="1:13">
      <c r="A60" s="21"/>
      <c r="B60" s="183" t="s">
        <v>7199</v>
      </c>
      <c r="C60" s="181">
        <v>0</v>
      </c>
      <c r="D60" s="181">
        <v>0</v>
      </c>
      <c r="E60" s="181">
        <v>0</v>
      </c>
      <c r="F60" s="181">
        <v>0</v>
      </c>
      <c r="G60" s="181">
        <v>0</v>
      </c>
      <c r="H60" s="181">
        <v>0</v>
      </c>
      <c r="I60" s="181">
        <v>0</v>
      </c>
      <c r="J60" s="181">
        <v>0</v>
      </c>
      <c r="K60" s="181">
        <v>16</v>
      </c>
      <c r="L60" s="181">
        <v>17000</v>
      </c>
      <c r="M60" s="181">
        <v>0</v>
      </c>
    </row>
    <row r="61" spans="1:13">
      <c r="A61" s="21"/>
      <c r="B61" s="187" t="s">
        <v>1636</v>
      </c>
      <c r="C61" s="188">
        <v>14.4</v>
      </c>
      <c r="D61" s="188">
        <v>53.8</v>
      </c>
      <c r="E61" s="188">
        <v>4</v>
      </c>
      <c r="F61" s="188">
        <v>1816</v>
      </c>
      <c r="G61" s="188">
        <v>2</v>
      </c>
      <c r="H61" s="188">
        <v>942</v>
      </c>
      <c r="I61" s="188">
        <v>0</v>
      </c>
      <c r="J61" s="188">
        <v>0</v>
      </c>
      <c r="K61" s="188">
        <v>1</v>
      </c>
      <c r="L61" s="188">
        <v>1200</v>
      </c>
      <c r="M61" s="188">
        <v>305</v>
      </c>
    </row>
    <row r="62" spans="1:13">
      <c r="A62" s="21"/>
      <c r="B62" s="187" t="s">
        <v>1635</v>
      </c>
      <c r="C62" s="188">
        <v>5.2</v>
      </c>
      <c r="D62" s="188">
        <v>53.8</v>
      </c>
      <c r="E62" s="188">
        <v>1</v>
      </c>
      <c r="F62" s="188">
        <v>696</v>
      </c>
      <c r="G62" s="188">
        <v>0</v>
      </c>
      <c r="H62" s="188">
        <v>0</v>
      </c>
      <c r="I62" s="188">
        <v>0</v>
      </c>
      <c r="J62" s="188">
        <v>0</v>
      </c>
      <c r="K62" s="188">
        <v>1</v>
      </c>
      <c r="L62" s="188">
        <v>1000</v>
      </c>
      <c r="M62" s="188">
        <v>137</v>
      </c>
    </row>
    <row r="63" spans="1:13">
      <c r="A63" s="21"/>
      <c r="B63" s="183" t="s">
        <v>7200</v>
      </c>
      <c r="C63" s="181">
        <v>12.4</v>
      </c>
      <c r="D63" s="181">
        <v>5.0999999999999996</v>
      </c>
      <c r="E63" s="181">
        <v>2</v>
      </c>
      <c r="F63" s="181">
        <v>1800</v>
      </c>
      <c r="G63" s="181">
        <v>0</v>
      </c>
      <c r="H63" s="181">
        <v>0</v>
      </c>
      <c r="I63" s="181">
        <v>0</v>
      </c>
      <c r="J63" s="181">
        <v>0</v>
      </c>
      <c r="K63" s="181">
        <v>6</v>
      </c>
      <c r="L63" s="181">
        <v>9600</v>
      </c>
      <c r="M63" s="181">
        <v>304</v>
      </c>
    </row>
    <row r="64" spans="1:13">
      <c r="A64" s="21"/>
      <c r="B64" s="187" t="s">
        <v>1627</v>
      </c>
      <c r="C64" s="188">
        <v>58.7</v>
      </c>
      <c r="D64" s="188">
        <v>20.5</v>
      </c>
      <c r="E64" s="188">
        <v>7</v>
      </c>
      <c r="F64" s="188">
        <v>7002</v>
      </c>
      <c r="G64" s="188">
        <v>0</v>
      </c>
      <c r="H64" s="188">
        <v>0</v>
      </c>
      <c r="I64" s="188">
        <v>0</v>
      </c>
      <c r="J64" s="188">
        <v>0</v>
      </c>
      <c r="K64" s="188">
        <v>0</v>
      </c>
      <c r="L64" s="188">
        <v>0</v>
      </c>
      <c r="M64" s="188">
        <v>1355</v>
      </c>
    </row>
    <row r="65" spans="1:13">
      <c r="A65" s="21"/>
      <c r="B65" s="187" t="s">
        <v>1634</v>
      </c>
      <c r="C65" s="188">
        <v>61.5</v>
      </c>
      <c r="D65" s="188">
        <v>38.1</v>
      </c>
      <c r="E65" s="188">
        <v>10</v>
      </c>
      <c r="F65" s="188">
        <v>9388</v>
      </c>
      <c r="G65" s="188">
        <v>0</v>
      </c>
      <c r="H65" s="188">
        <v>0</v>
      </c>
      <c r="I65" s="188">
        <v>0</v>
      </c>
      <c r="J65" s="188">
        <v>0</v>
      </c>
      <c r="K65" s="188">
        <v>0</v>
      </c>
      <c r="L65" s="188">
        <v>0</v>
      </c>
      <c r="M65" s="188">
        <v>1469</v>
      </c>
    </row>
    <row r="66" spans="1:13">
      <c r="A66" s="21"/>
      <c r="B66" s="187" t="s">
        <v>1624</v>
      </c>
      <c r="C66" s="188">
        <v>24.4</v>
      </c>
      <c r="D66" s="188">
        <v>35.9</v>
      </c>
      <c r="E66" s="188">
        <v>5</v>
      </c>
      <c r="F66" s="188">
        <v>3252</v>
      </c>
      <c r="G66" s="188">
        <v>0</v>
      </c>
      <c r="H66" s="188">
        <v>0</v>
      </c>
      <c r="I66" s="188">
        <v>0</v>
      </c>
      <c r="J66" s="188">
        <v>0</v>
      </c>
      <c r="K66" s="188">
        <v>3</v>
      </c>
      <c r="L66" s="188">
        <v>4000</v>
      </c>
      <c r="M66" s="188">
        <v>527</v>
      </c>
    </row>
    <row r="67" spans="1:13">
      <c r="A67" s="21"/>
      <c r="B67" s="183" t="s">
        <v>7201</v>
      </c>
      <c r="C67" s="181">
        <v>0</v>
      </c>
      <c r="D67" s="181">
        <v>0</v>
      </c>
      <c r="E67" s="181">
        <v>0</v>
      </c>
      <c r="F67" s="181">
        <v>0</v>
      </c>
      <c r="G67" s="181">
        <v>0</v>
      </c>
      <c r="H67" s="181">
        <v>0</v>
      </c>
      <c r="I67" s="181">
        <v>0</v>
      </c>
      <c r="J67" s="181">
        <v>0</v>
      </c>
      <c r="K67" s="181">
        <v>5</v>
      </c>
      <c r="L67" s="181">
        <v>5000</v>
      </c>
      <c r="M67" s="181">
        <v>0</v>
      </c>
    </row>
    <row r="68" spans="1:13">
      <c r="A68" s="21"/>
      <c r="B68" s="183" t="s">
        <v>7202</v>
      </c>
      <c r="C68" s="181">
        <v>0</v>
      </c>
      <c r="D68" s="181">
        <v>0</v>
      </c>
      <c r="E68" s="181">
        <v>0</v>
      </c>
      <c r="F68" s="181">
        <v>0</v>
      </c>
      <c r="G68" s="181">
        <v>0</v>
      </c>
      <c r="H68" s="181">
        <v>0</v>
      </c>
      <c r="I68" s="181">
        <v>4</v>
      </c>
      <c r="J68" s="181">
        <v>4800</v>
      </c>
      <c r="K68" s="181">
        <v>4</v>
      </c>
      <c r="L68" s="181">
        <v>4500</v>
      </c>
      <c r="M68" s="181">
        <v>0</v>
      </c>
    </row>
    <row r="69" spans="1:13">
      <c r="A69" s="21"/>
      <c r="B69" s="183" t="s">
        <v>7203</v>
      </c>
      <c r="C69" s="181">
        <v>84.9</v>
      </c>
      <c r="D69" s="181">
        <v>46.2</v>
      </c>
      <c r="E69" s="181">
        <v>15</v>
      </c>
      <c r="F69" s="181">
        <v>13168</v>
      </c>
      <c r="G69" s="181">
        <v>0</v>
      </c>
      <c r="H69" s="181">
        <v>0</v>
      </c>
      <c r="I69" s="181">
        <v>2</v>
      </c>
      <c r="J69" s="181">
        <v>1900</v>
      </c>
      <c r="K69" s="181">
        <v>11</v>
      </c>
      <c r="L69" s="181">
        <v>12000</v>
      </c>
      <c r="M69" s="181">
        <v>2356</v>
      </c>
    </row>
    <row r="70" spans="1:13">
      <c r="A70" s="21"/>
      <c r="B70" s="183" t="s">
        <v>7204</v>
      </c>
      <c r="C70" s="181">
        <v>0</v>
      </c>
      <c r="D70" s="181">
        <v>0</v>
      </c>
      <c r="E70" s="181">
        <v>0</v>
      </c>
      <c r="F70" s="181">
        <v>0</v>
      </c>
      <c r="G70" s="181">
        <v>2</v>
      </c>
      <c r="H70" s="181">
        <v>2800</v>
      </c>
      <c r="I70" s="181">
        <v>2</v>
      </c>
      <c r="J70" s="181">
        <v>2800</v>
      </c>
      <c r="K70" s="181">
        <v>10</v>
      </c>
      <c r="L70" s="181">
        <v>14400</v>
      </c>
      <c r="M70" s="181">
        <v>0</v>
      </c>
    </row>
    <row r="71" spans="1:13" ht="25.5">
      <c r="A71" s="21"/>
      <c r="B71" s="187" t="s">
        <v>1637</v>
      </c>
      <c r="C71" s="188">
        <v>64</v>
      </c>
      <c r="D71" s="188">
        <v>18.100000000000001</v>
      </c>
      <c r="E71" s="188">
        <v>16</v>
      </c>
      <c r="F71" s="188">
        <v>10038</v>
      </c>
      <c r="G71" s="188">
        <v>0</v>
      </c>
      <c r="H71" s="188">
        <v>0</v>
      </c>
      <c r="I71" s="188">
        <v>4</v>
      </c>
      <c r="J71" s="188">
        <v>6680</v>
      </c>
      <c r="K71" s="188">
        <v>9</v>
      </c>
      <c r="L71" s="188">
        <v>12000</v>
      </c>
      <c r="M71" s="188">
        <v>1775</v>
      </c>
    </row>
    <row r="72" spans="1:13">
      <c r="A72" s="21"/>
      <c r="B72" s="183" t="s">
        <v>7205</v>
      </c>
      <c r="C72" s="181">
        <v>770.7</v>
      </c>
      <c r="D72" s="181">
        <v>19</v>
      </c>
      <c r="E72" s="181">
        <v>100</v>
      </c>
      <c r="F72" s="181">
        <v>98951</v>
      </c>
      <c r="G72" s="181">
        <v>3</v>
      </c>
      <c r="H72" s="181">
        <v>3618</v>
      </c>
      <c r="I72" s="181">
        <v>9</v>
      </c>
      <c r="J72" s="181">
        <v>10860</v>
      </c>
      <c r="K72" s="181">
        <v>15</v>
      </c>
      <c r="L72" s="181">
        <v>24000</v>
      </c>
      <c r="M72" s="181">
        <v>18983</v>
      </c>
    </row>
    <row r="73" spans="1:13">
      <c r="B73" s="183" t="s">
        <v>7206</v>
      </c>
      <c r="C73" s="181">
        <v>0</v>
      </c>
      <c r="D73" s="181">
        <v>0</v>
      </c>
      <c r="E73" s="181">
        <v>0</v>
      </c>
      <c r="F73" s="181">
        <v>0</v>
      </c>
      <c r="G73" s="181">
        <v>0</v>
      </c>
      <c r="H73" s="181">
        <v>0</v>
      </c>
      <c r="I73" s="181">
        <v>4</v>
      </c>
      <c r="J73" s="181">
        <v>4000</v>
      </c>
      <c r="K73" s="181">
        <v>6</v>
      </c>
      <c r="L73" s="181">
        <v>6700</v>
      </c>
      <c r="M73" s="181">
        <v>0</v>
      </c>
    </row>
    <row r="74" spans="1:13">
      <c r="B74" s="184" t="s">
        <v>7207</v>
      </c>
      <c r="C74" s="184">
        <v>2346</v>
      </c>
      <c r="D74" s="184" t="s">
        <v>7208</v>
      </c>
      <c r="E74" s="184">
        <v>432</v>
      </c>
      <c r="F74" s="185">
        <v>371870</v>
      </c>
      <c r="G74" s="184">
        <v>68</v>
      </c>
      <c r="H74" s="185">
        <v>71226</v>
      </c>
      <c r="I74" s="184">
        <v>162</v>
      </c>
      <c r="J74" s="185">
        <v>183025</v>
      </c>
      <c r="K74" s="184">
        <v>316</v>
      </c>
      <c r="L74" s="185">
        <v>358750</v>
      </c>
      <c r="M74" s="185">
        <v>66512</v>
      </c>
    </row>
    <row r="75" spans="1:13">
      <c r="B75" s="186"/>
      <c r="C75" s="180" t="s">
        <v>7164</v>
      </c>
      <c r="D75" s="180" t="s">
        <v>7171</v>
      </c>
      <c r="E75" s="180" t="s">
        <v>7172</v>
      </c>
      <c r="F75" s="180" t="s">
        <v>190</v>
      </c>
      <c r="G75" s="180" t="s">
        <v>7172</v>
      </c>
      <c r="H75" s="180" t="s">
        <v>190</v>
      </c>
      <c r="I75" s="180" t="s">
        <v>7172</v>
      </c>
      <c r="J75" s="180" t="s">
        <v>190</v>
      </c>
      <c r="K75" s="180" t="s">
        <v>7172</v>
      </c>
      <c r="L75" s="180" t="s">
        <v>190</v>
      </c>
      <c r="M75" s="180" t="s">
        <v>7175</v>
      </c>
    </row>
    <row r="76" spans="1:13" ht="60" customHeight="1">
      <c r="B76" s="182"/>
      <c r="C76" s="230" t="s">
        <v>7209</v>
      </c>
      <c r="D76" s="230"/>
      <c r="E76" s="230" t="s">
        <v>7166</v>
      </c>
      <c r="F76" s="230"/>
      <c r="G76" s="230" t="s">
        <v>7167</v>
      </c>
      <c r="H76" s="230"/>
      <c r="I76" s="230" t="s">
        <v>7210</v>
      </c>
      <c r="J76" s="230"/>
      <c r="K76" s="230" t="s">
        <v>7211</v>
      </c>
      <c r="L76" s="230"/>
      <c r="M76" s="181" t="s">
        <v>7212</v>
      </c>
    </row>
    <row r="77" spans="1:13">
      <c r="B77" s="175"/>
    </row>
    <row r="78" spans="1:13">
      <c r="B78" s="173"/>
    </row>
    <row r="79" spans="1:13">
      <c r="B79" s="87" t="s">
        <v>7150</v>
      </c>
    </row>
    <row r="80" spans="1:13">
      <c r="B80" s="87" t="s">
        <v>7151</v>
      </c>
    </row>
    <row r="81" spans="2:4">
      <c r="B81" s="87" t="s">
        <v>7152</v>
      </c>
    </row>
    <row r="82" spans="2:4">
      <c r="B82" s="87"/>
    </row>
    <row r="83" spans="2:4">
      <c r="B83" s="87" t="s">
        <v>7153</v>
      </c>
    </row>
    <row r="84" spans="2:4">
      <c r="B84" s="87" t="s">
        <v>7154</v>
      </c>
    </row>
    <row r="85" spans="2:4">
      <c r="B85" s="87" t="s">
        <v>3577</v>
      </c>
    </row>
    <row r="86" spans="2:4">
      <c r="B86" s="87" t="s">
        <v>7155</v>
      </c>
    </row>
    <row r="87" spans="2:4">
      <c r="B87" s="87"/>
    </row>
    <row r="88" spans="2:4">
      <c r="B88" s="87" t="s">
        <v>7156</v>
      </c>
    </row>
    <row r="89" spans="2:4">
      <c r="B89" s="84"/>
    </row>
    <row r="90" spans="2:4">
      <c r="B90" s="176" t="s">
        <v>7157</v>
      </c>
    </row>
    <row r="91" spans="2:4">
      <c r="B91" s="176"/>
    </row>
    <row r="92" spans="2:4">
      <c r="B92" s="177" t="s">
        <v>7158</v>
      </c>
    </row>
    <row r="93" spans="2:4">
      <c r="B93" s="87"/>
    </row>
    <row r="94" spans="2:4">
      <c r="B94" s="87" t="s">
        <v>7159</v>
      </c>
    </row>
    <row r="95" spans="2:4">
      <c r="B95" s="87"/>
      <c r="D95">
        <f>62552/73768</f>
        <v>0.84795575317210714</v>
      </c>
    </row>
    <row r="96" spans="2:4">
      <c r="B96" s="87" t="s">
        <v>7160</v>
      </c>
    </row>
    <row r="97" spans="2:2">
      <c r="B97" s="178" t="s">
        <v>7161</v>
      </c>
    </row>
    <row r="98" spans="2:2">
      <c r="B98" s="87"/>
    </row>
    <row r="99" spans="2:2">
      <c r="B99" s="178"/>
    </row>
    <row r="100" spans="2:2">
      <c r="B100" s="87"/>
    </row>
    <row r="101" spans="2:2">
      <c r="B101" s="87"/>
    </row>
    <row r="102" spans="2:2">
      <c r="B102" s="179"/>
    </row>
  </sheetData>
  <mergeCells count="40">
    <mergeCell ref="L47:L48"/>
    <mergeCell ref="M47:M48"/>
    <mergeCell ref="M25:M26"/>
    <mergeCell ref="B47:B48"/>
    <mergeCell ref="C47:C48"/>
    <mergeCell ref="D47:D48"/>
    <mergeCell ref="E47:E48"/>
    <mergeCell ref="F47:F48"/>
    <mergeCell ref="G47:G48"/>
    <mergeCell ref="H47:H48"/>
    <mergeCell ref="I47:I48"/>
    <mergeCell ref="J47:J48"/>
    <mergeCell ref="C21:D22"/>
    <mergeCell ref="M21:M22"/>
    <mergeCell ref="B25:B26"/>
    <mergeCell ref="C25:C26"/>
    <mergeCell ref="D25:D26"/>
    <mergeCell ref="E25:E26"/>
    <mergeCell ref="F25:F26"/>
    <mergeCell ref="G25:G26"/>
    <mergeCell ref="L25:L26"/>
    <mergeCell ref="K47:K48"/>
    <mergeCell ref="H25:H26"/>
    <mergeCell ref="I25:I26"/>
    <mergeCell ref="E21:F21"/>
    <mergeCell ref="E22:F22"/>
    <mergeCell ref="G21:H21"/>
    <mergeCell ref="G22:H22"/>
    <mergeCell ref="I21:J21"/>
    <mergeCell ref="I22:J22"/>
    <mergeCell ref="K76:L76"/>
    <mergeCell ref="B19:M19"/>
    <mergeCell ref="C76:D76"/>
    <mergeCell ref="E76:F76"/>
    <mergeCell ref="G76:H76"/>
    <mergeCell ref="I76:J76"/>
    <mergeCell ref="K21:L21"/>
    <mergeCell ref="K22:L22"/>
    <mergeCell ref="J25:J26"/>
    <mergeCell ref="K25:K26"/>
  </mergeCells>
  <phoneticPr fontId="13" type="noConversion"/>
  <hyperlinks>
    <hyperlink ref="C2" r:id="rId1"/>
    <hyperlink ref="C4" r:id="rId2"/>
    <hyperlink ref="B24" r:id="rId3" tooltip="Nuclear Power in Argentina" display="http://www.world-nuclear.org/WorkArea/linkit.aspx?LinkIdentifier=id&amp;ItemID=306"/>
    <hyperlink ref="B25" r:id="rId4" tooltip="Nuclear Power in Armenia" display="http://www.world-nuclear.org/WorkArea/linkit.aspx?LinkIdentifier=id&amp;ItemID=308"/>
    <hyperlink ref="B27" r:id="rId5" tooltip="Emerging Nuclear Energy Countries" display="http://www.world-nuclear.org/WorkArea/linkit.aspx?LinkIdentifier=id&amp;ItemID=326"/>
    <hyperlink ref="B28" r:id="rId6" tooltip="Emerging Nuclear Energy Countries" display="http://www.world-nuclear.org/info/inf133_belarus.html"/>
    <hyperlink ref="B29" r:id="rId7" tooltip="Nuclear Power in Belgium" display="http://www.world-nuclear.org/WorkArea/linkit.aspx?LinkIdentifier=id&amp;ItemID=312"/>
    <hyperlink ref="B30" r:id="rId8" tooltip="Nuclear Power in Brazil" display="http://www.world-nuclear.org/WorkArea/linkit.aspx?LinkIdentifier=id&amp;ItemID=314"/>
    <hyperlink ref="B31" r:id="rId9" tooltip="Nuclear Power in Bulgaria" display="http://www.world-nuclear.org/WorkArea/linkit.aspx?LinkIdentifier=id&amp;ItemID=316"/>
    <hyperlink ref="B32" r:id="rId10" tooltip="Canada " display="http://www.world-nuclear.org/info/inf49a_Nuclear_Power_in_Canada.html"/>
    <hyperlink ref="B33" r:id="rId11" tooltip="Emerging Nuclear Energy Countries" display="http://www.world-nuclear.org/WorkArea/linkit.aspx?LinkIdentifier=id&amp;ItemID=326"/>
    <hyperlink ref="B34" r:id="rId12" tooltip="Nuclear Power in China" display="http://www.world-nuclear.org/WorkArea/linkit.aspx?LinkIdentifier=id&amp;ItemID=320"/>
    <hyperlink ref="B35" r:id="rId13" tooltip="Nuclear Power in Czech Republic" display="http://www.world-nuclear.org/WorkArea/linkit.aspx?LinkIdentifier=id&amp;ItemID=322"/>
    <hyperlink ref="B36" r:id="rId14" tooltip="Emerging Nuclear Energy Countries" display="http://www.world-nuclear.org/WorkArea/linkit.aspx?LinkIdentifier=id&amp;ItemID=326"/>
    <hyperlink ref="B37" r:id="rId15" tooltip="Nuclear Power in Finland" display="http://www.world-nuclear.org/WorkArea/linkit.aspx?LinkIdentifier=id&amp;ItemID=328"/>
    <hyperlink ref="B38" r:id="rId16" tooltip="Nuclear Power in France" display="http://www.world-nuclear.org/WorkArea/linkit.aspx?LinkIdentifier=id&amp;ItemID=330"/>
    <hyperlink ref="B39" r:id="rId17" tooltip="Nuclear Power in Germany" display="http://www.world-nuclear.org/WorkArea/linkit.aspx?LinkIdentifier=id&amp;ItemID=332"/>
    <hyperlink ref="B40" r:id="rId18" tooltip="Nuclear Power in Hungary" display="http://www.world-nuclear.org/WorkArea/linkit.aspx?LinkIdentifier=id&amp;ItemID=334"/>
    <hyperlink ref="B41" r:id="rId19" tooltip="Nuclear Power in India" display="http://www.world-nuclear.org/WorkArea/linkit.aspx?LinkIdentifier=id&amp;ItemID=338"/>
    <hyperlink ref="B42" r:id="rId20" tooltip="Emerging Nuclear Energy Countries" display="http://www.world-nuclear.org/WorkArea/linkit.aspx?LinkIdentifier=id&amp;ItemID=326"/>
    <hyperlink ref="B43" r:id="rId21" tooltip="Iran" display="http://http/www.world-nuclear.org/info/inf119_nucleariran.html"/>
    <hyperlink ref="B44" r:id="rId22" tooltip="Emerging Nuclear Energy Countries" display="http://www.world-nuclear.org/WorkArea/linkit.aspx?LinkIdentifier=id&amp;ItemID=326"/>
    <hyperlink ref="B45" r:id="rId23" tooltip="Italy" display="http://www.world-nuclear.org/info/inf101.html"/>
    <hyperlink ref="B46" r:id="rId24" tooltip="Nuclear Power in Japan" display="http://www.world-nuclear.org/WorkArea/linkit.aspx?LinkIdentifier=id&amp;ItemID=344"/>
    <hyperlink ref="B47" r:id="rId25" tooltip="Emerging Nuclear Energy Countries" display="http://www.world-nuclear.org/info/inf102.html"/>
    <hyperlink ref="B49" r:id="rId26" tooltip="Uranium and Nuclear Power in Kazakhstan" display="http://www.world-nuclear.org/WorkArea/linkit.aspx?LinkIdentifier=id&amp;ItemID=346"/>
    <hyperlink ref="B50" r:id="rId27" tooltip="Emerging Nuclear Energy Countries" display="http://www.world-nuclear.org/WorkArea/linkit.aspx?LinkIdentifier=id&amp;ItemID=326"/>
    <hyperlink ref="B51" r:id="rId28" tooltip="Nuclear Power in Korea" display="http://www.world-nuclear.org/WorkArea/linkit.aspx?LinkIdentifier=id&amp;ItemID=348"/>
    <hyperlink ref="B52" r:id="rId29" tooltip="Nuclear Power in Lithuania" display="http://www.world-nuclear.org/WorkArea/linkit.aspx?LinkIdentifier=id&amp;ItemID=350"/>
    <hyperlink ref="B53" r:id="rId30" tooltip="Emerging Nuclear Energy Countries" display="http://www.world-nuclear.org/WorkArea/linkit.aspx?LinkIdentifier=id&amp;ItemID=326"/>
    <hyperlink ref="B54" r:id="rId31" tooltip="Nuclear Power in Mexico" display="http://www.world-nuclear.org/WorkArea/linkit.aspx?LinkIdentifier=id&amp;ItemID=352"/>
    <hyperlink ref="B55" r:id="rId32" tooltip="Nuclear Power in the Netherlands" display="http://www.world-nuclear.org/WorkArea/linkit.aspx?LinkIdentifier=id&amp;ItemID=356"/>
    <hyperlink ref="B56" r:id="rId33" tooltip="Nuclear Power in Pakistan" display="http://www.world-nuclear.org/WorkArea/linkit.aspx?LinkIdentifier=id&amp;ItemID=362"/>
    <hyperlink ref="B57" r:id="rId34" tooltip="Poland" display="http://http/www.world-nuclear.org/info/inf132_poland.html"/>
    <hyperlink ref="B58" r:id="rId35" tooltip="Nuclear Power in Romania" display="http://www.world-nuclear.org/WorkArea/linkit.aspx?LinkIdentifier=id&amp;ItemID=364"/>
    <hyperlink ref="B59" r:id="rId36" tooltip="Nuclear Power in Russia" display="http://www.world-nuclear.org/WorkArea/linkit.aspx?LinkIdentifier=id&amp;ItemID=366"/>
    <hyperlink ref="B60" r:id="rId37" tooltip="Emerging Nuclear Countries" display="http://www.world-nuclear.org/info/inf102.html"/>
    <hyperlink ref="B61" r:id="rId38" tooltip="Nuclear Power in Slovakia" display="http://www.world-nuclear.org/WorkArea/linkit.aspx?LinkIdentifier=id&amp;ItemID=368"/>
    <hyperlink ref="B62" r:id="rId39" tooltip="Nuclear Power in Slovenia" display="http://www.world-nuclear.org/WorkArea/linkit.aspx?LinkIdentifier=id&amp;ItemID=370"/>
    <hyperlink ref="B63" r:id="rId40" tooltip="Nuclear Power in South Africa" display="http://www.world-nuclear.org/WorkArea/linkit.aspx?LinkIdentifier=id&amp;ItemID=372"/>
    <hyperlink ref="B64" r:id="rId41" tooltip="Nuclear Power in Spain" display="http://www.world-nuclear.org/WorkArea/linkit.aspx?LinkIdentifier=id&amp;ItemID=374"/>
    <hyperlink ref="B65" r:id="rId42" tooltip="Nuclear Power in Sweden" display="http://www.world-nuclear.org/WorkArea/linkit.aspx?LinkIdentifier=id&amp;ItemID=376"/>
    <hyperlink ref="B66" r:id="rId43" tooltip="Nuclear Power in Switzerland" display="http://www.world-nuclear.org/WorkArea/linkit.aspx?LinkIdentifier=id&amp;ItemID=378"/>
    <hyperlink ref="B67" r:id="rId44" tooltip="Emerging Nuclear Energy Countries" display="http://www.world-nuclear.org/WorkArea/linkit.aspx?LinkIdentifier=id&amp;ItemID=326"/>
    <hyperlink ref="B68" r:id="rId45" tooltip="Turkey" display="http://http/www.world-nuclear.org/info/inf128-nuclear_power_in_turkey.html"/>
    <hyperlink ref="B69" r:id="rId46" tooltip="Nuclear Power in Ukraine" display="http://www.world-nuclear.org/WorkArea/linkit.aspx?LinkIdentifier=id&amp;ItemID=380"/>
    <hyperlink ref="B70" r:id="rId47" tooltip="UAE" display="http://http/www.world-nuclear.org/info/UAE_nuclear_power_inf123.html"/>
    <hyperlink ref="B71" r:id="rId48" tooltip="Nuclear Power in the United Kingdom" display="http://www.world-nuclear.org/WorkArea/linkit.aspx?LinkIdentifier=id&amp;ItemID=382"/>
    <hyperlink ref="B72" r:id="rId49" tooltip="Nuclear Power in the USA" display="http://www.world-nuclear.org/WorkArea/linkit.aspx?LinkIdentifier=id&amp;ItemID=384"/>
    <hyperlink ref="B73" r:id="rId50" tooltip="Vietnam" display="http://www.world-nuclear.org/info/vietnam_inf131.html"/>
  </hyperlinks>
  <pageMargins left="0.75" right="0.75" top="1" bottom="1" header="0.5" footer="0.5"/>
  <pageSetup paperSize="9" orientation="portrait" r:id="rId5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0000"/>
  </sheetPr>
  <dimension ref="B2:N32"/>
  <sheetViews>
    <sheetView topLeftCell="A22" zoomScale="85" zoomScaleNormal="85" workbookViewId="0">
      <selection activeCell="D3" sqref="D3"/>
    </sheetView>
  </sheetViews>
  <sheetFormatPr defaultColWidth="8.85546875" defaultRowHeight="12.75"/>
  <cols>
    <col min="1" max="1" width="3.7109375" customWidth="1"/>
    <col min="2" max="2" width="11.85546875" customWidth="1"/>
  </cols>
  <sheetData>
    <row r="2" spans="2:8">
      <c r="B2" s="37" t="s">
        <v>1563</v>
      </c>
      <c r="C2" s="66"/>
      <c r="D2" s="66"/>
      <c r="E2" s="19"/>
      <c r="F2" s="19"/>
      <c r="G2" s="19"/>
      <c r="H2" s="19"/>
    </row>
    <row r="3" spans="2:8">
      <c r="B3" s="37" t="s">
        <v>1564</v>
      </c>
      <c r="C3" s="37">
        <v>65000</v>
      </c>
      <c r="D3" s="66"/>
      <c r="E3" s="19"/>
      <c r="F3" s="19"/>
      <c r="G3" s="19"/>
      <c r="H3" s="19"/>
    </row>
    <row r="4" spans="2:8">
      <c r="B4" s="19"/>
      <c r="C4" s="19"/>
      <c r="D4" s="19"/>
      <c r="E4" s="19"/>
      <c r="F4" s="19"/>
      <c r="G4" s="19"/>
      <c r="H4" s="19"/>
    </row>
    <row r="5" spans="2:8">
      <c r="B5" s="19"/>
      <c r="C5" s="19"/>
      <c r="D5" s="19"/>
      <c r="E5" s="19"/>
      <c r="F5" s="19"/>
      <c r="G5" s="19"/>
      <c r="H5" s="19"/>
    </row>
    <row r="6" spans="2:8" ht="13.5" thickBot="1">
      <c r="B6" s="19"/>
      <c r="C6" s="19"/>
      <c r="D6" s="19"/>
      <c r="E6" s="19"/>
      <c r="F6" s="19"/>
      <c r="G6" s="19"/>
      <c r="H6" s="19"/>
    </row>
    <row r="7" spans="2:8">
      <c r="B7" s="38" t="s">
        <v>1565</v>
      </c>
      <c r="C7" s="39"/>
      <c r="D7" s="39"/>
      <c r="E7" s="39"/>
      <c r="F7" s="39"/>
      <c r="G7" s="39"/>
      <c r="H7" s="40">
        <v>8</v>
      </c>
    </row>
    <row r="8" spans="2:8">
      <c r="B8" s="41" t="s">
        <v>1614</v>
      </c>
      <c r="C8" s="42"/>
      <c r="D8" s="42"/>
      <c r="E8" s="42"/>
      <c r="F8" s="42"/>
      <c r="G8" s="42"/>
      <c r="H8" s="43">
        <v>4</v>
      </c>
    </row>
    <row r="9" spans="2:8" ht="13.5" thickBot="1">
      <c r="B9" s="44" t="s">
        <v>1566</v>
      </c>
      <c r="C9" s="45"/>
      <c r="D9" s="45"/>
      <c r="E9" s="45"/>
      <c r="F9" s="45"/>
      <c r="G9" s="45"/>
      <c r="H9" s="46">
        <v>1</v>
      </c>
    </row>
    <row r="10" spans="2:8">
      <c r="B10" s="19"/>
      <c r="C10" s="19"/>
      <c r="D10" s="19"/>
      <c r="E10" s="19"/>
      <c r="F10" s="19"/>
      <c r="G10" s="19"/>
      <c r="H10" s="19"/>
    </row>
    <row r="11" spans="2:8">
      <c r="B11" s="19"/>
      <c r="C11" s="19"/>
      <c r="D11" s="19"/>
      <c r="E11" s="19"/>
      <c r="F11" s="19"/>
      <c r="G11" s="19"/>
      <c r="H11" s="19"/>
    </row>
    <row r="12" spans="2:8">
      <c r="B12" s="19"/>
      <c r="C12" s="19"/>
      <c r="D12" s="19"/>
      <c r="E12" s="19"/>
      <c r="F12" s="19"/>
      <c r="G12" s="19"/>
      <c r="H12" s="19"/>
    </row>
    <row r="13" spans="2:8">
      <c r="B13" s="19" t="s">
        <v>1567</v>
      </c>
      <c r="C13" s="19"/>
      <c r="D13" s="19"/>
      <c r="E13" s="19"/>
      <c r="F13" s="19"/>
      <c r="G13" s="19"/>
      <c r="H13" s="19"/>
    </row>
    <row r="14" spans="2:8">
      <c r="B14" s="32" t="s">
        <v>1568</v>
      </c>
      <c r="C14" s="19"/>
      <c r="D14" s="19"/>
      <c r="E14" s="19"/>
      <c r="F14" s="19"/>
      <c r="G14" s="19"/>
      <c r="H14" s="19"/>
    </row>
    <row r="18" spans="2:14">
      <c r="B18" s="32" t="s">
        <v>1645</v>
      </c>
    </row>
    <row r="21" spans="2:14" s="19" customFormat="1">
      <c r="B21" s="64" t="s">
        <v>1655</v>
      </c>
      <c r="C21" s="65"/>
      <c r="D21" s="65"/>
      <c r="E21" s="65"/>
      <c r="F21" s="65"/>
      <c r="G21" s="65"/>
      <c r="H21" s="65"/>
      <c r="I21" s="64" t="s">
        <v>1656</v>
      </c>
      <c r="J21" s="65"/>
      <c r="K21" s="65"/>
      <c r="L21" s="65"/>
      <c r="M21" s="65"/>
      <c r="N21" s="65"/>
    </row>
    <row r="22" spans="2:14" s="19" customFormat="1">
      <c r="B22" s="65"/>
      <c r="C22" s="65"/>
      <c r="D22" s="65"/>
      <c r="E22" s="65"/>
      <c r="F22" s="65"/>
      <c r="G22" s="65"/>
      <c r="H22" s="65"/>
      <c r="I22" s="64" t="s">
        <v>1657</v>
      </c>
      <c r="J22" s="65"/>
      <c r="K22" s="65"/>
      <c r="L22" s="65"/>
      <c r="M22" s="65"/>
      <c r="N22" s="65"/>
    </row>
    <row r="24" spans="2:14" s="19" customFormat="1">
      <c r="I24" s="64" t="s">
        <v>1658</v>
      </c>
      <c r="J24" s="65"/>
      <c r="K24" s="65"/>
      <c r="L24" s="65"/>
      <c r="M24" s="65"/>
      <c r="N24" s="65"/>
    </row>
    <row r="27" spans="2:14" s="19" customFormat="1"/>
    <row r="28" spans="2:14" s="19" customFormat="1">
      <c r="B28" s="67" t="s">
        <v>1667</v>
      </c>
    </row>
    <row r="29" spans="2:14" s="19" customFormat="1">
      <c r="B29" s="62"/>
      <c r="C29" s="18" t="s">
        <v>1663</v>
      </c>
    </row>
    <row r="30" spans="2:14" s="19" customFormat="1">
      <c r="B30" s="58"/>
      <c r="C30" s="60" t="s">
        <v>1666</v>
      </c>
    </row>
    <row r="31" spans="2:14">
      <c r="B31" s="59"/>
      <c r="C31" s="60" t="s">
        <v>1665</v>
      </c>
    </row>
    <row r="32" spans="2:14">
      <c r="B32" s="59"/>
      <c r="C32" s="60" t="s">
        <v>1664</v>
      </c>
    </row>
  </sheetData>
  <phoneticPr fontId="0" type="noConversion"/>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B1:AA52"/>
  <sheetViews>
    <sheetView topLeftCell="A25" zoomScale="85" zoomScaleNormal="85" workbookViewId="0">
      <selection activeCell="E47" sqref="E47"/>
    </sheetView>
  </sheetViews>
  <sheetFormatPr defaultColWidth="8.85546875" defaultRowHeight="12.75"/>
  <cols>
    <col min="1" max="1" width="8.85546875" style="19"/>
    <col min="2" max="2" width="14.28515625" style="19" bestFit="1" customWidth="1"/>
    <col min="3" max="5" width="8.85546875" style="19"/>
    <col min="6" max="6" width="15.85546875" style="19" customWidth="1"/>
    <col min="7" max="9" width="19.7109375" style="19" customWidth="1"/>
    <col min="10" max="10" width="8.85546875" style="19"/>
    <col min="11" max="11" width="3.140625" style="19" bestFit="1" customWidth="1"/>
    <col min="12" max="12" width="8.85546875" style="19"/>
    <col min="13" max="13" width="2.7109375" style="19" customWidth="1"/>
    <col min="14" max="14" width="8.85546875" style="19"/>
    <col min="15" max="15" width="2.7109375" style="19" customWidth="1"/>
    <col min="16" max="16" width="8.85546875" style="19"/>
    <col min="17" max="17" width="2.7109375" style="19" customWidth="1"/>
    <col min="18" max="18" width="8.85546875" style="19"/>
    <col min="19" max="19" width="2.7109375" style="19" customWidth="1"/>
    <col min="20" max="20" width="8.85546875" style="19"/>
    <col min="21" max="21" width="2.7109375" style="19" customWidth="1"/>
    <col min="22" max="22" width="8.85546875" style="19"/>
    <col min="23" max="23" width="2.7109375" style="19" customWidth="1"/>
    <col min="24" max="24" width="8.85546875" style="19"/>
    <col min="25" max="25" width="2.7109375" style="19" customWidth="1"/>
    <col min="26" max="26" width="2.7109375" style="30" customWidth="1"/>
    <col min="27" max="16384" width="8.85546875" style="19"/>
  </cols>
  <sheetData>
    <row r="1" spans="2:26" s="27" customFormat="1" ht="38.25" customHeight="1" thickBot="1">
      <c r="C1" s="16" t="s">
        <v>7130</v>
      </c>
      <c r="D1" s="16" t="s">
        <v>7129</v>
      </c>
      <c r="E1" s="16" t="s">
        <v>7139</v>
      </c>
      <c r="F1" s="16" t="s">
        <v>7217</v>
      </c>
      <c r="G1" s="16" t="s">
        <v>7219</v>
      </c>
      <c r="H1" s="16"/>
      <c r="I1" s="16"/>
      <c r="J1" s="236" t="s">
        <v>1615</v>
      </c>
      <c r="K1" s="236"/>
      <c r="L1" s="236"/>
      <c r="M1" s="236"/>
      <c r="N1" s="236"/>
      <c r="O1" s="236"/>
      <c r="P1" s="236"/>
      <c r="Q1" s="236"/>
      <c r="R1" s="236"/>
      <c r="S1" s="236"/>
      <c r="T1" s="236"/>
      <c r="U1" s="236"/>
      <c r="V1" s="236"/>
      <c r="W1" s="236"/>
      <c r="X1" s="236"/>
      <c r="Z1" s="48"/>
    </row>
    <row r="2" spans="2:26" s="16" customFormat="1" ht="13.5" thickBot="1">
      <c r="B2" s="49" t="s">
        <v>7143</v>
      </c>
      <c r="C2" s="49" t="s">
        <v>1556</v>
      </c>
      <c r="D2" s="49" t="s">
        <v>1556</v>
      </c>
      <c r="E2" s="49" t="s">
        <v>1556</v>
      </c>
      <c r="F2" s="49" t="s">
        <v>7218</v>
      </c>
      <c r="G2" s="49" t="s">
        <v>7220</v>
      </c>
      <c r="H2" s="49"/>
      <c r="I2" s="49"/>
      <c r="J2" s="49" t="s">
        <v>2820</v>
      </c>
      <c r="K2" s="50" t="s">
        <v>1616</v>
      </c>
      <c r="L2" s="49" t="s">
        <v>5181</v>
      </c>
      <c r="M2" s="50" t="s">
        <v>1616</v>
      </c>
      <c r="N2" s="49" t="s">
        <v>1617</v>
      </c>
      <c r="O2" s="50" t="s">
        <v>1616</v>
      </c>
      <c r="P2" s="49" t="s">
        <v>1618</v>
      </c>
      <c r="Q2" s="50" t="s">
        <v>1616</v>
      </c>
      <c r="R2" s="49" t="s">
        <v>1619</v>
      </c>
      <c r="S2" s="50" t="s">
        <v>1616</v>
      </c>
      <c r="T2" s="49" t="s">
        <v>1620</v>
      </c>
      <c r="U2" s="50" t="s">
        <v>1616</v>
      </c>
      <c r="V2" s="49" t="s">
        <v>1621</v>
      </c>
      <c r="W2" s="50" t="s">
        <v>1616</v>
      </c>
      <c r="X2" s="49" t="s">
        <v>5629</v>
      </c>
      <c r="Y2" s="50" t="s">
        <v>1616</v>
      </c>
      <c r="Z2" s="51"/>
    </row>
    <row r="3" spans="2:26" s="16" customFormat="1" ht="13.5" thickBot="1">
      <c r="B3" s="52" t="s">
        <v>1622</v>
      </c>
      <c r="C3" s="168">
        <f t="shared" ref="C3:C20" si="0">SUM(D3:E3)</f>
        <v>5.9269999999999996</v>
      </c>
      <c r="D3" s="168">
        <f>ELC_BE!F$21</f>
        <v>5.9269999999999996</v>
      </c>
      <c r="E3" s="168">
        <f>ELC_BE!F$22</f>
        <v>0</v>
      </c>
      <c r="F3" s="168">
        <f>ELC_BE!H$22</f>
        <v>11</v>
      </c>
      <c r="G3" s="168">
        <f>IF(F3=0,"",D3/F3)</f>
        <v>0.53881818181818175</v>
      </c>
      <c r="H3" s="168"/>
      <c r="I3" s="168"/>
      <c r="J3" s="168"/>
      <c r="K3" s="53"/>
      <c r="L3" s="52"/>
      <c r="M3" s="53"/>
      <c r="N3" s="52"/>
      <c r="O3" s="53"/>
      <c r="P3" s="52"/>
      <c r="Q3" s="53"/>
      <c r="R3" s="52"/>
      <c r="S3" s="53"/>
      <c r="T3" s="52"/>
      <c r="U3" s="53"/>
      <c r="V3" s="52"/>
      <c r="W3" s="53"/>
      <c r="X3" s="52"/>
      <c r="Y3" s="53"/>
      <c r="Z3" s="51"/>
    </row>
    <row r="4" spans="2:26" s="16" customFormat="1" ht="13.5" thickBot="1">
      <c r="B4" s="52" t="s">
        <v>1623</v>
      </c>
      <c r="C4" s="168">
        <f t="shared" si="0"/>
        <v>5.9020000000000001</v>
      </c>
      <c r="D4" s="168">
        <f>ELC_BG!F$21</f>
        <v>2.722</v>
      </c>
      <c r="E4" s="168">
        <f>ELC_BG!F$22</f>
        <v>3.18</v>
      </c>
      <c r="F4" s="168">
        <f>ELC_BG!H$22</f>
        <v>11</v>
      </c>
      <c r="G4" s="168">
        <f t="shared" ref="G4:G20" si="1">IF(F4=0,"",D4/F4)</f>
        <v>0.24745454545454545</v>
      </c>
      <c r="H4" s="168"/>
      <c r="I4" s="168"/>
      <c r="J4" s="168"/>
      <c r="K4" s="53"/>
      <c r="L4" s="52"/>
      <c r="M4" s="53"/>
      <c r="N4" s="52"/>
      <c r="O4" s="53"/>
      <c r="P4" s="52"/>
      <c r="Q4" s="53"/>
      <c r="R4" s="52"/>
      <c r="S4" s="53"/>
      <c r="T4" s="52"/>
      <c r="U4" s="53"/>
      <c r="V4" s="52"/>
      <c r="W4" s="53"/>
      <c r="X4" s="52"/>
      <c r="Y4" s="53"/>
      <c r="Z4" s="51"/>
    </row>
    <row r="5" spans="2:26" ht="13.5" thickBot="1">
      <c r="B5" s="52" t="s">
        <v>1625</v>
      </c>
      <c r="C5" s="168">
        <f t="shared" si="0"/>
        <v>7.2263099703849951</v>
      </c>
      <c r="D5" s="168">
        <f>ELC_CZ!F$21</f>
        <v>3.8040000000000003</v>
      </c>
      <c r="E5" s="168">
        <f>ELC_CZ!F$22</f>
        <v>3.4223099703849948</v>
      </c>
      <c r="F5" s="168">
        <f>ELC_CZ!H$22</f>
        <v>17</v>
      </c>
      <c r="G5" s="168">
        <f t="shared" si="1"/>
        <v>0.22376470588235295</v>
      </c>
      <c r="H5" s="168"/>
      <c r="I5" s="168"/>
      <c r="J5" s="168"/>
      <c r="K5" s="53"/>
      <c r="L5" s="52"/>
      <c r="M5" s="53"/>
      <c r="N5" s="52"/>
      <c r="O5" s="53"/>
      <c r="P5" s="52"/>
      <c r="Q5" s="53"/>
      <c r="R5" s="52"/>
      <c r="S5" s="53"/>
      <c r="T5" s="52"/>
      <c r="U5" s="53"/>
      <c r="V5" s="52"/>
      <c r="W5" s="53"/>
      <c r="X5" s="52"/>
      <c r="Y5" s="53"/>
      <c r="Z5" s="54"/>
    </row>
    <row r="6" spans="2:26" ht="13.5" thickBot="1">
      <c r="B6" s="52" t="s">
        <v>1628</v>
      </c>
      <c r="C6" s="168">
        <f t="shared" si="0"/>
        <v>5.952</v>
      </c>
      <c r="D6" s="168">
        <f>ELC_FI!F$21</f>
        <v>2.7519999999999998</v>
      </c>
      <c r="E6" s="168">
        <f>ELC_FI!F$22</f>
        <v>3.2</v>
      </c>
      <c r="F6" s="168">
        <f>ELC_FI!H$22</f>
        <v>3</v>
      </c>
      <c r="G6" s="168">
        <f t="shared" si="1"/>
        <v>0.91733333333333322</v>
      </c>
      <c r="H6" s="168"/>
      <c r="I6" s="168"/>
      <c r="J6" s="168"/>
      <c r="K6" s="53"/>
      <c r="L6" s="52"/>
      <c r="M6" s="53"/>
      <c r="N6" s="52"/>
      <c r="O6" s="53"/>
      <c r="P6" s="52"/>
      <c r="Q6" s="53"/>
      <c r="R6" s="52"/>
      <c r="S6" s="53"/>
      <c r="T6" s="52"/>
      <c r="U6" s="53"/>
      <c r="V6" s="52"/>
      <c r="W6" s="53"/>
      <c r="X6" s="52"/>
      <c r="Y6" s="53"/>
      <c r="Z6" s="54"/>
    </row>
    <row r="7" spans="2:26" ht="13.5" thickBot="1">
      <c r="B7" s="52" t="s">
        <v>1629</v>
      </c>
      <c r="C7" s="168">
        <f t="shared" si="0"/>
        <v>66.519999999999982</v>
      </c>
      <c r="D7" s="168">
        <f>ELC_FR!F75</f>
        <v>63.259999999999984</v>
      </c>
      <c r="E7" s="168">
        <f>ELC_FR!F76</f>
        <v>3.26</v>
      </c>
      <c r="F7" s="168">
        <f>ELC_FR!H76</f>
        <v>26</v>
      </c>
      <c r="G7" s="168">
        <f t="shared" si="1"/>
        <v>2.4330769230769222</v>
      </c>
      <c r="H7" s="168"/>
      <c r="I7" s="168"/>
      <c r="J7" s="168"/>
      <c r="K7" s="53"/>
      <c r="L7" s="52"/>
      <c r="M7" s="53"/>
      <c r="N7" s="52"/>
      <c r="O7" s="53"/>
      <c r="P7" s="52"/>
      <c r="Q7" s="53"/>
      <c r="R7" s="52"/>
      <c r="S7" s="53"/>
      <c r="T7" s="52"/>
      <c r="U7" s="53"/>
      <c r="V7" s="52"/>
      <c r="W7" s="53"/>
      <c r="X7" s="52"/>
      <c r="Y7" s="53"/>
      <c r="Z7" s="54"/>
    </row>
    <row r="8" spans="2:26" ht="13.5" thickBot="1">
      <c r="B8" s="52" t="s">
        <v>1626</v>
      </c>
      <c r="C8" s="168">
        <f t="shared" si="0"/>
        <v>20.404</v>
      </c>
      <c r="D8" s="168">
        <f>ELC_DE!F$25</f>
        <v>20.404</v>
      </c>
      <c r="E8" s="168">
        <f>ELC_DE!F$26</f>
        <v>0</v>
      </c>
      <c r="F8" s="168">
        <f>ELC_DE!H$26</f>
        <v>15</v>
      </c>
      <c r="G8" s="168">
        <f t="shared" si="1"/>
        <v>1.3602666666666667</v>
      </c>
      <c r="H8" s="168"/>
      <c r="I8" s="168"/>
      <c r="J8" s="168"/>
      <c r="K8" s="53"/>
      <c r="L8" s="52"/>
      <c r="M8" s="53"/>
      <c r="N8" s="52"/>
      <c r="O8" s="53"/>
      <c r="P8" s="52"/>
      <c r="Q8" s="53"/>
      <c r="R8" s="52"/>
      <c r="S8" s="53"/>
      <c r="T8" s="52"/>
      <c r="U8" s="53"/>
      <c r="V8" s="52"/>
      <c r="W8" s="53"/>
      <c r="X8" s="52"/>
      <c r="Y8" s="53"/>
      <c r="Z8" s="54"/>
    </row>
    <row r="9" spans="2:26" ht="13.5" thickBot="1">
      <c r="B9" s="52" t="s">
        <v>1630</v>
      </c>
      <c r="C9" s="168">
        <f t="shared" si="0"/>
        <v>3.7779999999999996</v>
      </c>
      <c r="D9" s="168">
        <f>ELC_HU!F$21</f>
        <v>1.8889999999999998</v>
      </c>
      <c r="E9" s="168">
        <f>ELC_HU!F$21</f>
        <v>1.8889999999999998</v>
      </c>
      <c r="F9" s="168">
        <f>ELC_HU!H$21</f>
        <v>0.37779999999999997</v>
      </c>
      <c r="G9" s="168">
        <f t="shared" si="1"/>
        <v>5</v>
      </c>
      <c r="H9" s="168"/>
      <c r="I9" s="168"/>
      <c r="J9" s="168"/>
      <c r="K9" s="53"/>
      <c r="L9" s="52"/>
      <c r="M9" s="53"/>
      <c r="N9" s="52"/>
      <c r="O9" s="53"/>
      <c r="P9" s="52"/>
      <c r="Q9" s="53"/>
      <c r="R9" s="52"/>
      <c r="S9" s="53"/>
      <c r="T9" s="52"/>
      <c r="U9" s="53"/>
      <c r="V9" s="52"/>
      <c r="W9" s="53"/>
      <c r="X9" s="52"/>
      <c r="Y9" s="53"/>
      <c r="Z9" s="54"/>
    </row>
    <row r="10" spans="2:26" ht="13.5" thickBot="1">
      <c r="B10" s="170" t="s">
        <v>7131</v>
      </c>
      <c r="C10" s="168">
        <f t="shared" si="0"/>
        <v>6.6</v>
      </c>
      <c r="D10" s="168">
        <f>ELC_IT!F$21</f>
        <v>0</v>
      </c>
      <c r="E10" s="168">
        <f>ELC_IT!F$22</f>
        <v>6.6</v>
      </c>
      <c r="F10" s="168">
        <f>ELC_IT!H$22</f>
        <v>0</v>
      </c>
      <c r="G10" s="168" t="str">
        <f t="shared" si="1"/>
        <v/>
      </c>
      <c r="H10" s="168"/>
      <c r="I10" s="168"/>
      <c r="J10" s="169"/>
      <c r="K10" s="50"/>
      <c r="L10" s="49"/>
      <c r="M10" s="50"/>
      <c r="N10" s="49"/>
      <c r="O10" s="50"/>
      <c r="P10" s="49"/>
      <c r="Q10" s="50"/>
      <c r="R10" s="49"/>
      <c r="S10" s="50"/>
      <c r="T10" s="49"/>
      <c r="U10" s="50"/>
      <c r="V10" s="49"/>
      <c r="W10" s="50"/>
      <c r="X10" s="49"/>
      <c r="Y10" s="50"/>
      <c r="Z10" s="54"/>
    </row>
    <row r="11" spans="2:26" ht="13.5" thickBot="1">
      <c r="B11" s="52" t="s">
        <v>1631</v>
      </c>
      <c r="C11" s="168">
        <f t="shared" si="0"/>
        <v>2.37</v>
      </c>
      <c r="D11" s="168">
        <f>ELC_LT!F$21</f>
        <v>2.37</v>
      </c>
      <c r="E11" s="168">
        <f>ELC_LT!G$21</f>
        <v>0</v>
      </c>
      <c r="F11" s="168">
        <f>ELC_LT!H$21</f>
        <v>0</v>
      </c>
      <c r="G11" s="168" t="str">
        <f t="shared" si="1"/>
        <v/>
      </c>
      <c r="H11" s="168"/>
      <c r="I11" s="168"/>
      <c r="J11" s="168"/>
      <c r="K11" s="53"/>
      <c r="L11" s="52"/>
      <c r="M11" s="53"/>
      <c r="N11" s="52"/>
      <c r="O11" s="53"/>
      <c r="P11" s="52"/>
      <c r="Q11" s="53"/>
      <c r="R11" s="52"/>
      <c r="S11" s="53"/>
      <c r="T11" s="52"/>
      <c r="U11" s="53"/>
      <c r="V11" s="52"/>
      <c r="W11" s="53"/>
      <c r="X11" s="52"/>
      <c r="Y11" s="53"/>
      <c r="Z11" s="54"/>
    </row>
    <row r="12" spans="2:26" ht="13.5" thickBot="1">
      <c r="B12" s="52" t="s">
        <v>1632</v>
      </c>
      <c r="C12" s="168">
        <f t="shared" si="0"/>
        <v>0.48199999999999998</v>
      </c>
      <c r="D12" s="168">
        <f>ELC_NL!F$21</f>
        <v>0.48199999999999998</v>
      </c>
      <c r="E12" s="168">
        <f>ELC_NL!F22</f>
        <v>0</v>
      </c>
      <c r="F12" s="168">
        <f>ELC_NL!H22</f>
        <v>1</v>
      </c>
      <c r="G12" s="168">
        <f t="shared" si="1"/>
        <v>0.48199999999999998</v>
      </c>
      <c r="H12" s="168"/>
      <c r="I12" s="168"/>
      <c r="J12" s="168"/>
      <c r="K12" s="53"/>
      <c r="L12" s="52"/>
      <c r="M12" s="53"/>
      <c r="N12" s="52"/>
      <c r="O12" s="53"/>
      <c r="P12" s="52"/>
      <c r="Q12" s="53"/>
      <c r="R12" s="52"/>
      <c r="S12" s="53"/>
      <c r="T12" s="52"/>
      <c r="U12" s="53"/>
      <c r="V12" s="52"/>
      <c r="W12" s="53"/>
      <c r="X12" s="52"/>
      <c r="Y12" s="53"/>
      <c r="Z12" s="54"/>
    </row>
    <row r="13" spans="2:26" ht="13.5" thickBot="1">
      <c r="B13" s="170" t="s">
        <v>7136</v>
      </c>
      <c r="C13" s="168">
        <f t="shared" si="0"/>
        <v>6</v>
      </c>
      <c r="D13" s="168">
        <f>ELC_PL!F$21</f>
        <v>0</v>
      </c>
      <c r="E13" s="168">
        <f>ELC_PL!F$22</f>
        <v>6</v>
      </c>
      <c r="F13" s="168">
        <f>ELC_PL!H$22</f>
        <v>0</v>
      </c>
      <c r="G13" s="168" t="str">
        <f t="shared" si="1"/>
        <v/>
      </c>
      <c r="H13" s="168"/>
      <c r="I13" s="168"/>
      <c r="J13" s="169"/>
      <c r="K13" s="50"/>
      <c r="L13" s="49"/>
      <c r="M13" s="50"/>
      <c r="N13" s="49"/>
      <c r="O13" s="50"/>
      <c r="P13" s="49"/>
      <c r="Q13" s="50"/>
      <c r="R13" s="49"/>
      <c r="S13" s="50"/>
      <c r="T13" s="49"/>
      <c r="U13" s="50"/>
      <c r="V13" s="49"/>
      <c r="W13" s="50"/>
      <c r="X13" s="49"/>
      <c r="Y13" s="50"/>
      <c r="Z13" s="54"/>
    </row>
    <row r="14" spans="2:26" ht="13.5" thickBot="1">
      <c r="B14" s="52" t="s">
        <v>1633</v>
      </c>
      <c r="C14" s="168">
        <f t="shared" si="0"/>
        <v>3.46</v>
      </c>
      <c r="D14" s="168">
        <f>ELC_RO!F$21</f>
        <v>1.3</v>
      </c>
      <c r="E14" s="168">
        <f>ELC_RO!F22</f>
        <v>2.16</v>
      </c>
      <c r="F14" s="168">
        <f>ELC_RO!H22</f>
        <v>11</v>
      </c>
      <c r="G14" s="168">
        <f t="shared" si="1"/>
        <v>0.11818181818181818</v>
      </c>
      <c r="H14" s="168"/>
      <c r="I14" s="168"/>
      <c r="J14" s="168"/>
      <c r="K14" s="53"/>
      <c r="L14" s="52"/>
      <c r="M14" s="53"/>
      <c r="N14" s="52"/>
      <c r="O14" s="53"/>
      <c r="P14" s="52"/>
      <c r="Q14" s="53"/>
      <c r="R14" s="52"/>
      <c r="S14" s="53"/>
      <c r="T14" s="52"/>
      <c r="U14" s="53"/>
      <c r="V14" s="52"/>
      <c r="W14" s="53"/>
      <c r="X14" s="52"/>
      <c r="Y14" s="53"/>
      <c r="Z14" s="54"/>
    </row>
    <row r="15" spans="2:26" ht="13.5" thickBot="1">
      <c r="B15" s="52" t="s">
        <v>1636</v>
      </c>
      <c r="C15" s="168">
        <f t="shared" si="0"/>
        <v>5.8769999999999998</v>
      </c>
      <c r="D15" s="168">
        <f>ELC_SK!F$22</f>
        <v>2.6319999999999997</v>
      </c>
      <c r="E15" s="168">
        <f>ELC_SK!F$23</f>
        <v>3.2450000000000001</v>
      </c>
      <c r="F15" s="168">
        <f>ELC_SK!H$23</f>
        <v>21</v>
      </c>
      <c r="G15" s="168">
        <f t="shared" si="1"/>
        <v>0.12533333333333332</v>
      </c>
      <c r="H15" s="168"/>
      <c r="I15" s="168"/>
      <c r="J15" s="168"/>
      <c r="K15" s="53"/>
      <c r="L15" s="52"/>
      <c r="M15" s="53"/>
      <c r="N15" s="52"/>
      <c r="O15" s="53"/>
      <c r="P15" s="52"/>
      <c r="Q15" s="53"/>
      <c r="R15" s="52"/>
      <c r="S15" s="53"/>
      <c r="T15" s="52"/>
      <c r="U15" s="53"/>
      <c r="V15" s="52"/>
      <c r="W15" s="53"/>
      <c r="X15" s="52"/>
      <c r="Y15" s="53"/>
      <c r="Z15" s="54"/>
    </row>
    <row r="16" spans="2:26" ht="13.5" thickBot="1">
      <c r="B16" s="52" t="s">
        <v>1635</v>
      </c>
      <c r="C16" s="168">
        <f t="shared" si="0"/>
        <v>2.2880000000000003</v>
      </c>
      <c r="D16" s="168">
        <f>ELC_SI!F$21</f>
        <v>0.68799999999999994</v>
      </c>
      <c r="E16" s="168">
        <f>ELC_SI!F$22</f>
        <v>1.6</v>
      </c>
      <c r="F16" s="168">
        <f>ELC_SI!H$22</f>
        <v>1</v>
      </c>
      <c r="G16" s="168">
        <f t="shared" si="1"/>
        <v>0.68799999999999994</v>
      </c>
      <c r="H16" s="168"/>
      <c r="I16" s="168"/>
      <c r="J16" s="168"/>
      <c r="K16" s="53"/>
      <c r="L16" s="52"/>
      <c r="M16" s="53"/>
      <c r="N16" s="52"/>
      <c r="O16" s="53"/>
      <c r="P16" s="52"/>
      <c r="Q16" s="53"/>
      <c r="R16" s="52"/>
      <c r="S16" s="53"/>
      <c r="T16" s="52"/>
      <c r="U16" s="53"/>
      <c r="V16" s="52"/>
      <c r="W16" s="53"/>
      <c r="X16" s="52"/>
      <c r="Y16" s="53"/>
      <c r="Z16" s="54"/>
    </row>
    <row r="17" spans="2:27" ht="13.5" thickBot="1">
      <c r="B17" s="52" t="s">
        <v>1627</v>
      </c>
      <c r="C17" s="168">
        <f t="shared" si="0"/>
        <v>7.5670000000000002</v>
      </c>
      <c r="D17" s="168">
        <f>ELC_ES!F$21</f>
        <v>7.5670000000000002</v>
      </c>
      <c r="E17" s="168">
        <f>ELC_ES!F$22</f>
        <v>0</v>
      </c>
      <c r="F17" s="168">
        <f>ELC_ES!H$22</f>
        <v>17</v>
      </c>
      <c r="G17" s="168">
        <f t="shared" si="1"/>
        <v>0.44511764705882356</v>
      </c>
      <c r="H17" s="168"/>
      <c r="I17" s="168"/>
      <c r="J17" s="168"/>
      <c r="K17" s="53"/>
      <c r="L17" s="52"/>
      <c r="M17" s="53"/>
      <c r="N17" s="52"/>
      <c r="O17" s="53"/>
      <c r="P17" s="52"/>
      <c r="Q17" s="53"/>
      <c r="R17" s="52"/>
      <c r="S17" s="53"/>
      <c r="T17" s="52"/>
      <c r="U17" s="53"/>
      <c r="V17" s="52"/>
      <c r="W17" s="53"/>
      <c r="X17" s="52"/>
      <c r="Y17" s="53"/>
      <c r="Z17" s="54"/>
    </row>
    <row r="18" spans="2:27" ht="13.5" thickBot="1">
      <c r="B18" s="52" t="s">
        <v>1634</v>
      </c>
      <c r="C18" s="168">
        <f t="shared" si="0"/>
        <v>9.4079999999999995</v>
      </c>
      <c r="D18" s="168">
        <f>ELC_SE!F$21</f>
        <v>9.4079999999999995</v>
      </c>
      <c r="E18" s="168">
        <f>ELC_SE!F$22</f>
        <v>0</v>
      </c>
      <c r="F18" s="168">
        <f>ELC_SE!H$22</f>
        <v>14</v>
      </c>
      <c r="G18" s="168">
        <f t="shared" si="1"/>
        <v>0.67199999999999993</v>
      </c>
      <c r="H18" s="168"/>
      <c r="I18" s="168"/>
      <c r="J18" s="168"/>
      <c r="K18" s="53"/>
      <c r="L18" s="52"/>
      <c r="M18" s="53"/>
      <c r="N18" s="52"/>
      <c r="O18" s="53"/>
      <c r="P18" s="52"/>
      <c r="Q18" s="53"/>
      <c r="R18" s="52"/>
      <c r="S18" s="53"/>
      <c r="T18" s="52"/>
      <c r="U18" s="53"/>
      <c r="V18" s="52"/>
      <c r="W18" s="53"/>
      <c r="X18" s="52"/>
      <c r="Y18" s="53"/>
      <c r="Z18" s="54"/>
    </row>
    <row r="19" spans="2:27" ht="13.5" thickBot="1">
      <c r="B19" s="52" t="s">
        <v>1624</v>
      </c>
      <c r="C19" s="168">
        <f t="shared" si="0"/>
        <v>3.3079999999999998</v>
      </c>
      <c r="D19" s="168">
        <f>ELC_CH!F$21</f>
        <v>3.3079999999999998</v>
      </c>
      <c r="E19" s="168">
        <f>ELC_CH!F$22</f>
        <v>0</v>
      </c>
      <c r="F19" s="168">
        <f>ELC_CH!H$22</f>
        <v>15</v>
      </c>
      <c r="G19" s="168">
        <f t="shared" si="1"/>
        <v>0.22053333333333333</v>
      </c>
      <c r="H19" s="168"/>
      <c r="I19" s="168"/>
      <c r="J19" s="168"/>
      <c r="K19" s="53"/>
      <c r="L19" s="52"/>
      <c r="M19" s="53"/>
      <c r="N19" s="52"/>
      <c r="O19" s="53"/>
      <c r="P19" s="52"/>
      <c r="Q19" s="53"/>
      <c r="R19" s="52"/>
      <c r="S19" s="53"/>
      <c r="T19" s="52"/>
      <c r="U19" s="53"/>
      <c r="V19" s="52"/>
      <c r="W19" s="53"/>
      <c r="X19" s="52"/>
      <c r="Y19" s="53"/>
      <c r="Z19" s="54"/>
    </row>
    <row r="20" spans="2:27" ht="13.5" thickBot="1">
      <c r="B20" s="52" t="s">
        <v>1637</v>
      </c>
      <c r="C20" s="168">
        <f t="shared" si="0"/>
        <v>26.979111111111109</v>
      </c>
      <c r="D20" s="168">
        <f>ELC_UK!F$34</f>
        <v>9.9379999999999988</v>
      </c>
      <c r="E20" s="168">
        <f>ELC_UK!F$35</f>
        <v>17.04111111111111</v>
      </c>
      <c r="F20" s="168">
        <f>ELC_UK!H$35</f>
        <v>28</v>
      </c>
      <c r="G20" s="168">
        <f t="shared" si="1"/>
        <v>0.35492857142857137</v>
      </c>
      <c r="H20" s="168"/>
      <c r="I20" s="168"/>
      <c r="J20" s="168"/>
      <c r="K20" s="53"/>
      <c r="L20" s="52"/>
      <c r="M20" s="53"/>
      <c r="N20" s="52"/>
      <c r="O20" s="53"/>
      <c r="P20" s="52"/>
      <c r="Q20" s="53"/>
      <c r="R20" s="52"/>
      <c r="S20" s="53"/>
      <c r="T20" s="52"/>
      <c r="U20" s="53"/>
      <c r="V20" s="52"/>
      <c r="W20" s="53"/>
      <c r="X20" s="52"/>
      <c r="Y20" s="53"/>
      <c r="Z20" s="54"/>
    </row>
    <row r="22" spans="2:27">
      <c r="B22" s="19" t="s">
        <v>7221</v>
      </c>
      <c r="C22" s="167">
        <f>SUM(C3:C21)</f>
        <v>190.04842108149612</v>
      </c>
      <c r="D22" s="167">
        <f>SUM(D3:D21)</f>
        <v>138.45099999999996</v>
      </c>
      <c r="E22" s="167">
        <f>SUM(E3:E21)</f>
        <v>51.597421081496108</v>
      </c>
      <c r="F22" s="167"/>
      <c r="G22" s="167">
        <f>D22/F20</f>
        <v>4.9446785714285699</v>
      </c>
      <c r="H22" s="167" t="s">
        <v>7222</v>
      </c>
      <c r="I22" s="167"/>
      <c r="J22" s="167">
        <f t="shared" ref="J22:X22" si="2">SUM(J5:J21)</f>
        <v>0</v>
      </c>
      <c r="K22" s="55">
        <f t="shared" si="2"/>
        <v>0</v>
      </c>
      <c r="L22" s="19">
        <f t="shared" si="2"/>
        <v>0</v>
      </c>
      <c r="M22" s="55">
        <f t="shared" si="2"/>
        <v>0</v>
      </c>
      <c r="N22" s="19">
        <f t="shared" si="2"/>
        <v>0</v>
      </c>
      <c r="O22" s="55">
        <f t="shared" si="2"/>
        <v>0</v>
      </c>
      <c r="P22" s="19">
        <f t="shared" si="2"/>
        <v>0</v>
      </c>
      <c r="Q22" s="55">
        <f t="shared" si="2"/>
        <v>0</v>
      </c>
      <c r="R22" s="19">
        <f t="shared" si="2"/>
        <v>0</v>
      </c>
      <c r="S22" s="55">
        <f t="shared" si="2"/>
        <v>0</v>
      </c>
      <c r="T22" s="19">
        <f t="shared" si="2"/>
        <v>0</v>
      </c>
      <c r="U22" s="55">
        <f t="shared" si="2"/>
        <v>0</v>
      </c>
      <c r="V22" s="19">
        <f t="shared" si="2"/>
        <v>0</v>
      </c>
      <c r="W22" s="55">
        <f t="shared" si="2"/>
        <v>0</v>
      </c>
      <c r="X22" s="19">
        <f t="shared" si="2"/>
        <v>0</v>
      </c>
      <c r="Y22" s="55">
        <f>SUM(Y5:Y20)</f>
        <v>0</v>
      </c>
      <c r="AA22" s="55">
        <f>K22+M22+O22+Q22+S22+U22+W22+Y22</f>
        <v>0</v>
      </c>
    </row>
    <row r="23" spans="2:27" ht="11.25" customHeight="1">
      <c r="G23" s="167">
        <f>SUMPRODUCT(D3:D20,G3:G20)/D22</f>
        <v>1.5420296240054159</v>
      </c>
      <c r="H23" s="19" t="s">
        <v>7223</v>
      </c>
      <c r="K23" s="55"/>
      <c r="L23" s="55"/>
      <c r="M23" s="55"/>
      <c r="N23" s="55"/>
      <c r="O23" s="55"/>
      <c r="P23" s="55"/>
      <c r="Q23" s="55"/>
      <c r="R23" s="55"/>
      <c r="S23" s="55"/>
      <c r="T23" s="55"/>
      <c r="U23" s="55"/>
      <c r="V23" s="55"/>
      <c r="W23" s="55"/>
      <c r="X23" s="55"/>
      <c r="Y23" s="55"/>
      <c r="Z23" s="55"/>
      <c r="AA23" s="55"/>
    </row>
    <row r="25" spans="2:27">
      <c r="G25" s="199"/>
    </row>
    <row r="26" spans="2:27">
      <c r="B26" s="19" t="s">
        <v>7135</v>
      </c>
      <c r="D26" s="19" t="s">
        <v>7132</v>
      </c>
      <c r="J26" s="19" t="s">
        <v>7145</v>
      </c>
    </row>
    <row r="27" spans="2:27">
      <c r="D27" s="19" t="s">
        <v>1579</v>
      </c>
      <c r="J27" s="19" t="s">
        <v>7147</v>
      </c>
    </row>
    <row r="28" spans="2:27">
      <c r="D28" s="19" t="s">
        <v>1586</v>
      </c>
    </row>
    <row r="29" spans="2:27">
      <c r="D29" s="19" t="s">
        <v>7142</v>
      </c>
    </row>
    <row r="30" spans="2:27">
      <c r="D30" s="19" t="s">
        <v>7134</v>
      </c>
    </row>
    <row r="31" spans="2:27">
      <c r="D31" s="19" t="s">
        <v>1702</v>
      </c>
    </row>
    <row r="32" spans="2:27">
      <c r="D32" s="19" t="s">
        <v>7133</v>
      </c>
      <c r="Z32" s="19"/>
    </row>
    <row r="33" spans="2:26">
      <c r="Z33" s="19"/>
    </row>
    <row r="34" spans="2:26">
      <c r="Z34" s="19"/>
    </row>
    <row r="35" spans="2:26">
      <c r="Z35" s="19"/>
    </row>
    <row r="36" spans="2:26">
      <c r="Z36" s="19"/>
    </row>
    <row r="37" spans="2:26">
      <c r="B37" s="19" t="s">
        <v>7146</v>
      </c>
      <c r="D37" s="19" t="s">
        <v>7138</v>
      </c>
      <c r="Z37" s="19"/>
    </row>
    <row r="38" spans="2:26">
      <c r="D38" s="19" t="s">
        <v>7148</v>
      </c>
      <c r="Z38" s="19"/>
    </row>
    <row r="39" spans="2:26">
      <c r="D39" s="19" t="s">
        <v>7141</v>
      </c>
      <c r="Z39" s="19"/>
    </row>
    <row r="40" spans="2:26">
      <c r="D40" s="19" t="s">
        <v>7144</v>
      </c>
      <c r="Z40" s="19"/>
    </row>
    <row r="41" spans="2:26">
      <c r="D41" s="19" t="s">
        <v>7140</v>
      </c>
      <c r="Z41" s="19"/>
    </row>
    <row r="42" spans="2:26">
      <c r="D42" s="19" t="s">
        <v>7149</v>
      </c>
      <c r="Z42" s="19"/>
    </row>
    <row r="43" spans="2:26">
      <c r="D43" s="19" t="s">
        <v>7137</v>
      </c>
      <c r="Z43" s="19"/>
    </row>
    <row r="44" spans="2:26">
      <c r="D44" s="19" t="s">
        <v>6563</v>
      </c>
      <c r="Z44" s="19"/>
    </row>
    <row r="45" spans="2:26">
      <c r="Z45" s="19"/>
    </row>
    <row r="46" spans="2:26">
      <c r="Z46" s="19"/>
    </row>
    <row r="47" spans="2:26">
      <c r="Z47" s="19"/>
    </row>
    <row r="48" spans="2:26">
      <c r="Z48" s="19"/>
    </row>
    <row r="49" spans="26:26">
      <c r="Z49" s="19"/>
    </row>
    <row r="50" spans="26:26">
      <c r="Z50" s="19"/>
    </row>
    <row r="51" spans="26:26">
      <c r="Z51" s="19"/>
    </row>
    <row r="52" spans="26:26">
      <c r="Z52" s="19"/>
    </row>
  </sheetData>
  <mergeCells count="1">
    <mergeCell ref="J1:X1"/>
  </mergeCell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0"/>
  </sheetPr>
  <dimension ref="B1:AK450"/>
  <sheetViews>
    <sheetView zoomScale="85" zoomScaleNormal="85" zoomScalePageLayoutView="125" workbookViewId="0">
      <selection activeCell="G33" sqref="G33"/>
    </sheetView>
  </sheetViews>
  <sheetFormatPr defaultColWidth="8.85546875" defaultRowHeight="12.75"/>
  <cols>
    <col min="1" max="1" width="3" style="19" customWidth="1"/>
    <col min="2" max="2" width="28.7109375" style="18" customWidth="1"/>
    <col min="3" max="3" width="27.140625" style="18" customWidth="1"/>
    <col min="4" max="4" width="14" style="18" customWidth="1"/>
    <col min="5" max="5" width="19.42578125" style="18" bestFit="1" customWidth="1"/>
    <col min="6" max="6" width="13.7109375" style="19" customWidth="1"/>
    <col min="7" max="8" width="14.140625" style="19" customWidth="1"/>
    <col min="9" max="9" width="11.7109375" style="19" bestFit="1" customWidth="1"/>
    <col min="10" max="10" width="11.140625" style="19" customWidth="1"/>
    <col min="11" max="11" width="12.85546875" style="19" bestFit="1" customWidth="1"/>
    <col min="12" max="12" width="13.5703125" style="19" bestFit="1" customWidth="1"/>
    <col min="13" max="13" width="14.85546875" style="19" customWidth="1"/>
    <col min="14" max="14" width="14.7109375" style="19" bestFit="1" customWidth="1"/>
    <col min="15" max="15" width="5.140625" style="19" bestFit="1" customWidth="1"/>
    <col min="16" max="16" width="8.85546875" style="19"/>
    <col min="17" max="17" width="10.42578125" style="19" customWidth="1"/>
    <col min="18" max="18" width="15.28515625" style="32" customWidth="1"/>
    <col min="19" max="20" width="9.42578125" style="19" customWidth="1"/>
    <col min="21" max="21" width="5.7109375" style="19" bestFit="1" customWidth="1"/>
    <col min="22" max="22" width="20" style="19" customWidth="1"/>
    <col min="23" max="23" width="8.42578125" style="19" customWidth="1"/>
    <col min="24" max="24" width="13.28515625" style="18" customWidth="1"/>
    <col min="25" max="25" width="19.85546875" style="18" bestFit="1" customWidth="1"/>
    <col min="26" max="26" width="13.28515625" style="18" bestFit="1" customWidth="1"/>
    <col min="27" max="27" width="13.42578125" style="18" customWidth="1"/>
    <col min="28" max="28" width="15.85546875" style="19" bestFit="1" customWidth="1"/>
    <col min="29" max="29" width="14.85546875" style="19" bestFit="1" customWidth="1"/>
    <col min="30" max="30" width="14.85546875" style="18" bestFit="1" customWidth="1"/>
    <col min="31" max="31" width="12.42578125" style="19" bestFit="1" customWidth="1"/>
    <col min="32" max="32" width="12.42578125" style="19" customWidth="1"/>
    <col min="33" max="33" width="13" style="19" bestFit="1" customWidth="1"/>
    <col min="34" max="35" width="8.85546875" style="19"/>
    <col min="36" max="36" width="13" style="19" customWidth="1"/>
    <col min="37" max="37" width="12.42578125" style="19" customWidth="1"/>
    <col min="38" max="16384" width="8.85546875" style="19"/>
  </cols>
  <sheetData>
    <row r="1" spans="2:37">
      <c r="B1" s="72" t="s">
        <v>1519</v>
      </c>
      <c r="C1" s="78"/>
      <c r="D1" s="78"/>
      <c r="E1" s="79" t="s">
        <v>1520</v>
      </c>
      <c r="F1" s="68" t="s">
        <v>7358</v>
      </c>
      <c r="G1" s="69"/>
      <c r="H1" s="69"/>
    </row>
    <row r="3" spans="2:37" ht="27.75" customHeight="1">
      <c r="F3" s="47" t="s">
        <v>1598</v>
      </c>
      <c r="G3" s="47" t="s">
        <v>1597</v>
      </c>
      <c r="H3" s="47"/>
      <c r="I3" s="27" t="s">
        <v>1521</v>
      </c>
      <c r="J3" s="27" t="s">
        <v>1522</v>
      </c>
      <c r="K3" s="27"/>
      <c r="N3" s="29"/>
      <c r="O3" s="29"/>
      <c r="R3" s="47" t="s">
        <v>1529</v>
      </c>
      <c r="U3" s="28"/>
      <c r="V3" s="28"/>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N4" s="30"/>
      <c r="O4" s="30"/>
      <c r="U4" s="30"/>
      <c r="V4" s="30"/>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1" t="s">
        <v>1719</v>
      </c>
      <c r="L5" s="31" t="s">
        <v>7126</v>
      </c>
      <c r="M5" s="31" t="s">
        <v>1552</v>
      </c>
      <c r="N5" s="31" t="s">
        <v>7124</v>
      </c>
      <c r="O5" s="31" t="s">
        <v>7125</v>
      </c>
      <c r="P5" s="31" t="s">
        <v>1548</v>
      </c>
      <c r="Q5" s="31" t="s">
        <v>1551</v>
      </c>
      <c r="R5" s="29" t="s">
        <v>1544</v>
      </c>
      <c r="S5" s="33" t="s">
        <v>1554</v>
      </c>
      <c r="T5" s="33" t="s">
        <v>1696</v>
      </c>
      <c r="U5" s="31" t="s">
        <v>1549</v>
      </c>
      <c r="V5" s="31" t="s">
        <v>1550</v>
      </c>
      <c r="X5" s="87"/>
      <c r="AB5" s="30"/>
      <c r="AC5" s="30"/>
      <c r="AI5" s="30"/>
    </row>
    <row r="6" spans="2:37">
      <c r="B6" s="73"/>
      <c r="C6" s="80" t="s">
        <v>1555</v>
      </c>
      <c r="D6" s="73"/>
      <c r="E6" s="73"/>
      <c r="F6" s="34" t="s">
        <v>1556</v>
      </c>
      <c r="G6" s="34" t="s">
        <v>1556</v>
      </c>
      <c r="H6" s="34"/>
      <c r="I6" s="34"/>
      <c r="J6" s="34"/>
      <c r="K6" s="34" t="s">
        <v>1556</v>
      </c>
      <c r="L6" s="34" t="s">
        <v>1556</v>
      </c>
      <c r="M6" s="34" t="s">
        <v>1556</v>
      </c>
      <c r="N6" s="34"/>
      <c r="O6" s="34"/>
      <c r="P6" s="34" t="s">
        <v>1558</v>
      </c>
      <c r="Q6" s="34" t="s">
        <v>1557</v>
      </c>
      <c r="R6" s="34"/>
      <c r="S6" s="34" t="s">
        <v>1692</v>
      </c>
      <c r="T6" s="34" t="s">
        <v>1534</v>
      </c>
      <c r="U6" s="34"/>
      <c r="V6" s="34" t="s">
        <v>1559</v>
      </c>
      <c r="X6" s="87"/>
      <c r="Z6" s="89"/>
      <c r="AB6" s="30"/>
      <c r="AC6" s="30"/>
      <c r="AI6" s="30"/>
    </row>
    <row r="7" spans="2:37" s="18" customFormat="1">
      <c r="B7" s="74" t="s">
        <v>7359</v>
      </c>
      <c r="C7" s="61" t="s">
        <v>1561</v>
      </c>
      <c r="D7" s="61" t="s">
        <v>1562</v>
      </c>
      <c r="E7" s="81">
        <f t="shared" ref="E7:E13" si="0">YEAR(AB7)</f>
        <v>1980</v>
      </c>
      <c r="F7" s="98">
        <v>0.40799999999999997</v>
      </c>
      <c r="G7" s="98">
        <v>0.44</v>
      </c>
      <c r="H7" s="99">
        <v>0.83230000000000004</v>
      </c>
      <c r="I7" s="99">
        <v>0.83230000000000004</v>
      </c>
      <c r="J7" s="100"/>
      <c r="K7" s="101">
        <f>F7</f>
        <v>0.40799999999999997</v>
      </c>
      <c r="L7" s="91"/>
      <c r="M7" s="103"/>
      <c r="N7" s="103"/>
      <c r="O7" s="103"/>
      <c r="P7" s="90"/>
      <c r="Q7" s="90"/>
      <c r="R7" s="94">
        <v>2006</v>
      </c>
      <c r="S7" s="102">
        <f t="shared" ref="S7:S13" si="1">R7-E7</f>
        <v>26</v>
      </c>
      <c r="T7" s="99">
        <v>0.77</v>
      </c>
      <c r="U7" s="94">
        <v>1</v>
      </c>
      <c r="V7" s="104">
        <v>31.536000000000001</v>
      </c>
      <c r="X7" s="90" t="s">
        <v>407</v>
      </c>
      <c r="Y7" s="91" t="s">
        <v>1648</v>
      </c>
      <c r="Z7" s="91" t="s">
        <v>1647</v>
      </c>
      <c r="AA7" s="91">
        <v>30</v>
      </c>
      <c r="AB7" s="105">
        <v>29572</v>
      </c>
      <c r="AC7" s="106">
        <f t="shared" ref="AC7:AC13" si="2">DATE(YEAR(AB7)+AA7,MONTH(AB7),DAY(AB7))</f>
        <v>40529</v>
      </c>
      <c r="AD7" s="90" t="s">
        <v>6124</v>
      </c>
      <c r="AE7" s="102">
        <f>G7*J7*8760</f>
        <v>0</v>
      </c>
      <c r="AF7" s="99">
        <v>0.33</v>
      </c>
      <c r="AG7" s="102">
        <f t="shared" ref="AG7:AG13" si="3">AE7/AF7</f>
        <v>0</v>
      </c>
      <c r="AH7" s="107">
        <f t="shared" ref="AH7:AH13" si="4">AG7/(AD7*24)*1000</f>
        <v>0</v>
      </c>
      <c r="AI7" s="102">
        <f>AH7*Assumptions!$H$7</f>
        <v>0</v>
      </c>
      <c r="AJ7" s="102" t="e">
        <f t="shared" ref="AJ7:AJ13" si="5">AE7/AH7</f>
        <v>#DIV/0!</v>
      </c>
      <c r="AK7" s="99" t="e">
        <f t="shared" ref="AK7:AK13" si="6">AJ7*0.0036</f>
        <v>#DIV/0!</v>
      </c>
    </row>
    <row r="8" spans="2:37" s="18" customFormat="1">
      <c r="B8" s="74" t="s">
        <v>7360</v>
      </c>
      <c r="C8" s="61" t="s">
        <v>1561</v>
      </c>
      <c r="D8" s="61" t="s">
        <v>1562</v>
      </c>
      <c r="E8" s="61">
        <f t="shared" si="0"/>
        <v>1982</v>
      </c>
      <c r="F8" s="98">
        <v>0.40799999999999997</v>
      </c>
      <c r="G8" s="98">
        <v>0.44</v>
      </c>
      <c r="H8" s="99">
        <v>0.76639999999999997</v>
      </c>
      <c r="I8" s="99">
        <v>0.76639999999999997</v>
      </c>
      <c r="J8" s="100"/>
      <c r="K8" s="101">
        <f>F8</f>
        <v>0.40799999999999997</v>
      </c>
      <c r="L8" s="91"/>
      <c r="M8" s="103"/>
      <c r="N8" s="103"/>
      <c r="O8" s="103"/>
      <c r="P8" s="90"/>
      <c r="Q8" s="90"/>
      <c r="R8" s="94">
        <v>2006</v>
      </c>
      <c r="S8" s="102">
        <f t="shared" si="1"/>
        <v>24</v>
      </c>
      <c r="T8" s="99">
        <v>0.77</v>
      </c>
      <c r="U8" s="94">
        <v>1</v>
      </c>
      <c r="V8" s="104">
        <v>31.536000000000001</v>
      </c>
      <c r="X8" s="90" t="s">
        <v>407</v>
      </c>
      <c r="Y8" s="91" t="s">
        <v>1648</v>
      </c>
      <c r="Z8" s="91" t="s">
        <v>1646</v>
      </c>
      <c r="AA8" s="91">
        <v>30</v>
      </c>
      <c r="AB8" s="105">
        <v>30088</v>
      </c>
      <c r="AC8" s="106">
        <f t="shared" si="2"/>
        <v>41046</v>
      </c>
      <c r="AD8" s="90" t="s">
        <v>6124</v>
      </c>
      <c r="AE8" s="102">
        <f>G8*J8*8760</f>
        <v>0</v>
      </c>
      <c r="AF8" s="99">
        <v>0.33</v>
      </c>
      <c r="AG8" s="102">
        <f t="shared" si="3"/>
        <v>0</v>
      </c>
      <c r="AH8" s="107">
        <f t="shared" si="4"/>
        <v>0</v>
      </c>
      <c r="AI8" s="102">
        <f>AH8*Assumptions!$H$7</f>
        <v>0</v>
      </c>
      <c r="AJ8" s="102" t="e">
        <f t="shared" si="5"/>
        <v>#DIV/0!</v>
      </c>
      <c r="AK8" s="99" t="e">
        <f t="shared" si="6"/>
        <v>#DIV/0!</v>
      </c>
    </row>
    <row r="9" spans="2:37" s="18" customFormat="1">
      <c r="B9" s="75" t="s">
        <v>7286</v>
      </c>
      <c r="C9" s="56" t="s">
        <v>1561</v>
      </c>
      <c r="D9" s="56" t="s">
        <v>1562</v>
      </c>
      <c r="E9" s="56">
        <f t="shared" si="0"/>
        <v>1987</v>
      </c>
      <c r="F9" s="197">
        <f>'BG-5'!AU17/1000</f>
        <v>0.95299999999999996</v>
      </c>
      <c r="G9" s="197">
        <f>'BG-5'!AU16/1000</f>
        <v>1</v>
      </c>
      <c r="H9" s="198">
        <f>+'BG-5'!AU22/100</f>
        <v>0.69499999999999995</v>
      </c>
      <c r="I9" s="109">
        <f>'BG-5'!$AU$20/100</f>
        <v>0.6604000000000001</v>
      </c>
      <c r="J9" s="109">
        <f>'BG-5'!$AU$21/100</f>
        <v>0.87370000000000003</v>
      </c>
      <c r="K9" s="108">
        <f>F9</f>
        <v>0.95299999999999996</v>
      </c>
      <c r="L9" s="95"/>
      <c r="M9" s="111"/>
      <c r="N9" s="111"/>
      <c r="O9" s="111"/>
      <c r="P9" s="92"/>
      <c r="Q9" s="92"/>
      <c r="R9" s="127">
        <f>YEAR(AC9)</f>
        <v>2017</v>
      </c>
      <c r="S9" s="110">
        <f t="shared" si="1"/>
        <v>30</v>
      </c>
      <c r="T9" s="109">
        <f>AK9</f>
        <v>0.77759999999999974</v>
      </c>
      <c r="U9" s="127">
        <v>1</v>
      </c>
      <c r="V9" s="113">
        <v>31.536000000000001</v>
      </c>
      <c r="X9" s="92" t="str">
        <f>'BG-5'!$AU$11</f>
        <v xml:space="preserve">PWR  </v>
      </c>
      <c r="Y9" s="92" t="str">
        <f>'BG-5'!$AU$12</f>
        <v>VVER V-320</v>
      </c>
      <c r="Z9" s="92" t="str">
        <f>'BG-5'!$AU$7</f>
        <v>KOZLODUY-5</v>
      </c>
      <c r="AA9" s="95">
        <v>30</v>
      </c>
      <c r="AB9" s="114">
        <f>'BG-5'!$AU$18</f>
        <v>32110</v>
      </c>
      <c r="AC9" s="115">
        <f t="shared" si="2"/>
        <v>43068</v>
      </c>
      <c r="AD9" s="92" t="str">
        <f>'BG-5'!$AU$19</f>
        <v>27000</v>
      </c>
      <c r="AE9" s="110">
        <f>G9*J9*8760</f>
        <v>7653.6120000000001</v>
      </c>
      <c r="AF9" s="109">
        <f>'BG-5'!$AU$16/'BG-5'!$AU$13</f>
        <v>0.33333333333333331</v>
      </c>
      <c r="AG9" s="110">
        <f t="shared" si="3"/>
        <v>22960.836000000003</v>
      </c>
      <c r="AH9" s="116">
        <f t="shared" si="4"/>
        <v>35.433388888888899</v>
      </c>
      <c r="AI9" s="110">
        <f>AH9*Assumptions!$H$7</f>
        <v>283.46711111111119</v>
      </c>
      <c r="AJ9" s="110">
        <f t="shared" si="5"/>
        <v>215.99999999999994</v>
      </c>
      <c r="AK9" s="109">
        <f t="shared" si="6"/>
        <v>0.77759999999999974</v>
      </c>
    </row>
    <row r="10" spans="2:37" s="18" customFormat="1">
      <c r="B10" s="75" t="s">
        <v>7287</v>
      </c>
      <c r="C10" s="56" t="s">
        <v>1561</v>
      </c>
      <c r="D10" s="56" t="s">
        <v>1562</v>
      </c>
      <c r="E10" s="56">
        <f t="shared" si="0"/>
        <v>1991</v>
      </c>
      <c r="F10" s="197">
        <f>'BG-6'!$AU$17/1000</f>
        <v>0.95299999999999996</v>
      </c>
      <c r="G10" s="197">
        <f>'BG-6'!$AU$16/1000</f>
        <v>1</v>
      </c>
      <c r="H10" s="198">
        <f>'BG-6'!AU22/100</f>
        <v>0.76200000000000001</v>
      </c>
      <c r="I10" s="109">
        <f>'BG-6'!$AU$20/100</f>
        <v>0.73670000000000002</v>
      </c>
      <c r="J10" s="109">
        <f>'BG-6'!$AU$21/100</f>
        <v>0.83169999999999999</v>
      </c>
      <c r="K10" s="108">
        <f>F10</f>
        <v>0.95299999999999996</v>
      </c>
      <c r="L10" s="95"/>
      <c r="M10" s="111"/>
      <c r="N10" s="111"/>
      <c r="O10" s="111"/>
      <c r="P10" s="92"/>
      <c r="Q10" s="92"/>
      <c r="R10" s="127">
        <f>YEAR(AC10)-2</f>
        <v>2019</v>
      </c>
      <c r="S10" s="110">
        <f t="shared" si="1"/>
        <v>28</v>
      </c>
      <c r="T10" s="109">
        <f>AK10</f>
        <v>0.77760000000000007</v>
      </c>
      <c r="U10" s="127">
        <v>1</v>
      </c>
      <c r="V10" s="113">
        <v>31.536000000000001</v>
      </c>
      <c r="X10" s="92" t="str">
        <f>'BG-6'!$AU$11</f>
        <v xml:space="preserve">PWR  </v>
      </c>
      <c r="Y10" s="92" t="str">
        <f>'BG-6'!$AU$12</f>
        <v>VVER V-320</v>
      </c>
      <c r="Z10" s="92" t="str">
        <f>'BG-6'!$AU$7</f>
        <v>KOZLODUY-6</v>
      </c>
      <c r="AA10" s="95">
        <v>30</v>
      </c>
      <c r="AB10" s="114">
        <f>'BG-6'!$AU$18</f>
        <v>33452</v>
      </c>
      <c r="AC10" s="115">
        <f t="shared" si="2"/>
        <v>44410</v>
      </c>
      <c r="AD10" s="92" t="str">
        <f>'BG-6'!$AU$19</f>
        <v>27000</v>
      </c>
      <c r="AE10" s="110">
        <f>G10*J10*8760</f>
        <v>7285.692</v>
      </c>
      <c r="AF10" s="109">
        <f>'BG-6'!$AU$16/'BG-6'!$AU$13</f>
        <v>0.33333333333333331</v>
      </c>
      <c r="AG10" s="110">
        <f t="shared" si="3"/>
        <v>21857.076000000001</v>
      </c>
      <c r="AH10" s="116">
        <f t="shared" si="4"/>
        <v>33.730055555555552</v>
      </c>
      <c r="AI10" s="110">
        <f>AH10*Assumptions!$H$7</f>
        <v>269.84044444444442</v>
      </c>
      <c r="AJ10" s="110">
        <f t="shared" si="5"/>
        <v>216.00000000000003</v>
      </c>
      <c r="AK10" s="109">
        <f t="shared" si="6"/>
        <v>0.77760000000000007</v>
      </c>
    </row>
    <row r="11" spans="2:37" s="18" customFormat="1">
      <c r="B11" s="76" t="s">
        <v>1722</v>
      </c>
      <c r="C11" s="57" t="s">
        <v>1561</v>
      </c>
      <c r="D11" s="57" t="s">
        <v>1562</v>
      </c>
      <c r="E11" s="82">
        <f t="shared" si="0"/>
        <v>2013</v>
      </c>
      <c r="F11" s="117">
        <f>1060/1000</f>
        <v>1.06</v>
      </c>
      <c r="G11" s="117">
        <f>G10/F10*F11</f>
        <v>1.1122770199370411</v>
      </c>
      <c r="H11" s="118">
        <v>0.92</v>
      </c>
      <c r="I11" s="118">
        <v>0.92</v>
      </c>
      <c r="J11" s="118">
        <v>0.92</v>
      </c>
      <c r="K11" s="117"/>
      <c r="L11" s="83"/>
      <c r="M11" s="120">
        <f>F11</f>
        <v>1.06</v>
      </c>
      <c r="N11" s="83">
        <f>E11</f>
        <v>2013</v>
      </c>
      <c r="O11" s="83">
        <f>N11</f>
        <v>2013</v>
      </c>
      <c r="P11" s="85"/>
      <c r="Q11" s="85"/>
      <c r="R11" s="138">
        <f>YEAR(AC11)</f>
        <v>2073</v>
      </c>
      <c r="S11" s="119">
        <f t="shared" si="1"/>
        <v>60</v>
      </c>
      <c r="T11" s="121">
        <v>0.77</v>
      </c>
      <c r="U11" s="138">
        <v>1</v>
      </c>
      <c r="V11" s="122">
        <v>31.536000000000001</v>
      </c>
      <c r="X11" s="85" t="s">
        <v>407</v>
      </c>
      <c r="Y11" s="85" t="s">
        <v>1638</v>
      </c>
      <c r="Z11" s="85" t="s">
        <v>1639</v>
      </c>
      <c r="AA11" s="83">
        <v>60</v>
      </c>
      <c r="AB11" s="123">
        <v>41609</v>
      </c>
      <c r="AC11" s="124">
        <f t="shared" si="2"/>
        <v>63524</v>
      </c>
      <c r="AD11" s="83"/>
      <c r="AE11" s="119" t="e">
        <f>G11*#REF!*8760</f>
        <v>#REF!</v>
      </c>
      <c r="AF11" s="118">
        <f>1060/3010</f>
        <v>0.35215946843853818</v>
      </c>
      <c r="AG11" s="119" t="e">
        <f t="shared" si="3"/>
        <v>#REF!</v>
      </c>
      <c r="AH11" s="125" t="e">
        <f t="shared" si="4"/>
        <v>#REF!</v>
      </c>
      <c r="AI11" s="119" t="e">
        <f>AH11*Assumptions!$H$7</f>
        <v>#REF!</v>
      </c>
      <c r="AJ11" s="119" t="e">
        <f t="shared" si="5"/>
        <v>#REF!</v>
      </c>
      <c r="AK11" s="118" t="e">
        <f t="shared" si="6"/>
        <v>#REF!</v>
      </c>
    </row>
    <row r="12" spans="2:37" s="18" customFormat="1">
      <c r="B12" s="76" t="s">
        <v>1723</v>
      </c>
      <c r="C12" s="57" t="s">
        <v>1561</v>
      </c>
      <c r="D12" s="57" t="s">
        <v>1562</v>
      </c>
      <c r="E12" s="82">
        <f t="shared" si="0"/>
        <v>2014</v>
      </c>
      <c r="F12" s="117">
        <v>1.06</v>
      </c>
      <c r="G12" s="117">
        <f>G11/F11*F12</f>
        <v>1.1122770199370411</v>
      </c>
      <c r="H12" s="118">
        <v>0.92</v>
      </c>
      <c r="I12" s="118">
        <v>0.92</v>
      </c>
      <c r="J12" s="118">
        <v>0.92</v>
      </c>
      <c r="K12" s="117"/>
      <c r="L12" s="83"/>
      <c r="M12" s="120">
        <f>F12</f>
        <v>1.06</v>
      </c>
      <c r="N12" s="83">
        <f>E12</f>
        <v>2014</v>
      </c>
      <c r="O12" s="83">
        <f>N12</f>
        <v>2014</v>
      </c>
      <c r="P12" s="85"/>
      <c r="Q12" s="85"/>
      <c r="R12" s="138">
        <f>YEAR(AC12)</f>
        <v>2074</v>
      </c>
      <c r="S12" s="119">
        <f t="shared" si="1"/>
        <v>60</v>
      </c>
      <c r="T12" s="121">
        <v>0.77</v>
      </c>
      <c r="U12" s="138">
        <v>1</v>
      </c>
      <c r="V12" s="122">
        <v>31.536000000000001</v>
      </c>
      <c r="X12" s="85" t="s">
        <v>407</v>
      </c>
      <c r="Y12" s="85" t="s">
        <v>1638</v>
      </c>
      <c r="Z12" s="85" t="s">
        <v>1640</v>
      </c>
      <c r="AA12" s="83">
        <v>60</v>
      </c>
      <c r="AB12" s="123">
        <v>41974</v>
      </c>
      <c r="AC12" s="124">
        <f t="shared" si="2"/>
        <v>63889</v>
      </c>
      <c r="AD12" s="83"/>
      <c r="AE12" s="119" t="e">
        <f>G12*#REF!*8760</f>
        <v>#REF!</v>
      </c>
      <c r="AF12" s="118">
        <f>1060/3010</f>
        <v>0.35215946843853818</v>
      </c>
      <c r="AG12" s="119" t="e">
        <f t="shared" si="3"/>
        <v>#REF!</v>
      </c>
      <c r="AH12" s="125" t="e">
        <f t="shared" si="4"/>
        <v>#REF!</v>
      </c>
      <c r="AI12" s="119" t="e">
        <f>AH12*Assumptions!$H$7</f>
        <v>#REF!</v>
      </c>
      <c r="AJ12" s="119" t="e">
        <f t="shared" si="5"/>
        <v>#REF!</v>
      </c>
      <c r="AK12" s="118" t="e">
        <f t="shared" si="6"/>
        <v>#REF!</v>
      </c>
    </row>
    <row r="13" spans="2:37" s="18" customFormat="1">
      <c r="B13" s="76" t="s">
        <v>1724</v>
      </c>
      <c r="C13" s="57" t="s">
        <v>1561</v>
      </c>
      <c r="D13" s="57" t="s">
        <v>1562</v>
      </c>
      <c r="E13" s="83">
        <f t="shared" si="0"/>
        <v>2026</v>
      </c>
      <c r="F13" s="120">
        <f>F12</f>
        <v>1.06</v>
      </c>
      <c r="G13" s="83"/>
      <c r="H13" s="118">
        <v>0.92</v>
      </c>
      <c r="I13" s="118">
        <v>0.92</v>
      </c>
      <c r="J13" s="118">
        <v>0.92</v>
      </c>
      <c r="K13" s="83"/>
      <c r="L13" s="120">
        <v>1</v>
      </c>
      <c r="M13" s="83"/>
      <c r="N13" s="83">
        <f>E13</f>
        <v>2026</v>
      </c>
      <c r="O13" s="83"/>
      <c r="P13" s="83"/>
      <c r="Q13" s="83"/>
      <c r="R13" s="138">
        <f>YEAR(AC13)</f>
        <v>2086</v>
      </c>
      <c r="S13" s="83">
        <f t="shared" si="1"/>
        <v>60</v>
      </c>
      <c r="T13" s="121">
        <f>T10</f>
        <v>0.77760000000000007</v>
      </c>
      <c r="U13" s="138">
        <v>1</v>
      </c>
      <c r="V13" s="83">
        <v>31.536000000000001</v>
      </c>
      <c r="X13" s="83" t="s">
        <v>1652</v>
      </c>
      <c r="Y13" s="83" t="s">
        <v>1652</v>
      </c>
      <c r="Z13" s="85" t="s">
        <v>1662</v>
      </c>
      <c r="AA13" s="83">
        <v>60</v>
      </c>
      <c r="AB13" s="123">
        <v>46023</v>
      </c>
      <c r="AC13" s="126">
        <f t="shared" si="2"/>
        <v>67938</v>
      </c>
      <c r="AD13" s="85"/>
      <c r="AE13" s="119">
        <f>G13*J13*8760</f>
        <v>0</v>
      </c>
      <c r="AF13" s="118"/>
      <c r="AG13" s="119" t="e">
        <f t="shared" si="3"/>
        <v>#DIV/0!</v>
      </c>
      <c r="AH13" s="125" t="e">
        <f t="shared" si="4"/>
        <v>#DIV/0!</v>
      </c>
      <c r="AI13" s="119"/>
      <c r="AJ13" s="119" t="e">
        <f t="shared" si="5"/>
        <v>#DIV/0!</v>
      </c>
      <c r="AK13" s="118" t="e">
        <f t="shared" si="6"/>
        <v>#DIV/0!</v>
      </c>
    </row>
    <row r="14" spans="2:37" s="18" customFormat="1">
      <c r="R14" s="60"/>
    </row>
    <row r="15" spans="2:37" s="18" customFormat="1">
      <c r="R15" s="60"/>
    </row>
    <row r="16" spans="2:37" s="18" customFormat="1">
      <c r="R16" s="60"/>
    </row>
    <row r="17" spans="2:18" s="18" customFormat="1">
      <c r="R17" s="60"/>
    </row>
    <row r="18" spans="2:18" s="18" customFormat="1">
      <c r="R18" s="60"/>
    </row>
    <row r="19" spans="2:18" s="18" customFormat="1">
      <c r="R19" s="60"/>
    </row>
    <row r="20" spans="2:18" s="18" customFormat="1">
      <c r="R20" s="60"/>
    </row>
    <row r="21" spans="2:18" s="18" customFormat="1">
      <c r="E21" s="18" t="s">
        <v>7128</v>
      </c>
      <c r="F21" s="160">
        <f>SUM(F7:F10)</f>
        <v>2.722</v>
      </c>
      <c r="G21" s="18" t="s">
        <v>7215</v>
      </c>
      <c r="H21" s="137">
        <f>F21/H22</f>
        <v>0.24745454545454545</v>
      </c>
      <c r="R21" s="60"/>
    </row>
    <row r="22" spans="2:18" s="18" customFormat="1">
      <c r="E22" s="18" t="s">
        <v>7127</v>
      </c>
      <c r="F22" s="160">
        <f>SUM(F11:F13)</f>
        <v>3.18</v>
      </c>
      <c r="G22" s="18" t="s">
        <v>7216</v>
      </c>
      <c r="H22" s="18">
        <f>MAX(E7:E10)-MIN(E7:E10)</f>
        <v>11</v>
      </c>
      <c r="R22" s="60"/>
    </row>
    <row r="23" spans="2:18" s="18" customFormat="1">
      <c r="R23" s="60"/>
    </row>
    <row r="24" spans="2:18" s="18" customFormat="1">
      <c r="R24" s="60"/>
    </row>
    <row r="25" spans="2:18" s="18" customFormat="1">
      <c r="B25" s="224" t="s">
        <v>1603</v>
      </c>
      <c r="C25" s="224"/>
      <c r="D25" s="225"/>
      <c r="E25" s="225"/>
      <c r="F25" s="225"/>
      <c r="G25" s="225"/>
      <c r="H25" s="225"/>
      <c r="I25" s="225"/>
      <c r="R25" s="60"/>
    </row>
    <row r="26" spans="2:18" s="18" customFormat="1" ht="13.5" thickBot="1">
      <c r="B26" s="226" t="s">
        <v>1604</v>
      </c>
      <c r="C26" s="226" t="s">
        <v>1540</v>
      </c>
      <c r="D26" s="226" t="s">
        <v>1605</v>
      </c>
      <c r="E26" s="226" t="s">
        <v>1606</v>
      </c>
      <c r="F26" s="226" t="s">
        <v>1607</v>
      </c>
      <c r="G26" s="226" t="s">
        <v>1608</v>
      </c>
      <c r="H26" s="226" t="s">
        <v>1609</v>
      </c>
      <c r="I26" s="226" t="s">
        <v>1610</v>
      </c>
      <c r="R26" s="60"/>
    </row>
    <row r="27" spans="2:18" s="18" customFormat="1">
      <c r="B27" s="225" t="s">
        <v>1611</v>
      </c>
      <c r="C27" s="225" t="str">
        <f t="shared" ref="C27:C33" si="7">B7</f>
        <v>ENBG_KOZLODUY-3_00</v>
      </c>
      <c r="D27" s="227" t="str">
        <f t="shared" ref="D27:D33" si="8">"Nuclear Power Plant: "&amp;Z7</f>
        <v>Nuclear Power Plant: KOZLODUY-3</v>
      </c>
      <c r="E27" s="228" t="s">
        <v>1612</v>
      </c>
      <c r="F27" s="228" t="s">
        <v>1556</v>
      </c>
      <c r="G27" s="228" t="s">
        <v>1613</v>
      </c>
      <c r="H27" s="228"/>
      <c r="I27" s="228"/>
      <c r="J27" s="84"/>
      <c r="R27" s="60"/>
    </row>
    <row r="28" spans="2:18" s="18" customFormat="1">
      <c r="B28" s="225"/>
      <c r="C28" s="225" t="str">
        <f t="shared" si="7"/>
        <v>ENBG_KOZLODUY-4_00</v>
      </c>
      <c r="D28" s="227" t="str">
        <f t="shared" si="8"/>
        <v>Nuclear Power Plant: KOZLODUY-4</v>
      </c>
      <c r="E28" s="228" t="s">
        <v>1612</v>
      </c>
      <c r="F28" s="228" t="s">
        <v>1556</v>
      </c>
      <c r="G28" s="228" t="s">
        <v>1613</v>
      </c>
      <c r="H28" s="228"/>
      <c r="I28" s="228"/>
      <c r="J28" s="84"/>
      <c r="R28" s="60"/>
    </row>
    <row r="29" spans="2:18" s="18" customFormat="1">
      <c r="B29" s="225"/>
      <c r="C29" s="225" t="str">
        <f t="shared" si="7"/>
        <v>ENBG_KOZLODUY-5_00</v>
      </c>
      <c r="D29" s="227" t="str">
        <f t="shared" si="8"/>
        <v>Nuclear Power Plant: KOZLODUY-5</v>
      </c>
      <c r="E29" s="228" t="s">
        <v>1612</v>
      </c>
      <c r="F29" s="228" t="s">
        <v>1556</v>
      </c>
      <c r="G29" s="228" t="s">
        <v>1613</v>
      </c>
      <c r="H29" s="228"/>
      <c r="I29" s="225"/>
      <c r="R29" s="60"/>
    </row>
    <row r="30" spans="2:18" s="18" customFormat="1">
      <c r="B30" s="225"/>
      <c r="C30" s="225" t="str">
        <f t="shared" si="7"/>
        <v>ENBG_KOZLODUY-6_00</v>
      </c>
      <c r="D30" s="227" t="str">
        <f t="shared" si="8"/>
        <v>Nuclear Power Plant: KOZLODUY-6</v>
      </c>
      <c r="E30" s="228" t="s">
        <v>1612</v>
      </c>
      <c r="F30" s="228" t="s">
        <v>1556</v>
      </c>
      <c r="G30" s="228" t="s">
        <v>1613</v>
      </c>
      <c r="H30" s="228"/>
      <c r="I30" s="225"/>
      <c r="R30" s="60"/>
    </row>
    <row r="31" spans="2:18" s="18" customFormat="1">
      <c r="B31" s="225"/>
      <c r="C31" s="225" t="str">
        <f t="shared" si="7"/>
        <v>ENBG_BELENE-1</v>
      </c>
      <c r="D31" s="227" t="str">
        <f t="shared" si="8"/>
        <v>Nuclear Power Plant: BELENE-1</v>
      </c>
      <c r="E31" s="228" t="s">
        <v>1612</v>
      </c>
      <c r="F31" s="228" t="s">
        <v>1556</v>
      </c>
      <c r="G31" s="228" t="s">
        <v>7378</v>
      </c>
      <c r="H31" s="228"/>
      <c r="I31" s="225"/>
      <c r="R31" s="60"/>
    </row>
    <row r="32" spans="2:18" s="18" customFormat="1">
      <c r="B32" s="225"/>
      <c r="C32" s="225" t="str">
        <f t="shared" si="7"/>
        <v>ENBG_BELENE-2</v>
      </c>
      <c r="D32" s="227" t="str">
        <f t="shared" si="8"/>
        <v>Nuclear Power Plant: BELENE-2</v>
      </c>
      <c r="E32" s="228" t="s">
        <v>1612</v>
      </c>
      <c r="F32" s="228" t="s">
        <v>1556</v>
      </c>
      <c r="G32" s="228" t="s">
        <v>7378</v>
      </c>
      <c r="H32" s="228"/>
      <c r="I32" s="225"/>
      <c r="R32" s="60"/>
    </row>
    <row r="33" spans="2:18" s="18" customFormat="1">
      <c r="B33" s="225"/>
      <c r="C33" s="225" t="str">
        <f t="shared" si="7"/>
        <v>ENBG_KOZLODUY-7</v>
      </c>
      <c r="D33" s="227" t="str">
        <f t="shared" si="8"/>
        <v>Nuclear Power Plant: KOZLODUY-7</v>
      </c>
      <c r="E33" s="228" t="s">
        <v>1612</v>
      </c>
      <c r="F33" s="228" t="s">
        <v>1556</v>
      </c>
      <c r="G33" s="228" t="s">
        <v>7378</v>
      </c>
      <c r="H33" s="228"/>
      <c r="I33" s="225"/>
      <c r="R33" s="60"/>
    </row>
    <row r="34" spans="2:18" s="18" customFormat="1">
      <c r="R34" s="60"/>
    </row>
    <row r="35" spans="2:18" s="18" customFormat="1">
      <c r="R35" s="60"/>
    </row>
    <row r="36" spans="2:18" s="18" customFormat="1">
      <c r="R36" s="60"/>
    </row>
    <row r="37" spans="2:18" s="18" customFormat="1">
      <c r="R37" s="60"/>
    </row>
    <row r="38" spans="2:18" s="18" customFormat="1">
      <c r="R38" s="60"/>
    </row>
    <row r="39" spans="2:18" s="18" customFormat="1">
      <c r="R39" s="60"/>
    </row>
    <row r="40" spans="2:18" s="18" customFormat="1">
      <c r="R40" s="60"/>
    </row>
    <row r="41" spans="2:18" s="18" customFormat="1">
      <c r="R41" s="60"/>
    </row>
    <row r="42" spans="2:18" s="18" customFormat="1">
      <c r="R42" s="60"/>
    </row>
    <row r="43" spans="2:18" s="18" customFormat="1">
      <c r="R43" s="60"/>
    </row>
    <row r="44" spans="2:18" s="18" customFormat="1">
      <c r="R44" s="60"/>
    </row>
    <row r="45" spans="2:18" s="18" customFormat="1">
      <c r="R45" s="60"/>
    </row>
    <row r="46" spans="2:18" s="18" customFormat="1">
      <c r="R46" s="60"/>
    </row>
    <row r="47" spans="2:18" s="18" customFormat="1">
      <c r="R47" s="60"/>
    </row>
    <row r="48" spans="2:18" s="18" customFormat="1">
      <c r="R48" s="60"/>
    </row>
    <row r="49" spans="18:18" s="18" customFormat="1">
      <c r="R49" s="60"/>
    </row>
    <row r="50" spans="18:18" s="18" customFormat="1">
      <c r="R50" s="60"/>
    </row>
    <row r="51" spans="18:18" s="18" customFormat="1">
      <c r="R51" s="60"/>
    </row>
    <row r="52" spans="18:18" s="18" customFormat="1">
      <c r="R52" s="60"/>
    </row>
    <row r="53" spans="18:18" s="18" customFormat="1">
      <c r="R53" s="60"/>
    </row>
    <row r="54" spans="18:18" s="18" customFormat="1">
      <c r="R54" s="60"/>
    </row>
    <row r="55" spans="18:18" s="18" customFormat="1">
      <c r="R55" s="60"/>
    </row>
    <row r="56" spans="18:18" s="18" customFormat="1">
      <c r="R56" s="60"/>
    </row>
    <row r="57" spans="18:18" s="18" customFormat="1">
      <c r="R57" s="60"/>
    </row>
    <row r="58" spans="18:18" s="18" customFormat="1">
      <c r="R58" s="60"/>
    </row>
    <row r="59" spans="18:18" s="18" customFormat="1">
      <c r="R59" s="60"/>
    </row>
    <row r="60" spans="18:18" s="18" customFormat="1">
      <c r="R60" s="60"/>
    </row>
    <row r="61" spans="18:18" s="18" customFormat="1">
      <c r="R61" s="60"/>
    </row>
    <row r="62" spans="18:18" s="18" customFormat="1">
      <c r="R62" s="60"/>
    </row>
    <row r="63" spans="18:18" s="18" customFormat="1">
      <c r="R63" s="60"/>
    </row>
    <row r="64" spans="18:18" s="18" customFormat="1">
      <c r="R64" s="60"/>
    </row>
    <row r="65" spans="18:18" s="18" customFormat="1">
      <c r="R65" s="60"/>
    </row>
    <row r="66" spans="18:18" s="18" customFormat="1">
      <c r="R66" s="60"/>
    </row>
    <row r="67" spans="18:18" s="18" customFormat="1">
      <c r="R67" s="60"/>
    </row>
    <row r="68" spans="18:18" s="18" customFormat="1">
      <c r="R68" s="60"/>
    </row>
    <row r="69" spans="18:18" s="18" customFormat="1">
      <c r="R69" s="60"/>
    </row>
    <row r="70" spans="18:18" s="18" customFormat="1">
      <c r="R70" s="60"/>
    </row>
    <row r="71" spans="18:18" s="18" customFormat="1">
      <c r="R71" s="60"/>
    </row>
    <row r="72" spans="18:18" s="18" customFormat="1">
      <c r="R72" s="60"/>
    </row>
    <row r="73" spans="18:18" s="18" customFormat="1">
      <c r="R73" s="60"/>
    </row>
    <row r="74" spans="18:18" s="18" customFormat="1">
      <c r="R74" s="60"/>
    </row>
    <row r="75" spans="18:18" s="18" customFormat="1">
      <c r="R75" s="60"/>
    </row>
    <row r="76" spans="18:18" s="18" customFormat="1">
      <c r="R76" s="60"/>
    </row>
    <row r="77" spans="18:18" s="18" customFormat="1">
      <c r="R77" s="60"/>
    </row>
    <row r="78" spans="18:18" s="18" customFormat="1">
      <c r="R78" s="60"/>
    </row>
    <row r="79" spans="18:18" s="18" customFormat="1">
      <c r="R79" s="60"/>
    </row>
    <row r="80" spans="18:18" s="18" customFormat="1">
      <c r="R80" s="60"/>
    </row>
    <row r="81" spans="18:18" s="18" customFormat="1">
      <c r="R81" s="60"/>
    </row>
    <row r="82" spans="18:18" s="18" customFormat="1">
      <c r="R82" s="60"/>
    </row>
    <row r="83" spans="18:18" s="18" customFormat="1">
      <c r="R83" s="60"/>
    </row>
    <row r="84" spans="18:18" s="18" customFormat="1">
      <c r="R84" s="60"/>
    </row>
    <row r="85" spans="18:18" s="18" customFormat="1">
      <c r="R85" s="60"/>
    </row>
    <row r="86" spans="18:18" s="18" customFormat="1">
      <c r="R86" s="60"/>
    </row>
    <row r="87" spans="18:18" s="18" customFormat="1">
      <c r="R87" s="60"/>
    </row>
    <row r="88" spans="18:18" s="18" customFormat="1">
      <c r="R88" s="60"/>
    </row>
    <row r="89" spans="18:18" s="18" customFormat="1">
      <c r="R89" s="60"/>
    </row>
    <row r="90" spans="18:18" s="18" customFormat="1">
      <c r="R90" s="60"/>
    </row>
    <row r="91" spans="18:18" s="18" customFormat="1">
      <c r="R91" s="60"/>
    </row>
    <row r="92" spans="18:18" s="18" customFormat="1">
      <c r="R92" s="60"/>
    </row>
    <row r="93" spans="18:18" s="18" customFormat="1">
      <c r="R93" s="60"/>
    </row>
    <row r="94" spans="18:18" s="18" customFormat="1">
      <c r="R94" s="60"/>
    </row>
    <row r="95" spans="18:18" s="18" customFormat="1">
      <c r="R95" s="60"/>
    </row>
    <row r="96" spans="18:18" s="18" customFormat="1">
      <c r="R96" s="60"/>
    </row>
    <row r="97" spans="18:18" s="18" customFormat="1">
      <c r="R97" s="60"/>
    </row>
    <row r="98" spans="18:18" s="18" customFormat="1">
      <c r="R98" s="60"/>
    </row>
    <row r="99" spans="18:18" s="18" customFormat="1">
      <c r="R99" s="60"/>
    </row>
    <row r="100" spans="18:18" s="18" customFormat="1">
      <c r="R100" s="60"/>
    </row>
    <row r="101" spans="18:18" s="18" customFormat="1">
      <c r="R101" s="60"/>
    </row>
    <row r="102" spans="18:18" s="18" customFormat="1">
      <c r="R102" s="60"/>
    </row>
    <row r="103" spans="18:18" s="18" customFormat="1">
      <c r="R103" s="60"/>
    </row>
    <row r="104" spans="18:18" s="18" customFormat="1">
      <c r="R104" s="60"/>
    </row>
    <row r="105" spans="18:18" s="18" customFormat="1">
      <c r="R105" s="60"/>
    </row>
    <row r="106" spans="18:18" s="18" customFormat="1">
      <c r="R106" s="60"/>
    </row>
    <row r="107" spans="18:18" s="18" customFormat="1">
      <c r="R107" s="60"/>
    </row>
    <row r="108" spans="18:18" s="18" customFormat="1">
      <c r="R108" s="60"/>
    </row>
    <row r="109" spans="18:18" s="18" customFormat="1">
      <c r="R109" s="60"/>
    </row>
    <row r="110" spans="18:18" s="18" customFormat="1">
      <c r="R110" s="60"/>
    </row>
    <row r="111" spans="18:18" s="18" customFormat="1">
      <c r="R111" s="60"/>
    </row>
    <row r="112" spans="18:18" s="18" customFormat="1">
      <c r="R112" s="60"/>
    </row>
    <row r="113" spans="18:18" s="18" customFormat="1">
      <c r="R113" s="60"/>
    </row>
    <row r="114" spans="18:18" s="18" customFormat="1">
      <c r="R114" s="60"/>
    </row>
    <row r="115" spans="18:18" s="18" customFormat="1">
      <c r="R115" s="60"/>
    </row>
    <row r="116" spans="18:18" s="18" customFormat="1">
      <c r="R116" s="60"/>
    </row>
    <row r="117" spans="18:18" s="18" customFormat="1">
      <c r="R117" s="60"/>
    </row>
    <row r="118" spans="18:18" s="18" customFormat="1">
      <c r="R118" s="60"/>
    </row>
    <row r="119" spans="18:18" s="18" customFormat="1">
      <c r="R119" s="60"/>
    </row>
    <row r="120" spans="18:18" s="18" customFormat="1">
      <c r="R120" s="60"/>
    </row>
    <row r="121" spans="18:18" s="18" customFormat="1">
      <c r="R121" s="60"/>
    </row>
    <row r="122" spans="18:18" s="18" customFormat="1">
      <c r="R122" s="60"/>
    </row>
    <row r="123" spans="18:18" s="18" customFormat="1">
      <c r="R123" s="60"/>
    </row>
    <row r="124" spans="18:18" s="18" customFormat="1">
      <c r="R124" s="60"/>
    </row>
    <row r="125" spans="18:18" s="18" customFormat="1">
      <c r="R125" s="60"/>
    </row>
    <row r="126" spans="18:18" s="18" customFormat="1">
      <c r="R126" s="60"/>
    </row>
    <row r="127" spans="18:18" s="18" customFormat="1">
      <c r="R127" s="60"/>
    </row>
    <row r="128" spans="18:18" s="18" customFormat="1">
      <c r="R128" s="60"/>
    </row>
    <row r="129" spans="18:18" s="18" customFormat="1">
      <c r="R129" s="60"/>
    </row>
    <row r="130" spans="18:18" s="18" customFormat="1">
      <c r="R130" s="60"/>
    </row>
    <row r="131" spans="18:18" s="18" customFormat="1">
      <c r="R131" s="60"/>
    </row>
    <row r="132" spans="18:18" s="18" customFormat="1">
      <c r="R132" s="60"/>
    </row>
    <row r="133" spans="18:18" s="18" customFormat="1">
      <c r="R133" s="60"/>
    </row>
    <row r="134" spans="18:18" s="18" customFormat="1">
      <c r="R134" s="60"/>
    </row>
    <row r="135" spans="18:18" s="18" customFormat="1">
      <c r="R135" s="60"/>
    </row>
    <row r="136" spans="18:18" s="18" customFormat="1">
      <c r="R136" s="60"/>
    </row>
    <row r="137" spans="18:18" s="18" customFormat="1">
      <c r="R137" s="60"/>
    </row>
    <row r="138" spans="18:18" s="18" customFormat="1">
      <c r="R138" s="60"/>
    </row>
    <row r="139" spans="18:18" s="18" customFormat="1">
      <c r="R139" s="60"/>
    </row>
    <row r="140" spans="18:18" s="18" customFormat="1">
      <c r="R140" s="60"/>
    </row>
    <row r="141" spans="18:18" s="18" customFormat="1">
      <c r="R141" s="60"/>
    </row>
    <row r="142" spans="18:18" s="18" customFormat="1">
      <c r="R142" s="60"/>
    </row>
    <row r="143" spans="18:18" s="18" customFormat="1">
      <c r="R143" s="60"/>
    </row>
    <row r="144" spans="18:18" s="18" customFormat="1">
      <c r="R144" s="60"/>
    </row>
    <row r="145" spans="18:18" s="18" customFormat="1">
      <c r="R145" s="60"/>
    </row>
    <row r="146" spans="18:18" s="18" customFormat="1">
      <c r="R146" s="60"/>
    </row>
    <row r="147" spans="18:18" s="18" customFormat="1">
      <c r="R147" s="60"/>
    </row>
    <row r="148" spans="18:18" s="18" customFormat="1">
      <c r="R148" s="60"/>
    </row>
    <row r="149" spans="18:18" s="18" customFormat="1">
      <c r="R149" s="60"/>
    </row>
    <row r="150" spans="18:18" s="18" customFormat="1">
      <c r="R150" s="60"/>
    </row>
    <row r="151" spans="18:18" s="18" customFormat="1">
      <c r="R151" s="60"/>
    </row>
    <row r="152" spans="18:18" s="18" customFormat="1">
      <c r="R152" s="60"/>
    </row>
    <row r="153" spans="18:18" s="18" customFormat="1">
      <c r="R153" s="60"/>
    </row>
    <row r="154" spans="18:18" s="18" customFormat="1">
      <c r="R154" s="60"/>
    </row>
    <row r="155" spans="18:18" s="18" customFormat="1">
      <c r="R155" s="60"/>
    </row>
    <row r="156" spans="18:18" s="18" customFormat="1">
      <c r="R156" s="60"/>
    </row>
    <row r="157" spans="18:18" s="18" customFormat="1">
      <c r="R157" s="60"/>
    </row>
    <row r="158" spans="18:18" s="18" customFormat="1">
      <c r="R158" s="60"/>
    </row>
    <row r="159" spans="18:18" s="18" customFormat="1">
      <c r="R159" s="60"/>
    </row>
    <row r="160" spans="18:18" s="18" customFormat="1">
      <c r="R160" s="60"/>
    </row>
    <row r="161" spans="18:18" s="18" customFormat="1">
      <c r="R161" s="60"/>
    </row>
    <row r="162" spans="18:18" s="18" customFormat="1">
      <c r="R162" s="60"/>
    </row>
    <row r="163" spans="18:18" s="18" customFormat="1">
      <c r="R163" s="60"/>
    </row>
    <row r="164" spans="18:18" s="18" customFormat="1">
      <c r="R164" s="60"/>
    </row>
    <row r="165" spans="18:18" s="18" customFormat="1">
      <c r="R165" s="60"/>
    </row>
    <row r="166" spans="18:18" s="18" customFormat="1">
      <c r="R166" s="60"/>
    </row>
    <row r="167" spans="18:18" s="18" customFormat="1">
      <c r="R167" s="60"/>
    </row>
    <row r="168" spans="18:18" s="18" customFormat="1">
      <c r="R168" s="60"/>
    </row>
    <row r="169" spans="18:18" s="18" customFormat="1">
      <c r="R169" s="60"/>
    </row>
    <row r="170" spans="18:18" s="18" customFormat="1">
      <c r="R170" s="60"/>
    </row>
    <row r="171" spans="18:18" s="18" customFormat="1">
      <c r="R171" s="60"/>
    </row>
    <row r="172" spans="18:18" s="18" customFormat="1">
      <c r="R172" s="60"/>
    </row>
    <row r="173" spans="18:18" s="18" customFormat="1">
      <c r="R173" s="60"/>
    </row>
    <row r="174" spans="18:18" s="18" customFormat="1">
      <c r="R174" s="60"/>
    </row>
    <row r="175" spans="18:18" s="18" customFormat="1">
      <c r="R175" s="60"/>
    </row>
    <row r="176" spans="18:18" s="18" customFormat="1">
      <c r="R176" s="60"/>
    </row>
    <row r="177" spans="18:18" s="18" customFormat="1">
      <c r="R177" s="60"/>
    </row>
    <row r="178" spans="18:18" s="18" customFormat="1">
      <c r="R178" s="60"/>
    </row>
    <row r="179" spans="18:18" s="18" customFormat="1">
      <c r="R179" s="60"/>
    </row>
    <row r="180" spans="18:18" s="18" customFormat="1">
      <c r="R180" s="60"/>
    </row>
    <row r="181" spans="18:18" s="18" customFormat="1">
      <c r="R181" s="60"/>
    </row>
    <row r="182" spans="18:18" s="18" customFormat="1">
      <c r="R182" s="60"/>
    </row>
    <row r="183" spans="18:18" s="18" customFormat="1">
      <c r="R183" s="60"/>
    </row>
    <row r="184" spans="18:18" s="18" customFormat="1">
      <c r="R184" s="60"/>
    </row>
    <row r="185" spans="18:18" s="18" customFormat="1">
      <c r="R185" s="60"/>
    </row>
    <row r="186" spans="18:18" s="18" customFormat="1">
      <c r="R186" s="60"/>
    </row>
    <row r="187" spans="18:18" s="18" customFormat="1">
      <c r="R187" s="60"/>
    </row>
    <row r="188" spans="18:18" s="18" customFormat="1">
      <c r="R188" s="60"/>
    </row>
    <row r="189" spans="18:18" s="18" customFormat="1">
      <c r="R189" s="60"/>
    </row>
    <row r="190" spans="18:18" s="18" customFormat="1">
      <c r="R190" s="60"/>
    </row>
    <row r="191" spans="18:18" s="18" customFormat="1">
      <c r="R191" s="60"/>
    </row>
    <row r="192" spans="18:18" s="18" customFormat="1">
      <c r="R192" s="60"/>
    </row>
    <row r="193" spans="18:18" s="18" customFormat="1">
      <c r="R193" s="60"/>
    </row>
    <row r="194" spans="18:18" s="18" customFormat="1">
      <c r="R194" s="60"/>
    </row>
    <row r="195" spans="18:18" s="18" customFormat="1">
      <c r="R195" s="60"/>
    </row>
    <row r="196" spans="18:18" s="18" customFormat="1">
      <c r="R196" s="60"/>
    </row>
    <row r="197" spans="18:18" s="18" customFormat="1">
      <c r="R197" s="60"/>
    </row>
    <row r="198" spans="18:18" s="18" customFormat="1">
      <c r="R198" s="60"/>
    </row>
    <row r="199" spans="18:18" s="18" customFormat="1">
      <c r="R199" s="60"/>
    </row>
    <row r="200" spans="18:18" s="18" customFormat="1">
      <c r="R200" s="60"/>
    </row>
    <row r="201" spans="18:18" s="18" customFormat="1">
      <c r="R201" s="60"/>
    </row>
    <row r="202" spans="18:18" s="18" customFormat="1">
      <c r="R202" s="60"/>
    </row>
    <row r="203" spans="18:18" s="18" customFormat="1">
      <c r="R203" s="60"/>
    </row>
    <row r="204" spans="18:18" s="18" customFormat="1">
      <c r="R204" s="60"/>
    </row>
    <row r="205" spans="18:18" s="18" customFormat="1">
      <c r="R205" s="60"/>
    </row>
    <row r="206" spans="18:18" s="18" customFormat="1">
      <c r="R206" s="60"/>
    </row>
    <row r="207" spans="18:18" s="18" customFormat="1">
      <c r="R207" s="60"/>
    </row>
    <row r="208" spans="18:18" s="18" customFormat="1">
      <c r="R208" s="60"/>
    </row>
    <row r="209" spans="18:18" s="18" customFormat="1">
      <c r="R209" s="60"/>
    </row>
    <row r="210" spans="18:18" s="18" customFormat="1">
      <c r="R210" s="60"/>
    </row>
    <row r="211" spans="18:18" s="18" customFormat="1">
      <c r="R211" s="60"/>
    </row>
    <row r="212" spans="18:18" s="18" customFormat="1">
      <c r="R212" s="60"/>
    </row>
    <row r="213" spans="18:18" s="18" customFormat="1">
      <c r="R213" s="60"/>
    </row>
    <row r="214" spans="18:18" s="18" customFormat="1">
      <c r="R214" s="60"/>
    </row>
    <row r="215" spans="18:18" s="18" customFormat="1">
      <c r="R215" s="60"/>
    </row>
    <row r="216" spans="18:18" s="18" customFormat="1">
      <c r="R216" s="60"/>
    </row>
    <row r="217" spans="18:18" s="18" customFormat="1">
      <c r="R217" s="60"/>
    </row>
    <row r="218" spans="18:18" s="18" customFormat="1">
      <c r="R218" s="60"/>
    </row>
    <row r="219" spans="18:18" s="18" customFormat="1">
      <c r="R219" s="60"/>
    </row>
    <row r="220" spans="18:18" s="18" customFormat="1">
      <c r="R220" s="60"/>
    </row>
    <row r="221" spans="18:18" s="18" customFormat="1">
      <c r="R221" s="60"/>
    </row>
    <row r="222" spans="18:18" s="18" customFormat="1">
      <c r="R222" s="60"/>
    </row>
    <row r="223" spans="18:18" s="18" customFormat="1">
      <c r="R223" s="60"/>
    </row>
    <row r="224" spans="18:18" s="18" customFormat="1">
      <c r="R224" s="60"/>
    </row>
    <row r="225" spans="18:18" s="18" customFormat="1">
      <c r="R225" s="60"/>
    </row>
    <row r="226" spans="18:18" s="18" customFormat="1">
      <c r="R226" s="60"/>
    </row>
    <row r="227" spans="18:18" s="18" customFormat="1">
      <c r="R227" s="60"/>
    </row>
    <row r="228" spans="18:18" s="18" customFormat="1">
      <c r="R228" s="60"/>
    </row>
    <row r="229" spans="18:18" s="18" customFormat="1">
      <c r="R229" s="60"/>
    </row>
    <row r="230" spans="18:18" s="18" customFormat="1">
      <c r="R230" s="60"/>
    </row>
    <row r="231" spans="18:18" s="18" customFormat="1">
      <c r="R231" s="60"/>
    </row>
    <row r="232" spans="18:18" s="18" customFormat="1">
      <c r="R232" s="60"/>
    </row>
    <row r="233" spans="18:18" s="18" customFormat="1">
      <c r="R233" s="60"/>
    </row>
    <row r="234" spans="18:18" s="18" customFormat="1">
      <c r="R234" s="60"/>
    </row>
    <row r="235" spans="18:18" s="18" customFormat="1">
      <c r="R235" s="60"/>
    </row>
    <row r="236" spans="18:18" s="18" customFormat="1">
      <c r="R236" s="60"/>
    </row>
    <row r="237" spans="18:18" s="18" customFormat="1">
      <c r="R237" s="60"/>
    </row>
    <row r="238" spans="18:18" s="18" customFormat="1">
      <c r="R238" s="60"/>
    </row>
    <row r="239" spans="18:18" s="18" customFormat="1">
      <c r="R239" s="60"/>
    </row>
    <row r="240" spans="18:18" s="18" customFormat="1">
      <c r="R240" s="60"/>
    </row>
    <row r="241" spans="18:18" s="18" customFormat="1">
      <c r="R241" s="60"/>
    </row>
    <row r="242" spans="18:18" s="18" customFormat="1">
      <c r="R242" s="60"/>
    </row>
    <row r="243" spans="18:18" s="18" customFormat="1">
      <c r="R243" s="60"/>
    </row>
    <row r="244" spans="18:18" s="18" customFormat="1">
      <c r="R244" s="60"/>
    </row>
    <row r="245" spans="18:18" s="18" customFormat="1">
      <c r="R245" s="60"/>
    </row>
    <row r="246" spans="18:18" s="18" customFormat="1">
      <c r="R246" s="60"/>
    </row>
    <row r="247" spans="18:18" s="18" customFormat="1">
      <c r="R247" s="60"/>
    </row>
    <row r="248" spans="18:18" s="18" customFormat="1">
      <c r="R248" s="60"/>
    </row>
    <row r="249" spans="18:18" s="18" customFormat="1">
      <c r="R249" s="60"/>
    </row>
    <row r="250" spans="18:18" s="18" customFormat="1">
      <c r="R250" s="60"/>
    </row>
    <row r="251" spans="18:18" s="18" customFormat="1">
      <c r="R251" s="60"/>
    </row>
    <row r="252" spans="18:18" s="18" customFormat="1">
      <c r="R252" s="60"/>
    </row>
    <row r="253" spans="18:18" s="18" customFormat="1">
      <c r="R253" s="60"/>
    </row>
    <row r="254" spans="18:18" s="18" customFormat="1">
      <c r="R254" s="60"/>
    </row>
    <row r="255" spans="18:18" s="18" customFormat="1">
      <c r="R255" s="60"/>
    </row>
    <row r="256" spans="18:18" s="18" customFormat="1">
      <c r="R256" s="60"/>
    </row>
    <row r="257" spans="18:18" s="18" customFormat="1">
      <c r="R257" s="60"/>
    </row>
    <row r="258" spans="18:18" s="18" customFormat="1">
      <c r="R258" s="60"/>
    </row>
    <row r="259" spans="18:18" s="18" customFormat="1">
      <c r="R259" s="60"/>
    </row>
    <row r="260" spans="18:18" s="18" customFormat="1">
      <c r="R260" s="60"/>
    </row>
    <row r="261" spans="18:18" s="18" customFormat="1">
      <c r="R261" s="60"/>
    </row>
    <row r="262" spans="18:18" s="18" customFormat="1">
      <c r="R262" s="60"/>
    </row>
    <row r="263" spans="18:18" s="18" customFormat="1">
      <c r="R263" s="60"/>
    </row>
    <row r="264" spans="18:18" s="18" customFormat="1">
      <c r="R264" s="60"/>
    </row>
    <row r="265" spans="18:18" s="18" customFormat="1">
      <c r="R265" s="60"/>
    </row>
    <row r="266" spans="18:18" s="18" customFormat="1">
      <c r="R266" s="60"/>
    </row>
    <row r="267" spans="18:18" s="18" customFormat="1">
      <c r="R267" s="60"/>
    </row>
    <row r="268" spans="18:18" s="18" customFormat="1">
      <c r="R268" s="60"/>
    </row>
    <row r="269" spans="18:18" s="18" customFormat="1">
      <c r="R269" s="60"/>
    </row>
    <row r="270" spans="18:18" s="18" customFormat="1">
      <c r="R270" s="60"/>
    </row>
    <row r="271" spans="18:18" s="18" customFormat="1">
      <c r="R271" s="60"/>
    </row>
    <row r="272" spans="18:18" s="18" customFormat="1">
      <c r="R272" s="60"/>
    </row>
    <row r="273" spans="18:18" s="18" customFormat="1">
      <c r="R273" s="60"/>
    </row>
    <row r="274" spans="18:18" s="18" customFormat="1">
      <c r="R274" s="60"/>
    </row>
    <row r="275" spans="18:18" s="18" customFormat="1">
      <c r="R275" s="60"/>
    </row>
    <row r="276" spans="18:18" s="18" customFormat="1">
      <c r="R276" s="60"/>
    </row>
    <row r="277" spans="18:18" s="18" customFormat="1">
      <c r="R277" s="60"/>
    </row>
    <row r="278" spans="18:18" s="18" customFormat="1">
      <c r="R278" s="60"/>
    </row>
    <row r="279" spans="18:18" s="18" customFormat="1">
      <c r="R279" s="60"/>
    </row>
    <row r="280" spans="18:18" s="18" customFormat="1">
      <c r="R280" s="60"/>
    </row>
    <row r="281" spans="18:18" s="18" customFormat="1">
      <c r="R281" s="60"/>
    </row>
    <row r="282" spans="18:18" s="18" customFormat="1">
      <c r="R282" s="60"/>
    </row>
    <row r="283" spans="18:18" s="18" customFormat="1">
      <c r="R283" s="60"/>
    </row>
    <row r="284" spans="18:18" s="18" customFormat="1">
      <c r="R284" s="60"/>
    </row>
    <row r="285" spans="18:18" s="18" customFormat="1">
      <c r="R285" s="60"/>
    </row>
    <row r="286" spans="18:18" s="18" customFormat="1">
      <c r="R286" s="60"/>
    </row>
    <row r="287" spans="18:18" s="18" customFormat="1">
      <c r="R287" s="60"/>
    </row>
    <row r="288" spans="18:18" s="18" customFormat="1">
      <c r="R288" s="60"/>
    </row>
    <row r="289" spans="18:18" s="18" customFormat="1">
      <c r="R289" s="60"/>
    </row>
    <row r="290" spans="18:18" s="18" customFormat="1">
      <c r="R290" s="60"/>
    </row>
    <row r="291" spans="18:18" s="18" customFormat="1">
      <c r="R291" s="60"/>
    </row>
    <row r="292" spans="18:18" s="18" customFormat="1">
      <c r="R292" s="60"/>
    </row>
    <row r="293" spans="18:18" s="18" customFormat="1">
      <c r="R293" s="60"/>
    </row>
    <row r="294" spans="18:18" s="18" customFormat="1">
      <c r="R294" s="60"/>
    </row>
    <row r="295" spans="18:18" s="18" customFormat="1">
      <c r="R295" s="60"/>
    </row>
    <row r="296" spans="18:18" s="18" customFormat="1">
      <c r="R296" s="60"/>
    </row>
    <row r="297" spans="18:18" s="18" customFormat="1">
      <c r="R297" s="60"/>
    </row>
    <row r="298" spans="18:18" s="18" customFormat="1">
      <c r="R298" s="60"/>
    </row>
    <row r="299" spans="18:18" s="18" customFormat="1">
      <c r="R299" s="60"/>
    </row>
    <row r="300" spans="18:18" s="18" customFormat="1">
      <c r="R300" s="60"/>
    </row>
    <row r="301" spans="18:18" s="18" customFormat="1">
      <c r="R301" s="60"/>
    </row>
    <row r="302" spans="18:18" s="18" customFormat="1">
      <c r="R302" s="60"/>
    </row>
    <row r="303" spans="18:18" s="18" customFormat="1">
      <c r="R303" s="60"/>
    </row>
    <row r="304" spans="18:18" s="18" customFormat="1">
      <c r="R304" s="60"/>
    </row>
    <row r="305" spans="18:18" s="18" customFormat="1">
      <c r="R305" s="60"/>
    </row>
    <row r="306" spans="18:18" s="18" customFormat="1">
      <c r="R306" s="60"/>
    </row>
    <row r="307" spans="18:18" s="18" customFormat="1">
      <c r="R307" s="60"/>
    </row>
    <row r="308" spans="18:18" s="18" customFormat="1">
      <c r="R308" s="60"/>
    </row>
    <row r="309" spans="18:18" s="18" customFormat="1">
      <c r="R309" s="60"/>
    </row>
    <row r="310" spans="18:18" s="18" customFormat="1">
      <c r="R310" s="60"/>
    </row>
    <row r="311" spans="18:18" s="18" customFormat="1">
      <c r="R311" s="60"/>
    </row>
    <row r="312" spans="18:18" s="18" customFormat="1">
      <c r="R312" s="60"/>
    </row>
    <row r="313" spans="18:18" s="18" customFormat="1">
      <c r="R313" s="60"/>
    </row>
    <row r="314" spans="18:18" s="18" customFormat="1">
      <c r="R314" s="60"/>
    </row>
    <row r="315" spans="18:18" s="18" customFormat="1">
      <c r="R315" s="60"/>
    </row>
    <row r="316" spans="18:18" s="18" customFormat="1">
      <c r="R316" s="60"/>
    </row>
    <row r="317" spans="18:18" s="18" customFormat="1">
      <c r="R317" s="60"/>
    </row>
    <row r="318" spans="18:18" s="18" customFormat="1">
      <c r="R318" s="60"/>
    </row>
    <row r="319" spans="18:18" s="18" customFormat="1">
      <c r="R319" s="60"/>
    </row>
    <row r="320" spans="18:18" s="18" customFormat="1">
      <c r="R320" s="60"/>
    </row>
    <row r="321" spans="18:18" s="18" customFormat="1">
      <c r="R321" s="60"/>
    </row>
    <row r="322" spans="18:18" s="18" customFormat="1">
      <c r="R322" s="60"/>
    </row>
    <row r="323" spans="18:18" s="18" customFormat="1">
      <c r="R323" s="60"/>
    </row>
    <row r="324" spans="18:18" s="18" customFormat="1">
      <c r="R324" s="60"/>
    </row>
    <row r="325" spans="18:18" s="18" customFormat="1">
      <c r="R325" s="60"/>
    </row>
    <row r="326" spans="18:18" s="18" customFormat="1">
      <c r="R326" s="60"/>
    </row>
    <row r="327" spans="18:18" s="18" customFormat="1">
      <c r="R327" s="60"/>
    </row>
    <row r="328" spans="18:18" s="18" customFormat="1">
      <c r="R328" s="60"/>
    </row>
    <row r="329" spans="18:18" s="18" customFormat="1">
      <c r="R329" s="60"/>
    </row>
    <row r="330" spans="18:18" s="18" customFormat="1">
      <c r="R330" s="60"/>
    </row>
    <row r="331" spans="18:18" s="18" customFormat="1">
      <c r="R331" s="60"/>
    </row>
    <row r="332" spans="18:18" s="18" customFormat="1">
      <c r="R332" s="60"/>
    </row>
    <row r="333" spans="18:18" s="18" customFormat="1">
      <c r="R333" s="60"/>
    </row>
    <row r="334" spans="18:18" s="18" customFormat="1">
      <c r="R334" s="60"/>
    </row>
    <row r="335" spans="18:18" s="18" customFormat="1">
      <c r="R335" s="60"/>
    </row>
    <row r="336" spans="18:18" s="18" customFormat="1">
      <c r="R336" s="60"/>
    </row>
    <row r="337" spans="18:18" s="18" customFormat="1">
      <c r="R337" s="60"/>
    </row>
    <row r="338" spans="18:18" s="18" customFormat="1">
      <c r="R338" s="60"/>
    </row>
    <row r="339" spans="18:18" s="18" customFormat="1">
      <c r="R339" s="60"/>
    </row>
    <row r="340" spans="18:18" s="18" customFormat="1">
      <c r="R340" s="60"/>
    </row>
    <row r="341" spans="18:18" s="18" customFormat="1">
      <c r="R341" s="60"/>
    </row>
    <row r="342" spans="18:18" s="18" customFormat="1">
      <c r="R342" s="60"/>
    </row>
    <row r="343" spans="18:18" s="18" customFormat="1">
      <c r="R343" s="60"/>
    </row>
    <row r="344" spans="18:18" s="18" customFormat="1">
      <c r="R344" s="60"/>
    </row>
    <row r="345" spans="18:18" s="18" customFormat="1">
      <c r="R345" s="60"/>
    </row>
    <row r="346" spans="18:18" s="18" customFormat="1">
      <c r="R346" s="60"/>
    </row>
    <row r="347" spans="18:18" s="18" customFormat="1">
      <c r="R347" s="60"/>
    </row>
    <row r="348" spans="18:18" s="18" customFormat="1">
      <c r="R348" s="60"/>
    </row>
    <row r="349" spans="18:18" s="18" customFormat="1">
      <c r="R349" s="60"/>
    </row>
    <row r="350" spans="18:18" s="18" customFormat="1">
      <c r="R350" s="60"/>
    </row>
    <row r="351" spans="18:18" s="18" customFormat="1">
      <c r="R351" s="60"/>
    </row>
    <row r="352" spans="18:18" s="18" customFormat="1">
      <c r="R352" s="60"/>
    </row>
    <row r="353" spans="18:18" s="18" customFormat="1">
      <c r="R353" s="60"/>
    </row>
    <row r="354" spans="18:18" s="18" customFormat="1">
      <c r="R354" s="60"/>
    </row>
    <row r="355" spans="18:18" s="18" customFormat="1">
      <c r="R355" s="60"/>
    </row>
    <row r="356" spans="18:18" s="18" customFormat="1">
      <c r="R356" s="60"/>
    </row>
    <row r="357" spans="18:18" s="18" customFormat="1">
      <c r="R357" s="60"/>
    </row>
    <row r="358" spans="18:18" s="18" customFormat="1">
      <c r="R358" s="60"/>
    </row>
    <row r="359" spans="18:18" s="18" customFormat="1">
      <c r="R359" s="60"/>
    </row>
    <row r="360" spans="18:18" s="18" customFormat="1">
      <c r="R360" s="60"/>
    </row>
    <row r="361" spans="18:18" s="18" customFormat="1">
      <c r="R361" s="60"/>
    </row>
    <row r="362" spans="18:18" s="18" customFormat="1">
      <c r="R362" s="60"/>
    </row>
    <row r="363" spans="18:18" s="18" customFormat="1">
      <c r="R363" s="60"/>
    </row>
    <row r="364" spans="18:18" s="18" customFormat="1">
      <c r="R364" s="60"/>
    </row>
    <row r="365" spans="18:18" s="18" customFormat="1">
      <c r="R365" s="60"/>
    </row>
    <row r="366" spans="18:18" s="18" customFormat="1">
      <c r="R366" s="60"/>
    </row>
    <row r="367" spans="18:18" s="18" customFormat="1">
      <c r="R367" s="60"/>
    </row>
    <row r="368" spans="18:18" s="18" customFormat="1">
      <c r="R368" s="60"/>
    </row>
    <row r="369" spans="18:18" s="18" customFormat="1">
      <c r="R369" s="60"/>
    </row>
    <row r="370" spans="18:18" s="18" customFormat="1">
      <c r="R370" s="60"/>
    </row>
    <row r="371" spans="18:18" s="18" customFormat="1">
      <c r="R371" s="60"/>
    </row>
    <row r="372" spans="18:18" s="18" customFormat="1">
      <c r="R372" s="60"/>
    </row>
    <row r="373" spans="18:18" s="18" customFormat="1">
      <c r="R373" s="60"/>
    </row>
    <row r="374" spans="18:18" s="18" customFormat="1">
      <c r="R374" s="60"/>
    </row>
    <row r="375" spans="18:18" s="18" customFormat="1">
      <c r="R375" s="60"/>
    </row>
    <row r="376" spans="18:18" s="18" customFormat="1">
      <c r="R376" s="60"/>
    </row>
    <row r="377" spans="18:18" s="18" customFormat="1">
      <c r="R377" s="60"/>
    </row>
    <row r="378" spans="18:18" s="18" customFormat="1">
      <c r="R378" s="60"/>
    </row>
    <row r="379" spans="18:18" s="18" customFormat="1">
      <c r="R379" s="60"/>
    </row>
    <row r="380" spans="18:18" s="18" customFormat="1">
      <c r="R380" s="60"/>
    </row>
    <row r="381" spans="18:18" s="18" customFormat="1">
      <c r="R381" s="60"/>
    </row>
    <row r="382" spans="18:18" s="18" customFormat="1">
      <c r="R382" s="60"/>
    </row>
    <row r="383" spans="18:18" s="18" customFormat="1">
      <c r="R383" s="60"/>
    </row>
    <row r="384" spans="18:18" s="18" customFormat="1">
      <c r="R384" s="60"/>
    </row>
    <row r="385" spans="18:18" s="18" customFormat="1">
      <c r="R385" s="60"/>
    </row>
    <row r="386" spans="18:18" s="18" customFormat="1">
      <c r="R386" s="60"/>
    </row>
    <row r="387" spans="18:18" s="18" customFormat="1">
      <c r="R387" s="60"/>
    </row>
    <row r="388" spans="18:18" s="18" customFormat="1">
      <c r="R388" s="60"/>
    </row>
    <row r="389" spans="18:18" s="18" customFormat="1">
      <c r="R389" s="60"/>
    </row>
    <row r="390" spans="18:18" s="18" customFormat="1">
      <c r="R390" s="60"/>
    </row>
    <row r="391" spans="18:18" s="18" customFormat="1">
      <c r="R391" s="60"/>
    </row>
    <row r="392" spans="18:18" s="18" customFormat="1">
      <c r="R392" s="60"/>
    </row>
    <row r="393" spans="18:18" s="18" customFormat="1">
      <c r="R393" s="60"/>
    </row>
    <row r="394" spans="18:18" s="18" customFormat="1">
      <c r="R394" s="60"/>
    </row>
    <row r="395" spans="18:18" s="18" customFormat="1">
      <c r="R395" s="60"/>
    </row>
    <row r="396" spans="18:18" s="18" customFormat="1">
      <c r="R396" s="60"/>
    </row>
    <row r="397" spans="18:18" s="18" customFormat="1">
      <c r="R397" s="60"/>
    </row>
    <row r="398" spans="18:18" s="18" customFormat="1">
      <c r="R398" s="60"/>
    </row>
    <row r="399" spans="18:18" s="18" customFormat="1">
      <c r="R399" s="60"/>
    </row>
    <row r="400" spans="18:18" s="18" customFormat="1">
      <c r="R400" s="60"/>
    </row>
    <row r="401" spans="18:18" s="18" customFormat="1">
      <c r="R401" s="60"/>
    </row>
    <row r="402" spans="18:18" s="18" customFormat="1">
      <c r="R402" s="60"/>
    </row>
    <row r="403" spans="18:18" s="18" customFormat="1">
      <c r="R403" s="60"/>
    </row>
    <row r="404" spans="18:18" s="18" customFormat="1">
      <c r="R404" s="60"/>
    </row>
    <row r="405" spans="18:18" s="18" customFormat="1">
      <c r="R405" s="60"/>
    </row>
    <row r="406" spans="18:18" s="18" customFormat="1">
      <c r="R406" s="60"/>
    </row>
    <row r="407" spans="18:18" s="18" customFormat="1">
      <c r="R407" s="60"/>
    </row>
    <row r="408" spans="18:18" s="18" customFormat="1">
      <c r="R408" s="60"/>
    </row>
    <row r="409" spans="18:18" s="18" customFormat="1">
      <c r="R409" s="60"/>
    </row>
    <row r="410" spans="18:18" s="18" customFormat="1">
      <c r="R410" s="60"/>
    </row>
    <row r="411" spans="18:18" s="18" customFormat="1">
      <c r="R411" s="60"/>
    </row>
    <row r="412" spans="18:18" s="18" customFormat="1">
      <c r="R412" s="60"/>
    </row>
    <row r="413" spans="18:18" s="18" customFormat="1">
      <c r="R413" s="60"/>
    </row>
    <row r="414" spans="18:18" s="18" customFormat="1">
      <c r="R414" s="60"/>
    </row>
    <row r="415" spans="18:18" s="18" customFormat="1">
      <c r="R415" s="60"/>
    </row>
    <row r="416" spans="18:18" s="18" customFormat="1">
      <c r="R416" s="60"/>
    </row>
    <row r="417" spans="18:18" s="18" customFormat="1">
      <c r="R417" s="60"/>
    </row>
    <row r="418" spans="18:18" s="18" customFormat="1">
      <c r="R418" s="60"/>
    </row>
    <row r="419" spans="18:18" s="18" customFormat="1">
      <c r="R419" s="60"/>
    </row>
    <row r="420" spans="18:18" s="18" customFormat="1">
      <c r="R420" s="60"/>
    </row>
    <row r="421" spans="18:18" s="18" customFormat="1">
      <c r="R421" s="60"/>
    </row>
    <row r="422" spans="18:18" s="18" customFormat="1">
      <c r="R422" s="60"/>
    </row>
    <row r="423" spans="18:18" s="18" customFormat="1">
      <c r="R423" s="60"/>
    </row>
    <row r="424" spans="18:18" s="18" customFormat="1">
      <c r="R424" s="60"/>
    </row>
    <row r="425" spans="18:18" s="18" customFormat="1">
      <c r="R425" s="60"/>
    </row>
    <row r="426" spans="18:18" s="18" customFormat="1">
      <c r="R426" s="60"/>
    </row>
    <row r="427" spans="18:18" s="18" customFormat="1">
      <c r="R427" s="60"/>
    </row>
    <row r="428" spans="18:18" s="18" customFormat="1">
      <c r="R428" s="60"/>
    </row>
    <row r="429" spans="18:18" s="18" customFormat="1">
      <c r="R429" s="60"/>
    </row>
    <row r="430" spans="18:18" s="18" customFormat="1">
      <c r="R430" s="60"/>
    </row>
    <row r="431" spans="18:18" s="18" customFormat="1">
      <c r="R431" s="60"/>
    </row>
    <row r="432" spans="18:18" s="18" customFormat="1">
      <c r="R432" s="60"/>
    </row>
    <row r="433" spans="2:30" s="18" customFormat="1">
      <c r="R433" s="60"/>
    </row>
    <row r="434" spans="2:30" s="18" customFormat="1">
      <c r="R434" s="60"/>
    </row>
    <row r="435" spans="2:30" s="18" customFormat="1">
      <c r="R435" s="60"/>
    </row>
    <row r="436" spans="2:30" s="18" customFormat="1">
      <c r="R436" s="60"/>
    </row>
    <row r="437" spans="2:30" s="18" customFormat="1">
      <c r="R437" s="60"/>
    </row>
    <row r="438" spans="2:30" s="18" customFormat="1">
      <c r="R438" s="60"/>
    </row>
    <row r="439" spans="2:30" s="18" customFormat="1">
      <c r="R439" s="60"/>
    </row>
    <row r="440" spans="2:30" s="18" customFormat="1">
      <c r="R440" s="60"/>
    </row>
    <row r="441" spans="2:30" s="18" customFormat="1">
      <c r="R441" s="60"/>
    </row>
    <row r="442" spans="2:30" s="18" customFormat="1">
      <c r="R442" s="60"/>
    </row>
    <row r="443" spans="2:30" s="70" customFormat="1">
      <c r="B443" s="18"/>
      <c r="C443" s="18"/>
      <c r="D443" s="18"/>
      <c r="E443" s="18"/>
      <c r="R443" s="144"/>
      <c r="X443" s="18"/>
      <c r="Y443" s="18"/>
      <c r="Z443" s="18"/>
      <c r="AA443" s="18"/>
      <c r="AD443" s="18"/>
    </row>
    <row r="444" spans="2:30" s="70" customFormat="1">
      <c r="B444" s="18"/>
      <c r="C444" s="18"/>
      <c r="D444" s="18"/>
      <c r="E444" s="18"/>
      <c r="R444" s="144"/>
      <c r="X444" s="18"/>
      <c r="Y444" s="18"/>
      <c r="Z444" s="18"/>
      <c r="AA444" s="18"/>
      <c r="AD444" s="18"/>
    </row>
    <row r="445" spans="2:30" s="70" customFormat="1">
      <c r="B445" s="18"/>
      <c r="C445" s="18"/>
      <c r="D445" s="18"/>
      <c r="E445" s="18"/>
      <c r="R445" s="144"/>
      <c r="X445" s="18"/>
      <c r="Y445" s="18"/>
      <c r="Z445" s="18"/>
      <c r="AA445" s="18"/>
      <c r="AD445" s="18"/>
    </row>
    <row r="446" spans="2:30" s="70" customFormat="1">
      <c r="B446" s="18"/>
      <c r="C446" s="18"/>
      <c r="D446" s="18"/>
      <c r="E446" s="18"/>
      <c r="R446" s="144"/>
      <c r="X446" s="18"/>
      <c r="Y446" s="18"/>
      <c r="Z446" s="18"/>
      <c r="AA446" s="18"/>
      <c r="AD446" s="18"/>
    </row>
    <row r="447" spans="2:30" s="70" customFormat="1">
      <c r="B447" s="18"/>
      <c r="C447" s="18"/>
      <c r="D447" s="18"/>
      <c r="E447" s="18"/>
      <c r="R447" s="144"/>
      <c r="X447" s="18"/>
      <c r="Y447" s="18"/>
      <c r="Z447" s="18"/>
      <c r="AA447" s="18"/>
      <c r="AD447" s="18"/>
    </row>
    <row r="448" spans="2:30" s="70" customFormat="1">
      <c r="B448" s="18"/>
      <c r="C448" s="18"/>
      <c r="D448" s="18"/>
      <c r="E448" s="18"/>
      <c r="R448" s="144"/>
      <c r="X448" s="18"/>
      <c r="Y448" s="18"/>
      <c r="Z448" s="18"/>
      <c r="AA448" s="18"/>
      <c r="AD448" s="18"/>
    </row>
    <row r="449" spans="2:30" s="70" customFormat="1">
      <c r="B449" s="18"/>
      <c r="C449" s="18"/>
      <c r="D449" s="18"/>
      <c r="E449" s="18"/>
      <c r="R449" s="144"/>
      <c r="X449" s="18"/>
      <c r="Y449" s="18"/>
      <c r="Z449" s="18"/>
      <c r="AA449" s="18"/>
      <c r="AD449" s="18"/>
    </row>
    <row r="450" spans="2:30" s="70" customFormat="1">
      <c r="B450" s="18"/>
      <c r="C450" s="18"/>
      <c r="D450" s="18"/>
      <c r="E450" s="18"/>
      <c r="R450" s="144"/>
      <c r="X450" s="18"/>
      <c r="Y450" s="18"/>
      <c r="Z450" s="18"/>
      <c r="AA450" s="18"/>
      <c r="AD450" s="18"/>
    </row>
  </sheetData>
  <phoneticPr fontId="0" type="noConversion"/>
  <pageMargins left="0.7" right="0.7" top="0.75" bottom="0.75" header="0.3" footer="0.3"/>
  <pageSetup paperSize="9" orientation="portrait" r:id="rId1"/>
  <ignoredErrors>
    <ignoredError sqref="I9:J9"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theme="0"/>
  </sheetPr>
  <dimension ref="B1:AK448"/>
  <sheetViews>
    <sheetView zoomScale="85" zoomScaleNormal="85" zoomScalePageLayoutView="125" workbookViewId="0">
      <selection activeCell="G33" sqref="G33:G35"/>
    </sheetView>
  </sheetViews>
  <sheetFormatPr defaultColWidth="8.85546875" defaultRowHeight="12.75"/>
  <cols>
    <col min="1" max="1" width="3" style="19" customWidth="1"/>
    <col min="2" max="2" width="27.42578125" style="18" customWidth="1"/>
    <col min="3" max="3" width="21" style="18" customWidth="1"/>
    <col min="4" max="4" width="15.42578125" style="18" customWidth="1"/>
    <col min="5" max="5" width="14.42578125" style="18" customWidth="1"/>
    <col min="6" max="6" width="13.28515625" style="19" customWidth="1"/>
    <col min="7" max="7" width="15.28515625" style="19" customWidth="1"/>
    <col min="8" max="8" width="11.7109375" style="19" bestFit="1" customWidth="1"/>
    <col min="9" max="9" width="11.140625" style="19" customWidth="1"/>
    <col min="10" max="10" width="12.85546875" style="19" bestFit="1" customWidth="1"/>
    <col min="11" max="12" width="14.7109375" style="19" bestFit="1" customWidth="1"/>
    <col min="13" max="13" width="20" style="19" bestFit="1" customWidth="1"/>
    <col min="14" max="15" width="8.85546875" style="19"/>
    <col min="16" max="16" width="10.42578125" style="19" customWidth="1"/>
    <col min="17" max="17" width="15.28515625" style="32" customWidth="1"/>
    <col min="18" max="21" width="8.85546875" style="19"/>
    <col min="22" max="22" width="8.42578125" style="19" customWidth="1"/>
    <col min="23" max="23" width="13.28515625" style="18" customWidth="1"/>
    <col min="24" max="24" width="19.85546875" style="18" bestFit="1" customWidth="1"/>
    <col min="25" max="25" width="13.28515625" style="18" bestFit="1" customWidth="1"/>
    <col min="26" max="26" width="14.85546875" style="18"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1570</v>
      </c>
      <c r="C1" s="78"/>
      <c r="D1" s="78"/>
      <c r="E1" s="79" t="s">
        <v>1569</v>
      </c>
      <c r="F1" s="68" t="s">
        <v>7358</v>
      </c>
      <c r="G1" s="69"/>
    </row>
    <row r="3" spans="2:37" ht="51">
      <c r="F3" s="47" t="s">
        <v>1598</v>
      </c>
      <c r="G3" s="47" t="s">
        <v>1597</v>
      </c>
      <c r="H3" s="47"/>
      <c r="I3" s="27" t="s">
        <v>1521</v>
      </c>
      <c r="J3" s="27" t="s">
        <v>1522</v>
      </c>
      <c r="K3" s="27"/>
      <c r="N3" s="29"/>
      <c r="O3" s="29"/>
      <c r="Q3" s="19"/>
      <c r="R3" s="47" t="s">
        <v>1529</v>
      </c>
      <c r="W3" s="19"/>
      <c r="X3" s="17" t="s">
        <v>1524</v>
      </c>
      <c r="Y3" s="18" t="s">
        <v>5722</v>
      </c>
      <c r="Z3" s="17" t="s">
        <v>1525</v>
      </c>
      <c r="AA3" s="84"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N4" s="30"/>
      <c r="O4" s="30"/>
      <c r="Q4" s="19"/>
      <c r="R4" s="32"/>
      <c r="W4" s="19"/>
      <c r="AA4" s="84" t="s">
        <v>1560</v>
      </c>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1" t="s">
        <v>1719</v>
      </c>
      <c r="L5" s="31" t="s">
        <v>7126</v>
      </c>
      <c r="M5" s="31" t="s">
        <v>1552</v>
      </c>
      <c r="N5" s="31" t="s">
        <v>7124</v>
      </c>
      <c r="O5" s="31" t="s">
        <v>7125</v>
      </c>
      <c r="P5" s="31" t="s">
        <v>1548</v>
      </c>
      <c r="Q5" s="31" t="s">
        <v>1551</v>
      </c>
      <c r="R5" s="29" t="s">
        <v>1544</v>
      </c>
      <c r="S5" s="31" t="s">
        <v>1554</v>
      </c>
      <c r="T5" s="31"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7288</v>
      </c>
      <c r="C7" s="56" t="s">
        <v>1561</v>
      </c>
      <c r="D7" s="56" t="s">
        <v>1562</v>
      </c>
      <c r="E7" s="88">
        <f t="shared" ref="E7:E15" si="0">YEAR(AB7)</f>
        <v>1985</v>
      </c>
      <c r="F7" s="202">
        <v>0.46800000000000003</v>
      </c>
      <c r="G7" s="202">
        <v>0.498</v>
      </c>
      <c r="H7" s="201">
        <v>0.84099999999999997</v>
      </c>
      <c r="I7" s="109">
        <f>'CZ-4'!$AU$20/100</f>
        <v>0.92120000000000002</v>
      </c>
      <c r="J7" s="109">
        <f>'CZ-4'!$AU$21/100</f>
        <v>0.95540000000000003</v>
      </c>
      <c r="K7" s="109">
        <f t="shared" ref="K7:K12" si="1">F7</f>
        <v>0.46800000000000003</v>
      </c>
      <c r="L7" s="95"/>
      <c r="M7" s="111"/>
      <c r="N7" s="111"/>
      <c r="O7" s="92"/>
      <c r="P7" s="92"/>
      <c r="Q7" s="92"/>
      <c r="R7" s="128">
        <f t="shared" ref="R7:R15" si="2">YEAR(AC7)</f>
        <v>2015</v>
      </c>
      <c r="S7" s="110">
        <f t="shared" ref="S7:S15" si="3">R7-E7</f>
        <v>30</v>
      </c>
      <c r="T7" s="109">
        <f t="shared" ref="T7:T12" si="4">AK7</f>
        <v>1.2607487999999998</v>
      </c>
      <c r="U7" s="127">
        <v>1</v>
      </c>
      <c r="V7" s="113">
        <v>31.536000000000001</v>
      </c>
      <c r="X7" s="92" t="str">
        <f>'CZ-4'!$AU$11</f>
        <v xml:space="preserve">PWR  </v>
      </c>
      <c r="Y7" s="92" t="str">
        <f>'CZ-4'!$AU$12</f>
        <v>VVER V-213</v>
      </c>
      <c r="Z7" s="92" t="str">
        <f>'CZ-4'!$AU$7</f>
        <v>DUKOVANY-1</v>
      </c>
      <c r="AA7" s="95">
        <v>30</v>
      </c>
      <c r="AB7" s="114">
        <f>'CZ-4'!$AU$18</f>
        <v>31102</v>
      </c>
      <c r="AC7" s="115">
        <f>DATE(YEAR(AB7)+AA7,MONTH(AB7),DAY(AB7))</f>
        <v>42059</v>
      </c>
      <c r="AD7" s="92" t="str">
        <f>'CZ-4'!$AU$19</f>
        <v>44000</v>
      </c>
      <c r="AE7" s="110">
        <f t="shared" ref="AE7:AE15" si="5">G7*J7*8760</f>
        <v>4167.9133920000004</v>
      </c>
      <c r="AF7" s="109">
        <f>'CZ-4'!$AU$16/'CZ-4'!$AU$13</f>
        <v>0.33163636363636362</v>
      </c>
      <c r="AG7" s="110">
        <f t="shared" ref="AG7:AG15" si="6">AE7/AF7</f>
        <v>12567.72130263158</v>
      </c>
      <c r="AH7" s="116">
        <f t="shared" ref="AH7:AH15" si="7">AG7/(AD7*24)*1000</f>
        <v>11.901251233552633</v>
      </c>
      <c r="AI7" s="110">
        <f>AH7*Assumptions!$H$7</f>
        <v>95.210009868421068</v>
      </c>
      <c r="AJ7" s="110">
        <f t="shared" ref="AJ7:AJ15" si="8">AE7/AH7</f>
        <v>350.20799999999997</v>
      </c>
      <c r="AK7" s="109">
        <f t="shared" ref="AK7:AK15" si="9">AJ7*0.0036</f>
        <v>1.2607487999999998</v>
      </c>
    </row>
    <row r="8" spans="2:37" s="18" customFormat="1">
      <c r="B8" s="75" t="s">
        <v>7289</v>
      </c>
      <c r="C8" s="56" t="s">
        <v>1561</v>
      </c>
      <c r="D8" s="56" t="s">
        <v>1562</v>
      </c>
      <c r="E8" s="88">
        <f t="shared" si="0"/>
        <v>1986</v>
      </c>
      <c r="F8" s="202">
        <v>0.47099999999999997</v>
      </c>
      <c r="G8" s="108">
        <f>'CZ-5'!$AU$16/1000</f>
        <v>0.45600000000000002</v>
      </c>
      <c r="H8" s="201">
        <v>0.84799999999999998</v>
      </c>
      <c r="I8" s="109">
        <f>'CZ-5'!$AU$20/100</f>
        <v>0.91799999999999993</v>
      </c>
      <c r="J8" s="109">
        <f>'CZ-5'!$AU$21/100</f>
        <v>0.94530000000000003</v>
      </c>
      <c r="K8" s="109">
        <f t="shared" si="1"/>
        <v>0.47099999999999997</v>
      </c>
      <c r="L8" s="95"/>
      <c r="M8" s="111"/>
      <c r="N8" s="111"/>
      <c r="O8" s="92"/>
      <c r="P8" s="92"/>
      <c r="Q8" s="92"/>
      <c r="R8" s="128">
        <f t="shared" si="2"/>
        <v>2016</v>
      </c>
      <c r="S8" s="95">
        <f t="shared" si="3"/>
        <v>30</v>
      </c>
      <c r="T8" s="109">
        <f t="shared" si="4"/>
        <v>1.2607487999999998</v>
      </c>
      <c r="U8" s="127">
        <v>1</v>
      </c>
      <c r="V8" s="113">
        <v>31.536000000000001</v>
      </c>
      <c r="X8" s="92" t="str">
        <f>'CZ-5'!$AU$11</f>
        <v xml:space="preserve">PWR  </v>
      </c>
      <c r="Y8" s="92" t="str">
        <f>'CZ-5'!$AU$12</f>
        <v>VVER V-213</v>
      </c>
      <c r="Z8" s="92" t="str">
        <f>'CZ-5'!$AU$7</f>
        <v>DUKOVANY-2</v>
      </c>
      <c r="AA8" s="95">
        <v>30</v>
      </c>
      <c r="AB8" s="114">
        <f>'CZ-5'!$AU$18</f>
        <v>31442</v>
      </c>
      <c r="AC8" s="115">
        <f>DATE(YEAR(AB8)+AA8,MONTH(AB8),DAY(AB8))</f>
        <v>42399</v>
      </c>
      <c r="AD8" s="92" t="str">
        <f>'CZ-5'!$AU$19</f>
        <v>44000</v>
      </c>
      <c r="AE8" s="110">
        <f t="shared" si="5"/>
        <v>3776.0575680000002</v>
      </c>
      <c r="AF8" s="109">
        <f>'CZ-5'!$AU$16/'CZ-5'!$AU$13</f>
        <v>0.33163636363636362</v>
      </c>
      <c r="AG8" s="110">
        <f t="shared" si="6"/>
        <v>11386.138500000001</v>
      </c>
      <c r="AH8" s="116">
        <f t="shared" si="7"/>
        <v>10.782328125000001</v>
      </c>
      <c r="AI8" s="110">
        <f>AH8*Assumptions!$H$7</f>
        <v>86.258625000000009</v>
      </c>
      <c r="AJ8" s="110">
        <f t="shared" si="8"/>
        <v>350.20799999999997</v>
      </c>
      <c r="AK8" s="109">
        <f t="shared" si="9"/>
        <v>1.2607487999999998</v>
      </c>
    </row>
    <row r="9" spans="2:37" s="18" customFormat="1">
      <c r="B9" s="75" t="s">
        <v>7290</v>
      </c>
      <c r="C9" s="56" t="s">
        <v>1561</v>
      </c>
      <c r="D9" s="56" t="s">
        <v>1562</v>
      </c>
      <c r="E9" s="88">
        <f t="shared" si="0"/>
        <v>1986</v>
      </c>
      <c r="F9" s="202">
        <v>0.46800000000000003</v>
      </c>
      <c r="G9" s="202">
        <v>0.498</v>
      </c>
      <c r="H9" s="201">
        <v>0.84299999999999997</v>
      </c>
      <c r="I9" s="109">
        <f>'CZ-8'!$AU$20/100</f>
        <v>0.80189999999999995</v>
      </c>
      <c r="J9" s="109">
        <f>'CZ-8'!$AU$21/100</f>
        <v>0.79579999999999995</v>
      </c>
      <c r="K9" s="109">
        <f t="shared" si="1"/>
        <v>0.46800000000000003</v>
      </c>
      <c r="L9" s="95"/>
      <c r="M9" s="111"/>
      <c r="N9" s="111"/>
      <c r="O9" s="92"/>
      <c r="P9" s="92"/>
      <c r="Q9" s="92"/>
      <c r="R9" s="128">
        <f t="shared" si="2"/>
        <v>2016</v>
      </c>
      <c r="S9" s="95">
        <f t="shared" si="3"/>
        <v>30</v>
      </c>
      <c r="T9" s="109">
        <f t="shared" si="4"/>
        <v>1.3110781163434901</v>
      </c>
      <c r="U9" s="127">
        <v>1</v>
      </c>
      <c r="V9" s="113">
        <v>31.536000000000001</v>
      </c>
      <c r="X9" s="92" t="str">
        <f>'CZ-8'!$AU$11</f>
        <v xml:space="preserve">PWR  </v>
      </c>
      <c r="Y9" s="92" t="str">
        <f>'CZ-8'!$AU$12</f>
        <v>VVER V-213</v>
      </c>
      <c r="Z9" s="92" t="str">
        <f>'CZ-8'!$AU$7</f>
        <v>DUKOVANY-3</v>
      </c>
      <c r="AA9" s="95">
        <v>30</v>
      </c>
      <c r="AB9" s="114">
        <f>'CZ-8'!$AU$18</f>
        <v>31730</v>
      </c>
      <c r="AC9" s="115">
        <f t="shared" ref="AC9:AC15" si="10">DATE(YEAR(AB9)+AA9,MONTH(AB9),DAY(AB9))</f>
        <v>42688</v>
      </c>
      <c r="AD9" s="92" t="str">
        <f>'CZ-8'!$AU$19</f>
        <v>44000</v>
      </c>
      <c r="AE9" s="110">
        <f t="shared" si="5"/>
        <v>3471.6615839999995</v>
      </c>
      <c r="AF9" s="109">
        <f>'CZ-8'!$AU$16/'CZ-8'!$AU$13</f>
        <v>0.34487534626038779</v>
      </c>
      <c r="AG9" s="110">
        <f t="shared" si="6"/>
        <v>10066.424351999998</v>
      </c>
      <c r="AH9" s="116">
        <f t="shared" si="7"/>
        <v>9.5325988181818175</v>
      </c>
      <c r="AI9" s="110">
        <f>AH9*Assumptions!$H$7</f>
        <v>76.26079054545454</v>
      </c>
      <c r="AJ9" s="110">
        <f t="shared" si="8"/>
        <v>364.1883656509695</v>
      </c>
      <c r="AK9" s="109">
        <f t="shared" si="9"/>
        <v>1.3110781163434901</v>
      </c>
    </row>
    <row r="10" spans="2:37" s="18" customFormat="1">
      <c r="B10" s="75" t="s">
        <v>7291</v>
      </c>
      <c r="C10" s="56" t="s">
        <v>1561</v>
      </c>
      <c r="D10" s="56" t="s">
        <v>1562</v>
      </c>
      <c r="E10" s="88">
        <f t="shared" si="0"/>
        <v>1987</v>
      </c>
      <c r="F10" s="202">
        <v>0.47099999999999997</v>
      </c>
      <c r="G10" s="108">
        <f>'CZ-9'!$AU$16/1000</f>
        <v>0.45600000000000002</v>
      </c>
      <c r="H10" s="201">
        <v>0.84499999999999997</v>
      </c>
      <c r="I10" s="109">
        <f>'CZ-9'!$AU$20/100</f>
        <v>0.9052</v>
      </c>
      <c r="J10" s="109">
        <f>'CZ-9'!$AU$21/100</f>
        <v>0.77400000000000002</v>
      </c>
      <c r="K10" s="109">
        <f t="shared" si="1"/>
        <v>0.47099999999999997</v>
      </c>
      <c r="L10" s="95"/>
      <c r="M10" s="111"/>
      <c r="N10" s="111"/>
      <c r="O10" s="92"/>
      <c r="P10" s="92"/>
      <c r="Q10" s="92"/>
      <c r="R10" s="128">
        <f t="shared" si="2"/>
        <v>2017</v>
      </c>
      <c r="S10" s="95">
        <f t="shared" si="3"/>
        <v>30</v>
      </c>
      <c r="T10" s="109">
        <f t="shared" si="4"/>
        <v>1.2607487999999998</v>
      </c>
      <c r="U10" s="127">
        <v>1</v>
      </c>
      <c r="V10" s="113">
        <v>31.536000000000001</v>
      </c>
      <c r="X10" s="92" t="str">
        <f>'CZ-9'!$AU$11</f>
        <v xml:space="preserve">PWR  </v>
      </c>
      <c r="Y10" s="92" t="str">
        <f>'CZ-9'!$AU$12</f>
        <v>VVER V-213</v>
      </c>
      <c r="Z10" s="92" t="str">
        <f>'CZ-9'!$AU$7</f>
        <v>DUKOVANY-4</v>
      </c>
      <c r="AA10" s="95">
        <v>30</v>
      </c>
      <c r="AB10" s="114">
        <f>'CZ-9'!$AU$18</f>
        <v>31939</v>
      </c>
      <c r="AC10" s="115">
        <f t="shared" si="10"/>
        <v>42897</v>
      </c>
      <c r="AD10" s="92" t="str">
        <f>'CZ-9'!$AU$19</f>
        <v>44000</v>
      </c>
      <c r="AE10" s="110">
        <f t="shared" si="5"/>
        <v>3091.7894400000005</v>
      </c>
      <c r="AF10" s="109">
        <f>'CZ-9'!$AU$16/'CZ-9'!$AU$13</f>
        <v>0.33163636363636362</v>
      </c>
      <c r="AG10" s="110">
        <f t="shared" si="6"/>
        <v>9322.8300000000017</v>
      </c>
      <c r="AH10" s="116">
        <f t="shared" si="7"/>
        <v>8.8284375000000015</v>
      </c>
      <c r="AI10" s="110">
        <f>AH10*Assumptions!$H$7</f>
        <v>70.627500000000012</v>
      </c>
      <c r="AJ10" s="110">
        <f t="shared" si="8"/>
        <v>350.20799999999997</v>
      </c>
      <c r="AK10" s="109">
        <f t="shared" si="9"/>
        <v>1.2607487999999998</v>
      </c>
    </row>
    <row r="11" spans="2:37" s="18" customFormat="1">
      <c r="B11" s="75" t="s">
        <v>7292</v>
      </c>
      <c r="C11" s="56" t="s">
        <v>1561</v>
      </c>
      <c r="D11" s="56" t="s">
        <v>1562</v>
      </c>
      <c r="E11" s="88">
        <f t="shared" si="0"/>
        <v>2000</v>
      </c>
      <c r="F11" s="108">
        <f>'CZ-23'!$AU$17/1000</f>
        <v>0.96299999999999997</v>
      </c>
      <c r="G11" s="108">
        <f>'CZ-23'!$AU$16/1000</f>
        <v>1.0129999999999999</v>
      </c>
      <c r="H11" s="201">
        <v>0.69099999999999995</v>
      </c>
      <c r="I11" s="109">
        <f>'CZ-23'!$AU$20/100</f>
        <v>0.66349999999999998</v>
      </c>
      <c r="J11" s="109">
        <f>'CZ-23'!$AU$21/100</f>
        <v>0.74750000000000005</v>
      </c>
      <c r="K11" s="109">
        <f t="shared" si="1"/>
        <v>0.96299999999999997</v>
      </c>
      <c r="L11" s="95"/>
      <c r="M11" s="111"/>
      <c r="N11" s="111"/>
      <c r="O11" s="92"/>
      <c r="P11" s="92"/>
      <c r="Q11" s="92"/>
      <c r="R11" s="131">
        <f t="shared" si="2"/>
        <v>2040</v>
      </c>
      <c r="S11" s="95">
        <f t="shared" si="3"/>
        <v>40</v>
      </c>
      <c r="T11" s="109">
        <f t="shared" si="4"/>
        <v>1.312848</v>
      </c>
      <c r="U11" s="127">
        <v>1</v>
      </c>
      <c r="V11" s="113">
        <v>31.536000000000001</v>
      </c>
      <c r="X11" s="92" t="str">
        <f>'CZ-23'!$AU$11</f>
        <v xml:space="preserve">PWR  </v>
      </c>
      <c r="Y11" s="92" t="str">
        <f>'CZ-23'!$AU$12</f>
        <v>VVER V-320</v>
      </c>
      <c r="Z11" s="92" t="str">
        <f>'CZ-23'!$AU$7</f>
        <v>TEMELIN-1</v>
      </c>
      <c r="AA11" s="95">
        <v>40</v>
      </c>
      <c r="AB11" s="114">
        <f>'CZ-23'!$AU$18</f>
        <v>36881</v>
      </c>
      <c r="AC11" s="115">
        <f t="shared" si="10"/>
        <v>51491</v>
      </c>
      <c r="AD11" s="92" t="str">
        <f>'CZ-23'!$AU$19</f>
        <v>45000</v>
      </c>
      <c r="AE11" s="110">
        <f t="shared" si="5"/>
        <v>6633.2253000000001</v>
      </c>
      <c r="AF11" s="109">
        <f>'CZ-23'!$AU$16/'CZ-23'!$AU$13</f>
        <v>0.33766666666666667</v>
      </c>
      <c r="AG11" s="110">
        <f t="shared" si="6"/>
        <v>19644.3</v>
      </c>
      <c r="AH11" s="116">
        <f t="shared" si="7"/>
        <v>18.189166666666665</v>
      </c>
      <c r="AI11" s="110">
        <f>AH11*Assumptions!$H$7</f>
        <v>145.51333333333332</v>
      </c>
      <c r="AJ11" s="110">
        <f t="shared" si="8"/>
        <v>364.68</v>
      </c>
      <c r="AK11" s="109">
        <f t="shared" si="9"/>
        <v>1.312848</v>
      </c>
    </row>
    <row r="12" spans="2:37" s="18" customFormat="1">
      <c r="B12" s="75" t="s">
        <v>7293</v>
      </c>
      <c r="C12" s="56" t="s">
        <v>1561</v>
      </c>
      <c r="D12" s="56" t="s">
        <v>1562</v>
      </c>
      <c r="E12" s="88">
        <f t="shared" si="0"/>
        <v>2002</v>
      </c>
      <c r="F12" s="108">
        <f>'CZ-24'!$AU$17/1000</f>
        <v>0.96299999999999997</v>
      </c>
      <c r="G12" s="108">
        <f>'CZ-24'!$AU$16/1000</f>
        <v>1.0129999999999999</v>
      </c>
      <c r="H12" s="201">
        <v>0.7609999999999999</v>
      </c>
      <c r="I12" s="109">
        <f>'CZ-24'!$AU$20/100</f>
        <v>0.65269999999999995</v>
      </c>
      <c r="J12" s="109">
        <f>'CZ-24'!$AU$21/100</f>
        <v>0.81180000000000008</v>
      </c>
      <c r="K12" s="109">
        <f t="shared" si="1"/>
        <v>0.96299999999999997</v>
      </c>
      <c r="L12" s="95"/>
      <c r="M12" s="111"/>
      <c r="N12" s="111"/>
      <c r="O12" s="92"/>
      <c r="P12" s="92"/>
      <c r="Q12" s="92"/>
      <c r="R12" s="131">
        <f t="shared" si="2"/>
        <v>2042</v>
      </c>
      <c r="S12" s="95">
        <f t="shared" si="3"/>
        <v>40</v>
      </c>
      <c r="T12" s="109">
        <f t="shared" si="4"/>
        <v>1.3128480000000002</v>
      </c>
      <c r="U12" s="127">
        <v>1</v>
      </c>
      <c r="V12" s="113">
        <v>31.536000000000001</v>
      </c>
      <c r="X12" s="92" t="str">
        <f>'CZ-24'!$AU$11</f>
        <v xml:space="preserve">PWR  </v>
      </c>
      <c r="Y12" s="92" t="str">
        <f>'CZ-24'!$AU$12</f>
        <v>VVER V-320</v>
      </c>
      <c r="Z12" s="92" t="str">
        <f>'CZ-24'!$AU$7</f>
        <v>TEMELIN-2</v>
      </c>
      <c r="AA12" s="95">
        <v>40</v>
      </c>
      <c r="AB12" s="114">
        <f>'CZ-24'!$AU$18</f>
        <v>37619</v>
      </c>
      <c r="AC12" s="115">
        <f t="shared" si="10"/>
        <v>52229</v>
      </c>
      <c r="AD12" s="92" t="str">
        <f>'CZ-24'!$AU$19</f>
        <v>45000</v>
      </c>
      <c r="AE12" s="110">
        <f t="shared" si="5"/>
        <v>7203.8157840000003</v>
      </c>
      <c r="AF12" s="109">
        <f>'CZ-24'!$AU$16/'CZ-24'!$AU$13</f>
        <v>0.33766666666666667</v>
      </c>
      <c r="AG12" s="110">
        <f t="shared" si="6"/>
        <v>21334.103999999999</v>
      </c>
      <c r="AH12" s="116">
        <f t="shared" si="7"/>
        <v>19.753799999999998</v>
      </c>
      <c r="AI12" s="110">
        <f>AH12*Assumptions!$H$7</f>
        <v>158.03039999999999</v>
      </c>
      <c r="AJ12" s="110">
        <f t="shared" si="8"/>
        <v>364.68000000000006</v>
      </c>
      <c r="AK12" s="109">
        <f t="shared" si="9"/>
        <v>1.3128480000000002</v>
      </c>
    </row>
    <row r="13" spans="2:37" s="18" customFormat="1">
      <c r="B13" s="76" t="s">
        <v>1725</v>
      </c>
      <c r="C13" s="57" t="s">
        <v>1561</v>
      </c>
      <c r="D13" s="57" t="s">
        <v>1562</v>
      </c>
      <c r="E13" s="57">
        <f t="shared" si="0"/>
        <v>2023</v>
      </c>
      <c r="F13" s="117">
        <f>F12/G12*G13</f>
        <v>1.1407699901283317</v>
      </c>
      <c r="G13" s="117">
        <f>1200/1000</f>
        <v>1.2</v>
      </c>
      <c r="H13" s="118">
        <v>0.92</v>
      </c>
      <c r="I13" s="118">
        <v>0.92</v>
      </c>
      <c r="J13" s="121"/>
      <c r="K13" s="118"/>
      <c r="L13" s="120"/>
      <c r="M13" s="117">
        <f>F13</f>
        <v>1.1407699901283317</v>
      </c>
      <c r="N13" s="83">
        <f>E13</f>
        <v>2023</v>
      </c>
      <c r="O13" s="83">
        <f>N13</f>
        <v>2023</v>
      </c>
      <c r="P13" s="85"/>
      <c r="Q13" s="83"/>
      <c r="R13" s="133">
        <f t="shared" si="2"/>
        <v>2073</v>
      </c>
      <c r="S13" s="83">
        <f t="shared" si="3"/>
        <v>50</v>
      </c>
      <c r="T13" s="121">
        <v>1.2830399999999995</v>
      </c>
      <c r="U13" s="138">
        <v>1</v>
      </c>
      <c r="V13" s="122">
        <v>31.536000000000001</v>
      </c>
      <c r="X13" s="85" t="s">
        <v>1652</v>
      </c>
      <c r="Y13" s="85" t="s">
        <v>1652</v>
      </c>
      <c r="Z13" s="85" t="s">
        <v>1649</v>
      </c>
      <c r="AA13" s="83">
        <v>50</v>
      </c>
      <c r="AB13" s="123">
        <v>44927</v>
      </c>
      <c r="AC13" s="124">
        <f t="shared" si="10"/>
        <v>63190</v>
      </c>
      <c r="AD13" s="85"/>
      <c r="AE13" s="119">
        <f t="shared" si="5"/>
        <v>0</v>
      </c>
      <c r="AF13" s="118">
        <f>'CZ-24'!$AU$16/'CZ-24'!$AU$13</f>
        <v>0.33766666666666667</v>
      </c>
      <c r="AG13" s="119">
        <f t="shared" si="6"/>
        <v>0</v>
      </c>
      <c r="AH13" s="125" t="e">
        <f t="shared" si="7"/>
        <v>#DIV/0!</v>
      </c>
      <c r="AI13" s="119" t="e">
        <f>AH13*Assumptions!$H$7</f>
        <v>#DIV/0!</v>
      </c>
      <c r="AJ13" s="119" t="e">
        <f t="shared" si="8"/>
        <v>#DIV/0!</v>
      </c>
      <c r="AK13" s="118" t="e">
        <f t="shared" si="9"/>
        <v>#DIV/0!</v>
      </c>
    </row>
    <row r="14" spans="2:37" s="18" customFormat="1">
      <c r="B14" s="76" t="s">
        <v>1726</v>
      </c>
      <c r="C14" s="57" t="s">
        <v>1561</v>
      </c>
      <c r="D14" s="57" t="s">
        <v>1562</v>
      </c>
      <c r="E14" s="57">
        <f t="shared" si="0"/>
        <v>2024</v>
      </c>
      <c r="F14" s="117">
        <f>F13/G13*G14</f>
        <v>1.1407699901283317</v>
      </c>
      <c r="G14" s="117">
        <f>1200/1000</f>
        <v>1.2</v>
      </c>
      <c r="H14" s="118">
        <v>0.92</v>
      </c>
      <c r="I14" s="118">
        <v>0.92</v>
      </c>
      <c r="J14" s="121"/>
      <c r="K14" s="118"/>
      <c r="L14" s="120"/>
      <c r="M14" s="117">
        <f>F14</f>
        <v>1.1407699901283317</v>
      </c>
      <c r="N14" s="83">
        <f>E14</f>
        <v>2024</v>
      </c>
      <c r="O14" s="83">
        <f>N14</f>
        <v>2024</v>
      </c>
      <c r="P14" s="85"/>
      <c r="Q14" s="83"/>
      <c r="R14" s="133">
        <f t="shared" si="2"/>
        <v>2074</v>
      </c>
      <c r="S14" s="83">
        <f t="shared" si="3"/>
        <v>50</v>
      </c>
      <c r="T14" s="121">
        <v>1.2830399999999995</v>
      </c>
      <c r="U14" s="138">
        <v>1</v>
      </c>
      <c r="V14" s="122">
        <v>31.536000000000001</v>
      </c>
      <c r="X14" s="85" t="s">
        <v>1652</v>
      </c>
      <c r="Y14" s="85" t="s">
        <v>1652</v>
      </c>
      <c r="Z14" s="85" t="s">
        <v>1650</v>
      </c>
      <c r="AA14" s="83">
        <v>50</v>
      </c>
      <c r="AB14" s="123">
        <v>45292</v>
      </c>
      <c r="AC14" s="124">
        <f t="shared" si="10"/>
        <v>63555</v>
      </c>
      <c r="AD14" s="85"/>
      <c r="AE14" s="119">
        <f t="shared" si="5"/>
        <v>0</v>
      </c>
      <c r="AF14" s="118">
        <f>'CZ-24'!$AU$16/'CZ-24'!$AU$13</f>
        <v>0.33766666666666667</v>
      </c>
      <c r="AG14" s="119">
        <f t="shared" si="6"/>
        <v>0</v>
      </c>
      <c r="AH14" s="125" t="e">
        <f t="shared" si="7"/>
        <v>#DIV/0!</v>
      </c>
      <c r="AI14" s="119" t="e">
        <f>AH14*Assumptions!$H$7</f>
        <v>#DIV/0!</v>
      </c>
      <c r="AJ14" s="119" t="e">
        <f t="shared" si="8"/>
        <v>#DIV/0!</v>
      </c>
      <c r="AK14" s="118" t="e">
        <f t="shared" si="9"/>
        <v>#DIV/0!</v>
      </c>
    </row>
    <row r="15" spans="2:37" s="18" customFormat="1">
      <c r="B15" s="76" t="s">
        <v>1727</v>
      </c>
      <c r="C15" s="57" t="s">
        <v>1561</v>
      </c>
      <c r="D15" s="57" t="s">
        <v>1562</v>
      </c>
      <c r="E15" s="57">
        <f t="shared" si="0"/>
        <v>2025</v>
      </c>
      <c r="F15" s="117">
        <f>F14/G14*G15</f>
        <v>1.1407699901283317</v>
      </c>
      <c r="G15" s="117">
        <f>1200/1000</f>
        <v>1.2</v>
      </c>
      <c r="H15" s="118">
        <v>0.92</v>
      </c>
      <c r="I15" s="118">
        <v>0.92</v>
      </c>
      <c r="J15" s="121"/>
      <c r="K15" s="118"/>
      <c r="L15" s="117">
        <f>F15</f>
        <v>1.1407699901283317</v>
      </c>
      <c r="M15" s="130"/>
      <c r="N15" s="83">
        <f>E15</f>
        <v>2025</v>
      </c>
      <c r="O15" s="85"/>
      <c r="P15" s="85"/>
      <c r="Q15" s="83"/>
      <c r="R15" s="133">
        <f t="shared" si="2"/>
        <v>2075</v>
      </c>
      <c r="S15" s="83">
        <f t="shared" si="3"/>
        <v>50</v>
      </c>
      <c r="T15" s="121">
        <f>T14</f>
        <v>1.2830399999999995</v>
      </c>
      <c r="U15" s="138">
        <v>1</v>
      </c>
      <c r="V15" s="122">
        <v>31.536000000000001</v>
      </c>
      <c r="X15" s="85" t="s">
        <v>1652</v>
      </c>
      <c r="Y15" s="85" t="s">
        <v>1652</v>
      </c>
      <c r="Z15" s="85" t="s">
        <v>1651</v>
      </c>
      <c r="AA15" s="83">
        <v>50</v>
      </c>
      <c r="AB15" s="123">
        <v>45658</v>
      </c>
      <c r="AC15" s="124">
        <f t="shared" si="10"/>
        <v>63920</v>
      </c>
      <c r="AD15" s="85"/>
      <c r="AE15" s="119">
        <f t="shared" si="5"/>
        <v>0</v>
      </c>
      <c r="AF15" s="118">
        <f>'CZ-24'!$AU$16/'CZ-24'!$AU$13</f>
        <v>0.33766666666666667</v>
      </c>
      <c r="AG15" s="119">
        <f t="shared" si="6"/>
        <v>0</v>
      </c>
      <c r="AH15" s="125" t="e">
        <f t="shared" si="7"/>
        <v>#DIV/0!</v>
      </c>
      <c r="AI15" s="119" t="e">
        <f>AH15*Assumptions!$H$7</f>
        <v>#DIV/0!</v>
      </c>
      <c r="AJ15" s="119" t="e">
        <f t="shared" si="8"/>
        <v>#DIV/0!</v>
      </c>
      <c r="AK15" s="118" t="e">
        <f t="shared" si="9"/>
        <v>#DIV/0!</v>
      </c>
    </row>
    <row r="16" spans="2: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SUM(F7:F12)</f>
        <v>3.8040000000000003</v>
      </c>
      <c r="G21" s="18" t="s">
        <v>7215</v>
      </c>
      <c r="H21" s="137">
        <f>F21/H22</f>
        <v>0.22376470588235295</v>
      </c>
      <c r="Q21" s="60"/>
    </row>
    <row r="22" spans="2:17" s="18" customFormat="1">
      <c r="E22" s="18" t="s">
        <v>7127</v>
      </c>
      <c r="F22" s="160">
        <f>SUM(F13:F15)</f>
        <v>3.4223099703849948</v>
      </c>
      <c r="G22" s="18" t="s">
        <v>7216</v>
      </c>
      <c r="H22" s="18">
        <f>MAX(E7:E12)-MIN(E7:E12)</f>
        <v>17</v>
      </c>
      <c r="Q22" s="60"/>
    </row>
    <row r="23" spans="2:17" s="18" customFormat="1"/>
    <row r="24" spans="2:17" s="18" customFormat="1"/>
    <row r="25" spans="2:17" s="18" customFormat="1">
      <c r="B25" s="224" t="s">
        <v>1603</v>
      </c>
      <c r="C25" s="224"/>
      <c r="D25" s="225"/>
      <c r="E25" s="225"/>
      <c r="F25" s="225"/>
      <c r="G25" s="225"/>
      <c r="H25" s="225"/>
      <c r="I25" s="225"/>
    </row>
    <row r="26" spans="2:17" s="18" customFormat="1" ht="13.5" thickBot="1">
      <c r="B26" s="226" t="s">
        <v>1604</v>
      </c>
      <c r="C26" s="226" t="s">
        <v>1540</v>
      </c>
      <c r="D26" s="226" t="s">
        <v>1605</v>
      </c>
      <c r="E26" s="226" t="s">
        <v>1606</v>
      </c>
      <c r="F26" s="226" t="s">
        <v>1607</v>
      </c>
      <c r="G26" s="226" t="s">
        <v>1608</v>
      </c>
      <c r="H26" s="226" t="s">
        <v>1609</v>
      </c>
      <c r="I26" s="226" t="s">
        <v>1610</v>
      </c>
      <c r="Q26" s="60"/>
    </row>
    <row r="27" spans="2:17" s="18" customFormat="1">
      <c r="B27" s="225" t="s">
        <v>1611</v>
      </c>
      <c r="C27" s="225" t="str">
        <f t="shared" ref="C27:C35" si="11">B7</f>
        <v>ENCZ_DUKOVANY-1_00</v>
      </c>
      <c r="D27" s="227" t="str">
        <f t="shared" ref="D27:D35" si="12">"Nuclear Power Plant: "&amp;Z7</f>
        <v>Nuclear Power Plant: DUKOVANY-1</v>
      </c>
      <c r="E27" s="228" t="s">
        <v>1612</v>
      </c>
      <c r="F27" s="228" t="s">
        <v>1556</v>
      </c>
      <c r="G27" s="228" t="s">
        <v>1613</v>
      </c>
      <c r="H27" s="228"/>
      <c r="I27" s="228"/>
      <c r="J27" s="84"/>
      <c r="Q27" s="60"/>
    </row>
    <row r="28" spans="2:17" s="18" customFormat="1">
      <c r="B28" s="225"/>
      <c r="C28" s="225" t="str">
        <f t="shared" si="11"/>
        <v>ENCZ_DUKOVANY-2_00</v>
      </c>
      <c r="D28" s="227" t="str">
        <f t="shared" si="12"/>
        <v>Nuclear Power Plant: DUKOVANY-2</v>
      </c>
      <c r="E28" s="228" t="s">
        <v>1612</v>
      </c>
      <c r="F28" s="228" t="s">
        <v>1556</v>
      </c>
      <c r="G28" s="228" t="s">
        <v>1613</v>
      </c>
      <c r="H28" s="228"/>
      <c r="I28" s="228"/>
      <c r="J28" s="84"/>
      <c r="Q28" s="60"/>
    </row>
    <row r="29" spans="2:17" s="18" customFormat="1">
      <c r="B29" s="225"/>
      <c r="C29" s="225" t="str">
        <f t="shared" si="11"/>
        <v>ENCZ_DUKOVANY-3_00</v>
      </c>
      <c r="D29" s="227" t="str">
        <f t="shared" si="12"/>
        <v>Nuclear Power Plant: DUKOVANY-3</v>
      </c>
      <c r="E29" s="228" t="s">
        <v>1612</v>
      </c>
      <c r="F29" s="228" t="s">
        <v>1556</v>
      </c>
      <c r="G29" s="228" t="s">
        <v>1613</v>
      </c>
      <c r="H29" s="228"/>
      <c r="I29" s="228"/>
      <c r="J29" s="84"/>
      <c r="Q29" s="60"/>
    </row>
    <row r="30" spans="2:17" s="18" customFormat="1">
      <c r="B30" s="225"/>
      <c r="C30" s="225" t="str">
        <f t="shared" si="11"/>
        <v>ENCZ_DUKOVANY-4_00</v>
      </c>
      <c r="D30" s="227" t="str">
        <f t="shared" si="12"/>
        <v>Nuclear Power Plant: DUKOVANY-4</v>
      </c>
      <c r="E30" s="228" t="s">
        <v>1612</v>
      </c>
      <c r="F30" s="228" t="s">
        <v>1556</v>
      </c>
      <c r="G30" s="228" t="s">
        <v>1613</v>
      </c>
      <c r="H30" s="228"/>
      <c r="I30" s="228"/>
      <c r="J30" s="84"/>
      <c r="Q30" s="60"/>
    </row>
    <row r="31" spans="2:17" s="18" customFormat="1">
      <c r="B31" s="225"/>
      <c r="C31" s="225" t="str">
        <f t="shared" si="11"/>
        <v>ENCZ_TEMELIN-1_00</v>
      </c>
      <c r="D31" s="227" t="str">
        <f t="shared" si="12"/>
        <v>Nuclear Power Plant: TEMELIN-1</v>
      </c>
      <c r="E31" s="228" t="s">
        <v>1612</v>
      </c>
      <c r="F31" s="228" t="s">
        <v>1556</v>
      </c>
      <c r="G31" s="228" t="s">
        <v>1613</v>
      </c>
      <c r="H31" s="228"/>
      <c r="I31" s="228"/>
      <c r="J31" s="84"/>
      <c r="Q31" s="60"/>
    </row>
    <row r="32" spans="2:17" s="18" customFormat="1">
      <c r="B32" s="225"/>
      <c r="C32" s="225" t="str">
        <f t="shared" si="11"/>
        <v>ENCZ_TEMELIN-2_00</v>
      </c>
      <c r="D32" s="227" t="str">
        <f t="shared" si="12"/>
        <v>Nuclear Power Plant: TEMELIN-2</v>
      </c>
      <c r="E32" s="228" t="s">
        <v>1612</v>
      </c>
      <c r="F32" s="228" t="s">
        <v>1556</v>
      </c>
      <c r="G32" s="228" t="s">
        <v>1613</v>
      </c>
      <c r="H32" s="225"/>
      <c r="I32" s="225"/>
      <c r="Q32" s="60"/>
    </row>
    <row r="33" spans="2:17" s="18" customFormat="1">
      <c r="B33" s="225"/>
      <c r="C33" s="225" t="str">
        <f t="shared" si="11"/>
        <v>ENCZ_TEMELIN-3</v>
      </c>
      <c r="D33" s="227" t="str">
        <f t="shared" si="12"/>
        <v>Nuclear Power Plant: TEMELIN-3</v>
      </c>
      <c r="E33" s="228" t="s">
        <v>1612</v>
      </c>
      <c r="F33" s="228" t="s">
        <v>1556</v>
      </c>
      <c r="G33" s="228" t="s">
        <v>7378</v>
      </c>
      <c r="H33" s="225"/>
      <c r="I33" s="225"/>
      <c r="Q33" s="60"/>
    </row>
    <row r="34" spans="2:17" s="18" customFormat="1">
      <c r="B34" s="225"/>
      <c r="C34" s="225" t="str">
        <f t="shared" si="11"/>
        <v>ENCZ_TEMELIN-4</v>
      </c>
      <c r="D34" s="227" t="str">
        <f t="shared" si="12"/>
        <v>Nuclear Power Plant: TEMELIN-4</v>
      </c>
      <c r="E34" s="228" t="s">
        <v>1612</v>
      </c>
      <c r="F34" s="228" t="s">
        <v>1556</v>
      </c>
      <c r="G34" s="228" t="s">
        <v>7378</v>
      </c>
      <c r="H34" s="225"/>
      <c r="I34" s="225"/>
      <c r="Q34" s="60"/>
    </row>
    <row r="35" spans="2:17" s="18" customFormat="1">
      <c r="B35" s="225"/>
      <c r="C35" s="225" t="str">
        <f t="shared" si="11"/>
        <v>ENCZ_DUKOVANY-5</v>
      </c>
      <c r="D35" s="227" t="str">
        <f t="shared" si="12"/>
        <v>Nuclear Power Plant: DUKOVANY-5</v>
      </c>
      <c r="E35" s="228" t="s">
        <v>1612</v>
      </c>
      <c r="F35" s="228" t="s">
        <v>1556</v>
      </c>
      <c r="G35" s="228" t="s">
        <v>7378</v>
      </c>
      <c r="H35" s="225"/>
      <c r="I35" s="225"/>
      <c r="Q35" s="60"/>
    </row>
    <row r="36" spans="2:17" s="18" customFormat="1">
      <c r="Q36" s="60"/>
    </row>
    <row r="37" spans="2:17" s="18" customFormat="1">
      <c r="Q37" s="60"/>
    </row>
    <row r="38" spans="2:17" s="18" customFormat="1">
      <c r="Q38" s="60"/>
    </row>
    <row r="39" spans="2:17" s="18" customFormat="1">
      <c r="Q39" s="60"/>
    </row>
    <row r="40" spans="2:17" s="18" customFormat="1">
      <c r="Q40" s="60"/>
    </row>
    <row r="41" spans="2:17" s="18" customFormat="1">
      <c r="Q41" s="60"/>
    </row>
    <row r="42" spans="2:17" s="18" customFormat="1">
      <c r="Q42" s="60"/>
    </row>
    <row r="43" spans="2:17" s="18" customFormat="1">
      <c r="Q43" s="60"/>
    </row>
    <row r="44" spans="2:17" s="18" customFormat="1">
      <c r="Q44" s="60"/>
    </row>
    <row r="45" spans="2:17" s="18" customFormat="1">
      <c r="Q45" s="60"/>
    </row>
    <row r="46" spans="2:17" s="18" customFormat="1">
      <c r="Q46" s="60"/>
    </row>
    <row r="47" spans="2:17" s="18" customFormat="1">
      <c r="Q47" s="60"/>
    </row>
    <row r="48" spans="2: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Q440" s="60"/>
    </row>
    <row r="441" spans="2:29" s="70" customFormat="1">
      <c r="B441" s="18"/>
      <c r="C441" s="18"/>
      <c r="D441" s="18"/>
      <c r="E441" s="18"/>
      <c r="Q441" s="144"/>
      <c r="W441" s="18"/>
      <c r="X441" s="18"/>
      <c r="Y441" s="18"/>
      <c r="Z441" s="18"/>
      <c r="AC441" s="18"/>
    </row>
    <row r="442" spans="2:29" s="70" customFormat="1">
      <c r="B442" s="18"/>
      <c r="C442" s="18"/>
      <c r="D442" s="18"/>
      <c r="E442" s="18"/>
      <c r="Q442" s="144"/>
      <c r="W442" s="18"/>
      <c r="X442" s="18"/>
      <c r="Y442" s="18"/>
      <c r="Z442" s="18"/>
      <c r="AC442" s="18"/>
    </row>
    <row r="443" spans="2:29" s="70" customFormat="1">
      <c r="B443" s="18"/>
      <c r="C443" s="18"/>
      <c r="D443" s="18"/>
      <c r="E443" s="18"/>
      <c r="Q443" s="144"/>
      <c r="W443" s="18"/>
      <c r="X443" s="18"/>
      <c r="Y443" s="18"/>
      <c r="Z443" s="18"/>
      <c r="AC443" s="18"/>
    </row>
    <row r="444" spans="2:29" s="70" customFormat="1">
      <c r="B444" s="18"/>
      <c r="C444" s="18"/>
      <c r="D444" s="18"/>
      <c r="E444" s="18"/>
      <c r="Q444" s="144"/>
      <c r="W444" s="18"/>
      <c r="X444" s="18"/>
      <c r="Y444" s="18"/>
      <c r="Z444" s="18"/>
      <c r="AC444" s="18"/>
    </row>
    <row r="445" spans="2:29" s="70" customFormat="1">
      <c r="B445" s="18"/>
      <c r="C445" s="18"/>
      <c r="D445" s="18"/>
      <c r="E445" s="18"/>
      <c r="Q445" s="144"/>
      <c r="W445" s="18"/>
      <c r="X445" s="18"/>
      <c r="Y445" s="18"/>
      <c r="Z445" s="18"/>
      <c r="AC445" s="18"/>
    </row>
    <row r="446" spans="2:29" s="70" customFormat="1">
      <c r="B446" s="18"/>
      <c r="C446" s="18"/>
      <c r="D446" s="18"/>
      <c r="E446" s="18"/>
      <c r="Q446" s="144"/>
      <c r="W446" s="18"/>
      <c r="X446" s="18"/>
      <c r="Y446" s="18"/>
      <c r="Z446" s="18"/>
      <c r="AC446" s="18"/>
    </row>
    <row r="447" spans="2:29" s="70" customFormat="1">
      <c r="B447" s="18"/>
      <c r="C447" s="18"/>
      <c r="D447" s="18"/>
      <c r="E447" s="18"/>
      <c r="Q447" s="144"/>
      <c r="W447" s="18"/>
      <c r="X447" s="18"/>
      <c r="Y447" s="18"/>
      <c r="Z447" s="18"/>
      <c r="AC447" s="18"/>
    </row>
    <row r="448" spans="2:29" s="70" customFormat="1">
      <c r="B448" s="18"/>
      <c r="C448" s="18"/>
      <c r="D448" s="18"/>
      <c r="E448" s="18"/>
      <c r="Q448" s="144"/>
      <c r="W448" s="18"/>
      <c r="X448" s="18"/>
      <c r="Y448" s="18"/>
      <c r="Z448" s="18"/>
      <c r="AC448" s="18"/>
    </row>
  </sheetData>
  <phoneticPr fontId="0" type="noConversion"/>
  <pageMargins left="0.7" right="0.7" top="0.75" bottom="0.75" header="0.3" footer="0.3"/>
  <pageSetup paperSize="9" orientation="portrait" r:id="rId1"/>
  <ignoredErrors>
    <ignoredError sqref="I9:J9" formula="1"/>
  </ignoredError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0"/>
  </sheetPr>
  <dimension ref="B1:AK451"/>
  <sheetViews>
    <sheetView zoomScale="85" zoomScaleNormal="85" zoomScalePageLayoutView="125" workbookViewId="0">
      <selection activeCell="G31" sqref="G31:G32"/>
    </sheetView>
  </sheetViews>
  <sheetFormatPr defaultColWidth="8.85546875" defaultRowHeight="12.75"/>
  <cols>
    <col min="1" max="1" width="3" style="19" customWidth="1"/>
    <col min="2" max="2" width="28.7109375" style="18" customWidth="1"/>
    <col min="3" max="3" width="16" style="18" customWidth="1"/>
    <col min="4" max="4" width="17.42578125" style="18" customWidth="1"/>
    <col min="5" max="5" width="15.140625" style="18" customWidth="1"/>
    <col min="6" max="6" width="14.140625" style="19" customWidth="1"/>
    <col min="7" max="7" width="15.28515625" style="19" customWidth="1"/>
    <col min="8" max="8" width="11.7109375" style="19" bestFit="1" customWidth="1"/>
    <col min="9" max="9" width="11.140625" style="19" customWidth="1"/>
    <col min="10" max="10" width="12.85546875" bestFit="1" customWidth="1"/>
    <col min="11" max="12" width="14.7109375" style="19" bestFit="1" customWidth="1"/>
    <col min="13" max="13" width="17"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19.85546875" style="18" bestFit="1" customWidth="1"/>
    <col min="25" max="25" width="13.28515625" style="18" bestFit="1" customWidth="1"/>
    <col min="26" max="26" width="11.5703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1572</v>
      </c>
      <c r="C1" s="78"/>
      <c r="D1" s="78"/>
      <c r="E1" s="79" t="s">
        <v>1571</v>
      </c>
      <c r="F1" s="68" t="s">
        <v>7358</v>
      </c>
      <c r="G1" s="6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7294</v>
      </c>
      <c r="C7" s="56" t="s">
        <v>1561</v>
      </c>
      <c r="D7" s="56" t="s">
        <v>1562</v>
      </c>
      <c r="E7" s="56">
        <f t="shared" ref="E7:E12" si="0">YEAR(AB7)</f>
        <v>1982</v>
      </c>
      <c r="F7" s="108">
        <f>'HU-1'!$AU$17/1000</f>
        <v>0.47</v>
      </c>
      <c r="G7" s="108">
        <f>'HU-1'!$AU$16/1000</f>
        <v>0.5</v>
      </c>
      <c r="H7" s="198">
        <v>0.8590000000000001</v>
      </c>
      <c r="I7" s="109">
        <f>'HU-1'!$AU$20/100</f>
        <v>0.91520000000000001</v>
      </c>
      <c r="J7" s="109">
        <f>'HU-1'!$AU$21/100</f>
        <v>0.91370000000000007</v>
      </c>
      <c r="K7" s="108">
        <f>F7</f>
        <v>0.47</v>
      </c>
      <c r="L7" s="95"/>
      <c r="M7" s="95"/>
      <c r="N7" s="111"/>
      <c r="O7" s="92"/>
      <c r="P7" s="92"/>
      <c r="Q7" s="92"/>
      <c r="R7" s="128">
        <f>YEAR(AC7)+20</f>
        <v>2032</v>
      </c>
      <c r="S7" s="127">
        <f t="shared" ref="S7:S12" si="1">R7-E7</f>
        <v>50</v>
      </c>
      <c r="T7" s="112">
        <f>AK7</f>
        <v>1.0763636363636364</v>
      </c>
      <c r="U7" s="127">
        <v>1</v>
      </c>
      <c r="V7" s="113">
        <v>31.536000000000001</v>
      </c>
      <c r="X7" s="92" t="str">
        <f>'HU-1'!$AU$11</f>
        <v xml:space="preserve">PWR  </v>
      </c>
      <c r="Y7" s="92" t="str">
        <f>'HU-1'!$AU$12</f>
        <v>VVER V-213</v>
      </c>
      <c r="Z7" s="92" t="str">
        <f>'HU-1'!$AU$7</f>
        <v>PAKS-1</v>
      </c>
      <c r="AA7" s="95">
        <v>30</v>
      </c>
      <c r="AB7" s="114">
        <f>'HU-1'!$AU$18</f>
        <v>30313</v>
      </c>
      <c r="AC7" s="115">
        <f t="shared" ref="AC7:AC12" si="2">DATE(YEAR(AB7)+AA7,MONTH(AB7),DAY(AB7))</f>
        <v>41271</v>
      </c>
      <c r="AD7" s="92" t="str">
        <f>'HU-1'!$AU$19</f>
        <v>37000</v>
      </c>
      <c r="AE7" s="110">
        <f t="shared" ref="AE7:AE12" si="3">G7*J7*8760</f>
        <v>4002.0060000000003</v>
      </c>
      <c r="AF7" s="109">
        <f>'HU-1'!$AU$16/'HU-1'!$AU$13</f>
        <v>0.33670033670033672</v>
      </c>
      <c r="AG7" s="110">
        <f t="shared" ref="AG7:AG12" si="4">AE7/AF7</f>
        <v>11885.95782</v>
      </c>
      <c r="AH7" s="116">
        <f t="shared" ref="AH7:AH12" si="5">AG7/(AD7*24)*1000</f>
        <v>13.385087635135134</v>
      </c>
      <c r="AI7" s="110">
        <f>AH7*Assumptions!$H$7</f>
        <v>107.08070108108107</v>
      </c>
      <c r="AJ7" s="110">
        <f t="shared" ref="AJ7:AJ12" si="6">AE7/AH7</f>
        <v>298.98989898989902</v>
      </c>
      <c r="AK7" s="109">
        <f t="shared" ref="AK7:AK12" si="7">AJ7*0.0036</f>
        <v>1.0763636363636364</v>
      </c>
    </row>
    <row r="8" spans="2:37" s="18" customFormat="1">
      <c r="B8" s="75" t="s">
        <v>7295</v>
      </c>
      <c r="C8" s="56" t="s">
        <v>1561</v>
      </c>
      <c r="D8" s="56" t="s">
        <v>1562</v>
      </c>
      <c r="E8" s="56">
        <f t="shared" si="0"/>
        <v>1984</v>
      </c>
      <c r="F8" s="108">
        <f>'HU-2'!$AU$17/1000</f>
        <v>0.47299999999999998</v>
      </c>
      <c r="G8" s="108">
        <f>'HU-2'!$AU$16/1000</f>
        <v>0.5</v>
      </c>
      <c r="H8" s="198">
        <v>0.80400000000000005</v>
      </c>
      <c r="I8" s="109">
        <f>'HU-2'!$AU$20/100</f>
        <v>0.75829999999999997</v>
      </c>
      <c r="J8" s="109">
        <f>'HU-2'!$AU$21/100</f>
        <v>0.89680000000000004</v>
      </c>
      <c r="K8" s="108">
        <f>F8</f>
        <v>0.47299999999999998</v>
      </c>
      <c r="L8" s="95"/>
      <c r="M8" s="95"/>
      <c r="N8" s="111"/>
      <c r="O8" s="92"/>
      <c r="P8" s="92"/>
      <c r="Q8" s="92"/>
      <c r="R8" s="128">
        <f>YEAR(AC8)+20</f>
        <v>2034</v>
      </c>
      <c r="S8" s="110">
        <f t="shared" si="1"/>
        <v>50</v>
      </c>
      <c r="T8" s="109">
        <f>AK8</f>
        <v>1.0763636363636364</v>
      </c>
      <c r="U8" s="127">
        <v>1</v>
      </c>
      <c r="V8" s="113">
        <v>31.536000000000001</v>
      </c>
      <c r="X8" s="92" t="str">
        <f>'HU-2'!$AU$11</f>
        <v xml:space="preserve">PWR  </v>
      </c>
      <c r="Y8" s="92" t="str">
        <f>'HU-2'!$AU$12</f>
        <v>VVER V-213</v>
      </c>
      <c r="Z8" s="92" t="str">
        <f>'HU-2'!$AU$7</f>
        <v>PAKS-2</v>
      </c>
      <c r="AA8" s="95">
        <v>30</v>
      </c>
      <c r="AB8" s="114">
        <f>'HU-2'!$AU$18</f>
        <v>30931</v>
      </c>
      <c r="AC8" s="115">
        <f t="shared" si="2"/>
        <v>41888</v>
      </c>
      <c r="AD8" s="92" t="str">
        <f>'HU-2'!$AU$19</f>
        <v>37000</v>
      </c>
      <c r="AE8" s="110">
        <f t="shared" si="3"/>
        <v>3927.9840000000004</v>
      </c>
      <c r="AF8" s="109">
        <f>'HU-2'!$AU$16/'HU-2'!$AU$13</f>
        <v>0.33670033670033672</v>
      </c>
      <c r="AG8" s="110">
        <f t="shared" si="4"/>
        <v>11666.11248</v>
      </c>
      <c r="AH8" s="116">
        <f t="shared" si="5"/>
        <v>13.137514054054055</v>
      </c>
      <c r="AI8" s="110">
        <f>AH8*Assumptions!$H$7</f>
        <v>105.10011243243244</v>
      </c>
      <c r="AJ8" s="110">
        <f t="shared" si="6"/>
        <v>298.98989898989902</v>
      </c>
      <c r="AK8" s="109">
        <f t="shared" si="7"/>
        <v>1.0763636363636364</v>
      </c>
    </row>
    <row r="9" spans="2:37" s="18" customFormat="1">
      <c r="B9" s="75" t="s">
        <v>7296</v>
      </c>
      <c r="C9" s="56" t="s">
        <v>1561</v>
      </c>
      <c r="D9" s="56" t="s">
        <v>1562</v>
      </c>
      <c r="E9" s="56">
        <f t="shared" si="0"/>
        <v>1986</v>
      </c>
      <c r="F9" s="108">
        <f>'HU-3'!$AU$17/1000</f>
        <v>0.47299999999999998</v>
      </c>
      <c r="G9" s="108">
        <f>'HU-3'!$AU$16/1000</f>
        <v>0.5</v>
      </c>
      <c r="H9" s="198">
        <v>0.87</v>
      </c>
      <c r="I9" s="109">
        <f>'HU-3'!$AU$20/100</f>
        <v>0.80110000000000003</v>
      </c>
      <c r="J9" s="109">
        <f>'HU-3'!$AU$21/100</f>
        <v>0.92469999999999997</v>
      </c>
      <c r="K9" s="108">
        <f>F9</f>
        <v>0.47299999999999998</v>
      </c>
      <c r="L9" s="95"/>
      <c r="M9" s="95"/>
      <c r="N9" s="111"/>
      <c r="O9" s="92"/>
      <c r="P9" s="92"/>
      <c r="Q9" s="92"/>
      <c r="R9" s="131">
        <f>YEAR(AC9)+20</f>
        <v>2036</v>
      </c>
      <c r="S9" s="110">
        <f t="shared" si="1"/>
        <v>50</v>
      </c>
      <c r="T9" s="109">
        <f>AK9</f>
        <v>1.0763636363636364</v>
      </c>
      <c r="U9" s="127">
        <v>1</v>
      </c>
      <c r="V9" s="113">
        <v>31.536000000000001</v>
      </c>
      <c r="X9" s="92" t="str">
        <f>'HU-3'!$AU$11</f>
        <v xml:space="preserve">PWR  </v>
      </c>
      <c r="Y9" s="92" t="str">
        <f>'HU-3'!$AU$12</f>
        <v>VVER V-213</v>
      </c>
      <c r="Z9" s="92" t="str">
        <f>'HU-3'!$AU$7</f>
        <v>PAKS-3</v>
      </c>
      <c r="AA9" s="95">
        <v>30</v>
      </c>
      <c r="AB9" s="114">
        <f>'HU-3'!$AU$18</f>
        <v>31683</v>
      </c>
      <c r="AC9" s="115">
        <f t="shared" si="2"/>
        <v>42641</v>
      </c>
      <c r="AD9" s="92" t="str">
        <f>'HU-3'!$AU$19</f>
        <v>37000</v>
      </c>
      <c r="AE9" s="110">
        <f t="shared" si="3"/>
        <v>4050.1859999999997</v>
      </c>
      <c r="AF9" s="109">
        <f>'HU-3'!$AU$16/'HU-3'!$AU$13</f>
        <v>0.33670033670033672</v>
      </c>
      <c r="AG9" s="110">
        <f t="shared" si="4"/>
        <v>12029.052419999998</v>
      </c>
      <c r="AH9" s="116">
        <f t="shared" si="5"/>
        <v>13.5462302027027</v>
      </c>
      <c r="AI9" s="110">
        <f>AH9*Assumptions!$H$7</f>
        <v>108.3698416216216</v>
      </c>
      <c r="AJ9" s="110">
        <f t="shared" si="6"/>
        <v>298.98989898989902</v>
      </c>
      <c r="AK9" s="109">
        <f t="shared" si="7"/>
        <v>1.0763636363636364</v>
      </c>
    </row>
    <row r="10" spans="2:37" s="18" customFormat="1">
      <c r="B10" s="75" t="s">
        <v>7297</v>
      </c>
      <c r="C10" s="56" t="s">
        <v>1561</v>
      </c>
      <c r="D10" s="56" t="s">
        <v>1562</v>
      </c>
      <c r="E10" s="56">
        <f t="shared" si="0"/>
        <v>1987</v>
      </c>
      <c r="F10" s="108">
        <f>'HU-4'!$AU$17/1000</f>
        <v>0.47299999999999998</v>
      </c>
      <c r="G10" s="108">
        <f>'HU-4'!$AU$16/1000</f>
        <v>0.5</v>
      </c>
      <c r="H10" s="198">
        <v>0.877</v>
      </c>
      <c r="I10" s="109">
        <f>'HU-4'!$AU$20/100</f>
        <v>0.91239999999999999</v>
      </c>
      <c r="J10" s="109">
        <f>'HU-4'!$AU$21/100</f>
        <v>0.80810000000000004</v>
      </c>
      <c r="K10" s="108">
        <f>F10</f>
        <v>0.47299999999999998</v>
      </c>
      <c r="L10" s="95"/>
      <c r="M10" s="95"/>
      <c r="N10" s="111"/>
      <c r="O10" s="92"/>
      <c r="P10" s="92"/>
      <c r="Q10" s="92"/>
      <c r="R10" s="131">
        <f>YEAR(AC10)+20</f>
        <v>2037</v>
      </c>
      <c r="S10" s="110">
        <f t="shared" si="1"/>
        <v>50</v>
      </c>
      <c r="T10" s="109">
        <f>AK10</f>
        <v>1.0763636363636362</v>
      </c>
      <c r="U10" s="127">
        <v>1</v>
      </c>
      <c r="V10" s="113">
        <v>31.536000000000001</v>
      </c>
      <c r="X10" s="92" t="str">
        <f>'HU-4'!$AU$11</f>
        <v xml:space="preserve">PWR  </v>
      </c>
      <c r="Y10" s="92" t="str">
        <f>'HU-4'!$AU$12</f>
        <v>VVER V-213</v>
      </c>
      <c r="Z10" s="92" t="str">
        <f>'HU-4'!$AU$7</f>
        <v>PAKS-4</v>
      </c>
      <c r="AA10" s="95">
        <v>30</v>
      </c>
      <c r="AB10" s="114">
        <f>'HU-4'!$AU$18</f>
        <v>32005</v>
      </c>
      <c r="AC10" s="115">
        <f t="shared" si="2"/>
        <v>42963</v>
      </c>
      <c r="AD10" s="92" t="str">
        <f>'HU-4'!$AU$19</f>
        <v>37000</v>
      </c>
      <c r="AE10" s="110">
        <f t="shared" si="3"/>
        <v>3539.4780000000001</v>
      </c>
      <c r="AF10" s="109">
        <f>'HU-4'!$AU$16/'HU-4'!$AU$13</f>
        <v>0.33670033670033672</v>
      </c>
      <c r="AG10" s="110">
        <f t="shared" si="4"/>
        <v>10512.249659999999</v>
      </c>
      <c r="AH10" s="116">
        <f t="shared" si="5"/>
        <v>11.838118986486487</v>
      </c>
      <c r="AI10" s="110">
        <f>AH10*Assumptions!$H$7</f>
        <v>94.704951891891895</v>
      </c>
      <c r="AJ10" s="110">
        <f t="shared" si="6"/>
        <v>298.98989898989896</v>
      </c>
      <c r="AK10" s="109">
        <f t="shared" si="7"/>
        <v>1.0763636363636362</v>
      </c>
    </row>
    <row r="11" spans="2:37" s="18" customFormat="1">
      <c r="B11" s="76" t="s">
        <v>1728</v>
      </c>
      <c r="C11" s="57" t="s">
        <v>1561</v>
      </c>
      <c r="D11" s="57" t="s">
        <v>1562</v>
      </c>
      <c r="E11" s="57">
        <f t="shared" si="0"/>
        <v>2026</v>
      </c>
      <c r="F11" s="117">
        <f>F10/G10*G11</f>
        <v>1.3953500000000001</v>
      </c>
      <c r="G11" s="117">
        <f>(1250+1700)/2/1000</f>
        <v>1.4750000000000001</v>
      </c>
      <c r="H11" s="118">
        <v>0.92</v>
      </c>
      <c r="I11" s="118">
        <v>0.92</v>
      </c>
      <c r="J11" s="121"/>
      <c r="K11" s="121"/>
      <c r="L11" s="83"/>
      <c r="M11" s="120">
        <f>F11</f>
        <v>1.3953500000000001</v>
      </c>
      <c r="N11" s="83">
        <f>E11</f>
        <v>2026</v>
      </c>
      <c r="O11" s="83">
        <f>N11</f>
        <v>2026</v>
      </c>
      <c r="P11" s="85"/>
      <c r="Q11" s="85"/>
      <c r="R11" s="133">
        <f>YEAR(AC11)</f>
        <v>2076</v>
      </c>
      <c r="S11" s="119">
        <f t="shared" si="1"/>
        <v>50</v>
      </c>
      <c r="T11" s="121">
        <f>T10</f>
        <v>1.0763636363636362</v>
      </c>
      <c r="U11" s="138">
        <v>1</v>
      </c>
      <c r="V11" s="122">
        <v>31.536000000000001</v>
      </c>
      <c r="X11" s="83" t="s">
        <v>1652</v>
      </c>
      <c r="Y11" s="85" t="s">
        <v>1652</v>
      </c>
      <c r="Z11" s="83" t="s">
        <v>1653</v>
      </c>
      <c r="AA11" s="83">
        <v>50</v>
      </c>
      <c r="AB11" s="123">
        <v>46023</v>
      </c>
      <c r="AC11" s="124">
        <f t="shared" si="2"/>
        <v>64285</v>
      </c>
      <c r="AD11" s="85"/>
      <c r="AE11" s="119">
        <f t="shared" si="3"/>
        <v>0</v>
      </c>
      <c r="AF11" s="118">
        <f>'HU-4'!$AU$16/'HU-4'!$AU$13</f>
        <v>0.33670033670033672</v>
      </c>
      <c r="AG11" s="119">
        <f t="shared" si="4"/>
        <v>0</v>
      </c>
      <c r="AH11" s="125" t="e">
        <f t="shared" si="5"/>
        <v>#DIV/0!</v>
      </c>
      <c r="AI11" s="119" t="e">
        <f>AH11*Assumptions!$H$7</f>
        <v>#DIV/0!</v>
      </c>
      <c r="AJ11" s="119" t="e">
        <f t="shared" si="6"/>
        <v>#DIV/0!</v>
      </c>
      <c r="AK11" s="118" t="e">
        <f t="shared" si="7"/>
        <v>#DIV/0!</v>
      </c>
    </row>
    <row r="12" spans="2:37" s="18" customFormat="1">
      <c r="B12" s="76" t="s">
        <v>1729</v>
      </c>
      <c r="C12" s="57" t="s">
        <v>1561</v>
      </c>
      <c r="D12" s="57" t="s">
        <v>1562</v>
      </c>
      <c r="E12" s="57">
        <f t="shared" si="0"/>
        <v>2031</v>
      </c>
      <c r="F12" s="117">
        <f>F11/G11*G12</f>
        <v>1.3953500000000001</v>
      </c>
      <c r="G12" s="117">
        <f>(1250+1700)/2/1000</f>
        <v>1.4750000000000001</v>
      </c>
      <c r="H12" s="118">
        <v>0.92</v>
      </c>
      <c r="I12" s="118">
        <v>0.92</v>
      </c>
      <c r="J12" s="121"/>
      <c r="K12" s="121"/>
      <c r="L12" s="83"/>
      <c r="M12" s="120">
        <f>F12</f>
        <v>1.3953500000000001</v>
      </c>
      <c r="N12" s="83">
        <f>E12</f>
        <v>2031</v>
      </c>
      <c r="O12" s="83">
        <f>N12</f>
        <v>2031</v>
      </c>
      <c r="P12" s="85"/>
      <c r="Q12" s="85"/>
      <c r="R12" s="133">
        <f>YEAR(AC12)</f>
        <v>2081</v>
      </c>
      <c r="S12" s="119">
        <f t="shared" si="1"/>
        <v>50</v>
      </c>
      <c r="T12" s="121">
        <f>T11</f>
        <v>1.0763636363636362</v>
      </c>
      <c r="U12" s="138">
        <v>1</v>
      </c>
      <c r="V12" s="122">
        <v>31.536000000000001</v>
      </c>
      <c r="X12" s="83" t="s">
        <v>1652</v>
      </c>
      <c r="Y12" s="85" t="s">
        <v>1652</v>
      </c>
      <c r="Z12" s="83" t="s">
        <v>1654</v>
      </c>
      <c r="AA12" s="83">
        <v>50</v>
      </c>
      <c r="AB12" s="123">
        <v>47849</v>
      </c>
      <c r="AC12" s="124">
        <f t="shared" si="2"/>
        <v>66112</v>
      </c>
      <c r="AD12" s="85"/>
      <c r="AE12" s="119">
        <f t="shared" si="3"/>
        <v>0</v>
      </c>
      <c r="AF12" s="118">
        <f>'HU-4'!$AU$16/'HU-4'!$AU$13</f>
        <v>0.33670033670033672</v>
      </c>
      <c r="AG12" s="119">
        <f t="shared" si="4"/>
        <v>0</v>
      </c>
      <c r="AH12" s="125" t="e">
        <f t="shared" si="5"/>
        <v>#DIV/0!</v>
      </c>
      <c r="AI12" s="119" t="e">
        <f>AH12*Assumptions!$H$7</f>
        <v>#DIV/0!</v>
      </c>
      <c r="AJ12" s="119" t="e">
        <f t="shared" si="6"/>
        <v>#DIV/0!</v>
      </c>
      <c r="AK12" s="118" t="e">
        <f t="shared" si="7"/>
        <v>#DIV/0!</v>
      </c>
    </row>
    <row r="13" spans="2:37" s="18" customFormat="1">
      <c r="J13" s="17"/>
      <c r="M13" s="60"/>
      <c r="Q13" s="60"/>
      <c r="T13" s="137"/>
    </row>
    <row r="14" spans="2:37" s="18" customFormat="1">
      <c r="J14" s="17"/>
      <c r="M14" s="60"/>
      <c r="Q14" s="60"/>
      <c r="T14" s="137"/>
    </row>
    <row r="15" spans="2:37" s="18" customFormat="1">
      <c r="J15" s="17"/>
      <c r="M15" s="60"/>
      <c r="Q15" s="60"/>
      <c r="T15" s="137"/>
    </row>
    <row r="16" spans="2:37" s="18" customFormat="1">
      <c r="J16" s="17"/>
      <c r="M16" s="60"/>
      <c r="Q16" s="60"/>
      <c r="T16" s="137"/>
    </row>
    <row r="17" spans="2:20" s="18" customFormat="1">
      <c r="J17" s="17"/>
      <c r="M17" s="60"/>
      <c r="Q17" s="60"/>
      <c r="T17" s="137"/>
    </row>
    <row r="18" spans="2:20" s="18" customFormat="1">
      <c r="J18" s="17"/>
      <c r="M18" s="60"/>
      <c r="Q18" s="60"/>
      <c r="T18" s="137"/>
    </row>
    <row r="19" spans="2:20" s="18" customFormat="1">
      <c r="J19" s="17"/>
      <c r="M19" s="60"/>
      <c r="Q19" s="60"/>
      <c r="T19" s="137"/>
    </row>
    <row r="20" spans="2:20" s="18" customFormat="1">
      <c r="J20" s="17"/>
      <c r="M20" s="60"/>
      <c r="Q20" s="60"/>
      <c r="T20" s="137"/>
    </row>
    <row r="21" spans="2:20" s="18" customFormat="1">
      <c r="E21" s="18" t="s">
        <v>7128</v>
      </c>
      <c r="F21" s="160">
        <f>SUM(F7:F10)</f>
        <v>1.8889999999999998</v>
      </c>
      <c r="G21" s="18" t="s">
        <v>7215</v>
      </c>
      <c r="H21" s="137">
        <f>F21/H22</f>
        <v>0.37779999999999997</v>
      </c>
      <c r="J21" s="17"/>
      <c r="Q21" s="60"/>
    </row>
    <row r="22" spans="2:20" s="18" customFormat="1">
      <c r="E22" s="18" t="s">
        <v>7127</v>
      </c>
      <c r="F22" s="160">
        <f>SUM(F11:F12)</f>
        <v>2.7907000000000002</v>
      </c>
      <c r="G22" s="18" t="s">
        <v>7216</v>
      </c>
      <c r="H22" s="18">
        <f>MAX(E7:E10)-MIN(E7:E10)</f>
        <v>5</v>
      </c>
      <c r="J22" s="17"/>
      <c r="Q22" s="60"/>
    </row>
    <row r="23" spans="2:20" s="18" customFormat="1">
      <c r="J23" s="17"/>
      <c r="Q23" s="60"/>
    </row>
    <row r="24" spans="2:20" s="18" customFormat="1">
      <c r="J24" s="17"/>
      <c r="Q24" s="60"/>
    </row>
    <row r="25" spans="2:20" s="18" customFormat="1">
      <c r="B25" s="224" t="s">
        <v>1603</v>
      </c>
      <c r="C25" s="224"/>
      <c r="D25" s="225"/>
      <c r="E25" s="225"/>
      <c r="F25" s="225"/>
      <c r="G25" s="225"/>
      <c r="H25" s="225"/>
      <c r="I25" s="225"/>
      <c r="J25" s="17"/>
      <c r="Q25" s="60"/>
    </row>
    <row r="26" spans="2:20" s="18" customFormat="1" ht="13.5" thickBot="1">
      <c r="B26" s="226" t="s">
        <v>1604</v>
      </c>
      <c r="C26" s="226" t="s">
        <v>1540</v>
      </c>
      <c r="D26" s="226" t="s">
        <v>1605</v>
      </c>
      <c r="E26" s="226" t="s">
        <v>1606</v>
      </c>
      <c r="F26" s="226" t="s">
        <v>1607</v>
      </c>
      <c r="G26" s="226" t="s">
        <v>1608</v>
      </c>
      <c r="H26" s="226" t="s">
        <v>1609</v>
      </c>
      <c r="I26" s="226" t="s">
        <v>1610</v>
      </c>
      <c r="J26" s="17"/>
      <c r="Q26" s="60"/>
    </row>
    <row r="27" spans="2:20" s="18" customFormat="1">
      <c r="B27" s="225" t="s">
        <v>1611</v>
      </c>
      <c r="C27" s="225" t="str">
        <f t="shared" ref="C27:C32" si="8">B7</f>
        <v>ENHU_PAKS-1_00</v>
      </c>
      <c r="D27" s="227" t="str">
        <f t="shared" ref="D27:D32" si="9">"Nuclear Power Plant: "&amp;Z7</f>
        <v>Nuclear Power Plant: PAKS-1</v>
      </c>
      <c r="E27" s="228" t="s">
        <v>1612</v>
      </c>
      <c r="F27" s="228" t="s">
        <v>1556</v>
      </c>
      <c r="G27" s="228" t="s">
        <v>1613</v>
      </c>
      <c r="H27" s="228"/>
      <c r="I27" s="228"/>
      <c r="J27" s="17"/>
      <c r="Q27" s="60"/>
    </row>
    <row r="28" spans="2:20" s="18" customFormat="1">
      <c r="B28" s="225"/>
      <c r="C28" s="225" t="str">
        <f t="shared" si="8"/>
        <v>ENHU_PAKS-2_00</v>
      </c>
      <c r="D28" s="227" t="str">
        <f t="shared" si="9"/>
        <v>Nuclear Power Plant: PAKS-2</v>
      </c>
      <c r="E28" s="228" t="s">
        <v>1612</v>
      </c>
      <c r="F28" s="228" t="s">
        <v>1556</v>
      </c>
      <c r="G28" s="228" t="s">
        <v>1613</v>
      </c>
      <c r="H28" s="228"/>
      <c r="I28" s="228"/>
      <c r="J28" s="17"/>
      <c r="Q28" s="60"/>
    </row>
    <row r="29" spans="2:20" s="18" customFormat="1">
      <c r="B29" s="225"/>
      <c r="C29" s="225" t="str">
        <f t="shared" si="8"/>
        <v>ENHU_PAKS-3_00</v>
      </c>
      <c r="D29" s="227" t="str">
        <f t="shared" si="9"/>
        <v>Nuclear Power Plant: PAKS-3</v>
      </c>
      <c r="E29" s="228" t="s">
        <v>1612</v>
      </c>
      <c r="F29" s="228" t="s">
        <v>1556</v>
      </c>
      <c r="G29" s="228" t="s">
        <v>1613</v>
      </c>
      <c r="H29" s="228"/>
      <c r="I29" s="228"/>
      <c r="J29" s="17"/>
      <c r="Q29" s="60"/>
    </row>
    <row r="30" spans="2:20" s="18" customFormat="1">
      <c r="B30" s="225"/>
      <c r="C30" s="225" t="str">
        <f t="shared" si="8"/>
        <v>ENHU_PAKS-4_00</v>
      </c>
      <c r="D30" s="227" t="str">
        <f t="shared" si="9"/>
        <v>Nuclear Power Plant: PAKS-4</v>
      </c>
      <c r="E30" s="228" t="s">
        <v>1612</v>
      </c>
      <c r="F30" s="228" t="s">
        <v>1556</v>
      </c>
      <c r="G30" s="228" t="s">
        <v>1613</v>
      </c>
      <c r="H30" s="228"/>
      <c r="I30" s="228"/>
      <c r="J30" s="17"/>
      <c r="Q30" s="60"/>
    </row>
    <row r="31" spans="2:20" s="18" customFormat="1">
      <c r="B31" s="225"/>
      <c r="C31" s="225" t="str">
        <f t="shared" si="8"/>
        <v>ENHU_PAKS-5</v>
      </c>
      <c r="D31" s="227" t="str">
        <f t="shared" si="9"/>
        <v>Nuclear Power Plant: PAKS-5</v>
      </c>
      <c r="E31" s="228" t="s">
        <v>1612</v>
      </c>
      <c r="F31" s="228" t="s">
        <v>1556</v>
      </c>
      <c r="G31" s="228" t="s">
        <v>7378</v>
      </c>
      <c r="H31" s="225"/>
      <c r="I31" s="228"/>
      <c r="J31" s="17"/>
      <c r="Q31" s="60"/>
    </row>
    <row r="32" spans="2:20" s="18" customFormat="1">
      <c r="B32" s="225"/>
      <c r="C32" s="225" t="str">
        <f t="shared" si="8"/>
        <v>ENHU_PAKS-6</v>
      </c>
      <c r="D32" s="227" t="str">
        <f t="shared" si="9"/>
        <v>Nuclear Power Plant: PAKS-6</v>
      </c>
      <c r="E32" s="228" t="s">
        <v>1612</v>
      </c>
      <c r="F32" s="228" t="s">
        <v>1556</v>
      </c>
      <c r="G32" s="228" t="s">
        <v>7378</v>
      </c>
      <c r="H32" s="225"/>
      <c r="I32" s="225"/>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sheetData>
  <phoneticPr fontId="0" type="noConversion"/>
  <pageMargins left="0.7" right="0.7" top="0.75" bottom="0.75" header="0.3" footer="0.3"/>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0"/>
  </sheetPr>
  <dimension ref="A1:AK451"/>
  <sheetViews>
    <sheetView zoomScale="85" zoomScaleNormal="85" zoomScalePageLayoutView="125" workbookViewId="0">
      <selection activeCell="G29" sqref="G29:G31"/>
    </sheetView>
  </sheetViews>
  <sheetFormatPr defaultColWidth="8.85546875" defaultRowHeight="12.75"/>
  <cols>
    <col min="1" max="1" width="3" style="19" customWidth="1"/>
    <col min="2" max="2" width="29.7109375" style="18" customWidth="1"/>
    <col min="3" max="3" width="24.5703125" style="18" bestFit="1" customWidth="1"/>
    <col min="4" max="4" width="14.28515625" style="18" customWidth="1"/>
    <col min="5" max="5" width="14.4257812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0.7109375"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5703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1:37">
      <c r="A1" s="19" t="s">
        <v>1703</v>
      </c>
      <c r="B1" s="72" t="s">
        <v>1574</v>
      </c>
      <c r="C1" s="78"/>
      <c r="D1" s="78"/>
      <c r="E1" s="79" t="s">
        <v>1573</v>
      </c>
      <c r="F1" s="68" t="s">
        <v>7358</v>
      </c>
      <c r="G1" s="69"/>
    </row>
    <row r="3" spans="1: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1: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1:37">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1: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1:37" s="18" customFormat="1">
      <c r="B7" s="75" t="s">
        <v>7298</v>
      </c>
      <c r="C7" s="56" t="s">
        <v>1561</v>
      </c>
      <c r="D7" s="56" t="s">
        <v>1562</v>
      </c>
      <c r="E7" s="56">
        <f>YEAR(AB7)</f>
        <v>1996</v>
      </c>
      <c r="F7" s="108">
        <f>'RO-1'!$AU$17/1000</f>
        <v>0.65</v>
      </c>
      <c r="G7" s="108">
        <f>'RO-1'!$AU$16/1000</f>
        <v>0.70599999999999996</v>
      </c>
      <c r="H7" s="198">
        <v>0.89900000000000002</v>
      </c>
      <c r="I7" s="109">
        <f>'RO-1'!$AU$20/100</f>
        <v>0.8911</v>
      </c>
      <c r="J7" s="109">
        <f>'RO-1'!$AU$21/100</f>
        <v>0.90749999999999997</v>
      </c>
      <c r="K7" s="108">
        <f>F7</f>
        <v>0.65</v>
      </c>
      <c r="L7" s="95"/>
      <c r="M7" s="111"/>
      <c r="N7" s="111"/>
      <c r="O7" s="92"/>
      <c r="P7" s="92"/>
      <c r="Q7" s="92"/>
      <c r="R7" s="131">
        <f>YEAR(AC7)</f>
        <v>2026</v>
      </c>
      <c r="S7" s="127">
        <f>R7-E7</f>
        <v>30</v>
      </c>
      <c r="T7" s="112">
        <f>AK7</f>
        <v>0.19866451376146788</v>
      </c>
      <c r="U7" s="95">
        <v>1</v>
      </c>
      <c r="V7" s="113">
        <v>31.536000000000001</v>
      </c>
      <c r="X7" s="92" t="str">
        <f>'RO-1'!$AU$11</f>
        <v xml:space="preserve">PHWR </v>
      </c>
      <c r="Y7" s="92" t="str">
        <f>'RO-1'!$AU$12</f>
        <v>CANDU 6</v>
      </c>
      <c r="Z7" s="92" t="str">
        <f>'RO-1'!$AU$7</f>
        <v>CERNAVODA-1</v>
      </c>
      <c r="AA7" s="95">
        <v>30</v>
      </c>
      <c r="AB7" s="114">
        <f>'RO-1'!$AU$18</f>
        <v>35257</v>
      </c>
      <c r="AC7" s="115">
        <f>DATE(YEAR(AB7)+AA7,MONTH(AB7),DAY(AB7))</f>
        <v>46214</v>
      </c>
      <c r="AD7" s="92" t="str">
        <f>'RO-1'!$AU$19</f>
        <v>7100</v>
      </c>
      <c r="AE7" s="110">
        <f>G7*J7*8760</f>
        <v>5612.4881999999989</v>
      </c>
      <c r="AF7" s="109">
        <f>'RO-1'!$AU$16/'RO-1'!$AU$13</f>
        <v>0.3238532110091743</v>
      </c>
      <c r="AG7" s="110">
        <f>AE7/AF7</f>
        <v>17330.345999999998</v>
      </c>
      <c r="AH7" s="116">
        <f>AG7/(AD7*24)*1000</f>
        <v>101.7039084507042</v>
      </c>
      <c r="AI7" s="110">
        <f>AH7*Assumptions!$H$9</f>
        <v>101.7039084507042</v>
      </c>
      <c r="AJ7" s="110">
        <f>AE7/AH7</f>
        <v>55.1845871559633</v>
      </c>
      <c r="AK7" s="109">
        <f>AJ7*0.0036</f>
        <v>0.19866451376146788</v>
      </c>
    </row>
    <row r="8" spans="1:37" s="18" customFormat="1">
      <c r="B8" s="75" t="s">
        <v>1730</v>
      </c>
      <c r="C8" s="56" t="s">
        <v>1561</v>
      </c>
      <c r="D8" s="56" t="s">
        <v>1562</v>
      </c>
      <c r="E8" s="56">
        <f>YEAR(AB8)</f>
        <v>2007</v>
      </c>
      <c r="F8" s="108">
        <f>'RO-2'!$AU$17/1000</f>
        <v>0.65</v>
      </c>
      <c r="G8" s="108">
        <f>'RO-2'!$AU$16/1000</f>
        <v>0.70599999999999996</v>
      </c>
      <c r="H8" s="198">
        <v>0.94599999999999995</v>
      </c>
      <c r="I8" s="112"/>
      <c r="J8" s="109">
        <f>'RO-2'!$AU$21/100</f>
        <v>0.97250000000000003</v>
      </c>
      <c r="K8" s="108">
        <f>F8</f>
        <v>0.65</v>
      </c>
      <c r="L8" s="95"/>
      <c r="M8" s="111"/>
      <c r="N8" s="111"/>
      <c r="O8" s="92"/>
      <c r="P8" s="92"/>
      <c r="Q8" s="92"/>
      <c r="R8" s="131">
        <f>YEAR(AC8)</f>
        <v>2037</v>
      </c>
      <c r="S8" s="110">
        <f>R8-E8</f>
        <v>30</v>
      </c>
      <c r="T8" s="112">
        <f>AK8</f>
        <v>0.19866451376146788</v>
      </c>
      <c r="U8" s="95">
        <v>1</v>
      </c>
      <c r="V8" s="113">
        <v>31.536000000000001</v>
      </c>
      <c r="X8" s="92" t="str">
        <f>'RO-2'!$AU$11</f>
        <v xml:space="preserve">PHWR </v>
      </c>
      <c r="Y8" s="92" t="str">
        <f>'RO-2'!$AU$12</f>
        <v>CANDU 6</v>
      </c>
      <c r="Z8" s="92" t="str">
        <f>'RO-2'!$AU$7</f>
        <v>CERNAVODA-2</v>
      </c>
      <c r="AA8" s="95">
        <v>30</v>
      </c>
      <c r="AB8" s="114">
        <f>'RO-2'!$AU$18</f>
        <v>39301</v>
      </c>
      <c r="AC8" s="115">
        <f>DATE(YEAR(AB8)+AA8,MONTH(AB8),DAY(AB8))</f>
        <v>50259</v>
      </c>
      <c r="AD8" s="92" t="str">
        <f>'RO-2'!$AU$19</f>
        <v>7100</v>
      </c>
      <c r="AE8" s="110">
        <f>G8*J8*8760</f>
        <v>6014.4845999999998</v>
      </c>
      <c r="AF8" s="109">
        <f>'RO-2'!$AU$16/'RO-2'!$AU$13</f>
        <v>0.3238532110091743</v>
      </c>
      <c r="AG8" s="110">
        <f>AE8/AF8</f>
        <v>18571.637999999999</v>
      </c>
      <c r="AH8" s="116">
        <f>AG8/(AD8*24)*1000</f>
        <v>108.98848591549296</v>
      </c>
      <c r="AI8" s="110">
        <f>AH8*Assumptions!$H$9</f>
        <v>108.98848591549296</v>
      </c>
      <c r="AJ8" s="110">
        <f>AE8/AH8</f>
        <v>55.1845871559633</v>
      </c>
      <c r="AK8" s="109">
        <f>AJ8*0.0036</f>
        <v>0.19866451376146788</v>
      </c>
    </row>
    <row r="9" spans="1:37" s="18" customFormat="1">
      <c r="B9" s="76" t="s">
        <v>1731</v>
      </c>
      <c r="C9" s="57" t="s">
        <v>1561</v>
      </c>
      <c r="D9" s="57" t="s">
        <v>1562</v>
      </c>
      <c r="E9" s="85">
        <f>YEAR(AB9)</f>
        <v>2016</v>
      </c>
      <c r="F9" s="117">
        <f>720/1000</f>
        <v>0.72</v>
      </c>
      <c r="G9" s="117">
        <f>G8/F8*F9</f>
        <v>0.78203076923076908</v>
      </c>
      <c r="H9" s="118">
        <v>0.92</v>
      </c>
      <c r="I9" s="118">
        <v>0.92</v>
      </c>
      <c r="J9" s="83"/>
      <c r="K9" s="120"/>
      <c r="L9" s="117">
        <f>F9</f>
        <v>0.72</v>
      </c>
      <c r="M9" s="83"/>
      <c r="N9" s="83">
        <v>2020</v>
      </c>
      <c r="O9" s="83"/>
      <c r="P9" s="85"/>
      <c r="Q9" s="85"/>
      <c r="R9" s="133">
        <f>YEAR(AC9)</f>
        <v>2046</v>
      </c>
      <c r="S9" s="119">
        <f>R9-E9</f>
        <v>30</v>
      </c>
      <c r="T9" s="121">
        <v>0.20243519999999998</v>
      </c>
      <c r="U9" s="85">
        <v>1</v>
      </c>
      <c r="V9" s="85">
        <v>31.536000000000001</v>
      </c>
      <c r="X9" s="85" t="s">
        <v>1670</v>
      </c>
      <c r="Y9" s="85" t="s">
        <v>1671</v>
      </c>
      <c r="Z9" s="85" t="s">
        <v>1659</v>
      </c>
      <c r="AA9" s="85">
        <v>30</v>
      </c>
      <c r="AB9" s="123">
        <v>42370</v>
      </c>
      <c r="AC9" s="124">
        <f>DATE(YEAR(AB9)+AA9,MONTH(AB9),DAY(AB9))</f>
        <v>53328</v>
      </c>
      <c r="AD9" s="85" t="str">
        <f>'RO-2'!$AU$19</f>
        <v>7100</v>
      </c>
      <c r="AE9" s="119">
        <f>G9*J9*8760</f>
        <v>0</v>
      </c>
      <c r="AF9" s="118">
        <f>'RO-2'!$AU$16/'RO-2'!$AU$13</f>
        <v>0.3238532110091743</v>
      </c>
      <c r="AG9" s="119">
        <f>AE9/AF9</f>
        <v>0</v>
      </c>
      <c r="AH9" s="125">
        <f>AG9/(AD9*24)*1000</f>
        <v>0</v>
      </c>
      <c r="AI9" s="119">
        <f>AH9*Assumptions!$H$9</f>
        <v>0</v>
      </c>
      <c r="AJ9" s="119" t="e">
        <f>AE9/AH9</f>
        <v>#DIV/0!</v>
      </c>
      <c r="AK9" s="118" t="e">
        <f>AJ9*0.0036</f>
        <v>#DIV/0!</v>
      </c>
    </row>
    <row r="10" spans="1:37" s="18" customFormat="1">
      <c r="B10" s="76" t="s">
        <v>1732</v>
      </c>
      <c r="C10" s="57" t="s">
        <v>1561</v>
      </c>
      <c r="D10" s="57" t="s">
        <v>1562</v>
      </c>
      <c r="E10" s="85">
        <f>YEAR(AB10)</f>
        <v>2017</v>
      </c>
      <c r="F10" s="117">
        <f>720/1000</f>
        <v>0.72</v>
      </c>
      <c r="G10" s="117">
        <f>G9/F9*F10</f>
        <v>0.78203076923076908</v>
      </c>
      <c r="H10" s="118">
        <v>0.92</v>
      </c>
      <c r="I10" s="118">
        <v>0.92</v>
      </c>
      <c r="J10" s="83"/>
      <c r="K10" s="120"/>
      <c r="L10" s="117">
        <f>F10</f>
        <v>0.72</v>
      </c>
      <c r="M10" s="83"/>
      <c r="N10" s="83">
        <v>2020</v>
      </c>
      <c r="O10" s="83"/>
      <c r="P10" s="85"/>
      <c r="Q10" s="85"/>
      <c r="R10" s="133">
        <f>YEAR(AC10)</f>
        <v>2047</v>
      </c>
      <c r="S10" s="119">
        <f>R10-E10</f>
        <v>30</v>
      </c>
      <c r="T10" s="121">
        <f>T9</f>
        <v>0.20243519999999998</v>
      </c>
      <c r="U10" s="85">
        <v>1</v>
      </c>
      <c r="V10" s="85">
        <v>31.536000000000001</v>
      </c>
      <c r="X10" s="85" t="s">
        <v>1670</v>
      </c>
      <c r="Y10" s="85" t="s">
        <v>1671</v>
      </c>
      <c r="Z10" s="85" t="s">
        <v>1660</v>
      </c>
      <c r="AA10" s="85">
        <v>30</v>
      </c>
      <c r="AB10" s="123">
        <v>42736</v>
      </c>
      <c r="AC10" s="124">
        <f>DATE(YEAR(AB10)+AA10,MONTH(AB10),DAY(AB10))</f>
        <v>53693</v>
      </c>
      <c r="AD10" s="85" t="str">
        <f>'RO-2'!$AU$19</f>
        <v>7100</v>
      </c>
      <c r="AE10" s="119">
        <f>G10*J10*8760</f>
        <v>0</v>
      </c>
      <c r="AF10" s="118">
        <f>'RO-2'!$AU$16/'RO-2'!$AU$13</f>
        <v>0.3238532110091743</v>
      </c>
      <c r="AG10" s="119">
        <f>AE10/AF10</f>
        <v>0</v>
      </c>
      <c r="AH10" s="125">
        <f>AG10/(AD10*24)*1000</f>
        <v>0</v>
      </c>
      <c r="AI10" s="119">
        <f>AH10*Assumptions!$H$9</f>
        <v>0</v>
      </c>
      <c r="AJ10" s="119" t="e">
        <f>AE10/AH10</f>
        <v>#DIV/0!</v>
      </c>
      <c r="AK10" s="118" t="e">
        <f>AJ10*0.0036</f>
        <v>#DIV/0!</v>
      </c>
    </row>
    <row r="11" spans="1:37" s="18" customFormat="1">
      <c r="B11" s="76" t="s">
        <v>1733</v>
      </c>
      <c r="C11" s="57" t="s">
        <v>1561</v>
      </c>
      <c r="D11" s="57" t="s">
        <v>1562</v>
      </c>
      <c r="E11" s="85">
        <f>YEAR(AB11)</f>
        <v>2030</v>
      </c>
      <c r="F11" s="120">
        <f>F10</f>
        <v>0.72</v>
      </c>
      <c r="G11" s="83">
        <v>0.85</v>
      </c>
      <c r="H11" s="118">
        <v>0.92</v>
      </c>
      <c r="I11" s="118">
        <v>0.92</v>
      </c>
      <c r="J11" s="83"/>
      <c r="K11" s="83"/>
      <c r="L11" s="120">
        <v>1</v>
      </c>
      <c r="M11" s="83"/>
      <c r="N11" s="83">
        <f>E11</f>
        <v>2030</v>
      </c>
      <c r="O11" s="83"/>
      <c r="P11" s="85"/>
      <c r="Q11" s="83"/>
      <c r="R11" s="83">
        <f>YEAR(AC11)</f>
        <v>2080</v>
      </c>
      <c r="S11" s="85">
        <f>R11-E11</f>
        <v>50</v>
      </c>
      <c r="T11" s="121">
        <f>T10</f>
        <v>0.20243519999999998</v>
      </c>
      <c r="U11" s="85">
        <v>1</v>
      </c>
      <c r="V11" s="85">
        <v>31.536000000000001</v>
      </c>
      <c r="X11" s="83" t="s">
        <v>1652</v>
      </c>
      <c r="Y11" s="83" t="s">
        <v>1652</v>
      </c>
      <c r="Z11" s="85" t="s">
        <v>1661</v>
      </c>
      <c r="AA11" s="83">
        <v>50</v>
      </c>
      <c r="AB11" s="123">
        <v>47484</v>
      </c>
      <c r="AC11" s="123">
        <f>DATE(YEAR(AB11)+AA11,MONTH(AB11),DAY(AB11))</f>
        <v>65746</v>
      </c>
      <c r="AD11" s="83" t="s">
        <v>1652</v>
      </c>
      <c r="AE11" s="119">
        <f>G11*J11*8760</f>
        <v>0</v>
      </c>
      <c r="AF11" s="118">
        <f>'RO-2'!$AU$16/'RO-2'!$AU$13</f>
        <v>0.3238532110091743</v>
      </c>
      <c r="AG11" s="119">
        <f>AE11/AF11</f>
        <v>0</v>
      </c>
      <c r="AH11" s="125" t="e">
        <f>AG11/(AD11*24)*1000</f>
        <v>#VALUE!</v>
      </c>
      <c r="AI11" s="119"/>
      <c r="AJ11" s="119" t="e">
        <f>AE11/AH11</f>
        <v>#VALUE!</v>
      </c>
      <c r="AK11" s="118" t="e">
        <f>AJ11*0.0036</f>
        <v>#VALUE!</v>
      </c>
    </row>
    <row r="12" spans="1:37" s="18" customFormat="1">
      <c r="Q12" s="60"/>
    </row>
    <row r="13" spans="1:37" s="18" customFormat="1">
      <c r="Q13" s="60"/>
    </row>
    <row r="14" spans="1:37" s="18" customFormat="1">
      <c r="Q14" s="60"/>
    </row>
    <row r="15" spans="1:37" s="18" customFormat="1">
      <c r="L15" s="18" t="s">
        <v>7377</v>
      </c>
      <c r="Q15" s="60"/>
    </row>
    <row r="16" spans="1: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SUM(F7:F8)</f>
        <v>1.3</v>
      </c>
      <c r="G21" s="18" t="s">
        <v>7215</v>
      </c>
      <c r="H21" s="137">
        <f>F21/H22</f>
        <v>0.11818181818181818</v>
      </c>
      <c r="J21" s="17"/>
      <c r="Q21" s="60"/>
    </row>
    <row r="22" spans="2:17" s="18" customFormat="1">
      <c r="E22" s="18" t="s">
        <v>7127</v>
      </c>
      <c r="F22" s="160">
        <f>SUM(F9:F11)</f>
        <v>2.16</v>
      </c>
      <c r="G22" s="18" t="s">
        <v>7216</v>
      </c>
      <c r="H22" s="18">
        <f>MAX(E7:E8)-MIN(E7:E8)</f>
        <v>11</v>
      </c>
      <c r="J22" s="17"/>
      <c r="Q22" s="60"/>
    </row>
    <row r="23" spans="2:17" s="18" customFormat="1">
      <c r="J23" s="17"/>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ENRO_CERNAVODA-1_00</v>
      </c>
      <c r="D27" s="227" t="str">
        <f>"Nuclear Power Plant: "&amp;Z7</f>
        <v>Nuclear Power Plant: CERNAVODA-1</v>
      </c>
      <c r="E27" s="228" t="s">
        <v>1612</v>
      </c>
      <c r="F27" s="228" t="s">
        <v>1556</v>
      </c>
      <c r="G27" s="228" t="s">
        <v>1613</v>
      </c>
      <c r="H27" s="228"/>
      <c r="I27" s="228"/>
      <c r="J27" s="17"/>
      <c r="Q27" s="60"/>
    </row>
    <row r="28" spans="2:17" s="18" customFormat="1">
      <c r="B28" s="225"/>
      <c r="C28" s="225" t="str">
        <f>B8</f>
        <v>ENRO_CERNAVODA-2</v>
      </c>
      <c r="D28" s="227" t="str">
        <f>"Nuclear Power Plant: "&amp;Z8</f>
        <v>Nuclear Power Plant: CERNAVODA-2</v>
      </c>
      <c r="E28" s="228" t="s">
        <v>1612</v>
      </c>
      <c r="F28" s="228" t="s">
        <v>1556</v>
      </c>
      <c r="G28" s="228" t="s">
        <v>1613</v>
      </c>
      <c r="H28" s="228"/>
      <c r="I28" s="228"/>
      <c r="J28" s="17"/>
      <c r="Q28" s="60"/>
    </row>
    <row r="29" spans="2:17" s="18" customFormat="1">
      <c r="B29" s="225"/>
      <c r="C29" s="225" t="str">
        <f>B9</f>
        <v>ENRO_CERNAVODA-3</v>
      </c>
      <c r="D29" s="227" t="str">
        <f>"Nuclear Power Plant: "&amp;Z9</f>
        <v>Nuclear Power Plant: CERNAVODA-3</v>
      </c>
      <c r="E29" s="228" t="s">
        <v>1612</v>
      </c>
      <c r="F29" s="228" t="s">
        <v>1556</v>
      </c>
      <c r="G29" s="228" t="s">
        <v>7378</v>
      </c>
      <c r="H29" s="225"/>
      <c r="I29" s="225"/>
      <c r="J29" s="17"/>
      <c r="Q29" s="60"/>
    </row>
    <row r="30" spans="2:17" s="18" customFormat="1">
      <c r="B30" s="225"/>
      <c r="C30" s="225" t="str">
        <f>B10</f>
        <v>ENRO_CERNAVODA-4</v>
      </c>
      <c r="D30" s="227" t="str">
        <f>"Nuclear Power Plant: "&amp;Z10</f>
        <v>Nuclear Power Plant: CERNAVODA-4</v>
      </c>
      <c r="E30" s="228" t="s">
        <v>1612</v>
      </c>
      <c r="F30" s="228" t="s">
        <v>1556</v>
      </c>
      <c r="G30" s="228" t="s">
        <v>7378</v>
      </c>
      <c r="H30" s="225"/>
      <c r="I30" s="225"/>
      <c r="J30" s="17"/>
      <c r="Q30" s="60"/>
    </row>
    <row r="31" spans="2:17" s="18" customFormat="1">
      <c r="B31" s="225"/>
      <c r="C31" s="225" t="str">
        <f>B11</f>
        <v>ENRO_CERNAVODA-5</v>
      </c>
      <c r="D31" s="227" t="str">
        <f>"Nuclear Power Plant: "&amp;Z11</f>
        <v>Nuclear Power Plant: CERNAVODA-5</v>
      </c>
      <c r="E31" s="228" t="s">
        <v>1612</v>
      </c>
      <c r="F31" s="228" t="s">
        <v>1556</v>
      </c>
      <c r="G31" s="228" t="s">
        <v>7378</v>
      </c>
      <c r="H31" s="225"/>
      <c r="I31" s="225"/>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sheetData>
  <phoneticPr fontId="0"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0"/>
  </sheetPr>
  <dimension ref="B1:AK450"/>
  <sheetViews>
    <sheetView tabSelected="1" topLeftCell="A7" zoomScale="85" zoomScaleNormal="85" zoomScalePageLayoutView="125" workbookViewId="0">
      <selection activeCell="F17" sqref="F17"/>
    </sheetView>
  </sheetViews>
  <sheetFormatPr defaultColWidth="8.85546875" defaultRowHeight="12.75"/>
  <cols>
    <col min="1" max="1" width="3" style="19" customWidth="1"/>
    <col min="2" max="2" width="32.42578125" style="18" customWidth="1"/>
    <col min="3" max="3" width="18" style="18" customWidth="1"/>
    <col min="4" max="4" width="18.85546875" style="18" customWidth="1"/>
    <col min="5" max="5" width="16.710937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1" width="14.7109375" style="19" bestFit="1" customWidth="1"/>
    <col min="12" max="12" width="14.7109375" style="19" customWidth="1"/>
    <col min="13" max="13" width="16.85546875"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19.85546875" style="18" bestFit="1" customWidth="1"/>
    <col min="25" max="25" width="22.8554687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1576</v>
      </c>
      <c r="C1" s="78"/>
      <c r="D1" s="78"/>
      <c r="E1" s="79" t="s">
        <v>1575</v>
      </c>
      <c r="F1" s="68" t="s">
        <v>7358</v>
      </c>
      <c r="G1" s="6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C6" s="30"/>
      <c r="AD6" s="18"/>
      <c r="AI6" s="30"/>
    </row>
    <row r="7" spans="2:37" s="18" customFormat="1">
      <c r="B7" s="74" t="s">
        <v>7361</v>
      </c>
      <c r="C7" s="61" t="s">
        <v>1561</v>
      </c>
      <c r="D7" s="61" t="s">
        <v>1562</v>
      </c>
      <c r="E7" s="61">
        <f t="shared" ref="E7:E17" si="0">YEAR(AB7)</f>
        <v>1978</v>
      </c>
      <c r="F7" s="134">
        <v>0.40799999999999997</v>
      </c>
      <c r="G7" s="134">
        <v>0.44</v>
      </c>
      <c r="H7" s="135">
        <v>0.64959999999999996</v>
      </c>
      <c r="I7" s="135">
        <v>0.64959999999999996</v>
      </c>
      <c r="J7" s="91"/>
      <c r="K7" s="101">
        <f t="shared" ref="K7:K12" si="1">F7</f>
        <v>0.40799999999999997</v>
      </c>
      <c r="L7" s="91"/>
      <c r="M7" s="91"/>
      <c r="N7" s="91"/>
      <c r="O7" s="90"/>
      <c r="P7" s="90"/>
      <c r="Q7" s="91"/>
      <c r="R7" s="91">
        <v>2006</v>
      </c>
      <c r="S7" s="94">
        <f t="shared" ref="S7:S17" si="2">R7-E7</f>
        <v>28</v>
      </c>
      <c r="T7" s="100">
        <v>1</v>
      </c>
      <c r="U7" s="91">
        <v>1</v>
      </c>
      <c r="V7" s="104">
        <v>31.536000000000001</v>
      </c>
      <c r="X7" s="91" t="s">
        <v>407</v>
      </c>
      <c r="Y7" s="93" t="s">
        <v>1648</v>
      </c>
      <c r="Z7" s="94" t="s">
        <v>1668</v>
      </c>
      <c r="AA7" s="91">
        <v>30</v>
      </c>
      <c r="AB7" s="136">
        <v>28841</v>
      </c>
      <c r="AC7" s="106">
        <f t="shared" ref="AC7:AC14" si="3">DATE(YEAR(AB7)+AA7,MONTH(AB7),DAY(AB7))</f>
        <v>39799</v>
      </c>
      <c r="AD7" s="97">
        <v>35000</v>
      </c>
      <c r="AE7" s="102">
        <f t="shared" ref="AE7:AE12" si="4">G7*J7*8760</f>
        <v>0</v>
      </c>
      <c r="AF7" s="99">
        <f>'SK-13'!$AU$16/'SK-13'!$AU$13</f>
        <v>0.34330387491502379</v>
      </c>
      <c r="AG7" s="102">
        <f t="shared" ref="AG7:AG12" si="5">AE7/AF7</f>
        <v>0</v>
      </c>
      <c r="AH7" s="107">
        <f t="shared" ref="AH7:AH12" si="6">AG7/(AD7*24)*1000</f>
        <v>0</v>
      </c>
      <c r="AI7" s="102">
        <f>AH7*Assumptions!$H$7</f>
        <v>0</v>
      </c>
      <c r="AJ7" s="102" t="e">
        <f t="shared" ref="AJ7:AJ12" si="7">AE7/AH7</f>
        <v>#DIV/0!</v>
      </c>
      <c r="AK7" s="99" t="e">
        <f t="shared" ref="AK7:AK12" si="8">AJ7*0.0036</f>
        <v>#DIV/0!</v>
      </c>
    </row>
    <row r="8" spans="2:37" s="18" customFormat="1">
      <c r="B8" s="74" t="s">
        <v>7362</v>
      </c>
      <c r="C8" s="61" t="s">
        <v>1561</v>
      </c>
      <c r="D8" s="61" t="s">
        <v>1562</v>
      </c>
      <c r="E8" s="61">
        <f t="shared" si="0"/>
        <v>1980</v>
      </c>
      <c r="F8" s="134">
        <v>0.40799999999999997</v>
      </c>
      <c r="G8" s="134">
        <v>0.44</v>
      </c>
      <c r="H8" s="135">
        <v>0.78949999999999998</v>
      </c>
      <c r="I8" s="135">
        <v>0.78949999999999998</v>
      </c>
      <c r="J8" s="91"/>
      <c r="K8" s="101">
        <f t="shared" si="1"/>
        <v>0.40799999999999997</v>
      </c>
      <c r="L8" s="91"/>
      <c r="M8" s="91"/>
      <c r="N8" s="91"/>
      <c r="O8" s="90"/>
      <c r="P8" s="90"/>
      <c r="Q8" s="91"/>
      <c r="R8" s="91">
        <v>2008</v>
      </c>
      <c r="S8" s="102">
        <f t="shared" si="2"/>
        <v>28</v>
      </c>
      <c r="T8" s="99">
        <v>1</v>
      </c>
      <c r="U8" s="91">
        <v>1</v>
      </c>
      <c r="V8" s="104">
        <v>31.536000000000001</v>
      </c>
      <c r="X8" s="91" t="s">
        <v>407</v>
      </c>
      <c r="Y8" s="93" t="s">
        <v>1648</v>
      </c>
      <c r="Z8" s="94" t="s">
        <v>1669</v>
      </c>
      <c r="AA8" s="91">
        <v>30</v>
      </c>
      <c r="AB8" s="136">
        <v>29306</v>
      </c>
      <c r="AC8" s="106">
        <f t="shared" si="3"/>
        <v>40263</v>
      </c>
      <c r="AD8" s="97">
        <v>35000</v>
      </c>
      <c r="AE8" s="102">
        <f t="shared" si="4"/>
        <v>0</v>
      </c>
      <c r="AF8" s="99">
        <f>'SK-13'!$AU$16/'SK-13'!$AU$13</f>
        <v>0.34330387491502379</v>
      </c>
      <c r="AG8" s="102">
        <f t="shared" si="5"/>
        <v>0</v>
      </c>
      <c r="AH8" s="107">
        <f t="shared" si="6"/>
        <v>0</v>
      </c>
      <c r="AI8" s="102">
        <f>AH8*Assumptions!$H$7</f>
        <v>0</v>
      </c>
      <c r="AJ8" s="102" t="e">
        <f t="shared" si="7"/>
        <v>#DIV/0!</v>
      </c>
      <c r="AK8" s="99" t="e">
        <f t="shared" si="8"/>
        <v>#DIV/0!</v>
      </c>
    </row>
    <row r="9" spans="2:37" s="18" customFormat="1">
      <c r="B9" s="74" t="s">
        <v>7299</v>
      </c>
      <c r="C9" s="56" t="s">
        <v>1561</v>
      </c>
      <c r="D9" s="56" t="s">
        <v>1562</v>
      </c>
      <c r="E9" s="56">
        <f t="shared" si="0"/>
        <v>1984</v>
      </c>
      <c r="F9" s="108">
        <f>'SK-13'!$AU$17/1000</f>
        <v>0.47199999999999998</v>
      </c>
      <c r="G9" s="108">
        <f>'SK-13'!$AU$16/1000</f>
        <v>0.505</v>
      </c>
      <c r="H9" s="198">
        <v>0.81799999999999995</v>
      </c>
      <c r="I9" s="109">
        <f>'SK-13'!$AU$20/100</f>
        <v>0.72400000000000009</v>
      </c>
      <c r="J9" s="109">
        <f>'SK-13'!$AU$21/100</f>
        <v>0.85980000000000001</v>
      </c>
      <c r="K9" s="108">
        <f t="shared" si="1"/>
        <v>0.47199999999999998</v>
      </c>
      <c r="L9" s="95"/>
      <c r="M9" s="95"/>
      <c r="N9" s="111"/>
      <c r="O9" s="92"/>
      <c r="P9" s="92"/>
      <c r="Q9" s="92"/>
      <c r="R9" s="128">
        <f>YEAR(AB9)+41</f>
        <v>2025</v>
      </c>
      <c r="S9" s="110">
        <f t="shared" si="2"/>
        <v>41</v>
      </c>
      <c r="T9" s="109">
        <f>AK9</f>
        <v>1.3644269204622705</v>
      </c>
      <c r="U9" s="95">
        <v>1</v>
      </c>
      <c r="V9" s="113">
        <v>31.536000000000001</v>
      </c>
      <c r="X9" s="92" t="str">
        <f>'SK-13'!$AU$11</f>
        <v xml:space="preserve">PWR  </v>
      </c>
      <c r="Y9" s="92" t="str">
        <f>'SK-13'!$AU$12</f>
        <v>VVER V-213</v>
      </c>
      <c r="Z9" s="92" t="str">
        <f>'SK-13'!$AU$7</f>
        <v>BOHUNICE-3</v>
      </c>
      <c r="AA9" s="95">
        <v>30</v>
      </c>
      <c r="AB9" s="114">
        <f>'SK-13'!$AU$18</f>
        <v>30914</v>
      </c>
      <c r="AC9" s="115">
        <f t="shared" si="3"/>
        <v>41871</v>
      </c>
      <c r="AD9" s="92" t="str">
        <f>'SK-13'!$AU$19</f>
        <v>46000</v>
      </c>
      <c r="AE9" s="110">
        <f t="shared" si="4"/>
        <v>3803.5832399999999</v>
      </c>
      <c r="AF9" s="109">
        <f>'SK-13'!$AU$16/'SK-13'!$AU$13</f>
        <v>0.34330387491502379</v>
      </c>
      <c r="AG9" s="110">
        <f t="shared" si="5"/>
        <v>11079.348408</v>
      </c>
      <c r="AH9" s="116">
        <f t="shared" si="6"/>
        <v>10.035641673913043</v>
      </c>
      <c r="AI9" s="110">
        <f>AH9*Assumptions!$H$7</f>
        <v>80.285133391304342</v>
      </c>
      <c r="AJ9" s="110">
        <f t="shared" si="7"/>
        <v>379.0074779061863</v>
      </c>
      <c r="AK9" s="109">
        <f t="shared" si="8"/>
        <v>1.3644269204622705</v>
      </c>
    </row>
    <row r="10" spans="2:37" s="18" customFormat="1">
      <c r="B10" s="74" t="s">
        <v>7300</v>
      </c>
      <c r="C10" s="56" t="s">
        <v>1561</v>
      </c>
      <c r="D10" s="56" t="s">
        <v>1562</v>
      </c>
      <c r="E10" s="56">
        <f t="shared" si="0"/>
        <v>1985</v>
      </c>
      <c r="F10" s="108">
        <f>'SK-14'!$AU$17/1000</f>
        <v>0.47199999999999998</v>
      </c>
      <c r="G10" s="108">
        <f>'SK-14'!$AU$16/1000</f>
        <v>0.505</v>
      </c>
      <c r="H10" s="198">
        <v>0.83299999999999996</v>
      </c>
      <c r="I10" s="109">
        <f>'SK-14'!$AU$20/100</f>
        <v>0.79489999999999994</v>
      </c>
      <c r="J10" s="109">
        <f>'SK-14'!$AU$21/100</f>
        <v>0.87549999999999994</v>
      </c>
      <c r="K10" s="108">
        <f t="shared" si="1"/>
        <v>0.47199999999999998</v>
      </c>
      <c r="L10" s="95"/>
      <c r="M10" s="95"/>
      <c r="N10" s="111"/>
      <c r="O10" s="92"/>
      <c r="P10" s="92"/>
      <c r="Q10" s="92"/>
      <c r="R10" s="128">
        <f>YEAR(AB10)+40</f>
        <v>2025</v>
      </c>
      <c r="S10" s="110">
        <f t="shared" si="2"/>
        <v>40</v>
      </c>
      <c r="T10" s="109">
        <f>AK10</f>
        <v>1.3644269204622703</v>
      </c>
      <c r="U10" s="95">
        <v>1</v>
      </c>
      <c r="V10" s="113">
        <v>31.536000000000001</v>
      </c>
      <c r="X10" s="92" t="str">
        <f>'SK-14'!$AU$11</f>
        <v xml:space="preserve">PWR  </v>
      </c>
      <c r="Y10" s="92" t="str">
        <f>'SK-14'!$AU$12</f>
        <v>VVER V-213</v>
      </c>
      <c r="Z10" s="92" t="str">
        <f>'SK-14'!$AU$7</f>
        <v>BOHUNICE-4</v>
      </c>
      <c r="AA10" s="95">
        <v>30</v>
      </c>
      <c r="AB10" s="114">
        <f>'SK-14'!$AU$18</f>
        <v>31268</v>
      </c>
      <c r="AC10" s="115">
        <f t="shared" si="3"/>
        <v>42225</v>
      </c>
      <c r="AD10" s="92" t="str">
        <f>'SK-14'!$AU$19</f>
        <v>46000</v>
      </c>
      <c r="AE10" s="110">
        <f t="shared" si="4"/>
        <v>3873.0368999999996</v>
      </c>
      <c r="AF10" s="109">
        <f>'SK-14'!$AU$16/'SK-14'!$AU$13</f>
        <v>0.34330387491502379</v>
      </c>
      <c r="AG10" s="110">
        <f t="shared" si="5"/>
        <v>11281.657979999998</v>
      </c>
      <c r="AH10" s="116">
        <f t="shared" si="6"/>
        <v>10.218893097826086</v>
      </c>
      <c r="AI10" s="110">
        <f>AH10*Assumptions!$H$7</f>
        <v>81.751144782608691</v>
      </c>
      <c r="AJ10" s="110">
        <f t="shared" si="7"/>
        <v>379.00747790618624</v>
      </c>
      <c r="AK10" s="109">
        <f t="shared" si="8"/>
        <v>1.3644269204622703</v>
      </c>
    </row>
    <row r="11" spans="2:37" s="18" customFormat="1">
      <c r="B11" s="74" t="s">
        <v>7301</v>
      </c>
      <c r="C11" s="56" t="s">
        <v>1561</v>
      </c>
      <c r="D11" s="56" t="s">
        <v>1562</v>
      </c>
      <c r="E11" s="56">
        <f t="shared" si="0"/>
        <v>1998</v>
      </c>
      <c r="F11" s="108">
        <f>'SK-6'!$AU$17/1000</f>
        <v>0.436</v>
      </c>
      <c r="G11" s="108">
        <f>'SK-6'!$AU$16/1000</f>
        <v>0.47</v>
      </c>
      <c r="H11" s="198">
        <v>0.85799999999999998</v>
      </c>
      <c r="I11" s="109">
        <f>'SK-6'!$AU$20/100</f>
        <v>0.76459999999999995</v>
      </c>
      <c r="J11" s="109">
        <f>'SK-6'!$AU$21/100</f>
        <v>0.90249999999999997</v>
      </c>
      <c r="K11" s="108">
        <f t="shared" si="1"/>
        <v>0.436</v>
      </c>
      <c r="L11" s="95"/>
      <c r="M11" s="95"/>
      <c r="N11" s="111"/>
      <c r="O11" s="92"/>
      <c r="P11" s="92"/>
      <c r="Q11" s="92"/>
      <c r="R11" s="131">
        <f>YEAR(AC11)</f>
        <v>2028</v>
      </c>
      <c r="S11" s="110">
        <f t="shared" si="2"/>
        <v>30</v>
      </c>
      <c r="T11" s="109">
        <f>AK11</f>
        <v>1.2146512576478588</v>
      </c>
      <c r="U11" s="95">
        <v>1</v>
      </c>
      <c r="V11" s="113">
        <v>31.536000000000001</v>
      </c>
      <c r="X11" s="92" t="str">
        <f>'SK-6'!$AU$11</f>
        <v xml:space="preserve">PWR  </v>
      </c>
      <c r="Y11" s="92" t="str">
        <f>'SK-6'!$AU$12</f>
        <v>VVER V-213</v>
      </c>
      <c r="Z11" s="92" t="str">
        <f>'SK-6'!$AU$7</f>
        <v>MOCHOVCE-1</v>
      </c>
      <c r="AA11" s="95">
        <v>30</v>
      </c>
      <c r="AB11" s="114">
        <f>'SK-6'!$AU$18</f>
        <v>35980</v>
      </c>
      <c r="AC11" s="115">
        <f t="shared" si="3"/>
        <v>46938</v>
      </c>
      <c r="AD11" s="92" t="str">
        <f>'SK-6'!$AU$19</f>
        <v>44000</v>
      </c>
      <c r="AE11" s="110">
        <f t="shared" si="4"/>
        <v>3715.7729999999997</v>
      </c>
      <c r="AF11" s="109">
        <f>'SK-6'!$AU$16/'SK-6'!$AU$13</f>
        <v>0.31951053704962612</v>
      </c>
      <c r="AG11" s="110">
        <f t="shared" si="5"/>
        <v>11629.578899999999</v>
      </c>
      <c r="AH11" s="116">
        <f t="shared" si="6"/>
        <v>11.01285880681818</v>
      </c>
      <c r="AI11" s="110">
        <f>AH11*Assumptions!$H$7</f>
        <v>88.102870454545439</v>
      </c>
      <c r="AJ11" s="110">
        <f t="shared" si="7"/>
        <v>337.40312712440522</v>
      </c>
      <c r="AK11" s="109">
        <f t="shared" si="8"/>
        <v>1.2146512576478588</v>
      </c>
    </row>
    <row r="12" spans="2:37" s="18" customFormat="1">
      <c r="B12" s="74" t="s">
        <v>7302</v>
      </c>
      <c r="C12" s="56" t="s">
        <v>1561</v>
      </c>
      <c r="D12" s="56" t="s">
        <v>1562</v>
      </c>
      <c r="E12" s="56">
        <f t="shared" si="0"/>
        <v>1999</v>
      </c>
      <c r="F12" s="108">
        <f>'SK-7'!$AU$17/1000</f>
        <v>0.436</v>
      </c>
      <c r="G12" s="108">
        <f>'SK-7'!$AU$16/1000</f>
        <v>0.47</v>
      </c>
      <c r="H12" s="198">
        <v>0.86199999999999999</v>
      </c>
      <c r="I12" s="109">
        <f>'SK-7'!$AU$20/100</f>
        <v>0.8599</v>
      </c>
      <c r="J12" s="109">
        <f>'SK-7'!$AU$21/100</f>
        <v>0.83519999999999994</v>
      </c>
      <c r="K12" s="108">
        <f t="shared" si="1"/>
        <v>0.436</v>
      </c>
      <c r="L12" s="95"/>
      <c r="M12" s="95"/>
      <c r="N12" s="111"/>
      <c r="O12" s="92"/>
      <c r="P12" s="92"/>
      <c r="Q12" s="92"/>
      <c r="R12" s="131">
        <f>YEAR(AC12)+1</f>
        <v>2030</v>
      </c>
      <c r="S12" s="110">
        <f t="shared" si="2"/>
        <v>31</v>
      </c>
      <c r="T12" s="109">
        <f>AK12</f>
        <v>1.2146512576478585</v>
      </c>
      <c r="U12" s="95">
        <v>1</v>
      </c>
      <c r="V12" s="113">
        <v>31.536000000000001</v>
      </c>
      <c r="X12" s="92" t="str">
        <f>'SK-7'!$AU$11</f>
        <v xml:space="preserve">PWR  </v>
      </c>
      <c r="Y12" s="92" t="str">
        <f>'SK-7'!$AU$12</f>
        <v>VVER V-213</v>
      </c>
      <c r="Z12" s="92" t="str">
        <f>'SK-7'!$AU$7</f>
        <v>MOCHOVCE-2</v>
      </c>
      <c r="AA12" s="95">
        <v>30</v>
      </c>
      <c r="AB12" s="114">
        <f>'SK-7'!$AU$18</f>
        <v>36514</v>
      </c>
      <c r="AC12" s="115">
        <f t="shared" si="3"/>
        <v>47472</v>
      </c>
      <c r="AD12" s="92" t="str">
        <f>'SK-7'!$AU$19</f>
        <v>44000</v>
      </c>
      <c r="AE12" s="110">
        <f t="shared" si="4"/>
        <v>3438.6854399999997</v>
      </c>
      <c r="AF12" s="109">
        <f>'SK-7'!$AU$16/'SK-7'!$AU$13</f>
        <v>0.31951053704962612</v>
      </c>
      <c r="AG12" s="110">
        <f t="shared" si="5"/>
        <v>10762.353791999998</v>
      </c>
      <c r="AH12" s="116">
        <f t="shared" si="6"/>
        <v>10.191622909090908</v>
      </c>
      <c r="AI12" s="110">
        <f>AH12*Assumptions!$H$7</f>
        <v>81.532983272727265</v>
      </c>
      <c r="AJ12" s="110">
        <f t="shared" si="7"/>
        <v>337.40312712440516</v>
      </c>
      <c r="AK12" s="109">
        <f t="shared" si="8"/>
        <v>1.2146512576478585</v>
      </c>
    </row>
    <row r="13" spans="2:37" s="18" customFormat="1">
      <c r="B13" s="74" t="s">
        <v>1734</v>
      </c>
      <c r="C13" s="57" t="s">
        <v>1561</v>
      </c>
      <c r="D13" s="57" t="s">
        <v>1562</v>
      </c>
      <c r="E13" s="57">
        <f t="shared" si="0"/>
        <v>2012</v>
      </c>
      <c r="F13" s="117">
        <f>391/1000</f>
        <v>0.39100000000000001</v>
      </c>
      <c r="G13" s="117">
        <f>440/1000</f>
        <v>0.44</v>
      </c>
      <c r="H13" s="118">
        <v>0.92</v>
      </c>
      <c r="I13" s="118">
        <v>0.92</v>
      </c>
      <c r="J13" s="121"/>
      <c r="K13" s="121"/>
      <c r="L13" s="83"/>
      <c r="M13" s="120">
        <f>F13</f>
        <v>0.39100000000000001</v>
      </c>
      <c r="N13" s="83">
        <f>E13</f>
        <v>2012</v>
      </c>
      <c r="O13" s="83">
        <f>N13</f>
        <v>2012</v>
      </c>
      <c r="P13" s="83"/>
      <c r="Q13" s="83"/>
      <c r="R13" s="133">
        <f>YEAR(AC13)</f>
        <v>2042</v>
      </c>
      <c r="S13" s="119">
        <f t="shared" si="2"/>
        <v>30</v>
      </c>
      <c r="T13" s="121">
        <v>0.94089599999999995</v>
      </c>
      <c r="U13" s="83">
        <v>1</v>
      </c>
      <c r="V13" s="122">
        <v>31.536000000000001</v>
      </c>
      <c r="X13" s="85" t="str">
        <f>'SK-6'!$AU$11</f>
        <v xml:space="preserve">PWR  </v>
      </c>
      <c r="Y13" s="85" t="str">
        <f>'SK-6'!$AU$12</f>
        <v>VVER V-213</v>
      </c>
      <c r="Z13" s="85" t="s">
        <v>1641</v>
      </c>
      <c r="AA13" s="83">
        <v>30</v>
      </c>
      <c r="AB13" s="123">
        <v>41273</v>
      </c>
      <c r="AC13" s="124">
        <f t="shared" si="3"/>
        <v>52230</v>
      </c>
      <c r="AD13" s="85"/>
      <c r="AE13" s="119"/>
      <c r="AF13" s="118">
        <f>440/1375</f>
        <v>0.32</v>
      </c>
      <c r="AG13" s="119"/>
      <c r="AH13" s="125"/>
      <c r="AI13" s="119"/>
      <c r="AJ13" s="119"/>
      <c r="AK13" s="118"/>
    </row>
    <row r="14" spans="2:37" s="18" customFormat="1">
      <c r="B14" s="74" t="s">
        <v>1735</v>
      </c>
      <c r="C14" s="57" t="s">
        <v>1561</v>
      </c>
      <c r="D14" s="57" t="s">
        <v>1562</v>
      </c>
      <c r="E14" s="57">
        <f t="shared" si="0"/>
        <v>2013</v>
      </c>
      <c r="F14" s="117">
        <f>391/1000</f>
        <v>0.39100000000000001</v>
      </c>
      <c r="G14" s="117">
        <f>440/1000</f>
        <v>0.44</v>
      </c>
      <c r="H14" s="118">
        <v>0.92</v>
      </c>
      <c r="I14" s="118">
        <v>0.92</v>
      </c>
      <c r="J14" s="121"/>
      <c r="K14" s="121"/>
      <c r="L14" s="83"/>
      <c r="M14" s="120">
        <f>F14</f>
        <v>0.39100000000000001</v>
      </c>
      <c r="N14" s="83">
        <f>E14</f>
        <v>2013</v>
      </c>
      <c r="O14" s="83">
        <f>N14</f>
        <v>2013</v>
      </c>
      <c r="P14" s="83"/>
      <c r="Q14" s="83"/>
      <c r="R14" s="133">
        <f>YEAR(AC14)</f>
        <v>2043</v>
      </c>
      <c r="S14" s="119">
        <f t="shared" si="2"/>
        <v>30</v>
      </c>
      <c r="T14" s="121">
        <v>0.94089599999999995</v>
      </c>
      <c r="U14" s="83">
        <v>1</v>
      </c>
      <c r="V14" s="122">
        <v>31.536000000000001</v>
      </c>
      <c r="X14" s="85" t="str">
        <f>'SK-7'!$AU$11</f>
        <v xml:space="preserve">PWR  </v>
      </c>
      <c r="Y14" s="85" t="str">
        <f>'SK-7'!$AU$12</f>
        <v>VVER V-213</v>
      </c>
      <c r="Z14" s="85" t="s">
        <v>1642</v>
      </c>
      <c r="AA14" s="83">
        <v>30</v>
      </c>
      <c r="AB14" s="123">
        <v>41518</v>
      </c>
      <c r="AC14" s="124">
        <f t="shared" si="3"/>
        <v>52475</v>
      </c>
      <c r="AD14" s="85"/>
      <c r="AE14" s="119"/>
      <c r="AF14" s="118">
        <f>440/1375</f>
        <v>0.32</v>
      </c>
      <c r="AG14" s="119"/>
      <c r="AH14" s="125"/>
      <c r="AI14" s="119"/>
      <c r="AJ14" s="119"/>
      <c r="AK14" s="118"/>
    </row>
    <row r="15" spans="2:37" s="18" customFormat="1">
      <c r="B15" s="74" t="s">
        <v>1736</v>
      </c>
      <c r="C15" s="57" t="s">
        <v>1561</v>
      </c>
      <c r="D15" s="57" t="s">
        <v>1562</v>
      </c>
      <c r="E15" s="83">
        <f t="shared" si="0"/>
        <v>2025</v>
      </c>
      <c r="F15" s="120">
        <f>F14</f>
        <v>0.39100000000000001</v>
      </c>
      <c r="G15" s="83"/>
      <c r="H15" s="118">
        <v>0.92</v>
      </c>
      <c r="I15" s="118">
        <v>0.92</v>
      </c>
      <c r="J15" s="83"/>
      <c r="K15" s="83"/>
      <c r="L15" s="120">
        <v>1</v>
      </c>
      <c r="M15" s="83"/>
      <c r="N15" s="83">
        <f>E15</f>
        <v>2025</v>
      </c>
      <c r="O15" s="83">
        <f>N15</f>
        <v>2025</v>
      </c>
      <c r="P15" s="83"/>
      <c r="Q15" s="83"/>
      <c r="R15" s="83">
        <f>YEAR(AC15)</f>
        <v>2075</v>
      </c>
      <c r="S15" s="85">
        <f t="shared" si="2"/>
        <v>50</v>
      </c>
      <c r="T15" s="121">
        <f>T9</f>
        <v>1.3644269204622705</v>
      </c>
      <c r="U15" s="85">
        <v>1</v>
      </c>
      <c r="V15" s="85">
        <v>31.536000000000001</v>
      </c>
      <c r="X15" s="83" t="s">
        <v>1652</v>
      </c>
      <c r="Y15" s="83" t="s">
        <v>1652</v>
      </c>
      <c r="Z15" s="83" t="s">
        <v>1672</v>
      </c>
      <c r="AA15" s="83">
        <v>50</v>
      </c>
      <c r="AB15" s="139">
        <v>45658</v>
      </c>
      <c r="AC15" s="139">
        <f>DATE(YEAR(AB15)+AA15,MONTH(AB15),DAY(AB15))</f>
        <v>63920</v>
      </c>
      <c r="AD15" s="85"/>
      <c r="AE15" s="85"/>
      <c r="AF15" s="85"/>
      <c r="AG15" s="85"/>
      <c r="AH15" s="85"/>
      <c r="AI15" s="85"/>
      <c r="AJ15" s="85"/>
      <c r="AK15" s="85"/>
    </row>
    <row r="16" spans="2:37" s="18" customFormat="1"/>
    <row r="17" spans="2:37" s="18" customFormat="1">
      <c r="B17" s="74" t="s">
        <v>1737</v>
      </c>
      <c r="C17" s="57" t="s">
        <v>1561</v>
      </c>
      <c r="D17" s="57" t="s">
        <v>1562</v>
      </c>
      <c r="E17" s="83">
        <f t="shared" si="0"/>
        <v>2025</v>
      </c>
      <c r="F17" s="117">
        <f>1200/1000</f>
        <v>1.2</v>
      </c>
      <c r="G17" s="83"/>
      <c r="H17" s="118">
        <v>0.92</v>
      </c>
      <c r="I17" s="118">
        <v>0.92</v>
      </c>
      <c r="J17" s="83"/>
      <c r="K17" s="83"/>
      <c r="L17" s="120">
        <f>F17</f>
        <v>1.2</v>
      </c>
      <c r="M17" s="83"/>
      <c r="N17" s="83">
        <f>E17</f>
        <v>2025</v>
      </c>
      <c r="O17" s="83"/>
      <c r="P17" s="83"/>
      <c r="Q17" s="83"/>
      <c r="R17" s="83">
        <f>YEAR(AC17)</f>
        <v>2075</v>
      </c>
      <c r="S17" s="85">
        <f t="shared" si="2"/>
        <v>50</v>
      </c>
      <c r="T17" s="121">
        <f>T10</f>
        <v>1.3644269204622703</v>
      </c>
      <c r="U17" s="85">
        <v>1</v>
      </c>
      <c r="V17" s="85">
        <v>31.536000000000001</v>
      </c>
      <c r="X17" s="83" t="s">
        <v>1652</v>
      </c>
      <c r="Y17" s="83" t="s">
        <v>1652</v>
      </c>
      <c r="Z17" s="83" t="s">
        <v>1673</v>
      </c>
      <c r="AA17" s="83">
        <v>50</v>
      </c>
      <c r="AB17" s="123">
        <v>45658</v>
      </c>
      <c r="AC17" s="123">
        <f>DATE(YEAR(AB17)+AA17,MONTH(AB17),DAY(AB17))</f>
        <v>63920</v>
      </c>
      <c r="AD17" s="85"/>
      <c r="AE17" s="85"/>
      <c r="AF17" s="85"/>
      <c r="AG17" s="85"/>
      <c r="AH17" s="85"/>
      <c r="AI17" s="85"/>
      <c r="AJ17" s="85"/>
      <c r="AK17" s="85"/>
    </row>
    <row r="18" spans="2:37" s="87" customFormat="1">
      <c r="B18" s="162"/>
      <c r="C18" s="163"/>
      <c r="D18" s="163"/>
      <c r="E18" s="84"/>
      <c r="F18" s="164"/>
      <c r="G18" s="84"/>
      <c r="H18" s="84"/>
      <c r="I18" s="84"/>
      <c r="J18" s="84"/>
      <c r="K18" s="165"/>
      <c r="L18" s="84"/>
      <c r="M18" s="84"/>
      <c r="N18" s="84"/>
      <c r="O18" s="84"/>
      <c r="P18" s="84"/>
      <c r="Q18" s="84"/>
      <c r="S18" s="157"/>
      <c r="W18" s="84"/>
      <c r="X18" s="84"/>
      <c r="Y18" s="84"/>
      <c r="Z18" s="84"/>
      <c r="AA18" s="166"/>
      <c r="AB18" s="166"/>
    </row>
    <row r="19" spans="2:37" s="87" customFormat="1">
      <c r="B19" s="162"/>
      <c r="C19" s="163"/>
      <c r="D19" s="163"/>
      <c r="E19" s="84"/>
      <c r="F19" s="164"/>
      <c r="G19" s="84"/>
      <c r="H19" s="84"/>
      <c r="I19" s="84"/>
      <c r="J19" s="84"/>
      <c r="K19" s="165"/>
      <c r="L19" s="84"/>
      <c r="M19" s="84"/>
      <c r="N19" s="84"/>
      <c r="O19" s="84"/>
      <c r="P19" s="84"/>
      <c r="Q19" s="84"/>
      <c r="S19" s="157"/>
      <c r="W19" s="84"/>
      <c r="X19" s="84"/>
      <c r="Y19" s="84"/>
      <c r="Z19" s="84"/>
      <c r="AA19" s="166"/>
      <c r="AB19" s="166"/>
    </row>
    <row r="20" spans="2:37" s="87" customFormat="1">
      <c r="B20" s="162"/>
      <c r="C20" s="163"/>
      <c r="D20" s="163"/>
      <c r="E20" s="84"/>
      <c r="F20" s="164"/>
      <c r="G20" s="84"/>
      <c r="H20" s="84"/>
      <c r="I20" s="84"/>
      <c r="J20" s="84"/>
      <c r="K20" s="165"/>
      <c r="L20" s="84"/>
      <c r="M20" s="84"/>
      <c r="N20" s="84"/>
      <c r="O20" s="84"/>
      <c r="P20" s="84"/>
      <c r="Q20" s="84"/>
      <c r="S20" s="157"/>
      <c r="W20" s="84"/>
      <c r="X20" s="84"/>
      <c r="Y20" s="84"/>
      <c r="Z20" s="84"/>
      <c r="AA20" s="166"/>
      <c r="AB20" s="166"/>
    </row>
    <row r="21" spans="2:37" s="18" customFormat="1">
      <c r="J21" s="17"/>
      <c r="Q21" s="60"/>
    </row>
    <row r="22" spans="2:37" s="18" customFormat="1">
      <c r="E22" s="18" t="s">
        <v>7128</v>
      </c>
      <c r="F22" s="160">
        <f>SUM(F5:F12)</f>
        <v>2.6319999999999997</v>
      </c>
      <c r="G22" s="18" t="s">
        <v>7215</v>
      </c>
      <c r="H22" s="137">
        <f>F22/H23</f>
        <v>0.12533333333333332</v>
      </c>
      <c r="J22" s="17"/>
      <c r="Q22" s="60"/>
    </row>
    <row r="23" spans="2:37" s="18" customFormat="1">
      <c r="E23" s="18" t="s">
        <v>7127</v>
      </c>
      <c r="F23" s="160">
        <f>SUM(F11:F17)</f>
        <v>3.2450000000000001</v>
      </c>
      <c r="G23" s="18" t="s">
        <v>7216</v>
      </c>
      <c r="H23" s="18">
        <f>MAX(E7:E12)-MIN(E7:E12)</f>
        <v>21</v>
      </c>
      <c r="J23" s="17"/>
      <c r="Q23" s="60"/>
    </row>
    <row r="24" spans="2:37" s="18" customFormat="1">
      <c r="F24" s="160"/>
      <c r="J24" s="17"/>
      <c r="Q24" s="60"/>
    </row>
    <row r="25" spans="2:37" s="18" customFormat="1">
      <c r="J25" s="17"/>
      <c r="Q25" s="60"/>
    </row>
    <row r="26" spans="2:37" s="18" customFormat="1">
      <c r="J26" s="17"/>
      <c r="Q26" s="60"/>
    </row>
    <row r="27" spans="2:37" s="18" customFormat="1">
      <c r="B27" s="224" t="s">
        <v>1603</v>
      </c>
      <c r="C27" s="224"/>
      <c r="D27" s="225"/>
      <c r="E27" s="225"/>
      <c r="F27" s="225"/>
      <c r="G27" s="225"/>
      <c r="H27" s="225"/>
      <c r="I27" s="225"/>
      <c r="J27" s="17"/>
      <c r="Q27" s="60"/>
    </row>
    <row r="28" spans="2:37" s="18" customFormat="1" ht="13.5" thickBot="1">
      <c r="B28" s="226" t="s">
        <v>1604</v>
      </c>
      <c r="C28" s="226" t="s">
        <v>1540</v>
      </c>
      <c r="D28" s="226" t="s">
        <v>1605</v>
      </c>
      <c r="E28" s="226" t="s">
        <v>1606</v>
      </c>
      <c r="F28" s="226" t="s">
        <v>1607</v>
      </c>
      <c r="G28" s="226" t="s">
        <v>1608</v>
      </c>
      <c r="H28" s="226" t="s">
        <v>1609</v>
      </c>
      <c r="I28" s="226" t="s">
        <v>1610</v>
      </c>
      <c r="J28" s="17"/>
      <c r="Q28" s="60"/>
    </row>
    <row r="29" spans="2:37" s="18" customFormat="1">
      <c r="B29" s="225" t="s">
        <v>1611</v>
      </c>
      <c r="C29" s="225" t="str">
        <f>B7</f>
        <v>ENSK_BOHUNICE-1_00</v>
      </c>
      <c r="D29" s="227" t="str">
        <f>"Nuclear Power Plant: "&amp;Z7</f>
        <v>Nuclear Power Plant: BOHUNICE-1</v>
      </c>
      <c r="E29" s="228" t="s">
        <v>1612</v>
      </c>
      <c r="F29" s="228" t="s">
        <v>1556</v>
      </c>
      <c r="G29" s="228" t="s">
        <v>1613</v>
      </c>
      <c r="H29" s="228"/>
      <c r="I29" s="228"/>
      <c r="J29" s="17"/>
      <c r="Q29" s="60"/>
    </row>
    <row r="30" spans="2:37" s="18" customFormat="1">
      <c r="B30" s="225"/>
      <c r="C30" s="225" t="str">
        <f>B8</f>
        <v>ENSK_BOHUNICE-2_00</v>
      </c>
      <c r="D30" s="227" t="str">
        <f>"Nuclear Power Plant: "&amp;Z8</f>
        <v>Nuclear Power Plant: BOHUNICE-2</v>
      </c>
      <c r="E30" s="228" t="s">
        <v>1612</v>
      </c>
      <c r="F30" s="228" t="s">
        <v>1556</v>
      </c>
      <c r="G30" s="228" t="s">
        <v>1613</v>
      </c>
      <c r="H30" s="228"/>
      <c r="I30" s="228"/>
      <c r="J30" s="17"/>
      <c r="Q30" s="60"/>
    </row>
    <row r="31" spans="2:37" s="18" customFormat="1">
      <c r="B31" s="225"/>
      <c r="C31" s="225" t="str">
        <f t="shared" ref="C31:C36" si="9">B9</f>
        <v>ENSK_BOHUNICE-3_00</v>
      </c>
      <c r="D31" s="227" t="str">
        <f t="shared" ref="D31:D36" si="10">"Nuclear Power Plant: "&amp;Z9</f>
        <v>Nuclear Power Plant: BOHUNICE-3</v>
      </c>
      <c r="E31" s="228" t="s">
        <v>1612</v>
      </c>
      <c r="F31" s="228" t="s">
        <v>1556</v>
      </c>
      <c r="G31" s="228" t="s">
        <v>1613</v>
      </c>
      <c r="H31" s="228"/>
      <c r="I31" s="228"/>
      <c r="J31" s="17"/>
      <c r="Q31" s="60"/>
    </row>
    <row r="32" spans="2:37" s="18" customFormat="1">
      <c r="B32" s="225"/>
      <c r="C32" s="225" t="str">
        <f t="shared" si="9"/>
        <v>ENSK_BOHUNICE-4_00</v>
      </c>
      <c r="D32" s="227" t="str">
        <f t="shared" si="10"/>
        <v>Nuclear Power Plant: BOHUNICE-4</v>
      </c>
      <c r="E32" s="228" t="s">
        <v>1612</v>
      </c>
      <c r="F32" s="228" t="s">
        <v>1556</v>
      </c>
      <c r="G32" s="228" t="s">
        <v>1613</v>
      </c>
      <c r="H32" s="228"/>
      <c r="I32" s="228"/>
      <c r="J32" s="17"/>
      <c r="Q32" s="60"/>
    </row>
    <row r="33" spans="2:17" s="18" customFormat="1">
      <c r="B33" s="225"/>
      <c r="C33" s="225" t="str">
        <f t="shared" si="9"/>
        <v>ENSK_MOCHOVCE-1_00</v>
      </c>
      <c r="D33" s="227" t="str">
        <f t="shared" si="10"/>
        <v>Nuclear Power Plant: MOCHOVCE-1</v>
      </c>
      <c r="E33" s="228" t="s">
        <v>1612</v>
      </c>
      <c r="F33" s="228" t="s">
        <v>1556</v>
      </c>
      <c r="G33" s="228" t="s">
        <v>1613</v>
      </c>
      <c r="H33" s="225"/>
      <c r="I33" s="225"/>
      <c r="J33" s="17"/>
      <c r="Q33" s="60"/>
    </row>
    <row r="34" spans="2:17" s="18" customFormat="1">
      <c r="B34" s="225"/>
      <c r="C34" s="225" t="str">
        <f t="shared" si="9"/>
        <v>ENSK_MOCHOVCE-2_00</v>
      </c>
      <c r="D34" s="227" t="str">
        <f t="shared" si="10"/>
        <v>Nuclear Power Plant: MOCHOVCE-2</v>
      </c>
      <c r="E34" s="228" t="s">
        <v>1612</v>
      </c>
      <c r="F34" s="228" t="s">
        <v>1556</v>
      </c>
      <c r="G34" s="228" t="s">
        <v>1613</v>
      </c>
      <c r="H34" s="225"/>
      <c r="I34" s="225"/>
      <c r="J34" s="17"/>
      <c r="Q34" s="60"/>
    </row>
    <row r="35" spans="2:17" s="18" customFormat="1">
      <c r="B35" s="225"/>
      <c r="C35" s="225" t="str">
        <f t="shared" si="9"/>
        <v>ENSK_MOCHOVCE-3</v>
      </c>
      <c r="D35" s="227" t="str">
        <f t="shared" si="10"/>
        <v>Nuclear Power Plant: MOCHOVCE-3</v>
      </c>
      <c r="E35" s="228" t="s">
        <v>1612</v>
      </c>
      <c r="F35" s="228" t="s">
        <v>1556</v>
      </c>
      <c r="G35" s="228" t="s">
        <v>7378</v>
      </c>
      <c r="H35" s="225"/>
      <c r="I35" s="225"/>
      <c r="J35" s="17"/>
      <c r="Q35" s="60"/>
    </row>
    <row r="36" spans="2:17" s="18" customFormat="1">
      <c r="B36" s="225"/>
      <c r="C36" s="225" t="str">
        <f t="shared" si="9"/>
        <v>ENSK_MOCHOVCE-4</v>
      </c>
      <c r="D36" s="227" t="str">
        <f t="shared" si="10"/>
        <v>Nuclear Power Plant: MOCHOVCE-4</v>
      </c>
      <c r="E36" s="228" t="s">
        <v>1612</v>
      </c>
      <c r="F36" s="228" t="s">
        <v>1556</v>
      </c>
      <c r="G36" s="228" t="s">
        <v>7378</v>
      </c>
      <c r="H36" s="225"/>
      <c r="I36" s="225"/>
      <c r="J36" s="17"/>
      <c r="Q36" s="60"/>
    </row>
    <row r="37" spans="2:17" s="18" customFormat="1">
      <c r="B37" s="225"/>
      <c r="C37" s="225" t="str">
        <f>B15</f>
        <v>ENSK_BOHUNICE-NEWBLOCK</v>
      </c>
      <c r="D37" s="227" t="str">
        <f>"Nuclear Power Plant: "&amp;Z15</f>
        <v>Nuclear Power Plant: BOHUNICE-NEW BLOCK</v>
      </c>
      <c r="E37" s="228" t="s">
        <v>1612</v>
      </c>
      <c r="F37" s="228" t="s">
        <v>1556</v>
      </c>
      <c r="G37" s="228" t="s">
        <v>7378</v>
      </c>
      <c r="H37" s="225"/>
      <c r="I37" s="225"/>
      <c r="J37" s="17"/>
      <c r="Q37" s="60"/>
    </row>
    <row r="38" spans="2:17" s="18" customFormat="1">
      <c r="B38" s="225"/>
      <c r="C38" s="225"/>
      <c r="D38" s="227"/>
      <c r="E38" s="228"/>
      <c r="F38" s="228"/>
      <c r="G38" s="228"/>
      <c r="H38" s="225"/>
      <c r="I38" s="225"/>
      <c r="J38" s="17"/>
      <c r="Q38" s="60"/>
    </row>
    <row r="39" spans="2:17" s="18" customFormat="1">
      <c r="B39" s="225"/>
      <c r="C39" s="225" t="str">
        <f>B17</f>
        <v>ENSK_KECEROVCE</v>
      </c>
      <c r="D39" s="227" t="str">
        <f>"Nuclear Power Plant: "&amp;Z17</f>
        <v>Nuclear Power Plant: KECEROVCE</v>
      </c>
      <c r="E39" s="228" t="s">
        <v>1612</v>
      </c>
      <c r="F39" s="228" t="s">
        <v>1556</v>
      </c>
      <c r="G39" s="228" t="s">
        <v>7378</v>
      </c>
      <c r="H39" s="225"/>
      <c r="I39" s="225"/>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sheetData>
  <phoneticPr fontId="0" type="noConversion"/>
  <pageMargins left="0.7" right="0.7" top="0.75" bottom="0.75" header="0.3" footer="0.3"/>
  <pageSetup paperSize="9" orientation="portrait"/>
  <ignoredErrors>
    <ignoredError sqref="X12:Y12 X13:Y13" formula="1"/>
  </ignoredErrors>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0"/>
  </sheetPr>
  <dimension ref="B1:AK455"/>
  <sheetViews>
    <sheetView zoomScale="85" zoomScaleNormal="85" zoomScalePageLayoutView="125" workbookViewId="0">
      <selection activeCell="G29" sqref="G29"/>
    </sheetView>
  </sheetViews>
  <sheetFormatPr defaultColWidth="8.85546875" defaultRowHeight="12.75"/>
  <cols>
    <col min="1" max="1" width="3" style="19" customWidth="1"/>
    <col min="2" max="2" width="28.7109375" style="18" customWidth="1"/>
    <col min="3" max="3" width="16.28515625" style="18" customWidth="1"/>
    <col min="4" max="4" width="14.28515625" style="18" customWidth="1"/>
    <col min="5" max="5" width="19"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9.85546875"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1578</v>
      </c>
      <c r="C1" s="78"/>
      <c r="D1" s="78"/>
      <c r="E1" s="79" t="s">
        <v>1577</v>
      </c>
      <c r="F1" s="68" t="s">
        <v>7358</v>
      </c>
      <c r="G1" s="6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7303</v>
      </c>
      <c r="C7" s="56" t="s">
        <v>1561</v>
      </c>
      <c r="D7" s="56" t="s">
        <v>1562</v>
      </c>
      <c r="E7" s="56">
        <f>YEAR(AB7)</f>
        <v>1981</v>
      </c>
      <c r="F7" s="108">
        <f>'SI-1'!$AU$17/1000</f>
        <v>0.68799999999999994</v>
      </c>
      <c r="G7" s="108">
        <f>'SI-1'!$AU$16/1000</f>
        <v>0.72699999999999998</v>
      </c>
      <c r="H7" s="198">
        <v>0.85799999999999998</v>
      </c>
      <c r="I7" s="109">
        <f>'SI-1'!$AU$20/100</f>
        <v>0.97689999999999999</v>
      </c>
      <c r="J7" s="109">
        <f>'SI-1'!$AU$21/100</f>
        <v>0.92230000000000001</v>
      </c>
      <c r="K7" s="108">
        <f>F7</f>
        <v>0.68799999999999994</v>
      </c>
      <c r="L7" s="95"/>
      <c r="M7" s="111"/>
      <c r="N7" s="111"/>
      <c r="O7" s="92"/>
      <c r="P7" s="92"/>
      <c r="Q7" s="92"/>
      <c r="R7" s="128">
        <f>YEAR(AC7)</f>
        <v>2021</v>
      </c>
      <c r="S7" s="127">
        <f>R7-E7</f>
        <v>40</v>
      </c>
      <c r="T7" s="112">
        <f>AK7</f>
        <v>1.3869532453360078</v>
      </c>
      <c r="U7" s="95">
        <v>1</v>
      </c>
      <c r="V7" s="113">
        <v>31.536000000000001</v>
      </c>
      <c r="X7" s="92" t="str">
        <f>'SI-1'!$AU$11</f>
        <v xml:space="preserve">PWR  </v>
      </c>
      <c r="Y7" s="92" t="str">
        <f>'SI-1'!$AU$12</f>
        <v>Westinghouse 212</v>
      </c>
      <c r="Z7" s="92" t="str">
        <f>'SI-1'!$AU$7</f>
        <v>KRSKO</v>
      </c>
      <c r="AA7" s="95">
        <v>40</v>
      </c>
      <c r="AB7" s="114">
        <f>'SI-1'!$AU$18</f>
        <v>29861</v>
      </c>
      <c r="AC7" s="115">
        <f>DATE(YEAR(AB7)+AA7,MONTH(AB7),DAY(AB7))</f>
        <v>44471</v>
      </c>
      <c r="AD7" s="92" t="str">
        <f>'SI-1'!$AU$19</f>
        <v>44029</v>
      </c>
      <c r="AE7" s="110">
        <f>G7*J7*8760</f>
        <v>5873.6859959999992</v>
      </c>
      <c r="AF7" s="109">
        <f>'SI-1'!$AU$16/'SI-1'!$AU$13</f>
        <v>0.36459378134403209</v>
      </c>
      <c r="AG7" s="110">
        <f>AE7/AF7</f>
        <v>16110.219911999999</v>
      </c>
      <c r="AH7" s="116">
        <f>AG7/(AD7*24)*1000</f>
        <v>15.245841672534011</v>
      </c>
      <c r="AI7" s="110">
        <f>AH7*Assumptions!$H$7</f>
        <v>121.96673338027209</v>
      </c>
      <c r="AJ7" s="110">
        <f>AE7/AH7</f>
        <v>385.26479037111329</v>
      </c>
      <c r="AK7" s="109">
        <f>AJ7*0.0036</f>
        <v>1.3869532453360078</v>
      </c>
    </row>
    <row r="8" spans="2:37" s="18" customFormat="1">
      <c r="B8" s="75" t="s">
        <v>1738</v>
      </c>
      <c r="C8" s="57" t="s">
        <v>1561</v>
      </c>
      <c r="D8" s="57" t="s">
        <v>1562</v>
      </c>
      <c r="E8" s="83">
        <f>YEAR(AB8)</f>
        <v>2026</v>
      </c>
      <c r="F8" s="117">
        <f>1600/1000</f>
        <v>1.6</v>
      </c>
      <c r="G8" s="83"/>
      <c r="H8" s="118">
        <v>0.92</v>
      </c>
      <c r="I8" s="118">
        <v>0.92</v>
      </c>
      <c r="J8" s="83"/>
      <c r="K8" s="120"/>
      <c r="L8" s="117">
        <f>F8</f>
        <v>1.6</v>
      </c>
      <c r="M8" s="83"/>
      <c r="N8" s="83">
        <f>E8</f>
        <v>2026</v>
      </c>
      <c r="O8" s="83"/>
      <c r="P8" s="85"/>
      <c r="Q8" s="85"/>
      <c r="R8" s="83">
        <f>YEAR(AC8)</f>
        <v>2076</v>
      </c>
      <c r="S8" s="119">
        <f>R8-E8</f>
        <v>50</v>
      </c>
      <c r="T8" s="121">
        <v>1.2545280000000001</v>
      </c>
      <c r="U8" s="85">
        <v>1</v>
      </c>
      <c r="V8" s="85">
        <v>31.536000000000001</v>
      </c>
      <c r="X8" s="85" t="s">
        <v>1652</v>
      </c>
      <c r="Y8" s="85" t="s">
        <v>1652</v>
      </c>
      <c r="Z8" s="83" t="s">
        <v>1697</v>
      </c>
      <c r="AA8" s="85">
        <v>50</v>
      </c>
      <c r="AB8" s="123">
        <v>46023</v>
      </c>
      <c r="AC8" s="123">
        <f>DATE(YEAR(AB8)+AA8,MONTH(AB8),DAY(AB8))</f>
        <v>64285</v>
      </c>
      <c r="AD8" s="85"/>
      <c r="AE8" s="85"/>
      <c r="AF8" s="85"/>
      <c r="AG8" s="85"/>
      <c r="AH8" s="85"/>
      <c r="AI8" s="85"/>
      <c r="AJ8" s="85"/>
      <c r="AK8" s="85"/>
    </row>
    <row r="9" spans="2:37" s="18" customFormat="1">
      <c r="M9" s="60" t="s">
        <v>1703</v>
      </c>
      <c r="Q9" s="60"/>
    </row>
    <row r="10" spans="2:37" s="18" customFormat="1">
      <c r="M10" s="60"/>
      <c r="Q10" s="60"/>
    </row>
    <row r="11" spans="2:37" s="18" customFormat="1">
      <c r="M11" s="60"/>
      <c r="Q11" s="60"/>
    </row>
    <row r="12" spans="2:37" s="18" customFormat="1">
      <c r="M12" s="60"/>
      <c r="Q12" s="60"/>
    </row>
    <row r="13" spans="2:37" s="18" customFormat="1">
      <c r="M13" s="60"/>
      <c r="Q13" s="60"/>
    </row>
    <row r="14" spans="2:37" s="18" customFormat="1">
      <c r="M14" s="60"/>
      <c r="Q14" s="60"/>
    </row>
    <row r="15" spans="2:37" s="18" customFormat="1">
      <c r="M15" s="60"/>
      <c r="Q15" s="60"/>
    </row>
    <row r="16" spans="2:37" s="18" customFormat="1">
      <c r="M16" s="60"/>
      <c r="Q16" s="60"/>
    </row>
    <row r="17" spans="2:17" s="18" customFormat="1">
      <c r="M17" s="60"/>
      <c r="Q17" s="60"/>
    </row>
    <row r="18" spans="2:17" s="18" customFormat="1">
      <c r="M18" s="60"/>
      <c r="Q18" s="60"/>
    </row>
    <row r="19" spans="2:17" s="18" customFormat="1">
      <c r="M19" s="60"/>
      <c r="Q19" s="60"/>
    </row>
    <row r="20" spans="2:17" s="18" customFormat="1">
      <c r="M20" s="60"/>
      <c r="Q20" s="60"/>
    </row>
    <row r="21" spans="2:17" s="18" customFormat="1">
      <c r="E21" s="18" t="s">
        <v>7128</v>
      </c>
      <c r="F21" s="160">
        <f>F7</f>
        <v>0.68799999999999994</v>
      </c>
      <c r="G21" s="18" t="s">
        <v>7215</v>
      </c>
      <c r="H21" s="137">
        <f>F21/H22</f>
        <v>0.68799999999999994</v>
      </c>
      <c r="Q21" s="60"/>
    </row>
    <row r="22" spans="2:17" s="18" customFormat="1">
      <c r="E22" s="18" t="s">
        <v>7127</v>
      </c>
      <c r="F22" s="160">
        <f>F8</f>
        <v>1.6</v>
      </c>
      <c r="G22" s="18" t="s">
        <v>7216</v>
      </c>
      <c r="H22" s="18">
        <v>1</v>
      </c>
      <c r="Q22" s="60"/>
    </row>
    <row r="23" spans="2:17" s="18" customFormat="1">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ENSI_KRSKO_00</v>
      </c>
      <c r="D27" s="227" t="str">
        <f>"Nuclear Power Plant: "&amp;Z7</f>
        <v>Nuclear Power Plant: KRSKO</v>
      </c>
      <c r="E27" s="228" t="s">
        <v>1612</v>
      </c>
      <c r="F27" s="228" t="s">
        <v>1556</v>
      </c>
      <c r="G27" s="228" t="s">
        <v>1613</v>
      </c>
      <c r="H27" s="228"/>
      <c r="I27" s="228"/>
      <c r="J27" s="17"/>
      <c r="Q27" s="60"/>
    </row>
    <row r="28" spans="2:17" s="18" customFormat="1">
      <c r="B28" s="225"/>
      <c r="C28" s="225" t="str">
        <f>B8</f>
        <v>ENSI_KRSKO-2</v>
      </c>
      <c r="D28" s="227" t="str">
        <f>"Nuclear Power Plant: "&amp;Z8</f>
        <v>Nuclear Power Plant: KRSKO-2</v>
      </c>
      <c r="E28" s="228" t="s">
        <v>1612</v>
      </c>
      <c r="F28" s="228" t="s">
        <v>1556</v>
      </c>
      <c r="G28" s="228" t="s">
        <v>7378</v>
      </c>
      <c r="H28" s="228"/>
      <c r="I28" s="228"/>
      <c r="J28" s="17"/>
      <c r="Q28" s="60"/>
    </row>
    <row r="29" spans="2:17" s="18" customFormat="1">
      <c r="I29" s="84"/>
      <c r="J29" s="17"/>
      <c r="Q29" s="60"/>
    </row>
    <row r="30" spans="2:17" s="18" customFormat="1">
      <c r="I30" s="84"/>
      <c r="J30" s="17"/>
      <c r="Q30" s="60"/>
    </row>
    <row r="31" spans="2:17" s="18" customFormat="1">
      <c r="I31" s="84"/>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18" customFormat="1">
      <c r="J445" s="17"/>
      <c r="Q445" s="60"/>
    </row>
    <row r="446" spans="2:29" s="18" customFormat="1">
      <c r="J446" s="17"/>
      <c r="Q446" s="60"/>
    </row>
    <row r="447" spans="2:29" s="18" customFormat="1">
      <c r="J447" s="17"/>
      <c r="Q447" s="60"/>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row r="452" spans="2:29" s="70" customFormat="1">
      <c r="B452" s="18"/>
      <c r="C452" s="18"/>
      <c r="D452" s="18"/>
      <c r="E452" s="18"/>
      <c r="J452" s="71"/>
      <c r="Q452" s="144"/>
      <c r="W452" s="18"/>
      <c r="X452" s="18"/>
      <c r="Y452" s="18"/>
      <c r="Z452" s="18"/>
      <c r="AC452" s="18"/>
    </row>
    <row r="453" spans="2:29" s="70" customFormat="1">
      <c r="B453" s="18"/>
      <c r="C453" s="18"/>
      <c r="D453" s="18"/>
      <c r="E453" s="18"/>
      <c r="J453" s="71"/>
      <c r="Q453" s="144"/>
      <c r="W453" s="18"/>
      <c r="X453" s="18"/>
      <c r="Y453" s="18"/>
      <c r="Z453" s="18"/>
      <c r="AC453" s="18"/>
    </row>
    <row r="454" spans="2:29" s="70" customFormat="1">
      <c r="B454" s="18"/>
      <c r="C454" s="18"/>
      <c r="D454" s="18"/>
      <c r="E454" s="18"/>
      <c r="J454" s="71"/>
      <c r="Q454" s="144"/>
      <c r="W454" s="18"/>
      <c r="X454" s="18"/>
      <c r="Y454" s="18"/>
      <c r="Z454" s="18"/>
      <c r="AC454" s="18"/>
    </row>
    <row r="455" spans="2:29" s="70" customFormat="1">
      <c r="B455" s="18"/>
      <c r="C455" s="18"/>
      <c r="D455" s="18"/>
      <c r="E455" s="18"/>
      <c r="J455" s="71"/>
      <c r="Q455" s="144"/>
      <c r="W455" s="18"/>
      <c r="X455" s="18"/>
      <c r="Y455" s="18"/>
      <c r="Z455" s="18"/>
      <c r="AC455" s="18"/>
    </row>
  </sheetData>
  <phoneticPr fontId="0" type="noConversion"/>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theme="0"/>
  </sheetPr>
  <dimension ref="B1:AK450"/>
  <sheetViews>
    <sheetView zoomScale="85" zoomScaleNormal="85" zoomScalePageLayoutView="125" workbookViewId="0">
      <selection activeCell="S12" sqref="S12"/>
    </sheetView>
  </sheetViews>
  <sheetFormatPr defaultColWidth="8.85546875" defaultRowHeight="12.75"/>
  <cols>
    <col min="1" max="1" width="3" style="19" customWidth="1"/>
    <col min="2" max="2" width="28.7109375" style="18" customWidth="1"/>
    <col min="3" max="3" width="16.42578125" style="18" customWidth="1"/>
    <col min="4" max="4" width="29.140625" style="18" bestFit="1" customWidth="1"/>
    <col min="5" max="5" width="1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1580</v>
      </c>
      <c r="C1" s="78"/>
      <c r="D1" s="78"/>
      <c r="E1" s="79" t="s">
        <v>1579</v>
      </c>
      <c r="F1" s="68" t="s">
        <v>7358</v>
      </c>
      <c r="G1" s="6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7304</v>
      </c>
      <c r="C7" s="56" t="s">
        <v>1561</v>
      </c>
      <c r="D7" s="56" t="s">
        <v>1562</v>
      </c>
      <c r="E7" s="56">
        <f>YEAR(AB7)</f>
        <v>1974</v>
      </c>
      <c r="F7" s="108">
        <f>'BE-2'!$AU$17/1000</f>
        <v>0.433</v>
      </c>
      <c r="G7" s="108">
        <f>'BE-2'!$AU$16/1000</f>
        <v>0.45400000000000001</v>
      </c>
      <c r="H7" s="198">
        <v>0.86199999999999999</v>
      </c>
      <c r="I7" s="109">
        <f>'BE-2'!$AU$20/100</f>
        <v>0.89180000000000004</v>
      </c>
      <c r="J7" s="109">
        <f>'BE-2'!$AU$21/100</f>
        <v>0.89670000000000005</v>
      </c>
      <c r="K7" s="108">
        <f t="shared" ref="K7:K13" si="0">F7</f>
        <v>0.433</v>
      </c>
      <c r="L7" s="95"/>
      <c r="M7" s="111"/>
      <c r="N7" s="111"/>
      <c r="O7" s="92"/>
      <c r="P7" s="92"/>
      <c r="Q7" s="92"/>
      <c r="R7" s="128">
        <f t="shared" ref="R7:R13" si="1">YEAR(AC7)</f>
        <v>2014</v>
      </c>
      <c r="S7" s="127">
        <f>R7-E7</f>
        <v>40</v>
      </c>
      <c r="T7" s="112">
        <f>AK7</f>
        <v>1.3464164759725399</v>
      </c>
      <c r="U7" s="95">
        <v>1</v>
      </c>
      <c r="V7" s="113">
        <v>31.536000000000001</v>
      </c>
      <c r="X7" s="92" t="str">
        <f>'BE-2'!$AU$11</f>
        <v xml:space="preserve">PWR  </v>
      </c>
      <c r="Y7" s="92" t="str">
        <f>'BE-2'!$AU$12</f>
        <v>WE (2 loops)</v>
      </c>
      <c r="Z7" s="92" t="str">
        <f>'BE-2'!$AU$7</f>
        <v>DOEL-1</v>
      </c>
      <c r="AA7" s="95">
        <v>40</v>
      </c>
      <c r="AB7" s="114">
        <f>'BE-2'!$AU$18</f>
        <v>27269</v>
      </c>
      <c r="AC7" s="115">
        <f t="shared" ref="AC7:AC13" si="2">DATE(YEAR(AB7)+AA7,MONTH(AB7),DAY(AB7))</f>
        <v>41879</v>
      </c>
      <c r="AD7" s="92" t="str">
        <f>'BE-2'!$AU$19</f>
        <v>45000</v>
      </c>
      <c r="AE7" s="110">
        <f t="shared" ref="AE7:AE13" si="3">G7*J7*8760</f>
        <v>3566.2117680000001</v>
      </c>
      <c r="AF7" s="109">
        <f>'BE-2'!$AU$16/'BE-2'!$AU$13</f>
        <v>0.34630053394355453</v>
      </c>
      <c r="AG7" s="110">
        <f t="shared" ref="AG7:AG13" si="4">AE7/AF7</f>
        <v>10298.025612000001</v>
      </c>
      <c r="AH7" s="116">
        <f t="shared" ref="AH7:AH13" si="5">AG7/(AD7*24)*1000</f>
        <v>9.5352089000000007</v>
      </c>
      <c r="AI7" s="110">
        <f>AH7*Assumptions!$H$7</f>
        <v>76.281671200000005</v>
      </c>
      <c r="AJ7" s="110">
        <f t="shared" ref="AJ7:AJ13" si="6">AE7/AH7</f>
        <v>374.00457665903889</v>
      </c>
      <c r="AK7" s="109">
        <f t="shared" ref="AK7:AK13" si="7">AJ7*0.0036</f>
        <v>1.3464164759725399</v>
      </c>
    </row>
    <row r="8" spans="2:37" s="18" customFormat="1">
      <c r="B8" s="75" t="s">
        <v>7305</v>
      </c>
      <c r="C8" s="56" t="s">
        <v>1561</v>
      </c>
      <c r="D8" s="56" t="s">
        <v>1562</v>
      </c>
      <c r="E8" s="56">
        <f t="shared" ref="E8:E13" si="8">YEAR(AB8)</f>
        <v>1975</v>
      </c>
      <c r="F8" s="108">
        <f>'BE-4'!$AU$17/1000</f>
        <v>0.433</v>
      </c>
      <c r="G8" s="108">
        <f>'BE-4'!$AU$16/1000</f>
        <v>0.45400000000000001</v>
      </c>
      <c r="H8" s="198">
        <v>0.83099999999999996</v>
      </c>
      <c r="I8" s="109">
        <f>'BE-4'!$AU$20/100</f>
        <v>0.9244</v>
      </c>
      <c r="J8" s="109">
        <f>'BE-4'!$AU$21/100</f>
        <v>0.89950000000000008</v>
      </c>
      <c r="K8" s="108">
        <f t="shared" si="0"/>
        <v>0.433</v>
      </c>
      <c r="L8" s="95"/>
      <c r="M8" s="111"/>
      <c r="N8" s="111"/>
      <c r="O8" s="92"/>
      <c r="P8" s="92"/>
      <c r="Q8" s="92"/>
      <c r="R8" s="128">
        <f t="shared" si="1"/>
        <v>2015</v>
      </c>
      <c r="S8" s="110">
        <f t="shared" ref="S8:S13" si="9">R8-E8</f>
        <v>40</v>
      </c>
      <c r="T8" s="112">
        <f t="shared" ref="T8:T13" si="10">AK8</f>
        <v>1.3464164759725399</v>
      </c>
      <c r="U8" s="95">
        <v>1</v>
      </c>
      <c r="V8" s="113">
        <v>31.536000000000001</v>
      </c>
      <c r="X8" s="92" t="str">
        <f>'BE-4'!$AU$11</f>
        <v xml:space="preserve">PWR  </v>
      </c>
      <c r="Y8" s="92" t="str">
        <f>'BE-4'!$AU$12</f>
        <v>WE (2 loops)</v>
      </c>
      <c r="Z8" s="92" t="str">
        <f>'BE-4'!$AU$7</f>
        <v>DOEL-2</v>
      </c>
      <c r="AA8" s="95">
        <v>40</v>
      </c>
      <c r="AB8" s="114">
        <f>'BE-4'!$AU$18</f>
        <v>27627</v>
      </c>
      <c r="AC8" s="115">
        <f t="shared" si="2"/>
        <v>42237</v>
      </c>
      <c r="AD8" s="92" t="str">
        <f>'BE-4'!$AU$19</f>
        <v>45000</v>
      </c>
      <c r="AE8" s="110">
        <f t="shared" si="3"/>
        <v>3577.3474800000004</v>
      </c>
      <c r="AF8" s="109">
        <f>'BE-4'!$AU$16/'BE-4'!$AU$13</f>
        <v>0.34630053394355453</v>
      </c>
      <c r="AG8" s="110">
        <f t="shared" si="4"/>
        <v>10330.181820000002</v>
      </c>
      <c r="AH8" s="116">
        <f t="shared" si="5"/>
        <v>9.5649831666666678</v>
      </c>
      <c r="AI8" s="110">
        <f>AH8*Assumptions!$H$7</f>
        <v>76.519865333333343</v>
      </c>
      <c r="AJ8" s="110">
        <f t="shared" si="6"/>
        <v>374.00457665903889</v>
      </c>
      <c r="AK8" s="109">
        <f t="shared" si="7"/>
        <v>1.3464164759725399</v>
      </c>
    </row>
    <row r="9" spans="2:37" s="18" customFormat="1">
      <c r="B9" s="75" t="s">
        <v>7306</v>
      </c>
      <c r="C9" s="56" t="s">
        <v>1561</v>
      </c>
      <c r="D9" s="56" t="s">
        <v>1562</v>
      </c>
      <c r="E9" s="56">
        <f t="shared" si="8"/>
        <v>1982</v>
      </c>
      <c r="F9" s="108">
        <f>'BE-5'!$AU$17/1000</f>
        <v>1.006</v>
      </c>
      <c r="G9" s="108">
        <f>'BE-5'!$AU$16/1000</f>
        <v>1.056</v>
      </c>
      <c r="H9" s="198">
        <v>0.87599999999999989</v>
      </c>
      <c r="I9" s="109">
        <f>'BE-5'!$AU$20/100</f>
        <v>0.90359999999999996</v>
      </c>
      <c r="J9" s="109">
        <f>'BE-5'!$AU$21/100</f>
        <v>0.88709999999999989</v>
      </c>
      <c r="K9" s="108">
        <f t="shared" si="0"/>
        <v>1.006</v>
      </c>
      <c r="L9" s="95"/>
      <c r="M9" s="111"/>
      <c r="N9" s="111"/>
      <c r="O9" s="92"/>
      <c r="P9" s="92"/>
      <c r="Q9" s="92"/>
      <c r="R9" s="128">
        <f t="shared" si="1"/>
        <v>2022</v>
      </c>
      <c r="S9" s="110">
        <f t="shared" si="9"/>
        <v>40</v>
      </c>
      <c r="T9" s="112">
        <f t="shared" si="10"/>
        <v>1.463877406679764</v>
      </c>
      <c r="U9" s="95">
        <v>1</v>
      </c>
      <c r="V9" s="113">
        <v>31.536000000000001</v>
      </c>
      <c r="X9" s="92" t="str">
        <f>'BE-5'!$AU$11</f>
        <v xml:space="preserve">PWR  </v>
      </c>
      <c r="Y9" s="92" t="str">
        <f>'BE-5'!$AU$12</f>
        <v>WE 3-loops</v>
      </c>
      <c r="Z9" s="92" t="str">
        <f>'BE-5'!$AU$7</f>
        <v>DOEL-3</v>
      </c>
      <c r="AA9" s="95">
        <v>40</v>
      </c>
      <c r="AB9" s="114">
        <f>'BE-5'!$AU$18</f>
        <v>30125</v>
      </c>
      <c r="AC9" s="115">
        <f t="shared" si="2"/>
        <v>44735</v>
      </c>
      <c r="AD9" s="92" t="str">
        <f>'BE-5'!$AU$19</f>
        <v>49000</v>
      </c>
      <c r="AE9" s="110">
        <f t="shared" si="3"/>
        <v>8206.1717759999992</v>
      </c>
      <c r="AF9" s="109">
        <f>'BE-5'!$AU$16/'BE-5'!$AU$13</f>
        <v>0.34577603143418467</v>
      </c>
      <c r="AG9" s="110">
        <f t="shared" si="4"/>
        <v>23732.621783999999</v>
      </c>
      <c r="AH9" s="116">
        <f t="shared" si="5"/>
        <v>20.180800836734694</v>
      </c>
      <c r="AI9" s="110">
        <f>AH9*Assumptions!$H$7</f>
        <v>161.44640669387755</v>
      </c>
      <c r="AJ9" s="110">
        <f t="shared" si="6"/>
        <v>406.63261296660113</v>
      </c>
      <c r="AK9" s="109">
        <f t="shared" si="7"/>
        <v>1.463877406679764</v>
      </c>
    </row>
    <row r="10" spans="2:37" s="18" customFormat="1">
      <c r="B10" s="75" t="s">
        <v>7307</v>
      </c>
      <c r="C10" s="56" t="s">
        <v>1561</v>
      </c>
      <c r="D10" s="56" t="s">
        <v>1562</v>
      </c>
      <c r="E10" s="56">
        <f t="shared" si="8"/>
        <v>1985</v>
      </c>
      <c r="F10" s="108">
        <f>'BE-7'!$AU$17/1000</f>
        <v>1.0389999999999999</v>
      </c>
      <c r="G10" s="108">
        <f>'BE-7'!$AU$16/1000</f>
        <v>1.0900000000000001</v>
      </c>
      <c r="H10" s="198">
        <v>0.84699999999999998</v>
      </c>
      <c r="I10" s="109">
        <f>'BE-7'!$AU$20/100</f>
        <v>0.8569</v>
      </c>
      <c r="J10" s="109">
        <f>'BE-7'!$AU$21/100</f>
        <v>0.81269999999999998</v>
      </c>
      <c r="K10" s="108">
        <f t="shared" si="0"/>
        <v>1.0389999999999999</v>
      </c>
      <c r="L10" s="95"/>
      <c r="M10" s="111"/>
      <c r="N10" s="111"/>
      <c r="O10" s="92"/>
      <c r="P10" s="92"/>
      <c r="Q10" s="92"/>
      <c r="R10" s="128">
        <f t="shared" si="1"/>
        <v>2025</v>
      </c>
      <c r="S10" s="110">
        <f t="shared" si="9"/>
        <v>40</v>
      </c>
      <c r="T10" s="112">
        <f t="shared" si="10"/>
        <v>1.4183132530120481</v>
      </c>
      <c r="U10" s="95">
        <v>1</v>
      </c>
      <c r="V10" s="113">
        <v>31.536000000000001</v>
      </c>
      <c r="X10" s="92" t="str">
        <f>'BE-7'!$AU$11</f>
        <v xml:space="preserve">PWR  </v>
      </c>
      <c r="Y10" s="92" t="str">
        <f>'BE-7'!$AU$12</f>
        <v>WE 3-loops</v>
      </c>
      <c r="Z10" s="92" t="str">
        <f>'BE-7'!$AU$7</f>
        <v>DOEL-4</v>
      </c>
      <c r="AA10" s="95">
        <v>40</v>
      </c>
      <c r="AB10" s="114">
        <f>'BE-7'!$AU$18</f>
        <v>31145</v>
      </c>
      <c r="AC10" s="115">
        <f t="shared" si="2"/>
        <v>45755</v>
      </c>
      <c r="AD10" s="92" t="str">
        <f>'BE-7'!$AU$19</f>
        <v>45000</v>
      </c>
      <c r="AE10" s="110">
        <f t="shared" si="3"/>
        <v>7759.9846800000005</v>
      </c>
      <c r="AF10" s="109">
        <f>'BE-7'!$AU$16/'BE-7'!$AU$13</f>
        <v>0.3647925033467202</v>
      </c>
      <c r="AG10" s="110">
        <f t="shared" si="4"/>
        <v>21272.324976000004</v>
      </c>
      <c r="AH10" s="116">
        <f t="shared" si="5"/>
        <v>19.696597200000003</v>
      </c>
      <c r="AI10" s="110">
        <f>AH10*Assumptions!$H$7</f>
        <v>157.57277760000002</v>
      </c>
      <c r="AJ10" s="110">
        <f t="shared" si="6"/>
        <v>393.97590361445782</v>
      </c>
      <c r="AK10" s="109">
        <f t="shared" si="7"/>
        <v>1.4183132530120481</v>
      </c>
    </row>
    <row r="11" spans="2:37" s="18" customFormat="1">
      <c r="B11" s="75" t="s">
        <v>7308</v>
      </c>
      <c r="C11" s="56" t="s">
        <v>1561</v>
      </c>
      <c r="D11" s="56" t="s">
        <v>1562</v>
      </c>
      <c r="E11" s="56">
        <f t="shared" si="8"/>
        <v>1975</v>
      </c>
      <c r="F11" s="108">
        <f>'BE-3'!$AU$17/1000</f>
        <v>0.96199999999999997</v>
      </c>
      <c r="G11" s="108">
        <f>'BE-3'!$AU$16/1000</f>
        <v>1.0089999999999999</v>
      </c>
      <c r="H11" s="198">
        <v>0.86299999999999999</v>
      </c>
      <c r="I11" s="109">
        <f>'BE-3'!$AU$20/100</f>
        <v>0.80819999999999992</v>
      </c>
      <c r="J11" s="109">
        <f>'BE-3'!$AU$21/100</f>
        <v>0.86819999999999997</v>
      </c>
      <c r="K11" s="108">
        <f t="shared" si="0"/>
        <v>0.96199999999999997</v>
      </c>
      <c r="L11" s="95"/>
      <c r="M11" s="111"/>
      <c r="N11" s="111"/>
      <c r="O11" s="92"/>
      <c r="P11" s="92"/>
      <c r="Q11" s="92"/>
      <c r="R11" s="128">
        <f t="shared" si="1"/>
        <v>2015</v>
      </c>
      <c r="S11" s="110">
        <f t="shared" si="9"/>
        <v>40</v>
      </c>
      <c r="T11" s="112">
        <f t="shared" si="10"/>
        <v>1.3654688478941872</v>
      </c>
      <c r="U11" s="95">
        <v>1</v>
      </c>
      <c r="V11" s="113">
        <v>31.536000000000001</v>
      </c>
      <c r="X11" s="92" t="str">
        <f>'BE-3'!$AU$11</f>
        <v xml:space="preserve">PWR  </v>
      </c>
      <c r="Y11" s="92" t="str">
        <f>'BE-3'!$AU$12</f>
        <v>Framatome 3 loops reactor</v>
      </c>
      <c r="Z11" s="92" t="str">
        <f>'BE-3'!$AU$7</f>
        <v>TIHANGE-1</v>
      </c>
      <c r="AA11" s="95">
        <v>40</v>
      </c>
      <c r="AB11" s="114">
        <f>'BE-3'!$AU$18</f>
        <v>27460</v>
      </c>
      <c r="AC11" s="115">
        <f t="shared" si="2"/>
        <v>42070</v>
      </c>
      <c r="AD11" s="92" t="str">
        <f>'BE-3'!$AU$19</f>
        <v>45000</v>
      </c>
      <c r="AE11" s="110">
        <f t="shared" si="3"/>
        <v>7673.8808879999988</v>
      </c>
      <c r="AF11" s="109">
        <f>'BE-3'!$AU$16/'BE-3'!$AU$13</f>
        <v>0.35120083536373131</v>
      </c>
      <c r="AG11" s="110">
        <f t="shared" si="4"/>
        <v>21850.406135999994</v>
      </c>
      <c r="AH11" s="116">
        <f t="shared" si="5"/>
        <v>20.231857533333329</v>
      </c>
      <c r="AI11" s="110">
        <f>AH11*Assumptions!$H$7</f>
        <v>161.85486026666663</v>
      </c>
      <c r="AJ11" s="110">
        <f t="shared" si="6"/>
        <v>379.2969021928298</v>
      </c>
      <c r="AK11" s="109">
        <f t="shared" si="7"/>
        <v>1.3654688478941872</v>
      </c>
    </row>
    <row r="12" spans="2:37" s="18" customFormat="1">
      <c r="B12" s="75" t="s">
        <v>7309</v>
      </c>
      <c r="C12" s="56" t="s">
        <v>1561</v>
      </c>
      <c r="D12" s="56" t="s">
        <v>1562</v>
      </c>
      <c r="E12" s="56">
        <f t="shared" si="8"/>
        <v>1982</v>
      </c>
      <c r="F12" s="108">
        <f>'BE-6'!$AU$17/1000</f>
        <v>1.008</v>
      </c>
      <c r="G12" s="108">
        <f>'BE-6'!$AU$16/1000</f>
        <v>1.0549999999999999</v>
      </c>
      <c r="H12" s="198">
        <v>0.88700000000000001</v>
      </c>
      <c r="I12" s="109">
        <f>'BE-6'!$AU$20/100</f>
        <v>0.89349999999999996</v>
      </c>
      <c r="J12" s="109">
        <f>'BE-6'!$AU$21/100</f>
        <v>0.99930000000000008</v>
      </c>
      <c r="K12" s="108">
        <f t="shared" si="0"/>
        <v>1.008</v>
      </c>
      <c r="L12" s="95"/>
      <c r="M12" s="111"/>
      <c r="N12" s="111"/>
      <c r="O12" s="92"/>
      <c r="P12" s="92"/>
      <c r="Q12" s="92"/>
      <c r="R12" s="128">
        <f t="shared" si="1"/>
        <v>2022</v>
      </c>
      <c r="S12" s="110">
        <f t="shared" si="9"/>
        <v>40</v>
      </c>
      <c r="T12" s="112">
        <f t="shared" si="10"/>
        <v>1.3387206266318536</v>
      </c>
      <c r="U12" s="95">
        <v>1</v>
      </c>
      <c r="V12" s="113">
        <v>31.536000000000001</v>
      </c>
      <c r="X12" s="92" t="str">
        <f>'BE-6'!$AU$11</f>
        <v xml:space="preserve">PWR  </v>
      </c>
      <c r="Y12" s="92" t="str">
        <f>'BE-6'!$AU$12</f>
        <v>WE 3-loops</v>
      </c>
      <c r="Z12" s="92" t="str">
        <f>'BE-6'!$AU$7</f>
        <v>TIHANGE-2</v>
      </c>
      <c r="AA12" s="95">
        <v>40</v>
      </c>
      <c r="AB12" s="114">
        <f>'BE-6'!$AU$18</f>
        <v>30237</v>
      </c>
      <c r="AC12" s="115">
        <f t="shared" si="2"/>
        <v>44847</v>
      </c>
      <c r="AD12" s="92" t="str">
        <f>'BE-6'!$AU$19</f>
        <v>45000</v>
      </c>
      <c r="AE12" s="110">
        <f t="shared" si="3"/>
        <v>9235.3307399999994</v>
      </c>
      <c r="AF12" s="109">
        <f>'BE-6'!$AU$16/'BE-6'!$AU$13</f>
        <v>0.34432114882506526</v>
      </c>
      <c r="AG12" s="110">
        <f t="shared" si="4"/>
        <v>26821.851552</v>
      </c>
      <c r="AH12" s="116">
        <f t="shared" si="5"/>
        <v>24.835047733333333</v>
      </c>
      <c r="AI12" s="110">
        <f>AH12*Assumptions!$H$7</f>
        <v>198.68038186666666</v>
      </c>
      <c r="AJ12" s="110">
        <f t="shared" si="6"/>
        <v>371.86684073107045</v>
      </c>
      <c r="AK12" s="109">
        <f t="shared" si="7"/>
        <v>1.3387206266318536</v>
      </c>
    </row>
    <row r="13" spans="2:37" s="18" customFormat="1">
      <c r="B13" s="75" t="s">
        <v>7310</v>
      </c>
      <c r="C13" s="56" t="s">
        <v>1561</v>
      </c>
      <c r="D13" s="56" t="s">
        <v>1562</v>
      </c>
      <c r="E13" s="56">
        <f t="shared" si="8"/>
        <v>1985</v>
      </c>
      <c r="F13" s="108">
        <f>'BE-8'!$AU$17/1000</f>
        <v>1.046</v>
      </c>
      <c r="G13" s="108">
        <f>'BE-8'!$AU$16/1000</f>
        <v>1.0940000000000001</v>
      </c>
      <c r="H13" s="198">
        <v>0.89400000000000002</v>
      </c>
      <c r="I13" s="109">
        <f>'BE-8'!$AU$20/100</f>
        <v>0.97930000000000006</v>
      </c>
      <c r="J13" s="109">
        <f>'BE-8'!$AU$21/100</f>
        <v>0.82019999999999993</v>
      </c>
      <c r="K13" s="108">
        <f t="shared" si="0"/>
        <v>1.046</v>
      </c>
      <c r="L13" s="95"/>
      <c r="M13" s="111"/>
      <c r="N13" s="111"/>
      <c r="O13" s="92"/>
      <c r="P13" s="92"/>
      <c r="Q13" s="92"/>
      <c r="R13" s="128">
        <f t="shared" si="1"/>
        <v>2025</v>
      </c>
      <c r="S13" s="110">
        <f t="shared" si="9"/>
        <v>40</v>
      </c>
      <c r="T13" s="112">
        <f t="shared" si="10"/>
        <v>1.417824</v>
      </c>
      <c r="U13" s="95">
        <v>1</v>
      </c>
      <c r="V13" s="113">
        <v>31.536000000000001</v>
      </c>
      <c r="X13" s="92" t="str">
        <f>'BE-8'!$AU$11</f>
        <v xml:space="preserve">PWR  </v>
      </c>
      <c r="Y13" s="92" t="str">
        <f>'BE-8'!$AU$12</f>
        <v>WE 3-loops</v>
      </c>
      <c r="Z13" s="92" t="str">
        <f>'BE-8'!$AU$7</f>
        <v>TIHANGE-3</v>
      </c>
      <c r="AA13" s="95">
        <v>40</v>
      </c>
      <c r="AB13" s="114">
        <f>'BE-8'!$AU$18</f>
        <v>31213</v>
      </c>
      <c r="AC13" s="115">
        <f t="shared" si="2"/>
        <v>45823</v>
      </c>
      <c r="AD13" s="92" t="str">
        <f>'BE-8'!$AU$19</f>
        <v>45000</v>
      </c>
      <c r="AE13" s="110">
        <f t="shared" si="3"/>
        <v>7860.3374879999992</v>
      </c>
      <c r="AF13" s="109">
        <f>'BE-8'!$AU$16/'BE-8'!$AU$13</f>
        <v>0.36466666666666664</v>
      </c>
      <c r="AG13" s="110">
        <f t="shared" si="4"/>
        <v>21554.856</v>
      </c>
      <c r="AH13" s="116">
        <f t="shared" si="5"/>
        <v>19.958199999999998</v>
      </c>
      <c r="AI13" s="110">
        <f>AH13*Assumptions!$H$7</f>
        <v>159.66559999999998</v>
      </c>
      <c r="AJ13" s="110">
        <f t="shared" si="6"/>
        <v>393.84</v>
      </c>
      <c r="AK13" s="109">
        <f t="shared" si="7"/>
        <v>1.417824</v>
      </c>
    </row>
    <row r="14" spans="2:37" s="18" customFormat="1">
      <c r="J14" s="17"/>
      <c r="Q14" s="60"/>
    </row>
    <row r="15" spans="2:37" s="18" customFormat="1">
      <c r="J15" s="17"/>
      <c r="Q15" s="60"/>
    </row>
    <row r="16" spans="2:37" s="18" customFormat="1">
      <c r="J16" s="17"/>
      <c r="Q16" s="60"/>
    </row>
    <row r="17" spans="2:17" s="18" customFormat="1">
      <c r="J17" s="17"/>
      <c r="Q17" s="60"/>
    </row>
    <row r="18" spans="2:17" s="18" customFormat="1">
      <c r="J18" s="17"/>
      <c r="Q18" s="60"/>
    </row>
    <row r="19" spans="2:17" s="18" customFormat="1">
      <c r="J19" s="17"/>
      <c r="Q19" s="60"/>
    </row>
    <row r="20" spans="2:17" s="18" customFormat="1">
      <c r="J20" s="17"/>
      <c r="Q20" s="60"/>
    </row>
    <row r="21" spans="2:17" s="18" customFormat="1">
      <c r="E21" s="18" t="s">
        <v>7128</v>
      </c>
      <c r="F21" s="160">
        <f>SUM(F7:F13)</f>
        <v>5.9269999999999996</v>
      </c>
      <c r="G21" s="18" t="s">
        <v>7215</v>
      </c>
      <c r="H21" s="137">
        <f>F21/H22</f>
        <v>0.53881818181818175</v>
      </c>
      <c r="J21" s="17"/>
      <c r="Q21" s="60"/>
    </row>
    <row r="22" spans="2:17" s="18" customFormat="1">
      <c r="E22" s="18" t="s">
        <v>7127</v>
      </c>
      <c r="G22" s="18" t="s">
        <v>7216</v>
      </c>
      <c r="H22" s="18">
        <f>MAX(E7:E13)-MIN(E7:E13)</f>
        <v>11</v>
      </c>
      <c r="J22" s="17"/>
      <c r="Q22" s="60"/>
    </row>
    <row r="23" spans="2:17" s="18" customFormat="1">
      <c r="J23" s="17"/>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ENBE_DOEL-1_00</v>
      </c>
      <c r="D27" s="227" t="str">
        <f>"Nuclear Power Plant: "&amp;Z7</f>
        <v>Nuclear Power Plant: DOEL-1</v>
      </c>
      <c r="E27" s="228" t="s">
        <v>1612</v>
      </c>
      <c r="F27" s="228" t="s">
        <v>1556</v>
      </c>
      <c r="G27" s="228" t="s">
        <v>1613</v>
      </c>
      <c r="H27" s="228"/>
      <c r="I27" s="228"/>
      <c r="J27" s="17"/>
      <c r="Q27" s="60"/>
    </row>
    <row r="28" spans="2:17" s="18" customFormat="1">
      <c r="B28" s="225"/>
      <c r="C28" s="225" t="str">
        <f t="shared" ref="C28:C33" si="11">B8</f>
        <v>ENBE_DOEL-2_00</v>
      </c>
      <c r="D28" s="227" t="str">
        <f t="shared" ref="D28:D33" si="12">"Nuclear Power Plant: "&amp;Z8</f>
        <v>Nuclear Power Plant: DOEL-2</v>
      </c>
      <c r="E28" s="228" t="s">
        <v>1612</v>
      </c>
      <c r="F28" s="228" t="s">
        <v>1556</v>
      </c>
      <c r="G28" s="228" t="s">
        <v>1613</v>
      </c>
      <c r="H28" s="228"/>
      <c r="I28" s="228"/>
      <c r="J28" s="17"/>
      <c r="Q28" s="60"/>
    </row>
    <row r="29" spans="2:17" s="18" customFormat="1">
      <c r="B29" s="225"/>
      <c r="C29" s="225" t="str">
        <f t="shared" si="11"/>
        <v>ENBE_DOEL-3_00</v>
      </c>
      <c r="D29" s="227" t="str">
        <f t="shared" si="12"/>
        <v>Nuclear Power Plant: DOEL-3</v>
      </c>
      <c r="E29" s="228" t="s">
        <v>1612</v>
      </c>
      <c r="F29" s="228" t="s">
        <v>1556</v>
      </c>
      <c r="G29" s="228" t="s">
        <v>1613</v>
      </c>
      <c r="H29" s="228"/>
      <c r="I29" s="228"/>
      <c r="J29" s="17"/>
      <c r="Q29" s="60"/>
    </row>
    <row r="30" spans="2:17" s="18" customFormat="1">
      <c r="B30" s="225"/>
      <c r="C30" s="225" t="str">
        <f t="shared" si="11"/>
        <v>ENBE_DOEL-4_00</v>
      </c>
      <c r="D30" s="227" t="str">
        <f t="shared" si="12"/>
        <v>Nuclear Power Plant: DOEL-4</v>
      </c>
      <c r="E30" s="228" t="s">
        <v>1612</v>
      </c>
      <c r="F30" s="228" t="s">
        <v>1556</v>
      </c>
      <c r="G30" s="228" t="s">
        <v>1613</v>
      </c>
      <c r="H30" s="228"/>
      <c r="I30" s="228"/>
      <c r="J30" s="17"/>
      <c r="Q30" s="60"/>
    </row>
    <row r="31" spans="2:17" s="18" customFormat="1">
      <c r="B31" s="225"/>
      <c r="C31" s="225" t="str">
        <f t="shared" si="11"/>
        <v>ENBE_TIHANGE-1_00</v>
      </c>
      <c r="D31" s="227" t="str">
        <f t="shared" si="12"/>
        <v>Nuclear Power Plant: TIHANGE-1</v>
      </c>
      <c r="E31" s="228" t="s">
        <v>1612</v>
      </c>
      <c r="F31" s="228" t="s">
        <v>1556</v>
      </c>
      <c r="G31" s="228" t="s">
        <v>1613</v>
      </c>
      <c r="H31" s="228"/>
      <c r="I31" s="228"/>
      <c r="J31" s="17"/>
      <c r="Q31" s="60"/>
    </row>
    <row r="32" spans="2:17" s="18" customFormat="1">
      <c r="B32" s="225"/>
      <c r="C32" s="225" t="str">
        <f t="shared" si="11"/>
        <v>ENBE_TIHANGE-2_00</v>
      </c>
      <c r="D32" s="227" t="str">
        <f t="shared" si="12"/>
        <v>Nuclear Power Plant: TIHANGE-2</v>
      </c>
      <c r="E32" s="228" t="s">
        <v>1612</v>
      </c>
      <c r="F32" s="228" t="s">
        <v>1556</v>
      </c>
      <c r="G32" s="228" t="s">
        <v>1613</v>
      </c>
      <c r="H32" s="225"/>
      <c r="I32" s="225"/>
      <c r="J32" s="17"/>
      <c r="Q32" s="60"/>
    </row>
    <row r="33" spans="2:17" s="18" customFormat="1">
      <c r="B33" s="225"/>
      <c r="C33" s="225" t="str">
        <f t="shared" si="11"/>
        <v>ENBE_TIHANGE-3_00</v>
      </c>
      <c r="D33" s="227" t="str">
        <f t="shared" si="12"/>
        <v>Nuclear Power Plant: TIHANGE-3</v>
      </c>
      <c r="E33" s="228" t="s">
        <v>1612</v>
      </c>
      <c r="F33" s="228" t="s">
        <v>1556</v>
      </c>
      <c r="G33" s="228" t="s">
        <v>1613</v>
      </c>
      <c r="H33" s="225"/>
      <c r="I33" s="225"/>
      <c r="J33" s="17"/>
      <c r="Q33" s="60"/>
    </row>
    <row r="34" spans="2:17" s="18" customFormat="1">
      <c r="J34" s="17"/>
      <c r="Q34" s="60"/>
    </row>
    <row r="35" spans="2:17" s="18" customFormat="1">
      <c r="J35" s="17"/>
      <c r="Q35" s="60"/>
    </row>
    <row r="36" spans="2:17" s="18" customFormat="1">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sheetData>
  <phoneticPr fontId="0" type="noConversion"/>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theme="0"/>
  </sheetPr>
  <dimension ref="B1:AK450"/>
  <sheetViews>
    <sheetView zoomScale="85" zoomScaleNormal="85" zoomScalePageLayoutView="125" workbookViewId="0">
      <selection activeCell="G31" sqref="G31:G33"/>
    </sheetView>
  </sheetViews>
  <sheetFormatPr defaultColWidth="8.85546875" defaultRowHeight="12.75"/>
  <cols>
    <col min="1" max="1" width="3" style="19" customWidth="1"/>
    <col min="2" max="2" width="28.7109375" style="18" customWidth="1"/>
    <col min="3" max="3" width="16.85546875" style="18" customWidth="1"/>
    <col min="4" max="4" width="16" style="18" customWidth="1"/>
    <col min="5" max="5" width="15.2851562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1582</v>
      </c>
      <c r="C1" s="78"/>
      <c r="D1" s="78"/>
      <c r="E1" s="79" t="s">
        <v>1581</v>
      </c>
      <c r="F1" s="68" t="s">
        <v>7358</v>
      </c>
      <c r="G1" s="6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7224</v>
      </c>
      <c r="C7" s="56" t="s">
        <v>1561</v>
      </c>
      <c r="D7" s="56" t="s">
        <v>1562</v>
      </c>
      <c r="E7" s="56">
        <f t="shared" ref="E7:E13" si="0">YEAR(AB7)</f>
        <v>1977</v>
      </c>
      <c r="F7" s="197">
        <v>0.496</v>
      </c>
      <c r="G7" s="197">
        <v>0.52</v>
      </c>
      <c r="H7" s="198">
        <v>0.877</v>
      </c>
      <c r="I7" s="109">
        <f>'FI-1'!$AU$20/100</f>
        <v>0.95030000000000003</v>
      </c>
      <c r="J7" s="109">
        <f>'FI-1'!$AU$21/100</f>
        <v>0.92530000000000001</v>
      </c>
      <c r="K7" s="108">
        <f>F7</f>
        <v>0.496</v>
      </c>
      <c r="L7" s="95"/>
      <c r="M7" s="111"/>
      <c r="N7" s="111"/>
      <c r="O7" s="92"/>
      <c r="P7" s="92"/>
      <c r="Q7" s="92"/>
      <c r="R7" s="131">
        <f>YEAR(AC7)+20</f>
        <v>2027</v>
      </c>
      <c r="S7" s="127">
        <f t="shared" ref="S7:S13" si="1">R7-E7</f>
        <v>50</v>
      </c>
      <c r="T7" s="112">
        <f>AK7</f>
        <v>1.1750400000000001</v>
      </c>
      <c r="U7" s="95">
        <v>1</v>
      </c>
      <c r="V7" s="113">
        <v>31.536000000000001</v>
      </c>
      <c r="X7" s="92" t="str">
        <f>'FI-1'!$AU$11</f>
        <v xml:space="preserve">PWR  </v>
      </c>
      <c r="Y7" s="92" t="str">
        <f>'FI-1'!$AU$12</f>
        <v>VVER V-213</v>
      </c>
      <c r="Z7" s="92" t="str">
        <f>'FI-1'!$AU$7</f>
        <v>LOVIISA-1</v>
      </c>
      <c r="AA7" s="95">
        <v>30</v>
      </c>
      <c r="AB7" s="114">
        <f>'FI-1'!$AU$18</f>
        <v>28164</v>
      </c>
      <c r="AC7" s="115">
        <f t="shared" ref="AC7:AC12" si="2">DATE(YEAR(AB7)+AA7,MONTH(AB7),DAY(AB7))</f>
        <v>39121</v>
      </c>
      <c r="AD7" s="92" t="str">
        <f>'FI-1'!$AU$19</f>
        <v>40000</v>
      </c>
      <c r="AE7" s="110">
        <f>G7*J7*8760</f>
        <v>4214.9265599999999</v>
      </c>
      <c r="AF7" s="109">
        <f>'FI-1'!$AU$16/'FI-1'!$AU$13</f>
        <v>0.34</v>
      </c>
      <c r="AG7" s="110">
        <f>AE7/AF7</f>
        <v>12396.84282352941</v>
      </c>
      <c r="AH7" s="116">
        <f>AG7/(AD7*24)*1000</f>
        <v>12.913377941176469</v>
      </c>
      <c r="AI7" s="110">
        <f>AH7*Assumptions!$H$7</f>
        <v>103.30702352941175</v>
      </c>
      <c r="AJ7" s="110">
        <f>AE7/AH7</f>
        <v>326.40000000000003</v>
      </c>
      <c r="AK7" s="109">
        <f>AJ7*0.0036</f>
        <v>1.1750400000000001</v>
      </c>
    </row>
    <row r="8" spans="2:37" s="18" customFormat="1">
      <c r="B8" s="75" t="s">
        <v>7225</v>
      </c>
      <c r="C8" s="56" t="s">
        <v>1561</v>
      </c>
      <c r="D8" s="56" t="s">
        <v>1562</v>
      </c>
      <c r="E8" s="56">
        <f t="shared" si="0"/>
        <v>1980</v>
      </c>
      <c r="F8" s="197">
        <v>0.496</v>
      </c>
      <c r="G8" s="197">
        <v>0.52</v>
      </c>
      <c r="H8" s="198">
        <v>0.89800000000000002</v>
      </c>
      <c r="I8" s="109">
        <f>'FI-2'!$AU$20/100</f>
        <v>0.9534999999999999</v>
      </c>
      <c r="J8" s="109">
        <f>'FI-2'!$AU$21/100</f>
        <v>0.88639999999999997</v>
      </c>
      <c r="K8" s="108">
        <f>F8</f>
        <v>0.496</v>
      </c>
      <c r="L8" s="95"/>
      <c r="M8" s="111"/>
      <c r="N8" s="111"/>
      <c r="O8" s="92"/>
      <c r="P8" s="92"/>
      <c r="Q8" s="92"/>
      <c r="R8" s="131">
        <f>YEAR(AC8)+20</f>
        <v>2030</v>
      </c>
      <c r="S8" s="110">
        <f t="shared" si="1"/>
        <v>50</v>
      </c>
      <c r="T8" s="112">
        <f>AK8</f>
        <v>1.1750400000000001</v>
      </c>
      <c r="U8" s="95">
        <v>1</v>
      </c>
      <c r="V8" s="113">
        <v>31.536000000000001</v>
      </c>
      <c r="X8" s="92" t="str">
        <f>'FI-2'!$AU$11</f>
        <v xml:space="preserve">PWR  </v>
      </c>
      <c r="Y8" s="92" t="str">
        <f>'FI-2'!$AU$12</f>
        <v>VVER V-213</v>
      </c>
      <c r="Z8" s="92" t="str">
        <f>'FI-2'!$AU$7</f>
        <v>LOVIISA-2</v>
      </c>
      <c r="AA8" s="95">
        <v>30</v>
      </c>
      <c r="AB8" s="114">
        <f>'FI-2'!$AU$18</f>
        <v>29529</v>
      </c>
      <c r="AC8" s="115">
        <f t="shared" si="2"/>
        <v>40486</v>
      </c>
      <c r="AD8" s="92" t="str">
        <f>'FI-2'!$AU$19</f>
        <v>40000</v>
      </c>
      <c r="AE8" s="110">
        <f>G8*J8*8760</f>
        <v>4037.72928</v>
      </c>
      <c r="AF8" s="109">
        <f>'FI-2'!$AU$16/'FI-2'!$AU$13</f>
        <v>0.34</v>
      </c>
      <c r="AG8" s="110">
        <f>AE8/AF8</f>
        <v>11875.674352941176</v>
      </c>
      <c r="AH8" s="116">
        <f>AG8/(AD8*24)*1000</f>
        <v>12.370494117647057</v>
      </c>
      <c r="AI8" s="110">
        <f>AH8*Assumptions!$H$7</f>
        <v>98.963952941176458</v>
      </c>
      <c r="AJ8" s="110">
        <f>AE8/AH8</f>
        <v>326.40000000000003</v>
      </c>
      <c r="AK8" s="109">
        <f>AJ8*0.0036</f>
        <v>1.1750400000000001</v>
      </c>
    </row>
    <row r="9" spans="2:37" s="18" customFormat="1">
      <c r="B9" s="75" t="s">
        <v>7226</v>
      </c>
      <c r="C9" s="56" t="s">
        <v>1561</v>
      </c>
      <c r="D9" s="56" t="s">
        <v>1562</v>
      </c>
      <c r="E9" s="56">
        <f t="shared" si="0"/>
        <v>1978</v>
      </c>
      <c r="F9" s="108">
        <f>'FI-3'!$AU$17/1000</f>
        <v>0.88</v>
      </c>
      <c r="G9" s="108">
        <f>'FI-3'!$AU$16/1000</f>
        <v>0.91</v>
      </c>
      <c r="H9" s="198">
        <v>0.93</v>
      </c>
      <c r="I9" s="109">
        <f>'FI-3'!$AU$20/100</f>
        <v>0.98129999999999995</v>
      </c>
      <c r="J9" s="109">
        <f>'FI-3'!$AU$21/100</f>
        <v>0.9154000000000001</v>
      </c>
      <c r="K9" s="108">
        <f>F9</f>
        <v>0.88</v>
      </c>
      <c r="L9" s="95"/>
      <c r="M9" s="111"/>
      <c r="N9" s="111"/>
      <c r="O9" s="92"/>
      <c r="P9" s="92"/>
      <c r="Q9" s="92"/>
      <c r="R9" s="131">
        <f>YEAR(AC9)+30</f>
        <v>2038</v>
      </c>
      <c r="S9" s="110">
        <f t="shared" si="1"/>
        <v>60</v>
      </c>
      <c r="T9" s="112">
        <f>AK9</f>
        <v>1.1636351999999996</v>
      </c>
      <c r="U9" s="95">
        <v>1</v>
      </c>
      <c r="V9" s="113">
        <v>31.536000000000001</v>
      </c>
      <c r="X9" s="92" t="str">
        <f>'FI-3'!$AU$11</f>
        <v xml:space="preserve">BWR  </v>
      </c>
      <c r="Y9" s="92" t="str">
        <f>'FI-3'!$AU$12</f>
        <v>BWR 2500</v>
      </c>
      <c r="Z9" s="92" t="str">
        <f>'FI-3'!$AU$7</f>
        <v>OLKILUOTO-1</v>
      </c>
      <c r="AA9" s="95">
        <v>30</v>
      </c>
      <c r="AB9" s="114">
        <f>'FI-3'!$AU$18</f>
        <v>28735</v>
      </c>
      <c r="AC9" s="115">
        <f t="shared" si="2"/>
        <v>39693</v>
      </c>
      <c r="AD9" s="92" t="str">
        <f>'FI-3'!$AU$19</f>
        <v>37000</v>
      </c>
      <c r="AE9" s="110">
        <f>G9*J9*8760</f>
        <v>7297.2026400000013</v>
      </c>
      <c r="AF9" s="109">
        <f>'FI-3'!$AU$16/'FI-3'!$AU$13</f>
        <v>0.36399999999999999</v>
      </c>
      <c r="AG9" s="110">
        <f>AE9/AF9</f>
        <v>20047.260000000006</v>
      </c>
      <c r="AH9" s="116">
        <f>AG9/(AD9*24)*1000</f>
        <v>22.575743243243252</v>
      </c>
      <c r="AI9" s="110">
        <f>AH9*Assumptions!$H$7</f>
        <v>180.60594594594602</v>
      </c>
      <c r="AJ9" s="110">
        <f>AE9/AH9</f>
        <v>323.23199999999991</v>
      </c>
      <c r="AK9" s="109">
        <f>AJ9*0.0036</f>
        <v>1.1636351999999996</v>
      </c>
    </row>
    <row r="10" spans="2:37" s="18" customFormat="1">
      <c r="B10" s="75" t="s">
        <v>7227</v>
      </c>
      <c r="C10" s="56" t="s">
        <v>1561</v>
      </c>
      <c r="D10" s="56" t="s">
        <v>1562</v>
      </c>
      <c r="E10" s="56">
        <f t="shared" si="0"/>
        <v>1980</v>
      </c>
      <c r="F10" s="197">
        <v>0.88</v>
      </c>
      <c r="G10" s="197">
        <v>0.91</v>
      </c>
      <c r="H10" s="198">
        <v>0.94200000000000006</v>
      </c>
      <c r="I10" s="109">
        <f>'FI-4'!$AU$20/100</f>
        <v>0.93959999999999999</v>
      </c>
      <c r="J10" s="109">
        <f>'FI-4'!$AU$21/100</f>
        <v>0.95140000000000002</v>
      </c>
      <c r="K10" s="108">
        <f>F10</f>
        <v>0.88</v>
      </c>
      <c r="L10" s="95"/>
      <c r="M10" s="111"/>
      <c r="N10" s="111"/>
      <c r="O10" s="92"/>
      <c r="P10" s="92"/>
      <c r="Q10" s="92"/>
      <c r="R10" s="131">
        <f>YEAR(AC10)+30</f>
        <v>2040</v>
      </c>
      <c r="S10" s="110">
        <f t="shared" si="1"/>
        <v>60</v>
      </c>
      <c r="T10" s="112">
        <f>AK10</f>
        <v>1.1380608000000001</v>
      </c>
      <c r="U10" s="95">
        <v>1</v>
      </c>
      <c r="V10" s="113">
        <v>31.536000000000001</v>
      </c>
      <c r="X10" s="92" t="str">
        <f>'FI-4'!$AU$11</f>
        <v xml:space="preserve">BWR  </v>
      </c>
      <c r="Y10" s="92" t="str">
        <f>'FI-4'!$AU$12</f>
        <v>BWR 2500</v>
      </c>
      <c r="Z10" s="92" t="str">
        <f>'FI-4'!$AU$7</f>
        <v>OLKILUOTO-2</v>
      </c>
      <c r="AA10" s="95">
        <v>30</v>
      </c>
      <c r="AB10" s="114">
        <f>'FI-4'!$AU$18</f>
        <v>29269</v>
      </c>
      <c r="AC10" s="115">
        <f t="shared" si="2"/>
        <v>40227</v>
      </c>
      <c r="AD10" s="92" t="str">
        <f>'FI-4'!$AU$19</f>
        <v>37000</v>
      </c>
      <c r="AE10" s="110">
        <f>G10*J10*8760</f>
        <v>7584.1802400000006</v>
      </c>
      <c r="AF10" s="109">
        <f>'FI-4'!$AU$16/'FI-4'!$AU$13</f>
        <v>0.35599999999999998</v>
      </c>
      <c r="AG10" s="110">
        <f>AE10/AF10</f>
        <v>21303.877078651687</v>
      </c>
      <c r="AH10" s="116">
        <f>AG10/(AD10*24)*1000</f>
        <v>23.990852566049195</v>
      </c>
      <c r="AI10" s="110">
        <f>AH10*Assumptions!$H$7</f>
        <v>191.92682052839356</v>
      </c>
      <c r="AJ10" s="110">
        <f>AE10/AH10</f>
        <v>316.12800000000004</v>
      </c>
      <c r="AK10" s="109">
        <f>AJ10*0.0036</f>
        <v>1.1380608000000001</v>
      </c>
    </row>
    <row r="11" spans="2:37" s="18" customFormat="1">
      <c r="B11" s="76" t="s">
        <v>1739</v>
      </c>
      <c r="C11" s="57" t="s">
        <v>1561</v>
      </c>
      <c r="D11" s="57" t="s">
        <v>1562</v>
      </c>
      <c r="E11" s="57">
        <f t="shared" si="0"/>
        <v>2013</v>
      </c>
      <c r="F11" s="117">
        <f>1600/1000</f>
        <v>1.6</v>
      </c>
      <c r="G11" s="117">
        <f>1720/1000</f>
        <v>1.72</v>
      </c>
      <c r="H11" s="118">
        <v>0.92</v>
      </c>
      <c r="I11" s="118">
        <v>0.92</v>
      </c>
      <c r="J11" s="121"/>
      <c r="K11" s="121"/>
      <c r="L11" s="83"/>
      <c r="M11" s="120">
        <f>F11</f>
        <v>1.6</v>
      </c>
      <c r="N11" s="83">
        <f>E11</f>
        <v>2013</v>
      </c>
      <c r="O11" s="83">
        <f>N11</f>
        <v>2013</v>
      </c>
      <c r="P11" s="83"/>
      <c r="Q11" s="83"/>
      <c r="R11" s="133">
        <f>YEAR(AC11)</f>
        <v>2073</v>
      </c>
      <c r="S11" s="119">
        <f t="shared" si="1"/>
        <v>60</v>
      </c>
      <c r="T11" s="121">
        <v>1.8532799999999996</v>
      </c>
      <c r="U11" s="83">
        <v>1</v>
      </c>
      <c r="V11" s="122">
        <v>31.536000000000001</v>
      </c>
      <c r="X11" s="85" t="s">
        <v>407</v>
      </c>
      <c r="Y11" s="85" t="s">
        <v>1564</v>
      </c>
      <c r="Z11" s="85" t="s">
        <v>1643</v>
      </c>
      <c r="AA11" s="83">
        <v>60</v>
      </c>
      <c r="AB11" s="123">
        <v>41487</v>
      </c>
      <c r="AC11" s="124">
        <f t="shared" si="2"/>
        <v>63402</v>
      </c>
      <c r="AD11" s="85"/>
      <c r="AE11" s="119">
        <f>G11*J11*8760</f>
        <v>0</v>
      </c>
      <c r="AF11" s="118">
        <f>1720/4300</f>
        <v>0.4</v>
      </c>
      <c r="AG11" s="119">
        <f>AE11/AF11</f>
        <v>0</v>
      </c>
      <c r="AH11" s="125" t="e">
        <f>AG11/(AD11*24)*1000</f>
        <v>#DIV/0!</v>
      </c>
      <c r="AI11" s="119" t="e">
        <f>AH11*Assumptions!$H$7</f>
        <v>#DIV/0!</v>
      </c>
      <c r="AJ11" s="119" t="e">
        <f>AE11/AH11</f>
        <v>#DIV/0!</v>
      </c>
      <c r="AK11" s="118" t="e">
        <f>AJ11*0.0036</f>
        <v>#DIV/0!</v>
      </c>
    </row>
    <row r="12" spans="2:37" s="18" customFormat="1">
      <c r="B12" s="76" t="s">
        <v>1740</v>
      </c>
      <c r="C12" s="57" t="s">
        <v>1561</v>
      </c>
      <c r="D12" s="57" t="s">
        <v>1562</v>
      </c>
      <c r="E12" s="86">
        <f t="shared" si="0"/>
        <v>2020</v>
      </c>
      <c r="F12" s="120">
        <f>F11</f>
        <v>1.6</v>
      </c>
      <c r="G12" s="83"/>
      <c r="H12" s="118">
        <v>0.92</v>
      </c>
      <c r="I12" s="118">
        <v>0.92</v>
      </c>
      <c r="J12" s="83"/>
      <c r="K12" s="83"/>
      <c r="L12" s="120">
        <v>1.5</v>
      </c>
      <c r="M12" s="83"/>
      <c r="N12" s="83">
        <f>E12</f>
        <v>2020</v>
      </c>
      <c r="O12" s="83"/>
      <c r="P12" s="83"/>
      <c r="Q12" s="83"/>
      <c r="R12" s="133">
        <f>YEAR(AC12)</f>
        <v>2080</v>
      </c>
      <c r="S12" s="85">
        <f t="shared" si="1"/>
        <v>60</v>
      </c>
      <c r="T12" s="121">
        <f>T11</f>
        <v>1.8532799999999996</v>
      </c>
      <c r="U12" s="85">
        <v>1</v>
      </c>
      <c r="V12" s="85">
        <v>31.536000000000001</v>
      </c>
      <c r="X12" s="83" t="s">
        <v>1652</v>
      </c>
      <c r="Y12" s="83" t="s">
        <v>1652</v>
      </c>
      <c r="Z12" s="85" t="s">
        <v>1674</v>
      </c>
      <c r="AA12" s="83">
        <v>60</v>
      </c>
      <c r="AB12" s="123">
        <v>43831</v>
      </c>
      <c r="AC12" s="124">
        <f t="shared" si="2"/>
        <v>65746</v>
      </c>
      <c r="AD12" s="85"/>
      <c r="AE12" s="85"/>
      <c r="AF12" s="85"/>
      <c r="AG12" s="85"/>
      <c r="AH12" s="85"/>
      <c r="AI12" s="85"/>
      <c r="AJ12" s="85"/>
      <c r="AK12" s="85"/>
    </row>
    <row r="13" spans="2:37" s="18" customFormat="1">
      <c r="B13" s="76" t="s">
        <v>1741</v>
      </c>
      <c r="C13" s="57" t="s">
        <v>1561</v>
      </c>
      <c r="D13" s="57" t="s">
        <v>1562</v>
      </c>
      <c r="E13" s="86">
        <f t="shared" si="0"/>
        <v>2020</v>
      </c>
      <c r="F13" s="83"/>
      <c r="G13" s="83"/>
      <c r="H13" s="118">
        <v>0.92</v>
      </c>
      <c r="I13" s="118">
        <v>0.92</v>
      </c>
      <c r="J13" s="83"/>
      <c r="K13" s="83"/>
      <c r="L13" s="120">
        <v>1.5</v>
      </c>
      <c r="M13" s="83"/>
      <c r="N13" s="83">
        <f>E13</f>
        <v>2020</v>
      </c>
      <c r="O13" s="83"/>
      <c r="P13" s="83"/>
      <c r="Q13" s="83"/>
      <c r="R13" s="133">
        <f>YEAR(AC13)</f>
        <v>2080</v>
      </c>
      <c r="S13" s="85">
        <f t="shared" si="1"/>
        <v>60</v>
      </c>
      <c r="T13" s="121">
        <f>T12</f>
        <v>1.8532799999999996</v>
      </c>
      <c r="U13" s="85">
        <v>1</v>
      </c>
      <c r="V13" s="85">
        <v>31.536000000000001</v>
      </c>
      <c r="X13" s="83" t="s">
        <v>1652</v>
      </c>
      <c r="Y13" s="83" t="s">
        <v>1652</v>
      </c>
      <c r="Z13" s="83" t="s">
        <v>1721</v>
      </c>
      <c r="AA13" s="83">
        <v>60</v>
      </c>
      <c r="AB13" s="123">
        <v>43831</v>
      </c>
      <c r="AC13" s="124">
        <f>DATE(YEAR(AB13)+AA13,MONTH(AB13),DAY(AB13))</f>
        <v>65746</v>
      </c>
      <c r="AD13" s="85"/>
      <c r="AE13" s="85"/>
      <c r="AF13" s="85"/>
      <c r="AG13" s="85"/>
      <c r="AH13" s="85"/>
      <c r="AI13" s="85"/>
      <c r="AJ13" s="85"/>
      <c r="AK13" s="85"/>
    </row>
    <row r="14" spans="2:37" s="18" customFormat="1">
      <c r="J14" s="17"/>
      <c r="Q14" s="60"/>
    </row>
    <row r="15" spans="2:37" s="18" customFormat="1">
      <c r="J15" s="17"/>
      <c r="Q15" s="60"/>
    </row>
    <row r="16" spans="2:37" s="18" customFormat="1">
      <c r="J16" s="17"/>
      <c r="Q16" s="60"/>
    </row>
    <row r="17" spans="2:18" s="18" customFormat="1">
      <c r="J17" s="17"/>
      <c r="Q17" s="60"/>
    </row>
    <row r="18" spans="2:18" s="18" customFormat="1">
      <c r="J18" s="17"/>
      <c r="Q18" s="60"/>
    </row>
    <row r="19" spans="2:18" s="18" customFormat="1">
      <c r="J19" s="17"/>
      <c r="Q19" s="60"/>
    </row>
    <row r="20" spans="2:18" s="18" customFormat="1">
      <c r="J20" s="17"/>
      <c r="Q20" s="60"/>
    </row>
    <row r="21" spans="2:18" s="18" customFormat="1">
      <c r="E21" s="18" t="s">
        <v>7128</v>
      </c>
      <c r="F21" s="160">
        <f>SUM(F7:F10)</f>
        <v>2.7519999999999998</v>
      </c>
      <c r="G21" s="18" t="s">
        <v>7215</v>
      </c>
      <c r="H21" s="137">
        <f>F21/H22</f>
        <v>0.91733333333333322</v>
      </c>
      <c r="J21" s="17"/>
      <c r="Q21" s="60"/>
    </row>
    <row r="22" spans="2:18" s="18" customFormat="1">
      <c r="E22" s="18" t="s">
        <v>7127</v>
      </c>
      <c r="F22" s="160">
        <f>SUM(F11:F13)</f>
        <v>3.2</v>
      </c>
      <c r="G22" s="18" t="s">
        <v>7216</v>
      </c>
      <c r="H22" s="18">
        <f>MAX(E7:E10)-MIN(E7:E10)</f>
        <v>3</v>
      </c>
      <c r="J22" s="17"/>
      <c r="Q22" s="60"/>
    </row>
    <row r="23" spans="2:18" s="18" customFormat="1">
      <c r="J23" s="17"/>
      <c r="Q23" s="60"/>
    </row>
    <row r="24" spans="2:18" s="18" customFormat="1">
      <c r="J24" s="17"/>
      <c r="Q24" s="60"/>
      <c r="R24" s="87"/>
    </row>
    <row r="25" spans="2:18" s="18" customFormat="1">
      <c r="B25" s="224" t="s">
        <v>1603</v>
      </c>
      <c r="C25" s="224"/>
      <c r="D25" s="225"/>
      <c r="E25" s="225"/>
      <c r="F25" s="225"/>
      <c r="G25" s="225"/>
      <c r="H25" s="225"/>
      <c r="I25" s="225"/>
      <c r="J25" s="17"/>
      <c r="Q25" s="60"/>
      <c r="R25" s="87"/>
    </row>
    <row r="26" spans="2:18" s="18" customFormat="1" ht="13.5" thickBot="1">
      <c r="B26" s="226" t="s">
        <v>1604</v>
      </c>
      <c r="C26" s="226" t="s">
        <v>1540</v>
      </c>
      <c r="D26" s="226" t="s">
        <v>1605</v>
      </c>
      <c r="E26" s="226" t="s">
        <v>1606</v>
      </c>
      <c r="F26" s="226" t="s">
        <v>1607</v>
      </c>
      <c r="G26" s="226" t="s">
        <v>1608</v>
      </c>
      <c r="H26" s="226" t="s">
        <v>1609</v>
      </c>
      <c r="I26" s="226" t="s">
        <v>1610</v>
      </c>
      <c r="J26" s="17"/>
      <c r="Q26" s="60"/>
      <c r="R26" s="87"/>
    </row>
    <row r="27" spans="2:18" s="18" customFormat="1">
      <c r="B27" s="225" t="s">
        <v>1611</v>
      </c>
      <c r="C27" s="225" t="str">
        <f t="shared" ref="C27:C33" si="3">B7</f>
        <v>ENFI_LOVIISA-1_00</v>
      </c>
      <c r="D27" s="227" t="str">
        <f t="shared" ref="D27:D33" si="4">"Nuclear Power Plant: "&amp;Z7</f>
        <v>Nuclear Power Plant: LOVIISA-1</v>
      </c>
      <c r="E27" s="228" t="s">
        <v>1612</v>
      </c>
      <c r="F27" s="228" t="s">
        <v>1556</v>
      </c>
      <c r="G27" s="228" t="s">
        <v>1613</v>
      </c>
      <c r="H27" s="228"/>
      <c r="I27" s="228"/>
      <c r="J27" s="17"/>
      <c r="Q27" s="60"/>
      <c r="R27" s="154"/>
    </row>
    <row r="28" spans="2:18" s="18" customFormat="1">
      <c r="B28" s="225"/>
      <c r="C28" s="225" t="str">
        <f t="shared" si="3"/>
        <v>ENFI_LOVIISA-2_00</v>
      </c>
      <c r="D28" s="227" t="str">
        <f t="shared" si="4"/>
        <v>Nuclear Power Plant: LOVIISA-2</v>
      </c>
      <c r="E28" s="228" t="s">
        <v>1612</v>
      </c>
      <c r="F28" s="228" t="s">
        <v>1556</v>
      </c>
      <c r="G28" s="228" t="s">
        <v>1613</v>
      </c>
      <c r="H28" s="228"/>
      <c r="I28" s="228"/>
      <c r="J28" s="17"/>
      <c r="Q28" s="60"/>
      <c r="R28" s="87"/>
    </row>
    <row r="29" spans="2:18" s="18" customFormat="1">
      <c r="B29" s="225"/>
      <c r="C29" s="225" t="str">
        <f t="shared" si="3"/>
        <v>ENFI_OLKILUOTO-1_00</v>
      </c>
      <c r="D29" s="227" t="str">
        <f t="shared" si="4"/>
        <v>Nuclear Power Plant: OLKILUOTO-1</v>
      </c>
      <c r="E29" s="228" t="s">
        <v>1612</v>
      </c>
      <c r="F29" s="228" t="s">
        <v>1556</v>
      </c>
      <c r="G29" s="228" t="s">
        <v>1613</v>
      </c>
      <c r="H29" s="228"/>
      <c r="I29" s="228"/>
      <c r="J29" s="17"/>
      <c r="Q29" s="60"/>
      <c r="R29" s="87"/>
    </row>
    <row r="30" spans="2:18" s="18" customFormat="1">
      <c r="B30" s="225"/>
      <c r="C30" s="225" t="str">
        <f t="shared" si="3"/>
        <v>ENFI_OLKILUOTO-2_00</v>
      </c>
      <c r="D30" s="227" t="str">
        <f t="shared" si="4"/>
        <v>Nuclear Power Plant: OLKILUOTO-2</v>
      </c>
      <c r="E30" s="228" t="s">
        <v>1612</v>
      </c>
      <c r="F30" s="228" t="s">
        <v>1556</v>
      </c>
      <c r="G30" s="228" t="s">
        <v>1613</v>
      </c>
      <c r="H30" s="228"/>
      <c r="I30" s="228"/>
      <c r="J30" s="17"/>
      <c r="Q30" s="60"/>
      <c r="R30" s="87"/>
    </row>
    <row r="31" spans="2:18" s="18" customFormat="1">
      <c r="B31" s="225"/>
      <c r="C31" s="225" t="str">
        <f t="shared" si="3"/>
        <v>ENFI_OLKILUOTO-3</v>
      </c>
      <c r="D31" s="227" t="str">
        <f t="shared" si="4"/>
        <v>Nuclear Power Plant: OLKILUOTO-3</v>
      </c>
      <c r="E31" s="228" t="s">
        <v>1612</v>
      </c>
      <c r="F31" s="228" t="s">
        <v>1556</v>
      </c>
      <c r="G31" s="228" t="s">
        <v>7378</v>
      </c>
      <c r="H31" s="228"/>
      <c r="I31" s="228"/>
      <c r="J31" s="17"/>
      <c r="Q31" s="60"/>
    </row>
    <row r="32" spans="2:18" s="18" customFormat="1">
      <c r="B32" s="225"/>
      <c r="C32" s="225" t="str">
        <f t="shared" si="3"/>
        <v>ENFI_OLKILUOTO-4</v>
      </c>
      <c r="D32" s="227" t="str">
        <f t="shared" si="4"/>
        <v>Nuclear Power Plant: OLKILUOTO-4</v>
      </c>
      <c r="E32" s="228" t="s">
        <v>1612</v>
      </c>
      <c r="F32" s="228" t="s">
        <v>1556</v>
      </c>
      <c r="G32" s="228" t="s">
        <v>7378</v>
      </c>
      <c r="H32" s="225"/>
      <c r="I32" s="225"/>
      <c r="J32" s="17"/>
      <c r="Q32" s="60"/>
    </row>
    <row r="33" spans="2:17" s="18" customFormat="1">
      <c r="B33" s="225"/>
      <c r="C33" s="225" t="str">
        <f t="shared" si="3"/>
        <v>ENFI_PYHA-YOKI</v>
      </c>
      <c r="D33" s="227" t="str">
        <f t="shared" si="4"/>
        <v>Nuclear Power Plant: PYHA-YOKI</v>
      </c>
      <c r="E33" s="228" t="s">
        <v>1612</v>
      </c>
      <c r="F33" s="228" t="s">
        <v>1556</v>
      </c>
      <c r="G33" s="228" t="s">
        <v>7378</v>
      </c>
      <c r="H33" s="225"/>
      <c r="I33" s="225"/>
      <c r="J33" s="17"/>
      <c r="Q33" s="60"/>
    </row>
    <row r="34" spans="2:17" s="18" customFormat="1">
      <c r="J34" s="17"/>
      <c r="Q34" s="60"/>
    </row>
    <row r="35" spans="2:17" s="18" customFormat="1">
      <c r="J35" s="17"/>
      <c r="Q35" s="60"/>
    </row>
    <row r="36" spans="2:17" s="18" customFormat="1">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sheetData>
  <phoneticPr fontId="0" type="noConversion"/>
  <pageMargins left="0.7" right="0.7" top="0.75" bottom="0.75"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theme="0"/>
  </sheetPr>
  <dimension ref="B1:AK453"/>
  <sheetViews>
    <sheetView topLeftCell="A91" zoomScale="85" zoomScaleNormal="85" zoomScalePageLayoutView="125" workbookViewId="0">
      <selection activeCell="O67" sqref="O67"/>
    </sheetView>
  </sheetViews>
  <sheetFormatPr defaultColWidth="8.85546875" defaultRowHeight="12.75"/>
  <cols>
    <col min="1" max="1" width="3" style="19" customWidth="1"/>
    <col min="2" max="2" width="28.7109375" style="18" customWidth="1"/>
    <col min="3" max="3" width="24.5703125" style="18" bestFit="1" customWidth="1"/>
    <col min="4" max="4" width="35.140625" style="18" bestFit="1" customWidth="1"/>
    <col min="5" max="5" width="14.28515625" style="18" customWidth="1"/>
    <col min="6" max="6" width="12.42578125" style="19" customWidth="1"/>
    <col min="7" max="7" width="13.42578125" style="19" customWidth="1"/>
    <col min="8" max="8" width="11.7109375" style="19" bestFit="1" customWidth="1"/>
    <col min="9" max="9" width="11.140625" style="19" customWidth="1"/>
    <col min="10" max="10" width="12.71093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0.85546875" style="19" customWidth="1"/>
    <col min="20" max="21" width="8.85546875" style="19"/>
    <col min="22" max="22" width="8.42578125" style="19" customWidth="1"/>
    <col min="23" max="23" width="13.28515625" style="18" customWidth="1"/>
    <col min="24" max="24" width="19.85546875" style="18" bestFit="1" customWidth="1"/>
    <col min="25" max="25" width="16.8554687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1584</v>
      </c>
      <c r="C1" s="78"/>
      <c r="D1" s="78"/>
      <c r="E1" s="79" t="s">
        <v>1583</v>
      </c>
      <c r="F1" s="68" t="s">
        <v>7358</v>
      </c>
      <c r="G1" s="69"/>
      <c r="H1" s="150" t="s">
        <v>1707</v>
      </c>
      <c r="J1" s="148">
        <v>900</v>
      </c>
      <c r="K1" s="149">
        <v>1300</v>
      </c>
      <c r="L1" s="149">
        <v>1450</v>
      </c>
      <c r="M1" s="32" t="s">
        <v>1706</v>
      </c>
    </row>
    <row r="3" spans="2:37" ht="27.75" customHeight="1">
      <c r="F3" s="47" t="s">
        <v>1598</v>
      </c>
      <c r="G3" s="47" t="s">
        <v>1597</v>
      </c>
      <c r="H3" s="47"/>
      <c r="I3" s="27" t="s">
        <v>1521</v>
      </c>
      <c r="J3" s="27" t="s">
        <v>1522</v>
      </c>
      <c r="K3"/>
      <c r="N3" s="29"/>
      <c r="O3" s="29"/>
      <c r="Q3" s="19"/>
      <c r="R3" s="47" t="s">
        <v>1529</v>
      </c>
      <c r="T3" s="153"/>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140" t="s">
        <v>1703</v>
      </c>
      <c r="Y6" s="140" t="s">
        <v>1703</v>
      </c>
      <c r="Z6" s="141" t="s">
        <v>1703</v>
      </c>
      <c r="AA6" s="140"/>
      <c r="AB6" s="140"/>
      <c r="AC6" s="140"/>
      <c r="AD6" s="18"/>
      <c r="AE6" s="140"/>
      <c r="AF6" s="140"/>
      <c r="AG6" s="140"/>
      <c r="AI6" s="30"/>
    </row>
    <row r="7" spans="2:37">
      <c r="B7" s="74" t="s">
        <v>7363</v>
      </c>
      <c r="C7" s="91" t="s">
        <v>1561</v>
      </c>
      <c r="D7" s="90" t="s">
        <v>1562</v>
      </c>
      <c r="E7" s="61">
        <f>YEAR(AB7)</f>
        <v>1973</v>
      </c>
      <c r="F7" s="101">
        <v>0.13</v>
      </c>
      <c r="G7" s="101">
        <v>0.14000000000000001</v>
      </c>
      <c r="H7" s="100">
        <v>0.7056</v>
      </c>
      <c r="I7" s="100">
        <v>0.7056</v>
      </c>
      <c r="J7" s="100">
        <v>0.71020000000000005</v>
      </c>
      <c r="K7" s="101">
        <f t="shared" ref="K7:K38" si="0">F7</f>
        <v>0.13</v>
      </c>
      <c r="L7" s="63"/>
      <c r="M7" s="63"/>
      <c r="N7" s="63"/>
      <c r="O7" s="91"/>
      <c r="P7" s="91"/>
      <c r="Q7" s="91"/>
      <c r="R7" s="132">
        <f t="shared" ref="R7:R38" si="1">YEAR(AC7)</f>
        <v>2009</v>
      </c>
      <c r="S7" s="91">
        <f t="shared" ref="S7:S38" si="2">R7-E7</f>
        <v>36</v>
      </c>
      <c r="T7" s="91">
        <v>2.85</v>
      </c>
      <c r="U7" s="91">
        <v>1</v>
      </c>
      <c r="V7" s="91">
        <v>31.536000000000001</v>
      </c>
      <c r="W7" s="19"/>
      <c r="X7" s="91" t="s">
        <v>1620</v>
      </c>
      <c r="Y7" s="91" t="s">
        <v>1652</v>
      </c>
      <c r="Z7" s="94" t="s">
        <v>1698</v>
      </c>
      <c r="AA7" s="90">
        <v>30</v>
      </c>
      <c r="AB7" s="142">
        <v>27011</v>
      </c>
      <c r="AC7" s="106">
        <v>39814</v>
      </c>
      <c r="AD7" s="90">
        <v>100000</v>
      </c>
      <c r="AE7" s="90">
        <v>866</v>
      </c>
      <c r="AF7" s="99">
        <f>AE7/AG7</f>
        <v>0.32977913175932977</v>
      </c>
      <c r="AG7" s="90">
        <v>2626</v>
      </c>
      <c r="AH7" s="90">
        <v>1.1000000000000001</v>
      </c>
      <c r="AI7" s="90">
        <v>8.8000000000000007</v>
      </c>
      <c r="AJ7" s="90">
        <v>792</v>
      </c>
      <c r="AK7" s="143">
        <v>2.8511999999999995</v>
      </c>
    </row>
    <row r="8" spans="2:37" s="18" customFormat="1">
      <c r="B8" s="75" t="s">
        <v>7228</v>
      </c>
      <c r="C8" s="56" t="s">
        <v>1561</v>
      </c>
      <c r="D8" s="56" t="s">
        <v>1562</v>
      </c>
      <c r="E8" s="56">
        <f>YEAR(AB8)</f>
        <v>1987</v>
      </c>
      <c r="F8" s="147">
        <f>'FR-54'!$AU$17/1000</f>
        <v>1.31</v>
      </c>
      <c r="G8" s="108">
        <f>'FR-54'!$AU$16/1000</f>
        <v>1.363</v>
      </c>
      <c r="H8" s="198">
        <v>0.76300000000000001</v>
      </c>
      <c r="I8" s="109">
        <f>'FR-54'!$AU$20/100</f>
        <v>0.89190000000000003</v>
      </c>
      <c r="J8" s="109">
        <f>'FR-54'!$AU$21/100</f>
        <v>0.57950000000000002</v>
      </c>
      <c r="K8" s="108">
        <f t="shared" si="0"/>
        <v>1.31</v>
      </c>
      <c r="L8" s="95"/>
      <c r="M8" s="111"/>
      <c r="N8" s="111"/>
      <c r="O8" s="92"/>
      <c r="P8" s="92"/>
      <c r="Q8" s="92"/>
      <c r="R8" s="128">
        <f t="shared" si="1"/>
        <v>2017</v>
      </c>
      <c r="S8" s="127">
        <f t="shared" si="2"/>
        <v>30</v>
      </c>
      <c r="T8" s="112">
        <f>AK8</f>
        <v>1.0181256484149857</v>
      </c>
      <c r="U8" s="95">
        <v>1</v>
      </c>
      <c r="V8" s="113">
        <v>31.536000000000001</v>
      </c>
      <c r="X8" s="92" t="str">
        <f>'FR-54'!$AU$11</f>
        <v xml:space="preserve">PWR  </v>
      </c>
      <c r="Y8" s="92" t="str">
        <f>'FR-54'!$AU$12</f>
        <v>P'4 REP 1300</v>
      </c>
      <c r="Z8" s="92" t="str">
        <f>'FR-54'!$AU$7</f>
        <v>BELLEVILLE-1</v>
      </c>
      <c r="AA8" s="95">
        <v>30</v>
      </c>
      <c r="AB8" s="114">
        <f>'FR-54'!$AU$18</f>
        <v>32064</v>
      </c>
      <c r="AC8" s="115">
        <f t="shared" ref="AC8:AC39" si="3">DATE(YEAR(AB8)+AA8,MONTH(AB8),DAY(AB8))</f>
        <v>43022</v>
      </c>
      <c r="AD8" s="92" t="str">
        <f>'FR-54'!$AU$19</f>
        <v>33000</v>
      </c>
      <c r="AE8" s="110">
        <f t="shared" ref="AE8:AE39" si="4">G8*J8*8760</f>
        <v>6919.1604600000001</v>
      </c>
      <c r="AF8" s="109">
        <f>'FR-54'!$AU$16/'FR-54'!$AU$13</f>
        <v>0.35708671731726488</v>
      </c>
      <c r="AG8" s="110">
        <f t="shared" ref="AG8:AG13" si="5">AE8/AF8</f>
        <v>19376.69514</v>
      </c>
      <c r="AH8" s="116">
        <f t="shared" ref="AH8:AH39" si="6">AG8/(AD8*24)*1000</f>
        <v>24.465524166666665</v>
      </c>
      <c r="AI8" s="110">
        <f>AH8*Assumptions!$H$7</f>
        <v>195.72419333333332</v>
      </c>
      <c r="AJ8" s="110">
        <f t="shared" ref="AJ8:AJ13" si="7">AE8/AH8</f>
        <v>282.81268011527379</v>
      </c>
      <c r="AK8" s="109">
        <f t="shared" ref="AK8:AK13" si="8">AJ8*0.0036</f>
        <v>1.0181256484149857</v>
      </c>
    </row>
    <row r="9" spans="2:37" s="18" customFormat="1">
      <c r="B9" s="75" t="s">
        <v>7229</v>
      </c>
      <c r="C9" s="56" t="s">
        <v>1561</v>
      </c>
      <c r="D9" s="56" t="s">
        <v>1562</v>
      </c>
      <c r="E9" s="56">
        <f t="shared" ref="E9:E68" si="9">YEAR(AB9)</f>
        <v>1988</v>
      </c>
      <c r="F9" s="147">
        <f>'FR-55'!$AU$17/1000</f>
        <v>1.31</v>
      </c>
      <c r="G9" s="108">
        <f>'FR-55'!$AU$16/1000</f>
        <v>1.363</v>
      </c>
      <c r="H9" s="198">
        <v>0.79700000000000004</v>
      </c>
      <c r="I9" s="109">
        <f>'FR-55'!$AU$20/100</f>
        <v>0.80530000000000002</v>
      </c>
      <c r="J9" s="109">
        <f>'FR-55'!$AU$21/100</f>
        <v>0.68579999999999997</v>
      </c>
      <c r="K9" s="108">
        <f t="shared" si="0"/>
        <v>1.31</v>
      </c>
      <c r="L9" s="95"/>
      <c r="M9" s="111"/>
      <c r="N9" s="111"/>
      <c r="O9" s="92"/>
      <c r="P9" s="92"/>
      <c r="Q9" s="92"/>
      <c r="R9" s="128">
        <f t="shared" si="1"/>
        <v>2018</v>
      </c>
      <c r="S9" s="110">
        <f t="shared" si="2"/>
        <v>30</v>
      </c>
      <c r="T9" s="112">
        <f t="shared" ref="T9:T65" si="10">AK9</f>
        <v>1.0181256484149857</v>
      </c>
      <c r="U9" s="95">
        <v>1</v>
      </c>
      <c r="V9" s="113">
        <v>31.536000000000001</v>
      </c>
      <c r="X9" s="92" t="str">
        <f>'FR-55'!$AU$11</f>
        <v xml:space="preserve">PWR  </v>
      </c>
      <c r="Y9" s="92" t="str">
        <f>'FR-55'!$AU$12</f>
        <v>P'4 REP 1300</v>
      </c>
      <c r="Z9" s="92" t="str">
        <f>'FR-55'!$AU$7</f>
        <v>BELLEVILLE-2</v>
      </c>
      <c r="AA9" s="95">
        <v>30</v>
      </c>
      <c r="AB9" s="114">
        <f>'FR-55'!$AU$18</f>
        <v>32330</v>
      </c>
      <c r="AC9" s="115">
        <f t="shared" si="3"/>
        <v>43287</v>
      </c>
      <c r="AD9" s="92" t="str">
        <f>'FR-55'!$AU$19</f>
        <v>33000</v>
      </c>
      <c r="AE9" s="110">
        <f t="shared" si="4"/>
        <v>8188.3697039999997</v>
      </c>
      <c r="AF9" s="109">
        <f>'FR-55'!$AU$16/'FR-55'!$AU$13</f>
        <v>0.35708671731726488</v>
      </c>
      <c r="AG9" s="110">
        <f t="shared" si="5"/>
        <v>22931.039735999999</v>
      </c>
      <c r="AH9" s="116">
        <f t="shared" si="6"/>
        <v>28.953332999999997</v>
      </c>
      <c r="AI9" s="110">
        <f>AH9*Assumptions!$H$7</f>
        <v>231.62666399999998</v>
      </c>
      <c r="AJ9" s="110">
        <f t="shared" si="7"/>
        <v>282.81268011527379</v>
      </c>
      <c r="AK9" s="109">
        <f t="shared" si="8"/>
        <v>1.0181256484149857</v>
      </c>
    </row>
    <row r="10" spans="2:37" s="18" customFormat="1">
      <c r="B10" s="75" t="s">
        <v>7230</v>
      </c>
      <c r="C10" s="56" t="s">
        <v>1561</v>
      </c>
      <c r="D10" s="56" t="s">
        <v>1562</v>
      </c>
      <c r="E10" s="56">
        <f t="shared" si="9"/>
        <v>1981</v>
      </c>
      <c r="F10" s="146">
        <f>'FR-32'!$AU$17/1000</f>
        <v>0.91</v>
      </c>
      <c r="G10" s="108">
        <f>'FR-32'!$AU$16/1000</f>
        <v>0.95099999999999996</v>
      </c>
      <c r="H10" s="198">
        <v>0.79599999999999993</v>
      </c>
      <c r="I10" s="109">
        <f>'FR-32'!$AU$20/100</f>
        <v>0.86340000000000006</v>
      </c>
      <c r="J10" s="109">
        <f>'FR-32'!$AU$21/100</f>
        <v>0.83230000000000004</v>
      </c>
      <c r="K10" s="108">
        <f t="shared" si="0"/>
        <v>0.91</v>
      </c>
      <c r="L10" s="95"/>
      <c r="M10" s="111"/>
      <c r="N10" s="111"/>
      <c r="O10" s="92"/>
      <c r="P10" s="92"/>
      <c r="Q10" s="92"/>
      <c r="R10" s="128">
        <f t="shared" si="1"/>
        <v>2021</v>
      </c>
      <c r="S10" s="110">
        <f t="shared" si="2"/>
        <v>40</v>
      </c>
      <c r="T10" s="112">
        <f t="shared" si="10"/>
        <v>0.99529030664272888</v>
      </c>
      <c r="U10" s="95">
        <v>1</v>
      </c>
      <c r="V10" s="113">
        <v>31.536000000000001</v>
      </c>
      <c r="X10" s="92" t="str">
        <f>'FR-32'!$AU$11</f>
        <v xml:space="preserve">PWR  </v>
      </c>
      <c r="Y10" s="92" t="str">
        <f>'FR-32'!$AU$12</f>
        <v>CP1</v>
      </c>
      <c r="Z10" s="92" t="str">
        <f>'FR-32'!$AU$7</f>
        <v>BLAYAIS-1</v>
      </c>
      <c r="AA10" s="95">
        <v>40</v>
      </c>
      <c r="AB10" s="114">
        <f>'FR-32'!$AU$18</f>
        <v>29749</v>
      </c>
      <c r="AC10" s="115">
        <f t="shared" si="3"/>
        <v>44359</v>
      </c>
      <c r="AD10" s="92" t="str">
        <f>'FR-32'!$AU$19</f>
        <v>33735</v>
      </c>
      <c r="AE10" s="110">
        <f t="shared" si="4"/>
        <v>6933.6915479999998</v>
      </c>
      <c r="AF10" s="109">
        <f>'FR-32'!$AU$16/'FR-32'!$AU$13</f>
        <v>0.34147217235188509</v>
      </c>
      <c r="AG10" s="110">
        <f t="shared" si="5"/>
        <v>20305.29018</v>
      </c>
      <c r="AH10" s="116">
        <f t="shared" si="6"/>
        <v>25.079405884096634</v>
      </c>
      <c r="AI10" s="110">
        <f>AH10*Assumptions!$H$7</f>
        <v>200.63524707277307</v>
      </c>
      <c r="AJ10" s="110">
        <f t="shared" si="7"/>
        <v>276.46952962298025</v>
      </c>
      <c r="AK10" s="109">
        <f t="shared" si="8"/>
        <v>0.99529030664272888</v>
      </c>
    </row>
    <row r="11" spans="2:37" s="18" customFormat="1">
      <c r="B11" s="75" t="s">
        <v>7231</v>
      </c>
      <c r="C11" s="56" t="s">
        <v>1561</v>
      </c>
      <c r="D11" s="56" t="s">
        <v>1562</v>
      </c>
      <c r="E11" s="56">
        <f t="shared" si="9"/>
        <v>1982</v>
      </c>
      <c r="F11" s="146">
        <f>'FR-33'!$AU$17/1000</f>
        <v>0.91</v>
      </c>
      <c r="G11" s="108">
        <f>'FR-33'!$AU$16/1000</f>
        <v>0.95099999999999996</v>
      </c>
      <c r="H11" s="198">
        <v>0.82400000000000007</v>
      </c>
      <c r="I11" s="109">
        <f>'FR-33'!$AU$20/100</f>
        <v>0.86780000000000002</v>
      </c>
      <c r="J11" s="109">
        <f>'FR-33'!$AU$21/100</f>
        <v>0.79549999999999998</v>
      </c>
      <c r="K11" s="108">
        <f t="shared" si="0"/>
        <v>0.91</v>
      </c>
      <c r="L11" s="95"/>
      <c r="M11" s="111"/>
      <c r="N11" s="111"/>
      <c r="O11" s="92"/>
      <c r="P11" s="92"/>
      <c r="Q11" s="92"/>
      <c r="R11" s="128">
        <f t="shared" si="1"/>
        <v>2022</v>
      </c>
      <c r="S11" s="110">
        <f t="shared" si="2"/>
        <v>40</v>
      </c>
      <c r="T11" s="112">
        <f t="shared" si="10"/>
        <v>0.99529030664272888</v>
      </c>
      <c r="U11" s="95">
        <v>1</v>
      </c>
      <c r="V11" s="113">
        <v>31.536000000000001</v>
      </c>
      <c r="X11" s="92" t="str">
        <f>'FR-33'!$AU$11</f>
        <v xml:space="preserve">PWR  </v>
      </c>
      <c r="Y11" s="92" t="str">
        <f>'FR-33'!$AU$12</f>
        <v>CP1</v>
      </c>
      <c r="Z11" s="92" t="str">
        <f>'FR-33'!$AU$7</f>
        <v>BLAYAIS-2</v>
      </c>
      <c r="AA11" s="95">
        <v>40</v>
      </c>
      <c r="AB11" s="114">
        <f>'FR-33'!$AU$18</f>
        <v>30149</v>
      </c>
      <c r="AC11" s="115">
        <f t="shared" si="3"/>
        <v>44759</v>
      </c>
      <c r="AD11" s="92" t="str">
        <f>'FR-33'!$AU$19</f>
        <v>33735</v>
      </c>
      <c r="AE11" s="110">
        <f t="shared" si="4"/>
        <v>6627.1195799999996</v>
      </c>
      <c r="AF11" s="109">
        <f>'FR-33'!$AU$16/'FR-33'!$AU$13</f>
        <v>0.34147217235188509</v>
      </c>
      <c r="AG11" s="110">
        <f t="shared" si="5"/>
        <v>19407.495299999999</v>
      </c>
      <c r="AH11" s="116">
        <f t="shared" si="6"/>
        <v>23.970524307099449</v>
      </c>
      <c r="AI11" s="110">
        <f>AH11*Assumptions!$H$7</f>
        <v>191.76419445679559</v>
      </c>
      <c r="AJ11" s="110">
        <f t="shared" si="7"/>
        <v>276.46952962298025</v>
      </c>
      <c r="AK11" s="109">
        <f t="shared" si="8"/>
        <v>0.99529030664272888</v>
      </c>
    </row>
    <row r="12" spans="2:37" s="18" customFormat="1">
      <c r="B12" s="75" t="s">
        <v>7232</v>
      </c>
      <c r="C12" s="56" t="s">
        <v>1561</v>
      </c>
      <c r="D12" s="56" t="s">
        <v>1562</v>
      </c>
      <c r="E12" s="56">
        <f t="shared" si="9"/>
        <v>1983</v>
      </c>
      <c r="F12" s="146">
        <f>'FR-34'!$AU$17/1000</f>
        <v>0.91</v>
      </c>
      <c r="G12" s="108">
        <f>'FR-34'!$AU$16/1000</f>
        <v>0.95099999999999996</v>
      </c>
      <c r="H12" s="198">
        <v>0.82900000000000007</v>
      </c>
      <c r="I12" s="109">
        <f>'FR-34'!$AU$20/100</f>
        <v>0.73609999999999998</v>
      </c>
      <c r="J12" s="109">
        <f>'FR-34'!$AU$21/100</f>
        <v>0.83790000000000009</v>
      </c>
      <c r="K12" s="108">
        <f t="shared" si="0"/>
        <v>0.91</v>
      </c>
      <c r="L12" s="95"/>
      <c r="M12" s="111"/>
      <c r="N12" s="111"/>
      <c r="O12" s="92"/>
      <c r="P12" s="92"/>
      <c r="Q12" s="92"/>
      <c r="R12" s="128">
        <f t="shared" si="1"/>
        <v>2023</v>
      </c>
      <c r="S12" s="110">
        <f t="shared" si="2"/>
        <v>40</v>
      </c>
      <c r="T12" s="112">
        <f t="shared" si="10"/>
        <v>0.99529030664272888</v>
      </c>
      <c r="U12" s="95">
        <v>1</v>
      </c>
      <c r="V12" s="113">
        <v>31.536000000000001</v>
      </c>
      <c r="X12" s="92" t="str">
        <f>'FR-34'!$AU$11</f>
        <v xml:space="preserve">PWR  </v>
      </c>
      <c r="Y12" s="92" t="str">
        <f>'FR-34'!$AU$12</f>
        <v>CP1</v>
      </c>
      <c r="Z12" s="92" t="str">
        <f>'FR-34'!$AU$7</f>
        <v>BLAYAIS-3</v>
      </c>
      <c r="AA12" s="95">
        <v>40</v>
      </c>
      <c r="AB12" s="114">
        <f>'FR-34'!$AU$18</f>
        <v>30545</v>
      </c>
      <c r="AC12" s="115">
        <f t="shared" si="3"/>
        <v>45155</v>
      </c>
      <c r="AD12" s="92" t="str">
        <f>'FR-34'!$AU$19</f>
        <v>33735</v>
      </c>
      <c r="AE12" s="110">
        <f t="shared" si="4"/>
        <v>6980.3438040000001</v>
      </c>
      <c r="AF12" s="109">
        <f>'FR-34'!$AU$16/'FR-34'!$AU$13</f>
        <v>0.34147217235188509</v>
      </c>
      <c r="AG12" s="110">
        <f t="shared" si="5"/>
        <v>20441.91114</v>
      </c>
      <c r="AH12" s="116">
        <f t="shared" si="6"/>
        <v>25.248148732770119</v>
      </c>
      <c r="AI12" s="110">
        <f>AH12*Assumptions!$H$7</f>
        <v>201.98518986216095</v>
      </c>
      <c r="AJ12" s="110">
        <f t="shared" si="7"/>
        <v>276.46952962298025</v>
      </c>
      <c r="AK12" s="109">
        <f t="shared" si="8"/>
        <v>0.99529030664272888</v>
      </c>
    </row>
    <row r="13" spans="2:37" s="18" customFormat="1">
      <c r="B13" s="75" t="s">
        <v>7233</v>
      </c>
      <c r="C13" s="56" t="s">
        <v>1561</v>
      </c>
      <c r="D13" s="56" t="s">
        <v>1562</v>
      </c>
      <c r="E13" s="56">
        <f t="shared" si="9"/>
        <v>1983</v>
      </c>
      <c r="F13" s="146">
        <f>'FR-35'!$AU$17/1000</f>
        <v>0.91</v>
      </c>
      <c r="G13" s="108">
        <f>'FR-35'!$AU$16/1000</f>
        <v>0.95099999999999996</v>
      </c>
      <c r="H13" s="198">
        <v>0.82</v>
      </c>
      <c r="I13" s="109">
        <f>'FR-35'!$AU$20/100</f>
        <v>0.68430000000000002</v>
      </c>
      <c r="J13" s="109">
        <f>'FR-35'!$AU$21/100</f>
        <v>0.84349999999999992</v>
      </c>
      <c r="K13" s="108">
        <f t="shared" si="0"/>
        <v>0.91</v>
      </c>
      <c r="L13" s="95"/>
      <c r="M13" s="111"/>
      <c r="N13" s="111"/>
      <c r="O13" s="92"/>
      <c r="P13" s="92"/>
      <c r="Q13" s="92"/>
      <c r="R13" s="128">
        <f t="shared" si="1"/>
        <v>2023</v>
      </c>
      <c r="S13" s="110">
        <f t="shared" si="2"/>
        <v>40</v>
      </c>
      <c r="T13" s="112">
        <f t="shared" si="10"/>
        <v>0.99529030664272888</v>
      </c>
      <c r="U13" s="95">
        <v>1</v>
      </c>
      <c r="V13" s="113">
        <v>31.536000000000001</v>
      </c>
      <c r="X13" s="92" t="str">
        <f>'FR-35'!$AU$11</f>
        <v xml:space="preserve">PWR  </v>
      </c>
      <c r="Y13" s="92" t="str">
        <f>'FR-35'!$AU$12</f>
        <v>CP1</v>
      </c>
      <c r="Z13" s="92" t="str">
        <f>'FR-35'!$AU$7</f>
        <v>BLAYAIS-4</v>
      </c>
      <c r="AA13" s="95">
        <v>40</v>
      </c>
      <c r="AB13" s="114">
        <f>'FR-35'!$AU$18</f>
        <v>30452</v>
      </c>
      <c r="AC13" s="115">
        <f t="shared" si="3"/>
        <v>45062</v>
      </c>
      <c r="AD13" s="92" t="str">
        <f>'FR-35'!$AU$19</f>
        <v>33735</v>
      </c>
      <c r="AE13" s="110">
        <f t="shared" si="4"/>
        <v>7026.9960599999986</v>
      </c>
      <c r="AF13" s="109">
        <f>'FR-35'!$AU$16/'FR-35'!$AU$13</f>
        <v>0.34147217235188509</v>
      </c>
      <c r="AG13" s="110">
        <f t="shared" si="5"/>
        <v>20578.532099999997</v>
      </c>
      <c r="AH13" s="116">
        <f t="shared" si="6"/>
        <v>25.416891581443601</v>
      </c>
      <c r="AI13" s="110">
        <f>AH13*Assumptions!$H$7</f>
        <v>203.3351326515488</v>
      </c>
      <c r="AJ13" s="110">
        <f t="shared" si="7"/>
        <v>276.46952962298025</v>
      </c>
      <c r="AK13" s="109">
        <f t="shared" si="8"/>
        <v>0.99529030664272888</v>
      </c>
    </row>
    <row r="14" spans="2:37" s="18" customFormat="1">
      <c r="B14" s="75" t="s">
        <v>7235</v>
      </c>
      <c r="C14" s="56" t="s">
        <v>1561</v>
      </c>
      <c r="D14" s="56" t="s">
        <v>1562</v>
      </c>
      <c r="E14" s="56">
        <f t="shared" si="9"/>
        <v>1978</v>
      </c>
      <c r="F14" s="146">
        <f>'FR-13'!$AU$17/1000</f>
        <v>0.91</v>
      </c>
      <c r="G14" s="108">
        <f>'FR-13'!$AU$16/1000</f>
        <v>0.94499999999999995</v>
      </c>
      <c r="H14" s="198">
        <v>0.7390000000000001</v>
      </c>
      <c r="I14" s="109">
        <f>'FR-13'!$AU$20/100</f>
        <v>0.79959999999999998</v>
      </c>
      <c r="J14" s="109">
        <f>'FR-13'!$AU$21/100</f>
        <v>0.2782</v>
      </c>
      <c r="K14" s="108">
        <f t="shared" si="0"/>
        <v>0.91</v>
      </c>
      <c r="L14" s="95"/>
      <c r="M14" s="111"/>
      <c r="N14" s="111"/>
      <c r="O14" s="92"/>
      <c r="P14" s="92"/>
      <c r="Q14" s="92"/>
      <c r="R14" s="128">
        <f t="shared" si="1"/>
        <v>2018</v>
      </c>
      <c r="S14" s="110">
        <f t="shared" si="2"/>
        <v>40</v>
      </c>
      <c r="T14" s="112">
        <f t="shared" si="10"/>
        <v>0.98901087253141839</v>
      </c>
      <c r="U14" s="95">
        <v>1</v>
      </c>
      <c r="V14" s="113">
        <v>31.536000000000001</v>
      </c>
      <c r="X14" s="92" t="str">
        <f>'FR-13'!$AU$11</f>
        <v xml:space="preserve">PWR  </v>
      </c>
      <c r="Y14" s="92" t="str">
        <f>'FR-13'!$AU$12</f>
        <v>CP0</v>
      </c>
      <c r="Z14" s="92" t="str">
        <f>'FR-13'!$AU$7</f>
        <v>BUGEY-2</v>
      </c>
      <c r="AA14" s="95">
        <v>40</v>
      </c>
      <c r="AB14" s="114">
        <f>'FR-13'!$AU$18</f>
        <v>28620</v>
      </c>
      <c r="AC14" s="115">
        <f t="shared" si="3"/>
        <v>43230</v>
      </c>
      <c r="AD14" s="92" t="str">
        <f>'FR-13'!$AU$19</f>
        <v>33735</v>
      </c>
      <c r="AE14" s="110">
        <f t="shared" si="4"/>
        <v>2302.9952399999997</v>
      </c>
      <c r="AF14" s="109">
        <f>'FR-13'!$AU$16/'FR-13'!$AU$13</f>
        <v>0.33931777378815081</v>
      </c>
      <c r="AG14" s="110">
        <f t="shared" ref="AG14:AG63" si="11">AE14/AF14</f>
        <v>6787.1341199999988</v>
      </c>
      <c r="AH14" s="116">
        <f t="shared" si="6"/>
        <v>8.3829036608863188</v>
      </c>
      <c r="AI14" s="110">
        <f>AH14*Assumptions!$H$7</f>
        <v>67.06322928709055</v>
      </c>
      <c r="AJ14" s="110">
        <f t="shared" ref="AJ14:AJ63" si="12">AE14/AH14</f>
        <v>274.72524236983844</v>
      </c>
      <c r="AK14" s="109">
        <f t="shared" ref="AK14:AK63" si="13">AJ14*0.0036</f>
        <v>0.98901087253141839</v>
      </c>
    </row>
    <row r="15" spans="2:37" s="18" customFormat="1">
      <c r="B15" s="75" t="s">
        <v>7236</v>
      </c>
      <c r="C15" s="56" t="s">
        <v>1561</v>
      </c>
      <c r="D15" s="56" t="s">
        <v>1562</v>
      </c>
      <c r="E15" s="56">
        <f t="shared" si="9"/>
        <v>1978</v>
      </c>
      <c r="F15" s="146">
        <f>'FR-14'!$AU$17/1000</f>
        <v>0.91</v>
      </c>
      <c r="G15" s="108">
        <f>'FR-14'!$AU$16/1000</f>
        <v>0.94499999999999995</v>
      </c>
      <c r="H15" s="203">
        <v>0.72799999999999998</v>
      </c>
      <c r="I15" s="109">
        <f>'FR-14'!$AU$20/100</f>
        <v>0.72829999999999995</v>
      </c>
      <c r="J15" s="152">
        <f>'FR-14'!$AU$21/100+I15</f>
        <v>0.72829999999999995</v>
      </c>
      <c r="K15" s="108">
        <f t="shared" si="0"/>
        <v>0.91</v>
      </c>
      <c r="L15" s="95"/>
      <c r="M15" s="111"/>
      <c r="N15" s="111"/>
      <c r="O15" s="92"/>
      <c r="P15" s="92"/>
      <c r="Q15" s="92"/>
      <c r="R15" s="128">
        <f t="shared" si="1"/>
        <v>2018</v>
      </c>
      <c r="S15" s="110">
        <f t="shared" si="2"/>
        <v>40</v>
      </c>
      <c r="T15" s="112">
        <f t="shared" si="10"/>
        <v>0.98901087253141862</v>
      </c>
      <c r="U15" s="95">
        <v>1</v>
      </c>
      <c r="V15" s="113">
        <v>31.536000000000001</v>
      </c>
      <c r="X15" s="92" t="str">
        <f>'FR-14'!$AU$11</f>
        <v xml:space="preserve">PWR  </v>
      </c>
      <c r="Y15" s="92" t="str">
        <f>'FR-14'!$AU$12</f>
        <v>CP0</v>
      </c>
      <c r="Z15" s="92" t="str">
        <f>'FR-14'!$AU$7</f>
        <v>BUGEY-3</v>
      </c>
      <c r="AA15" s="95">
        <v>40</v>
      </c>
      <c r="AB15" s="114">
        <f>'FR-14'!$AU$18</f>
        <v>28754</v>
      </c>
      <c r="AC15" s="115">
        <f t="shared" si="3"/>
        <v>43364</v>
      </c>
      <c r="AD15" s="92" t="str">
        <f>'FR-14'!$AU$19</f>
        <v>33735</v>
      </c>
      <c r="AE15" s="110">
        <f t="shared" si="4"/>
        <v>6029.0130599999993</v>
      </c>
      <c r="AF15" s="109">
        <f>'FR-14'!$AU$16/'FR-14'!$AU$13</f>
        <v>0.33931777378815081</v>
      </c>
      <c r="AG15" s="110">
        <f t="shared" si="11"/>
        <v>17768.043779999996</v>
      </c>
      <c r="AH15" s="116">
        <f t="shared" si="6"/>
        <v>21.94561012301763</v>
      </c>
      <c r="AI15" s="110">
        <f>AH15*Assumptions!$H$7</f>
        <v>175.56488098414104</v>
      </c>
      <c r="AJ15" s="110">
        <f t="shared" si="12"/>
        <v>274.7252423698385</v>
      </c>
      <c r="AK15" s="109">
        <f t="shared" si="13"/>
        <v>0.98901087253141862</v>
      </c>
    </row>
    <row r="16" spans="2:37" s="18" customFormat="1">
      <c r="B16" s="75" t="s">
        <v>7237</v>
      </c>
      <c r="C16" s="56" t="s">
        <v>1561</v>
      </c>
      <c r="D16" s="56" t="s">
        <v>1562</v>
      </c>
      <c r="E16" s="56">
        <f t="shared" si="9"/>
        <v>1979</v>
      </c>
      <c r="F16" s="146">
        <f>'FR-15'!$AU$17/1000</f>
        <v>0.88</v>
      </c>
      <c r="G16" s="108">
        <f>'FR-15'!$AU$16/1000</f>
        <v>0.91700000000000004</v>
      </c>
      <c r="H16" s="198">
        <v>0.754</v>
      </c>
      <c r="I16" s="109">
        <f>'FR-15'!$AU$20/100</f>
        <v>0.78780000000000006</v>
      </c>
      <c r="J16" s="109">
        <f>'FR-15'!$AU$21/100</f>
        <v>0.95660000000000001</v>
      </c>
      <c r="K16" s="108">
        <f t="shared" si="0"/>
        <v>0.88</v>
      </c>
      <c r="L16" s="95"/>
      <c r="M16" s="111"/>
      <c r="N16" s="111"/>
      <c r="O16" s="92"/>
      <c r="P16" s="92"/>
      <c r="Q16" s="92"/>
      <c r="R16" s="128">
        <f t="shared" si="1"/>
        <v>2019</v>
      </c>
      <c r="S16" s="110">
        <f t="shared" si="2"/>
        <v>40</v>
      </c>
      <c r="T16" s="112">
        <f t="shared" si="10"/>
        <v>0.95970684667863537</v>
      </c>
      <c r="U16" s="95">
        <v>1</v>
      </c>
      <c r="V16" s="113">
        <v>31.536000000000001</v>
      </c>
      <c r="X16" s="92" t="str">
        <f>'FR-15'!$AU$11</f>
        <v xml:space="preserve">PWR  </v>
      </c>
      <c r="Y16" s="92" t="str">
        <f>'FR-15'!$AU$12</f>
        <v>CP0</v>
      </c>
      <c r="Z16" s="92" t="str">
        <f>'FR-15'!$AU$7</f>
        <v>BUGEY-4</v>
      </c>
      <c r="AA16" s="95">
        <v>40</v>
      </c>
      <c r="AB16" s="114">
        <f>'FR-15'!$AU$18</f>
        <v>28922</v>
      </c>
      <c r="AC16" s="115">
        <f t="shared" si="3"/>
        <v>43532</v>
      </c>
      <c r="AD16" s="92" t="str">
        <f>'FR-15'!$AU$19</f>
        <v>33735</v>
      </c>
      <c r="AE16" s="110">
        <f t="shared" si="4"/>
        <v>7684.2912720000004</v>
      </c>
      <c r="AF16" s="109">
        <f>'FR-15'!$AU$16/'FR-15'!$AU$13</f>
        <v>0.32926391382405745</v>
      </c>
      <c r="AG16" s="110">
        <f t="shared" si="11"/>
        <v>23337.787560000001</v>
      </c>
      <c r="AH16" s="116">
        <f t="shared" si="6"/>
        <v>28.824894471617018</v>
      </c>
      <c r="AI16" s="110">
        <f>AH16*Assumptions!$H$7</f>
        <v>230.59915577293614</v>
      </c>
      <c r="AJ16" s="110">
        <f t="shared" si="12"/>
        <v>266.58523518850984</v>
      </c>
      <c r="AK16" s="109">
        <f t="shared" si="13"/>
        <v>0.95970684667863537</v>
      </c>
    </row>
    <row r="17" spans="2:37" s="18" customFormat="1">
      <c r="B17" s="75" t="s">
        <v>7238</v>
      </c>
      <c r="C17" s="56" t="s">
        <v>1561</v>
      </c>
      <c r="D17" s="56" t="s">
        <v>1562</v>
      </c>
      <c r="E17" s="56">
        <f t="shared" si="9"/>
        <v>1979</v>
      </c>
      <c r="F17" s="146">
        <f>'FR-16'!$AU$17/1000</f>
        <v>0.88</v>
      </c>
      <c r="G17" s="108">
        <f>'FR-16'!$AU$16/1000</f>
        <v>0.91700000000000004</v>
      </c>
      <c r="H17" s="198">
        <v>0.77599999999999991</v>
      </c>
      <c r="I17" s="109">
        <f>'FR-16'!$AU$20/100</f>
        <v>0.91090000000000004</v>
      </c>
      <c r="J17" s="109">
        <f>'FR-16'!$AU$21/100</f>
        <v>0.76890000000000003</v>
      </c>
      <c r="K17" s="108">
        <f t="shared" si="0"/>
        <v>0.88</v>
      </c>
      <c r="L17" s="95"/>
      <c r="M17" s="111"/>
      <c r="N17" s="111"/>
      <c r="O17" s="92"/>
      <c r="P17" s="92"/>
      <c r="Q17" s="92"/>
      <c r="R17" s="128">
        <f t="shared" si="1"/>
        <v>2019</v>
      </c>
      <c r="S17" s="110">
        <f t="shared" si="2"/>
        <v>40</v>
      </c>
      <c r="T17" s="112">
        <f t="shared" si="10"/>
        <v>0.95970684667863559</v>
      </c>
      <c r="U17" s="95">
        <v>1</v>
      </c>
      <c r="V17" s="113">
        <v>31.536000000000001</v>
      </c>
      <c r="X17" s="92" t="str">
        <f>'FR-16'!$AU$11</f>
        <v xml:space="preserve">PWR  </v>
      </c>
      <c r="Y17" s="92" t="str">
        <f>'FR-16'!$AU$12</f>
        <v>CP0</v>
      </c>
      <c r="Z17" s="92" t="str">
        <f>'FR-16'!$AU$7</f>
        <v>BUGEY-5</v>
      </c>
      <c r="AA17" s="95">
        <v>40</v>
      </c>
      <c r="AB17" s="114">
        <f>'FR-16'!$AU$18</f>
        <v>29067</v>
      </c>
      <c r="AC17" s="115">
        <f t="shared" si="3"/>
        <v>43677</v>
      </c>
      <c r="AD17" s="92" t="str">
        <f>'FR-16'!$AU$19</f>
        <v>33735</v>
      </c>
      <c r="AE17" s="110">
        <f t="shared" si="4"/>
        <v>6176.5121880000006</v>
      </c>
      <c r="AF17" s="109">
        <f>'FR-16'!$AU$16/'FR-16'!$AU$13</f>
        <v>0.32926391382405745</v>
      </c>
      <c r="AG17" s="110">
        <f t="shared" si="11"/>
        <v>18758.545740000001</v>
      </c>
      <c r="AH17" s="116">
        <f t="shared" si="6"/>
        <v>23.168995775900402</v>
      </c>
      <c r="AI17" s="110">
        <f>AH17*Assumptions!$H$7</f>
        <v>185.35196620720322</v>
      </c>
      <c r="AJ17" s="110">
        <f t="shared" si="12"/>
        <v>266.5852351885099</v>
      </c>
      <c r="AK17" s="109">
        <f t="shared" si="13"/>
        <v>0.95970684667863559</v>
      </c>
    </row>
    <row r="18" spans="2:37" s="18" customFormat="1">
      <c r="B18" s="75" t="s">
        <v>7234</v>
      </c>
      <c r="C18" s="56" t="s">
        <v>1561</v>
      </c>
      <c r="D18" s="56" t="s">
        <v>1562</v>
      </c>
      <c r="E18" s="56">
        <f t="shared" si="9"/>
        <v>1986</v>
      </c>
      <c r="F18" s="147">
        <f>'FR-50'!$AU$17/1000</f>
        <v>1.3</v>
      </c>
      <c r="G18" s="108">
        <f>'FR-50'!$AU$16/1000</f>
        <v>1.3620000000000001</v>
      </c>
      <c r="H18" s="198">
        <v>0.75800000000000001</v>
      </c>
      <c r="I18" s="109">
        <f>'FR-50'!$AU$20/100</f>
        <v>0.81859999999999999</v>
      </c>
      <c r="J18" s="109">
        <f>'FR-50'!$AU$21/100</f>
        <v>0.86620000000000008</v>
      </c>
      <c r="K18" s="108">
        <f t="shared" si="0"/>
        <v>1.3</v>
      </c>
      <c r="L18" s="95"/>
      <c r="M18" s="111"/>
      <c r="N18" s="111"/>
      <c r="O18" s="92"/>
      <c r="P18" s="92"/>
      <c r="Q18" s="92"/>
      <c r="R18" s="128">
        <f t="shared" si="1"/>
        <v>2016</v>
      </c>
      <c r="S18" s="110">
        <f t="shared" si="2"/>
        <v>30</v>
      </c>
      <c r="T18" s="112">
        <f t="shared" si="10"/>
        <v>1.0173786743515849</v>
      </c>
      <c r="U18" s="95">
        <v>1</v>
      </c>
      <c r="V18" s="113">
        <v>31.536000000000001</v>
      </c>
      <c r="X18" s="92" t="str">
        <f>'FR-50'!$AU$11</f>
        <v xml:space="preserve">PWR  </v>
      </c>
      <c r="Y18" s="92" t="str">
        <f>'FR-50'!$AU$12</f>
        <v>P'4 REP 1300</v>
      </c>
      <c r="Z18" s="92" t="str">
        <f>'FR-50'!$AU$7</f>
        <v>CATTENOM-1</v>
      </c>
      <c r="AA18" s="95">
        <v>30</v>
      </c>
      <c r="AB18" s="114">
        <f>'FR-50'!$AU$18</f>
        <v>31729</v>
      </c>
      <c r="AC18" s="115">
        <f t="shared" si="3"/>
        <v>42687</v>
      </c>
      <c r="AD18" s="92" t="str">
        <f>'FR-50'!$AU$19</f>
        <v>33000</v>
      </c>
      <c r="AE18" s="110">
        <f t="shared" si="4"/>
        <v>10334.736144000002</v>
      </c>
      <c r="AF18" s="109">
        <f>'FR-50'!$AU$16/'FR-50'!$AU$13</f>
        <v>0.35682473146450094</v>
      </c>
      <c r="AG18" s="110">
        <f t="shared" si="11"/>
        <v>28963.060104000004</v>
      </c>
      <c r="AH18" s="116">
        <f t="shared" si="6"/>
        <v>36.569520333333344</v>
      </c>
      <c r="AI18" s="110">
        <f>AH18*Assumptions!$H$7</f>
        <v>292.55616266666675</v>
      </c>
      <c r="AJ18" s="110">
        <f t="shared" si="12"/>
        <v>282.60518731988469</v>
      </c>
      <c r="AK18" s="109">
        <f t="shared" si="13"/>
        <v>1.0173786743515849</v>
      </c>
    </row>
    <row r="19" spans="2:37" s="18" customFormat="1">
      <c r="B19" s="75" t="s">
        <v>7239</v>
      </c>
      <c r="C19" s="56" t="s">
        <v>1561</v>
      </c>
      <c r="D19" s="56" t="s">
        <v>1562</v>
      </c>
      <c r="E19" s="56">
        <f t="shared" si="9"/>
        <v>1987</v>
      </c>
      <c r="F19" s="147">
        <f>'FR-53'!$AU$17/1000</f>
        <v>1.3</v>
      </c>
      <c r="G19" s="108">
        <f>'FR-53'!$AU$16/1000</f>
        <v>1.3620000000000001</v>
      </c>
      <c r="H19" s="198">
        <v>0.80200000000000005</v>
      </c>
      <c r="I19" s="109">
        <f>'FR-53'!$AU$20/100</f>
        <v>0.81209999999999993</v>
      </c>
      <c r="J19" s="109">
        <f>'FR-53'!$AU$21/100</f>
        <v>0.77859999999999996</v>
      </c>
      <c r="K19" s="108">
        <f t="shared" si="0"/>
        <v>1.3</v>
      </c>
      <c r="L19" s="95"/>
      <c r="M19" s="111"/>
      <c r="N19" s="111"/>
      <c r="O19" s="92"/>
      <c r="P19" s="92"/>
      <c r="Q19" s="92"/>
      <c r="R19" s="128">
        <f t="shared" si="1"/>
        <v>2017</v>
      </c>
      <c r="S19" s="110">
        <f t="shared" si="2"/>
        <v>30</v>
      </c>
      <c r="T19" s="112">
        <f t="shared" si="10"/>
        <v>1.0173786743515851</v>
      </c>
      <c r="U19" s="95">
        <v>1</v>
      </c>
      <c r="V19" s="113">
        <v>31.536000000000001</v>
      </c>
      <c r="X19" s="92" t="str">
        <f>'FR-53'!$AU$11</f>
        <v xml:space="preserve">PWR  </v>
      </c>
      <c r="Y19" s="92" t="str">
        <f>'FR-53'!$AU$12</f>
        <v>P'4 REP 1300</v>
      </c>
      <c r="Z19" s="92" t="str">
        <f>'FR-53'!$AU$7</f>
        <v>CATTENOM-2</v>
      </c>
      <c r="AA19" s="95">
        <v>30</v>
      </c>
      <c r="AB19" s="114">
        <f>'FR-53'!$AU$18</f>
        <v>32037</v>
      </c>
      <c r="AC19" s="115">
        <f t="shared" si="3"/>
        <v>42995</v>
      </c>
      <c r="AD19" s="92" t="str">
        <f>'FR-53'!$AU$19</f>
        <v>33000</v>
      </c>
      <c r="AE19" s="110">
        <f t="shared" si="4"/>
        <v>9289.5700319999996</v>
      </c>
      <c r="AF19" s="109">
        <f>'FR-53'!$AU$16/'FR-53'!$AU$13</f>
        <v>0.35682473146450094</v>
      </c>
      <c r="AG19" s="110">
        <f t="shared" si="11"/>
        <v>26033.985911999996</v>
      </c>
      <c r="AH19" s="116">
        <f t="shared" si="6"/>
        <v>32.871194333333328</v>
      </c>
      <c r="AI19" s="110">
        <f>AH19*Assumptions!$H$7</f>
        <v>262.96955466666662</v>
      </c>
      <c r="AJ19" s="110">
        <f t="shared" si="12"/>
        <v>282.60518731988475</v>
      </c>
      <c r="AK19" s="109">
        <f t="shared" si="13"/>
        <v>1.0173786743515851</v>
      </c>
    </row>
    <row r="20" spans="2:37" s="18" customFormat="1">
      <c r="B20" s="75" t="s">
        <v>7240</v>
      </c>
      <c r="C20" s="56" t="s">
        <v>1561</v>
      </c>
      <c r="D20" s="56" t="s">
        <v>1562</v>
      </c>
      <c r="E20" s="56">
        <f t="shared" si="9"/>
        <v>1990</v>
      </c>
      <c r="F20" s="147">
        <f>'FR-60'!$AU$17/1000</f>
        <v>1.3</v>
      </c>
      <c r="G20" s="108">
        <f>'FR-60'!$AU$16/1000</f>
        <v>1.3620000000000001</v>
      </c>
      <c r="H20" s="198">
        <v>0.81099999999999994</v>
      </c>
      <c r="I20" s="109">
        <f>'FR-60'!$AU$20/100</f>
        <v>0.85670000000000002</v>
      </c>
      <c r="J20" s="109">
        <f>'FR-60'!$AU$21/100</f>
        <v>0.76900000000000002</v>
      </c>
      <c r="K20" s="108">
        <f t="shared" si="0"/>
        <v>1.3</v>
      </c>
      <c r="L20" s="95"/>
      <c r="M20" s="111"/>
      <c r="N20" s="111"/>
      <c r="O20" s="92"/>
      <c r="P20" s="92"/>
      <c r="Q20" s="92"/>
      <c r="R20" s="128">
        <f t="shared" si="1"/>
        <v>2020</v>
      </c>
      <c r="S20" s="110">
        <f t="shared" si="2"/>
        <v>30</v>
      </c>
      <c r="T20" s="112">
        <f t="shared" si="10"/>
        <v>1.0173786743515851</v>
      </c>
      <c r="U20" s="95">
        <v>1</v>
      </c>
      <c r="V20" s="113">
        <v>31.536000000000001</v>
      </c>
      <c r="X20" s="92" t="str">
        <f>'FR-60'!$AU$11</f>
        <v xml:space="preserve">PWR  </v>
      </c>
      <c r="Y20" s="92" t="str">
        <f>'FR-60'!$AU$12</f>
        <v>P'4 REP 1300</v>
      </c>
      <c r="Z20" s="92" t="str">
        <f>'FR-60'!$AU$7</f>
        <v>CATTENOM-3</v>
      </c>
      <c r="AA20" s="95">
        <v>30</v>
      </c>
      <c r="AB20" s="114">
        <f>'FR-60'!$AU$18</f>
        <v>33060</v>
      </c>
      <c r="AC20" s="115">
        <f t="shared" si="3"/>
        <v>44018</v>
      </c>
      <c r="AD20" s="92" t="str">
        <f>'FR-60'!$AU$19</f>
        <v>33000</v>
      </c>
      <c r="AE20" s="110">
        <f t="shared" si="4"/>
        <v>9175.0312800000011</v>
      </c>
      <c r="AF20" s="109">
        <f>'FR-60'!$AU$16/'FR-60'!$AU$13</f>
        <v>0.35682473146450094</v>
      </c>
      <c r="AG20" s="110">
        <f t="shared" si="11"/>
        <v>25712.991480000001</v>
      </c>
      <c r="AH20" s="116">
        <f t="shared" si="6"/>
        <v>32.465898333333335</v>
      </c>
      <c r="AI20" s="110">
        <f>AH20*Assumptions!$H$7</f>
        <v>259.72718666666668</v>
      </c>
      <c r="AJ20" s="110">
        <f t="shared" si="12"/>
        <v>282.60518731988475</v>
      </c>
      <c r="AK20" s="109">
        <f t="shared" si="13"/>
        <v>1.0173786743515851</v>
      </c>
    </row>
    <row r="21" spans="2:37" s="18" customFormat="1">
      <c r="B21" s="75" t="s">
        <v>7241</v>
      </c>
      <c r="C21" s="56" t="s">
        <v>1561</v>
      </c>
      <c r="D21" s="56" t="s">
        <v>1562</v>
      </c>
      <c r="E21" s="56">
        <f t="shared" si="9"/>
        <v>1991</v>
      </c>
      <c r="F21" s="147">
        <f>'FR-65'!$AU$17/1000</f>
        <v>1.3</v>
      </c>
      <c r="G21" s="108">
        <f>'FR-65'!$AU$16/1000</f>
        <v>1.3620000000000001</v>
      </c>
      <c r="H21" s="198">
        <v>0.85699999999999998</v>
      </c>
      <c r="I21" s="109">
        <f>'FR-65'!$AU$20/100</f>
        <v>0.87060000000000004</v>
      </c>
      <c r="J21" s="109">
        <f>'FR-65'!$AU$21/100</f>
        <v>0.65879999999999994</v>
      </c>
      <c r="K21" s="108">
        <f t="shared" si="0"/>
        <v>1.3</v>
      </c>
      <c r="L21" s="95"/>
      <c r="M21" s="111"/>
      <c r="N21" s="111"/>
      <c r="O21" s="92"/>
      <c r="P21" s="92"/>
      <c r="Q21" s="92"/>
      <c r="R21" s="128">
        <f t="shared" si="1"/>
        <v>2021</v>
      </c>
      <c r="S21" s="110">
        <f t="shared" si="2"/>
        <v>30</v>
      </c>
      <c r="T21" s="112">
        <f t="shared" si="10"/>
        <v>1.0173786743515851</v>
      </c>
      <c r="U21" s="95">
        <v>1</v>
      </c>
      <c r="V21" s="113">
        <v>31.536000000000001</v>
      </c>
      <c r="X21" s="92" t="str">
        <f>'FR-65'!$AU$11</f>
        <v xml:space="preserve">PWR  </v>
      </c>
      <c r="Y21" s="92" t="str">
        <f>'FR-65'!$AU$12</f>
        <v>P'4 REP 1300</v>
      </c>
      <c r="Z21" s="92" t="str">
        <f>'FR-65'!$AU$7</f>
        <v>CATTENOM-4</v>
      </c>
      <c r="AA21" s="95">
        <v>30</v>
      </c>
      <c r="AB21" s="114">
        <f>'FR-65'!$AU$18</f>
        <v>33385</v>
      </c>
      <c r="AC21" s="115">
        <f t="shared" si="3"/>
        <v>44343</v>
      </c>
      <c r="AD21" s="92" t="str">
        <f>'FR-65'!$AU$19</f>
        <v>33000</v>
      </c>
      <c r="AE21" s="110">
        <f t="shared" si="4"/>
        <v>7860.2218560000001</v>
      </c>
      <c r="AF21" s="109">
        <f>'FR-65'!$AU$16/'FR-65'!$AU$13</f>
        <v>0.35682473146450094</v>
      </c>
      <c r="AG21" s="110">
        <f t="shared" si="11"/>
        <v>22028.242896</v>
      </c>
      <c r="AH21" s="116">
        <f t="shared" si="6"/>
        <v>27.813437999999998</v>
      </c>
      <c r="AI21" s="110">
        <f>AH21*Assumptions!$H$7</f>
        <v>222.50750399999998</v>
      </c>
      <c r="AJ21" s="110">
        <f t="shared" si="12"/>
        <v>282.60518731988475</v>
      </c>
      <c r="AK21" s="109">
        <f t="shared" si="13"/>
        <v>1.0173786743515851</v>
      </c>
    </row>
    <row r="22" spans="2:37" s="18" customFormat="1">
      <c r="B22" s="75" t="s">
        <v>7242</v>
      </c>
      <c r="C22" s="56" t="s">
        <v>1561</v>
      </c>
      <c r="D22" s="56" t="s">
        <v>1562</v>
      </c>
      <c r="E22" s="56">
        <f t="shared" si="9"/>
        <v>1982</v>
      </c>
      <c r="F22" s="146">
        <f>'FR-40'!$AU$17/1000</f>
        <v>0.90500000000000003</v>
      </c>
      <c r="G22" s="108">
        <f>'FR-40'!$AU$16/1000</f>
        <v>0.95399999999999996</v>
      </c>
      <c r="H22" s="198">
        <v>0.78599999999999992</v>
      </c>
      <c r="I22" s="109">
        <f>'FR-40'!$AU$20/100</f>
        <v>0.8155</v>
      </c>
      <c r="J22" s="109">
        <f>'FR-40'!$AU$21/100</f>
        <v>0.52549999999999997</v>
      </c>
      <c r="K22" s="108">
        <f t="shared" si="0"/>
        <v>0.90500000000000003</v>
      </c>
      <c r="L22" s="95"/>
      <c r="M22" s="111"/>
      <c r="N22" s="111"/>
      <c r="O22" s="92"/>
      <c r="P22" s="92"/>
      <c r="Q22" s="92"/>
      <c r="R22" s="128">
        <f t="shared" si="1"/>
        <v>2022</v>
      </c>
      <c r="S22" s="110">
        <f t="shared" si="2"/>
        <v>40</v>
      </c>
      <c r="T22" s="112">
        <f t="shared" si="10"/>
        <v>0.99843002369838407</v>
      </c>
      <c r="U22" s="95">
        <v>1</v>
      </c>
      <c r="V22" s="113">
        <v>31.536000000000001</v>
      </c>
      <c r="X22" s="92" t="str">
        <f>'FR-40'!$AU$11</f>
        <v xml:space="preserve">PWR  </v>
      </c>
      <c r="Y22" s="92" t="str">
        <f>'FR-40'!$AU$12</f>
        <v>CP2</v>
      </c>
      <c r="Z22" s="92" t="str">
        <f>'FR-40'!$AU$7</f>
        <v>CHINON-B-1</v>
      </c>
      <c r="AA22" s="95">
        <v>40</v>
      </c>
      <c r="AB22" s="114">
        <f>'FR-40'!$AU$18</f>
        <v>30285</v>
      </c>
      <c r="AC22" s="115">
        <f t="shared" si="3"/>
        <v>44895</v>
      </c>
      <c r="AD22" s="92" t="str">
        <f>'FR-40'!$AU$19</f>
        <v>33735</v>
      </c>
      <c r="AE22" s="110">
        <f t="shared" si="4"/>
        <v>4391.6245199999994</v>
      </c>
      <c r="AF22" s="109">
        <f>'FR-40'!$AU$16/'FR-40'!$AU$13</f>
        <v>0.34254937163375226</v>
      </c>
      <c r="AG22" s="110">
        <f t="shared" si="11"/>
        <v>12820.413299999998</v>
      </c>
      <c r="AH22" s="116">
        <f t="shared" si="6"/>
        <v>15.834708388913588</v>
      </c>
      <c r="AI22" s="110">
        <f>AH22*Assumptions!$H$7</f>
        <v>126.67766711130871</v>
      </c>
      <c r="AJ22" s="110">
        <f t="shared" si="12"/>
        <v>277.34167324955115</v>
      </c>
      <c r="AK22" s="109">
        <f t="shared" si="13"/>
        <v>0.99843002369838407</v>
      </c>
    </row>
    <row r="23" spans="2:37" s="18" customFormat="1">
      <c r="B23" s="75" t="s">
        <v>7243</v>
      </c>
      <c r="C23" s="56" t="s">
        <v>1561</v>
      </c>
      <c r="D23" s="56" t="s">
        <v>1562</v>
      </c>
      <c r="E23" s="56">
        <f t="shared" si="9"/>
        <v>1983</v>
      </c>
      <c r="F23" s="146">
        <f>'FR-41'!$AU$17/1000</f>
        <v>0.90500000000000003</v>
      </c>
      <c r="G23" s="108">
        <f>'FR-41'!$AU$16/1000</f>
        <v>0.95399999999999996</v>
      </c>
      <c r="H23" s="198">
        <v>0.79700000000000004</v>
      </c>
      <c r="I23" s="109">
        <f>'FR-41'!$AU$20/100</f>
        <v>0.84</v>
      </c>
      <c r="J23" s="109">
        <f>'FR-41'!$AU$21/100</f>
        <v>0.72340000000000004</v>
      </c>
      <c r="K23" s="108">
        <f t="shared" si="0"/>
        <v>0.90500000000000003</v>
      </c>
      <c r="L23" s="95"/>
      <c r="M23" s="111"/>
      <c r="N23" s="111"/>
      <c r="O23" s="92"/>
      <c r="P23" s="92"/>
      <c r="Q23" s="92"/>
      <c r="R23" s="128">
        <f t="shared" si="1"/>
        <v>2023</v>
      </c>
      <c r="S23" s="110">
        <f t="shared" si="2"/>
        <v>40</v>
      </c>
      <c r="T23" s="112">
        <f t="shared" si="10"/>
        <v>0.99843002369838429</v>
      </c>
      <c r="U23" s="95">
        <v>1</v>
      </c>
      <c r="V23" s="113">
        <v>31.536000000000001</v>
      </c>
      <c r="X23" s="92" t="str">
        <f>'FR-41'!$AU$11</f>
        <v xml:space="preserve">PWR  </v>
      </c>
      <c r="Y23" s="92" t="str">
        <f>'FR-41'!$AU$12</f>
        <v>CP2</v>
      </c>
      <c r="Z23" s="92" t="str">
        <f>'FR-41'!$AU$7</f>
        <v>CHINON-B-2</v>
      </c>
      <c r="AA23" s="95">
        <v>40</v>
      </c>
      <c r="AB23" s="114">
        <f>'FR-41'!$AU$18</f>
        <v>30649</v>
      </c>
      <c r="AC23" s="115">
        <f t="shared" si="3"/>
        <v>45259</v>
      </c>
      <c r="AD23" s="92" t="str">
        <f>'FR-41'!$AU$19</f>
        <v>33735</v>
      </c>
      <c r="AE23" s="110">
        <f t="shared" si="4"/>
        <v>6045.4827360000008</v>
      </c>
      <c r="AF23" s="109">
        <f>'FR-41'!$AU$16/'FR-41'!$AU$13</f>
        <v>0.34254937163375226</v>
      </c>
      <c r="AG23" s="110">
        <f t="shared" si="11"/>
        <v>17648.50044</v>
      </c>
      <c r="AH23" s="116">
        <f t="shared" si="6"/>
        <v>21.79796013042834</v>
      </c>
      <c r="AI23" s="110">
        <f>AH23*Assumptions!$H$7</f>
        <v>174.38368104342672</v>
      </c>
      <c r="AJ23" s="110">
        <f t="shared" si="12"/>
        <v>277.34167324955121</v>
      </c>
      <c r="AK23" s="109">
        <f t="shared" si="13"/>
        <v>0.99843002369838429</v>
      </c>
    </row>
    <row r="24" spans="2:37" s="18" customFormat="1">
      <c r="B24" s="75" t="s">
        <v>7244</v>
      </c>
      <c r="C24" s="56" t="s">
        <v>1561</v>
      </c>
      <c r="D24" s="56" t="s">
        <v>1562</v>
      </c>
      <c r="E24" s="56">
        <f t="shared" si="9"/>
        <v>1986</v>
      </c>
      <c r="F24" s="146">
        <f>'FR-56'!$AU$17/1000</f>
        <v>0.90500000000000003</v>
      </c>
      <c r="G24" s="108">
        <f>'FR-56'!$AU$16/1000</f>
        <v>0.95399999999999996</v>
      </c>
      <c r="H24" s="198">
        <v>0.79799999999999993</v>
      </c>
      <c r="I24" s="109">
        <f>'FR-56'!$AU$20/100</f>
        <v>0.70579999999999998</v>
      </c>
      <c r="J24" s="109">
        <f>'FR-56'!$AU$21/100</f>
        <v>0.81849999999999989</v>
      </c>
      <c r="K24" s="108">
        <f t="shared" si="0"/>
        <v>0.90500000000000003</v>
      </c>
      <c r="L24" s="95"/>
      <c r="M24" s="111"/>
      <c r="N24" s="111"/>
      <c r="O24" s="92"/>
      <c r="P24" s="92"/>
      <c r="Q24" s="92"/>
      <c r="R24" s="128">
        <f t="shared" si="1"/>
        <v>2026</v>
      </c>
      <c r="S24" s="110">
        <f t="shared" si="2"/>
        <v>40</v>
      </c>
      <c r="T24" s="112">
        <f t="shared" si="10"/>
        <v>0.99843002369838429</v>
      </c>
      <c r="U24" s="95">
        <v>1</v>
      </c>
      <c r="V24" s="113">
        <v>31.536000000000001</v>
      </c>
      <c r="X24" s="92" t="str">
        <f>'FR-56'!$AU$11</f>
        <v xml:space="preserve">PWR  </v>
      </c>
      <c r="Y24" s="92" t="str">
        <f>'FR-56'!$AU$12</f>
        <v>CP2</v>
      </c>
      <c r="Z24" s="92" t="str">
        <f>'FR-56'!$AU$7</f>
        <v>CHINON-B-3</v>
      </c>
      <c r="AA24" s="95">
        <v>40</v>
      </c>
      <c r="AB24" s="114">
        <f>'FR-56'!$AU$18</f>
        <v>31705</v>
      </c>
      <c r="AC24" s="115">
        <f t="shared" si="3"/>
        <v>46315</v>
      </c>
      <c r="AD24" s="92" t="str">
        <f>'FR-56'!$AU$19</f>
        <v>33735</v>
      </c>
      <c r="AE24" s="110">
        <f t="shared" si="4"/>
        <v>6840.2372399999995</v>
      </c>
      <c r="AF24" s="109">
        <f>'FR-56'!$AU$16/'FR-56'!$AU$13</f>
        <v>0.34254937163375226</v>
      </c>
      <c r="AG24" s="110">
        <f t="shared" si="11"/>
        <v>19968.617099999996</v>
      </c>
      <c r="AH24" s="116">
        <f t="shared" si="6"/>
        <v>24.663575292722687</v>
      </c>
      <c r="AI24" s="110">
        <f>AH24*Assumptions!$H$7</f>
        <v>197.30860234178149</v>
      </c>
      <c r="AJ24" s="110">
        <f t="shared" si="12"/>
        <v>277.34167324955121</v>
      </c>
      <c r="AK24" s="109">
        <f t="shared" si="13"/>
        <v>0.99843002369838429</v>
      </c>
    </row>
    <row r="25" spans="2:37" s="18" customFormat="1">
      <c r="B25" s="75" t="s">
        <v>7245</v>
      </c>
      <c r="C25" s="56" t="s">
        <v>1561</v>
      </c>
      <c r="D25" s="56" t="s">
        <v>1562</v>
      </c>
      <c r="E25" s="56">
        <f t="shared" si="9"/>
        <v>1987</v>
      </c>
      <c r="F25" s="146">
        <f>'FR-57'!$AU$17/1000</f>
        <v>0.90500000000000003</v>
      </c>
      <c r="G25" s="108">
        <f>'FR-57'!$AU$16/1000</f>
        <v>0.95399999999999996</v>
      </c>
      <c r="H25" s="198">
        <v>0.81299999999999994</v>
      </c>
      <c r="I25" s="109">
        <f>'FR-57'!$AU$20/100</f>
        <v>0.67569999999999997</v>
      </c>
      <c r="J25" s="109">
        <f>'FR-57'!$AU$21/100</f>
        <v>0.54270000000000007</v>
      </c>
      <c r="K25" s="108">
        <f t="shared" si="0"/>
        <v>0.90500000000000003</v>
      </c>
      <c r="L25" s="95"/>
      <c r="M25" s="111"/>
      <c r="N25" s="111"/>
      <c r="O25" s="92"/>
      <c r="P25" s="92"/>
      <c r="Q25" s="92"/>
      <c r="R25" s="128">
        <f t="shared" si="1"/>
        <v>2027</v>
      </c>
      <c r="S25" s="110">
        <f t="shared" si="2"/>
        <v>40</v>
      </c>
      <c r="T25" s="112">
        <f t="shared" si="10"/>
        <v>0.99843002369838429</v>
      </c>
      <c r="U25" s="95">
        <v>1</v>
      </c>
      <c r="V25" s="113">
        <v>31.536000000000001</v>
      </c>
      <c r="X25" s="92" t="str">
        <f>'FR-57'!$AU$11</f>
        <v xml:space="preserve">PWR  </v>
      </c>
      <c r="Y25" s="92" t="str">
        <f>'FR-57'!$AU$12</f>
        <v>CP2</v>
      </c>
      <c r="Z25" s="92" t="str">
        <f>'FR-57'!$AU$7</f>
        <v>CHINON-B-4</v>
      </c>
      <c r="AA25" s="95">
        <v>40</v>
      </c>
      <c r="AB25" s="114">
        <f>'FR-57'!$AU$18</f>
        <v>32095</v>
      </c>
      <c r="AC25" s="115">
        <f t="shared" si="3"/>
        <v>46705</v>
      </c>
      <c r="AD25" s="92" t="str">
        <f>'FR-57'!$AU$19</f>
        <v>33735</v>
      </c>
      <c r="AE25" s="110">
        <f t="shared" si="4"/>
        <v>4535.365608000001</v>
      </c>
      <c r="AF25" s="109">
        <f>'FR-57'!$AU$16/'FR-57'!$AU$13</f>
        <v>0.34254937163375226</v>
      </c>
      <c r="AG25" s="110">
        <f t="shared" si="11"/>
        <v>13240.034820000003</v>
      </c>
      <c r="AH25" s="116">
        <f t="shared" si="6"/>
        <v>16.352989995553582</v>
      </c>
      <c r="AI25" s="110">
        <f>AH25*Assumptions!$H$7</f>
        <v>130.82391996442865</v>
      </c>
      <c r="AJ25" s="110">
        <f t="shared" si="12"/>
        <v>277.34167324955121</v>
      </c>
      <c r="AK25" s="109">
        <f t="shared" si="13"/>
        <v>0.99843002369838429</v>
      </c>
    </row>
    <row r="26" spans="2:37" s="18" customFormat="1">
      <c r="B26" s="75" t="s">
        <v>7246</v>
      </c>
      <c r="C26" s="56" t="s">
        <v>1561</v>
      </c>
      <c r="D26" s="56" t="s">
        <v>1562</v>
      </c>
      <c r="E26" s="56">
        <f t="shared" si="9"/>
        <v>1996</v>
      </c>
      <c r="F26" s="147">
        <f>'FR-62'!$AU$17/1000</f>
        <v>1.5</v>
      </c>
      <c r="G26" s="108">
        <f>'FR-62'!$AU$16/1000</f>
        <v>1.56</v>
      </c>
      <c r="H26" s="198">
        <v>0.80700000000000005</v>
      </c>
      <c r="I26" s="109">
        <f>'FR-62'!$AU$20/100</f>
        <v>0.68849999999999989</v>
      </c>
      <c r="J26" s="109">
        <f>'FR-62'!$AU$21/100</f>
        <v>0.65930000000000011</v>
      </c>
      <c r="K26" s="108">
        <f t="shared" si="0"/>
        <v>1.5</v>
      </c>
      <c r="L26" s="95"/>
      <c r="M26" s="111"/>
      <c r="N26" s="111"/>
      <c r="O26" s="92"/>
      <c r="P26" s="92"/>
      <c r="Q26" s="92"/>
      <c r="R26" s="128">
        <f t="shared" si="1"/>
        <v>2026</v>
      </c>
      <c r="S26" s="110">
        <f t="shared" si="2"/>
        <v>30</v>
      </c>
      <c r="T26" s="112">
        <f t="shared" si="10"/>
        <v>1.2310482435597192</v>
      </c>
      <c r="U26" s="95">
        <v>1</v>
      </c>
      <c r="V26" s="113">
        <v>31.536000000000001</v>
      </c>
      <c r="X26" s="92" t="str">
        <f>'FR-62'!$AU$11</f>
        <v xml:space="preserve">PWR  </v>
      </c>
      <c r="Y26" s="92" t="str">
        <f>'FR-62'!$AU$12</f>
        <v>N4 REP 1450</v>
      </c>
      <c r="Z26" s="92" t="str">
        <f>'FR-62'!$AU$7</f>
        <v>CHOOZ-B-1</v>
      </c>
      <c r="AA26" s="95">
        <v>30</v>
      </c>
      <c r="AB26" s="114">
        <f>'FR-62'!$AU$18</f>
        <v>35307</v>
      </c>
      <c r="AC26" s="115">
        <f t="shared" si="3"/>
        <v>46264</v>
      </c>
      <c r="AD26" s="92" t="str">
        <f>'FR-62'!$AU$19</f>
        <v>39000</v>
      </c>
      <c r="AE26" s="110">
        <f t="shared" si="4"/>
        <v>9009.7300800000012</v>
      </c>
      <c r="AF26" s="109">
        <f>'FR-62'!$AU$16/'FR-62'!$AU$13</f>
        <v>0.36533957845433257</v>
      </c>
      <c r="AG26" s="110">
        <f t="shared" si="11"/>
        <v>24661.248360000001</v>
      </c>
      <c r="AH26" s="116">
        <f t="shared" si="6"/>
        <v>26.347487564102565</v>
      </c>
      <c r="AI26" s="110">
        <f>AH26*Assumptions!$H$7</f>
        <v>210.77990051282052</v>
      </c>
      <c r="AJ26" s="110">
        <f t="shared" si="12"/>
        <v>341.95784543325533</v>
      </c>
      <c r="AK26" s="109">
        <f t="shared" si="13"/>
        <v>1.2310482435597192</v>
      </c>
    </row>
    <row r="27" spans="2:37" s="18" customFormat="1">
      <c r="B27" s="75" t="s">
        <v>7247</v>
      </c>
      <c r="C27" s="56" t="s">
        <v>1561</v>
      </c>
      <c r="D27" s="56" t="s">
        <v>1562</v>
      </c>
      <c r="E27" s="56">
        <f t="shared" si="9"/>
        <v>1997</v>
      </c>
      <c r="F27" s="147">
        <f>'FR-70'!$AU$17/1000</f>
        <v>1.5</v>
      </c>
      <c r="G27" s="108">
        <f>'FR-70'!$AU$16/1000</f>
        <v>1.56</v>
      </c>
      <c r="H27" s="198">
        <v>0.84499999999999997</v>
      </c>
      <c r="I27" s="109">
        <f>'FR-70'!$AU$20/100</f>
        <v>0.78549999999999998</v>
      </c>
      <c r="J27" s="109">
        <f>'FR-70'!$AU$21/100</f>
        <v>0.81730000000000003</v>
      </c>
      <c r="K27" s="108">
        <f t="shared" si="0"/>
        <v>1.5</v>
      </c>
      <c r="L27" s="95"/>
      <c r="M27" s="111"/>
      <c r="N27" s="111"/>
      <c r="O27" s="92"/>
      <c r="P27" s="92"/>
      <c r="Q27" s="92"/>
      <c r="R27" s="128">
        <f t="shared" si="1"/>
        <v>2027</v>
      </c>
      <c r="S27" s="110">
        <f t="shared" si="2"/>
        <v>30</v>
      </c>
      <c r="T27" s="112">
        <f t="shared" si="10"/>
        <v>1.231048243559719</v>
      </c>
      <c r="U27" s="95">
        <v>1</v>
      </c>
      <c r="V27" s="113">
        <v>31.536000000000001</v>
      </c>
      <c r="X27" s="92" t="str">
        <f>'FR-70'!$AU$11</f>
        <v xml:space="preserve">PWR  </v>
      </c>
      <c r="Y27" s="92" t="str">
        <f>'FR-70'!$AU$12</f>
        <v>N4 REP 1450</v>
      </c>
      <c r="Z27" s="92" t="str">
        <f>'FR-70'!$AU$7</f>
        <v>CHOOZ-B-2</v>
      </c>
      <c r="AA27" s="95">
        <v>30</v>
      </c>
      <c r="AB27" s="114">
        <f>'FR-70'!$AU$18</f>
        <v>35530</v>
      </c>
      <c r="AC27" s="115">
        <f t="shared" si="3"/>
        <v>46487</v>
      </c>
      <c r="AD27" s="92" t="str">
        <f>'FR-70'!$AU$19</f>
        <v>39000</v>
      </c>
      <c r="AE27" s="110">
        <f t="shared" si="4"/>
        <v>11168.89488</v>
      </c>
      <c r="AF27" s="109">
        <f>'FR-70'!$AU$16/'FR-70'!$AU$13</f>
        <v>0.36533957845433257</v>
      </c>
      <c r="AG27" s="110">
        <f t="shared" si="11"/>
        <v>30571.269959999998</v>
      </c>
      <c r="AH27" s="116">
        <f t="shared" si="6"/>
        <v>32.661613205128205</v>
      </c>
      <c r="AI27" s="110">
        <f>AH27*Assumptions!$H$7</f>
        <v>261.29290564102564</v>
      </c>
      <c r="AJ27" s="110">
        <f t="shared" si="12"/>
        <v>341.95784543325527</v>
      </c>
      <c r="AK27" s="109">
        <f t="shared" si="13"/>
        <v>1.231048243559719</v>
      </c>
    </row>
    <row r="28" spans="2:37" s="18" customFormat="1">
      <c r="B28" s="75" t="s">
        <v>7248</v>
      </c>
      <c r="C28" s="56" t="s">
        <v>1561</v>
      </c>
      <c r="D28" s="56" t="s">
        <v>1562</v>
      </c>
      <c r="E28" s="56">
        <f t="shared" si="9"/>
        <v>1997</v>
      </c>
      <c r="F28" s="147">
        <f>'FR-72'!$AU$17/1000</f>
        <v>1.4950000000000001</v>
      </c>
      <c r="G28" s="108">
        <f>'FR-72'!$AU$16/1000</f>
        <v>1.5609999999999999</v>
      </c>
      <c r="H28" s="198">
        <v>0.78500000000000003</v>
      </c>
      <c r="I28" s="109">
        <f>'FR-72'!$AU$20/100</f>
        <v>0.73849999999999993</v>
      </c>
      <c r="J28" s="109">
        <f>'FR-72'!$AU$21/100</f>
        <v>0.80859999999999999</v>
      </c>
      <c r="K28" s="108">
        <f t="shared" si="0"/>
        <v>1.4950000000000001</v>
      </c>
      <c r="L28" s="95"/>
      <c r="M28" s="111"/>
      <c r="N28" s="111"/>
      <c r="O28" s="92"/>
      <c r="P28" s="92"/>
      <c r="Q28" s="92"/>
      <c r="R28" s="128">
        <f t="shared" si="1"/>
        <v>2027</v>
      </c>
      <c r="S28" s="110">
        <f t="shared" si="2"/>
        <v>30</v>
      </c>
      <c r="T28" s="112">
        <f t="shared" si="10"/>
        <v>1.1054950819672131</v>
      </c>
      <c r="U28" s="95">
        <v>1</v>
      </c>
      <c r="V28" s="113">
        <v>31.536000000000001</v>
      </c>
      <c r="X28" s="92" t="str">
        <f>'FR-72'!$AU$11</f>
        <v xml:space="preserve">PWR  </v>
      </c>
      <c r="Y28" s="92" t="str">
        <f>'FR-72'!$AU$12</f>
        <v>N4 REP 1450</v>
      </c>
      <c r="Z28" s="92" t="str">
        <f>'FR-72'!$AU$7</f>
        <v>CIVAUX-1</v>
      </c>
      <c r="AA28" s="95">
        <v>30</v>
      </c>
      <c r="AB28" s="114">
        <f>'FR-72'!$AU$18</f>
        <v>35788</v>
      </c>
      <c r="AC28" s="115">
        <f t="shared" si="3"/>
        <v>46745</v>
      </c>
      <c r="AD28" s="92" t="str">
        <f>'FR-72'!$AU$19</f>
        <v>35000</v>
      </c>
      <c r="AE28" s="110">
        <f t="shared" si="4"/>
        <v>11057.087496</v>
      </c>
      <c r="AF28" s="109">
        <f>'FR-72'!$AU$16/'FR-72'!$AU$13</f>
        <v>0.36557377049180328</v>
      </c>
      <c r="AG28" s="110">
        <f t="shared" si="11"/>
        <v>30245.844720000001</v>
      </c>
      <c r="AH28" s="116">
        <f t="shared" si="6"/>
        <v>36.006957999999997</v>
      </c>
      <c r="AI28" s="110">
        <f>AH28*Assumptions!$H$7</f>
        <v>288.05566399999998</v>
      </c>
      <c r="AJ28" s="110">
        <f t="shared" si="12"/>
        <v>307.08196721311475</v>
      </c>
      <c r="AK28" s="109">
        <f t="shared" si="13"/>
        <v>1.1054950819672131</v>
      </c>
    </row>
    <row r="29" spans="2:37" s="18" customFormat="1">
      <c r="B29" s="75" t="s">
        <v>7249</v>
      </c>
      <c r="C29" s="56" t="s">
        <v>1561</v>
      </c>
      <c r="D29" s="56" t="s">
        <v>1562</v>
      </c>
      <c r="E29" s="56">
        <f t="shared" si="9"/>
        <v>1999</v>
      </c>
      <c r="F29" s="147">
        <f>'FR-73'!$AU$17/1000</f>
        <v>1.4950000000000001</v>
      </c>
      <c r="G29" s="108">
        <f>'FR-73'!$AU$16/1000</f>
        <v>1.5609999999999999</v>
      </c>
      <c r="H29" s="198">
        <v>0.85599999999999998</v>
      </c>
      <c r="I29" s="109">
        <f>'FR-73'!$AU$20/100</f>
        <v>0.73470000000000002</v>
      </c>
      <c r="J29" s="109">
        <f>'FR-73'!$AU$21/100</f>
        <v>0.84709999999999996</v>
      </c>
      <c r="K29" s="108">
        <f t="shared" si="0"/>
        <v>1.4950000000000001</v>
      </c>
      <c r="L29" s="95"/>
      <c r="M29" s="111"/>
      <c r="N29" s="111"/>
      <c r="O29" s="92"/>
      <c r="P29" s="92"/>
      <c r="Q29" s="92"/>
      <c r="R29" s="128">
        <f t="shared" si="1"/>
        <v>2029</v>
      </c>
      <c r="S29" s="110">
        <f t="shared" si="2"/>
        <v>30</v>
      </c>
      <c r="T29" s="112">
        <f t="shared" si="10"/>
        <v>1.1054950819672129</v>
      </c>
      <c r="U29" s="95">
        <v>1</v>
      </c>
      <c r="V29" s="113">
        <v>31.536000000000001</v>
      </c>
      <c r="X29" s="92" t="str">
        <f>'FR-73'!$AU$11</f>
        <v xml:space="preserve">PWR  </v>
      </c>
      <c r="Y29" s="92" t="str">
        <f>'FR-73'!$AU$12</f>
        <v>N4 REP 1450</v>
      </c>
      <c r="Z29" s="92" t="str">
        <f>'FR-73'!$AU$7</f>
        <v>CIVAUX-2</v>
      </c>
      <c r="AA29" s="95">
        <v>30</v>
      </c>
      <c r="AB29" s="114">
        <f>'FR-73'!$AU$18</f>
        <v>36518</v>
      </c>
      <c r="AC29" s="115">
        <f t="shared" si="3"/>
        <v>47476</v>
      </c>
      <c r="AD29" s="92" t="str">
        <f>'FR-73'!$AU$19</f>
        <v>35000</v>
      </c>
      <c r="AE29" s="110">
        <f t="shared" si="4"/>
        <v>11583.550356</v>
      </c>
      <c r="AF29" s="109">
        <f>'FR-73'!$AU$16/'FR-73'!$AU$13</f>
        <v>0.36557377049180328</v>
      </c>
      <c r="AG29" s="110">
        <f t="shared" si="11"/>
        <v>31685.944919999998</v>
      </c>
      <c r="AH29" s="116">
        <f t="shared" si="6"/>
        <v>37.721363000000004</v>
      </c>
      <c r="AI29" s="110">
        <f>AH29*Assumptions!$H$7</f>
        <v>301.77090400000003</v>
      </c>
      <c r="AJ29" s="110">
        <f t="shared" si="12"/>
        <v>307.08196721311469</v>
      </c>
      <c r="AK29" s="109">
        <f t="shared" si="13"/>
        <v>1.1054950819672129</v>
      </c>
    </row>
    <row r="30" spans="2:37" s="18" customFormat="1">
      <c r="B30" s="75" t="s">
        <v>7250</v>
      </c>
      <c r="C30" s="56" t="s">
        <v>1561</v>
      </c>
      <c r="D30" s="56" t="s">
        <v>1562</v>
      </c>
      <c r="E30" s="56">
        <f t="shared" si="9"/>
        <v>1983</v>
      </c>
      <c r="F30" s="146">
        <f>'FR-42'!$AU$17/1000</f>
        <v>0.91500000000000004</v>
      </c>
      <c r="G30" s="108">
        <f>'FR-42'!$AU$16/1000</f>
        <v>0.95599999999999996</v>
      </c>
      <c r="H30" s="198">
        <v>0.80700000000000005</v>
      </c>
      <c r="I30" s="109">
        <f>'FR-42'!$AU$20/100</f>
        <v>0.66689999999999994</v>
      </c>
      <c r="J30" s="109">
        <f>'FR-42'!$AU$21/100</f>
        <v>0.81459999999999999</v>
      </c>
      <c r="K30" s="108">
        <f t="shared" si="0"/>
        <v>0.91500000000000004</v>
      </c>
      <c r="L30" s="95"/>
      <c r="M30" s="111"/>
      <c r="N30" s="111"/>
      <c r="O30" s="92"/>
      <c r="P30" s="92"/>
      <c r="Q30" s="92"/>
      <c r="R30" s="128">
        <f t="shared" si="1"/>
        <v>2023</v>
      </c>
      <c r="S30" s="110">
        <f t="shared" si="2"/>
        <v>40</v>
      </c>
      <c r="T30" s="112">
        <f t="shared" si="10"/>
        <v>1.0005231684021543</v>
      </c>
      <c r="U30" s="95">
        <v>1</v>
      </c>
      <c r="V30" s="113">
        <v>31.536000000000001</v>
      </c>
      <c r="X30" s="92" t="str">
        <f>'FR-42'!$AU$11</f>
        <v xml:space="preserve">PWR  </v>
      </c>
      <c r="Y30" s="92" t="str">
        <f>'FR-42'!$AU$12</f>
        <v>CP2</v>
      </c>
      <c r="Z30" s="92" t="str">
        <f>'FR-42'!$AU$7</f>
        <v>CRUAS-1</v>
      </c>
      <c r="AA30" s="95">
        <v>40</v>
      </c>
      <c r="AB30" s="114">
        <f>'FR-42'!$AU$18</f>
        <v>30435</v>
      </c>
      <c r="AC30" s="115">
        <f t="shared" si="3"/>
        <v>45045</v>
      </c>
      <c r="AD30" s="92" t="str">
        <f>'FR-42'!$AU$19</f>
        <v>33735</v>
      </c>
      <c r="AE30" s="110">
        <f t="shared" si="4"/>
        <v>6821.9165759999996</v>
      </c>
      <c r="AF30" s="109">
        <f>'FR-42'!$AU$16/'FR-42'!$AU$13</f>
        <v>0.34326750448833032</v>
      </c>
      <c r="AG30" s="110">
        <f t="shared" si="11"/>
        <v>19873.470359999999</v>
      </c>
      <c r="AH30" s="116">
        <f t="shared" si="6"/>
        <v>24.546057951682229</v>
      </c>
      <c r="AI30" s="110">
        <f>AH30*Assumptions!$H$7</f>
        <v>196.36846361345783</v>
      </c>
      <c r="AJ30" s="110">
        <f t="shared" si="12"/>
        <v>277.92310233393175</v>
      </c>
      <c r="AK30" s="109">
        <f t="shared" si="13"/>
        <v>1.0005231684021543</v>
      </c>
    </row>
    <row r="31" spans="2:37" s="18" customFormat="1">
      <c r="B31" s="75" t="s">
        <v>7251</v>
      </c>
      <c r="C31" s="56" t="s">
        <v>1561</v>
      </c>
      <c r="D31" s="56" t="s">
        <v>1562</v>
      </c>
      <c r="E31" s="56">
        <f t="shared" si="9"/>
        <v>1984</v>
      </c>
      <c r="F31" s="146">
        <f>'FR-43'!$AU$17/1000</f>
        <v>0.91500000000000004</v>
      </c>
      <c r="G31" s="108">
        <f>'FR-43'!$AU$16/1000</f>
        <v>0.95599999999999996</v>
      </c>
      <c r="H31" s="198">
        <v>0.80099999999999993</v>
      </c>
      <c r="I31" s="109">
        <f>'FR-43'!$AU$20/100</f>
        <v>0.81140000000000001</v>
      </c>
      <c r="J31" s="109">
        <f>'FR-43'!$AU$21/100</f>
        <v>0.66189999999999993</v>
      </c>
      <c r="K31" s="108">
        <f t="shared" si="0"/>
        <v>0.91500000000000004</v>
      </c>
      <c r="L31" s="95"/>
      <c r="M31" s="111"/>
      <c r="N31" s="111"/>
      <c r="O31" s="92"/>
      <c r="P31" s="92"/>
      <c r="Q31" s="92"/>
      <c r="R31" s="128">
        <f t="shared" si="1"/>
        <v>2024</v>
      </c>
      <c r="S31" s="110">
        <f t="shared" si="2"/>
        <v>40</v>
      </c>
      <c r="T31" s="112">
        <f t="shared" si="10"/>
        <v>1.0005231684021545</v>
      </c>
      <c r="U31" s="95">
        <v>1</v>
      </c>
      <c r="V31" s="113">
        <v>31.536000000000001</v>
      </c>
      <c r="X31" s="92" t="str">
        <f>'FR-43'!$AU$11</f>
        <v xml:space="preserve">PWR  </v>
      </c>
      <c r="Y31" s="92" t="str">
        <f>'FR-43'!$AU$12</f>
        <v>CP2</v>
      </c>
      <c r="Z31" s="92" t="str">
        <f>'FR-43'!$AU$7</f>
        <v>CRUAS-2</v>
      </c>
      <c r="AA31" s="95">
        <v>40</v>
      </c>
      <c r="AB31" s="114">
        <f>'FR-43'!$AU$18</f>
        <v>30931</v>
      </c>
      <c r="AC31" s="115">
        <f t="shared" si="3"/>
        <v>45541</v>
      </c>
      <c r="AD31" s="92" t="str">
        <f>'FR-43'!$AU$19</f>
        <v>33735</v>
      </c>
      <c r="AE31" s="110">
        <f t="shared" si="4"/>
        <v>5543.1212639999994</v>
      </c>
      <c r="AF31" s="109">
        <f>'FR-43'!$AU$16/'FR-43'!$AU$13</f>
        <v>0.34326750448833032</v>
      </c>
      <c r="AG31" s="110">
        <f t="shared" si="11"/>
        <v>16148.109539999999</v>
      </c>
      <c r="AH31" s="116">
        <f t="shared" si="6"/>
        <v>19.94480206017489</v>
      </c>
      <c r="AI31" s="110">
        <f>AH31*Assumptions!$H$7</f>
        <v>159.55841648139912</v>
      </c>
      <c r="AJ31" s="110">
        <f t="shared" si="12"/>
        <v>277.92310233393181</v>
      </c>
      <c r="AK31" s="109">
        <f t="shared" si="13"/>
        <v>1.0005231684021545</v>
      </c>
    </row>
    <row r="32" spans="2:37" s="18" customFormat="1">
      <c r="B32" s="75" t="s">
        <v>7252</v>
      </c>
      <c r="C32" s="56" t="s">
        <v>1561</v>
      </c>
      <c r="D32" s="56" t="s">
        <v>1562</v>
      </c>
      <c r="E32" s="56">
        <f t="shared" si="9"/>
        <v>1984</v>
      </c>
      <c r="F32" s="146">
        <f>'FR-44'!$AU$17/1000</f>
        <v>0.91500000000000004</v>
      </c>
      <c r="G32" s="108">
        <f>'FR-44'!$AU$16/1000</f>
        <v>0.95599999999999996</v>
      </c>
      <c r="H32" s="198">
        <v>0.82200000000000006</v>
      </c>
      <c r="I32" s="109">
        <f>'FR-44'!$AU$20/100</f>
        <v>0.8659</v>
      </c>
      <c r="J32" s="109">
        <f>'FR-44'!$AU$21/100</f>
        <v>0.7831999999999999</v>
      </c>
      <c r="K32" s="108">
        <f t="shared" si="0"/>
        <v>0.91500000000000004</v>
      </c>
      <c r="L32" s="95"/>
      <c r="M32" s="111"/>
      <c r="N32" s="111"/>
      <c r="O32" s="92"/>
      <c r="P32" s="92"/>
      <c r="Q32" s="92"/>
      <c r="R32" s="128">
        <f t="shared" si="1"/>
        <v>2024</v>
      </c>
      <c r="S32" s="110">
        <f t="shared" si="2"/>
        <v>40</v>
      </c>
      <c r="T32" s="112">
        <f t="shared" si="10"/>
        <v>1.0005231684021543</v>
      </c>
      <c r="U32" s="95">
        <v>1</v>
      </c>
      <c r="V32" s="113">
        <v>31.536000000000001</v>
      </c>
      <c r="X32" s="92" t="str">
        <f>'FR-44'!$AU$11</f>
        <v xml:space="preserve">PWR  </v>
      </c>
      <c r="Y32" s="92" t="str">
        <f>'FR-44'!$AU$12</f>
        <v>CP2</v>
      </c>
      <c r="Z32" s="92" t="str">
        <f>'FR-44'!$AU$7</f>
        <v>CRUAS-3</v>
      </c>
      <c r="AA32" s="95">
        <v>40</v>
      </c>
      <c r="AB32" s="114">
        <f>'FR-44'!$AU$18</f>
        <v>30816</v>
      </c>
      <c r="AC32" s="115">
        <f t="shared" si="3"/>
        <v>45426</v>
      </c>
      <c r="AD32" s="92" t="str">
        <f>'FR-44'!$AU$19</f>
        <v>33735</v>
      </c>
      <c r="AE32" s="110">
        <f t="shared" si="4"/>
        <v>6558.9553919999989</v>
      </c>
      <c r="AF32" s="109">
        <f>'FR-44'!$AU$16/'FR-44'!$AU$13</f>
        <v>0.34326750448833032</v>
      </c>
      <c r="AG32" s="110">
        <f t="shared" si="11"/>
        <v>19107.417119999998</v>
      </c>
      <c r="AH32" s="116">
        <f t="shared" si="6"/>
        <v>23.599892693048762</v>
      </c>
      <c r="AI32" s="110">
        <f>AH32*Assumptions!$H$7</f>
        <v>188.7991415443901</v>
      </c>
      <c r="AJ32" s="110">
        <f t="shared" si="12"/>
        <v>277.92310233393175</v>
      </c>
      <c r="AK32" s="109">
        <f t="shared" si="13"/>
        <v>1.0005231684021543</v>
      </c>
    </row>
    <row r="33" spans="2:37" s="18" customFormat="1">
      <c r="B33" s="75" t="s">
        <v>7253</v>
      </c>
      <c r="C33" s="56" t="s">
        <v>1561</v>
      </c>
      <c r="D33" s="56" t="s">
        <v>1562</v>
      </c>
      <c r="E33" s="56">
        <f t="shared" si="9"/>
        <v>1984</v>
      </c>
      <c r="F33" s="146">
        <f>'FR-45'!$AU$17/1000</f>
        <v>0.91500000000000004</v>
      </c>
      <c r="G33" s="108">
        <f>'FR-45'!$AU$16/1000</f>
        <v>0.95599999999999996</v>
      </c>
      <c r="H33" s="198">
        <v>0.80200000000000005</v>
      </c>
      <c r="I33" s="109">
        <f>'FR-45'!$AU$20/100</f>
        <v>0.78040000000000009</v>
      </c>
      <c r="J33" s="109">
        <f>'FR-45'!$AU$21/100</f>
        <v>0.63719999999999999</v>
      </c>
      <c r="K33" s="108">
        <f t="shared" si="0"/>
        <v>0.91500000000000004</v>
      </c>
      <c r="L33" s="95"/>
      <c r="M33" s="111"/>
      <c r="N33" s="111"/>
      <c r="O33" s="92"/>
      <c r="P33" s="92"/>
      <c r="Q33" s="92"/>
      <c r="R33" s="128">
        <f t="shared" si="1"/>
        <v>2024</v>
      </c>
      <c r="S33" s="110">
        <f t="shared" si="2"/>
        <v>40</v>
      </c>
      <c r="T33" s="112">
        <f t="shared" si="10"/>
        <v>1.0005231684021545</v>
      </c>
      <c r="U33" s="95">
        <v>1</v>
      </c>
      <c r="V33" s="113">
        <v>31.536000000000001</v>
      </c>
      <c r="X33" s="92" t="str">
        <f>'FR-45'!$AU$11</f>
        <v xml:space="preserve">PWR  </v>
      </c>
      <c r="Y33" s="92" t="str">
        <f>'FR-45'!$AU$12</f>
        <v>CP2</v>
      </c>
      <c r="Z33" s="92" t="str">
        <f>'FR-45'!$AU$7</f>
        <v>CRUAS-4</v>
      </c>
      <c r="AA33" s="95">
        <v>40</v>
      </c>
      <c r="AB33" s="114">
        <f>'FR-45'!$AU$18</f>
        <v>30982</v>
      </c>
      <c r="AC33" s="115">
        <f t="shared" si="3"/>
        <v>45592</v>
      </c>
      <c r="AD33" s="92" t="str">
        <f>'FR-45'!$AU$19</f>
        <v>33735</v>
      </c>
      <c r="AE33" s="110">
        <f t="shared" si="4"/>
        <v>5336.2696320000005</v>
      </c>
      <c r="AF33" s="109">
        <f>'FR-45'!$AU$16/'FR-45'!$AU$13</f>
        <v>0.34326750448833032</v>
      </c>
      <c r="AG33" s="110">
        <f t="shared" si="11"/>
        <v>15545.513520000002</v>
      </c>
      <c r="AH33" s="116">
        <f t="shared" si="6"/>
        <v>19.200525566918632</v>
      </c>
      <c r="AI33" s="110">
        <f>AH33*Assumptions!$H$7</f>
        <v>153.60420453534906</v>
      </c>
      <c r="AJ33" s="110">
        <f t="shared" si="12"/>
        <v>277.92310233393181</v>
      </c>
      <c r="AK33" s="109">
        <f t="shared" si="13"/>
        <v>1.0005231684021545</v>
      </c>
    </row>
    <row r="34" spans="2:37" s="18" customFormat="1">
      <c r="B34" s="75" t="s">
        <v>7254</v>
      </c>
      <c r="C34" s="56" t="s">
        <v>1561</v>
      </c>
      <c r="D34" s="56" t="s">
        <v>1562</v>
      </c>
      <c r="E34" s="56">
        <f t="shared" si="9"/>
        <v>1980</v>
      </c>
      <c r="F34" s="146">
        <f>'FR-22'!$AU$17/1000</f>
        <v>0.89</v>
      </c>
      <c r="G34" s="108">
        <f>'FR-22'!$AU$16/1000</f>
        <v>0.93700000000000006</v>
      </c>
      <c r="H34" s="198">
        <v>0.77400000000000002</v>
      </c>
      <c r="I34" s="109">
        <f>'FR-22'!$AU$20/100</f>
        <v>0.74890000000000001</v>
      </c>
      <c r="J34" s="109">
        <f>'FR-22'!$AU$21/100</f>
        <v>0.81540000000000001</v>
      </c>
      <c r="K34" s="108">
        <f t="shared" si="0"/>
        <v>0.89</v>
      </c>
      <c r="L34" s="95"/>
      <c r="M34" s="111"/>
      <c r="N34" s="111"/>
      <c r="O34" s="92"/>
      <c r="P34" s="92"/>
      <c r="Q34" s="92"/>
      <c r="R34" s="128">
        <f t="shared" si="1"/>
        <v>2020</v>
      </c>
      <c r="S34" s="110">
        <f t="shared" si="2"/>
        <v>40</v>
      </c>
      <c r="T34" s="112">
        <f t="shared" si="10"/>
        <v>0.98063829371633726</v>
      </c>
      <c r="U34" s="95">
        <v>1</v>
      </c>
      <c r="V34" s="113">
        <v>31.536000000000001</v>
      </c>
      <c r="X34" s="92" t="str">
        <f>'FR-22'!$AU$11</f>
        <v xml:space="preserve">PWR  </v>
      </c>
      <c r="Y34" s="92" t="str">
        <f>'FR-22'!$AU$12</f>
        <v>CP1</v>
      </c>
      <c r="Z34" s="92" t="str">
        <f>'FR-22'!$AU$7</f>
        <v>DAMPIERRE-1</v>
      </c>
      <c r="AA34" s="95">
        <v>40</v>
      </c>
      <c r="AB34" s="114">
        <f>'FR-22'!$AU$18</f>
        <v>29303</v>
      </c>
      <c r="AC34" s="115">
        <f t="shared" si="3"/>
        <v>43913</v>
      </c>
      <c r="AD34" s="92" t="str">
        <f>'FR-22'!$AU$19</f>
        <v>33735</v>
      </c>
      <c r="AE34" s="110">
        <f t="shared" si="4"/>
        <v>6692.9010480000006</v>
      </c>
      <c r="AF34" s="109">
        <f>'FR-22'!$AU$16/'FR-22'!$AU$13</f>
        <v>0.33644524236983842</v>
      </c>
      <c r="AG34" s="110">
        <f t="shared" si="11"/>
        <v>19892.987640000003</v>
      </c>
      <c r="AH34" s="116">
        <f t="shared" si="6"/>
        <v>24.570164072921305</v>
      </c>
      <c r="AI34" s="110">
        <f>AH34*Assumptions!$H$7</f>
        <v>196.56131258337044</v>
      </c>
      <c r="AJ34" s="110">
        <f t="shared" si="12"/>
        <v>272.39952603231592</v>
      </c>
      <c r="AK34" s="109">
        <f t="shared" si="13"/>
        <v>0.98063829371633726</v>
      </c>
    </row>
    <row r="35" spans="2:37" s="18" customFormat="1">
      <c r="B35" s="75" t="s">
        <v>7255</v>
      </c>
      <c r="C35" s="56" t="s">
        <v>1561</v>
      </c>
      <c r="D35" s="56" t="s">
        <v>1562</v>
      </c>
      <c r="E35" s="56">
        <f t="shared" si="9"/>
        <v>1980</v>
      </c>
      <c r="F35" s="146">
        <f>'FR-29'!$AU$17/1000</f>
        <v>0.89</v>
      </c>
      <c r="G35" s="108">
        <f>'FR-29'!$AU$16/1000</f>
        <v>0.93700000000000006</v>
      </c>
      <c r="H35" s="198">
        <v>0.79200000000000004</v>
      </c>
      <c r="I35" s="109">
        <f>'FR-29'!$AU$20/100</f>
        <v>0.67409999999999992</v>
      </c>
      <c r="J35" s="109">
        <f>'FR-29'!$AU$21/100</f>
        <v>0.6926000000000001</v>
      </c>
      <c r="K35" s="108">
        <f t="shared" si="0"/>
        <v>0.89</v>
      </c>
      <c r="L35" s="95"/>
      <c r="M35" s="111"/>
      <c r="N35" s="111"/>
      <c r="O35" s="92"/>
      <c r="P35" s="92"/>
      <c r="Q35" s="92"/>
      <c r="R35" s="128">
        <f t="shared" si="1"/>
        <v>2020</v>
      </c>
      <c r="S35" s="110">
        <f t="shared" si="2"/>
        <v>40</v>
      </c>
      <c r="T35" s="112">
        <f t="shared" si="10"/>
        <v>0.98063829371633726</v>
      </c>
      <c r="U35" s="95">
        <v>1</v>
      </c>
      <c r="V35" s="113">
        <v>31.536000000000001</v>
      </c>
      <c r="X35" s="92" t="str">
        <f>'FR-29'!$AU$11</f>
        <v xml:space="preserve">PWR  </v>
      </c>
      <c r="Y35" s="92" t="str">
        <f>'FR-29'!$AU$12</f>
        <v>CP1</v>
      </c>
      <c r="Z35" s="92" t="str">
        <f>'FR-29'!$AU$7</f>
        <v>DAMPIERRE-2</v>
      </c>
      <c r="AA35" s="95">
        <v>40</v>
      </c>
      <c r="AB35" s="114">
        <f>'FR-29'!$AU$18</f>
        <v>29565</v>
      </c>
      <c r="AC35" s="115">
        <f t="shared" si="3"/>
        <v>44175</v>
      </c>
      <c r="AD35" s="92" t="str">
        <f>'FR-29'!$AU$19</f>
        <v>33735</v>
      </c>
      <c r="AE35" s="110">
        <f t="shared" si="4"/>
        <v>5684.9439120000015</v>
      </c>
      <c r="AF35" s="109">
        <f>'FR-29'!$AU$16/'FR-29'!$AU$13</f>
        <v>0.33644524236983842</v>
      </c>
      <c r="AG35" s="110">
        <f t="shared" si="11"/>
        <v>16897.085160000006</v>
      </c>
      <c r="AH35" s="116">
        <f t="shared" si="6"/>
        <v>20.869874462724184</v>
      </c>
      <c r="AI35" s="110">
        <f>AH35*Assumptions!$H$7</f>
        <v>166.95899570179347</v>
      </c>
      <c r="AJ35" s="110">
        <f t="shared" si="12"/>
        <v>272.39952603231592</v>
      </c>
      <c r="AK35" s="109">
        <f t="shared" si="13"/>
        <v>0.98063829371633726</v>
      </c>
    </row>
    <row r="36" spans="2:37" s="18" customFormat="1">
      <c r="B36" s="75" t="s">
        <v>7256</v>
      </c>
      <c r="C36" s="56" t="s">
        <v>1561</v>
      </c>
      <c r="D36" s="56" t="s">
        <v>1562</v>
      </c>
      <c r="E36" s="56">
        <f t="shared" si="9"/>
        <v>1981</v>
      </c>
      <c r="F36" s="146">
        <f>'FR-30'!$AU$17/1000</f>
        <v>0.89</v>
      </c>
      <c r="G36" s="108">
        <f>'FR-30'!$AU$16/1000</f>
        <v>0.93700000000000006</v>
      </c>
      <c r="H36" s="198">
        <v>0.79400000000000004</v>
      </c>
      <c r="I36" s="109">
        <f>'FR-30'!$AU$20/100</f>
        <v>0.80059999999999998</v>
      </c>
      <c r="J36" s="109">
        <f>'FR-30'!$AU$21/100</f>
        <v>0.85199999999999998</v>
      </c>
      <c r="K36" s="108">
        <f t="shared" si="0"/>
        <v>0.89</v>
      </c>
      <c r="L36" s="95"/>
      <c r="M36" s="111"/>
      <c r="N36" s="111"/>
      <c r="O36" s="92"/>
      <c r="P36" s="92"/>
      <c r="Q36" s="92"/>
      <c r="R36" s="128">
        <f t="shared" si="1"/>
        <v>2021</v>
      </c>
      <c r="S36" s="110">
        <f t="shared" si="2"/>
        <v>40</v>
      </c>
      <c r="T36" s="112">
        <f t="shared" si="10"/>
        <v>0.98063829371633748</v>
      </c>
      <c r="U36" s="95">
        <v>1</v>
      </c>
      <c r="V36" s="113">
        <v>31.536000000000001</v>
      </c>
      <c r="X36" s="92" t="str">
        <f>'FR-30'!$AU$11</f>
        <v xml:space="preserve">PWR  </v>
      </c>
      <c r="Y36" s="92" t="str">
        <f>'FR-30'!$AU$12</f>
        <v>CP1</v>
      </c>
      <c r="Z36" s="92" t="str">
        <f>'FR-30'!$AU$7</f>
        <v>DAMPIERRE-3</v>
      </c>
      <c r="AA36" s="95">
        <v>40</v>
      </c>
      <c r="AB36" s="114">
        <f>'FR-30'!$AU$18</f>
        <v>29616</v>
      </c>
      <c r="AC36" s="115">
        <f t="shared" si="3"/>
        <v>44226</v>
      </c>
      <c r="AD36" s="92" t="str">
        <f>'FR-30'!$AU$19</f>
        <v>33735</v>
      </c>
      <c r="AE36" s="110">
        <f t="shared" si="4"/>
        <v>6993.3182400000005</v>
      </c>
      <c r="AF36" s="109">
        <f>'FR-30'!$AU$16/'FR-30'!$AU$13</f>
        <v>0.33644524236983842</v>
      </c>
      <c r="AG36" s="110">
        <f t="shared" si="11"/>
        <v>20785.903200000001</v>
      </c>
      <c r="AH36" s="116">
        <f t="shared" si="6"/>
        <v>25.673019119608718</v>
      </c>
      <c r="AI36" s="110">
        <f>AH36*Assumptions!$H$7</f>
        <v>205.38415295686974</v>
      </c>
      <c r="AJ36" s="110">
        <f t="shared" si="12"/>
        <v>272.39952603231598</v>
      </c>
      <c r="AK36" s="109">
        <f t="shared" si="13"/>
        <v>0.98063829371633748</v>
      </c>
    </row>
    <row r="37" spans="2:37" s="18" customFormat="1">
      <c r="B37" s="75" t="s">
        <v>7257</v>
      </c>
      <c r="C37" s="56" t="s">
        <v>1561</v>
      </c>
      <c r="D37" s="56" t="s">
        <v>1562</v>
      </c>
      <c r="E37" s="56">
        <f t="shared" si="9"/>
        <v>1981</v>
      </c>
      <c r="F37" s="146">
        <f>'FR-31'!$AU$17/1000</f>
        <v>0.89</v>
      </c>
      <c r="G37" s="108">
        <f>'FR-31'!$AU$16/1000</f>
        <v>0.93700000000000006</v>
      </c>
      <c r="H37" s="198">
        <v>0.78700000000000003</v>
      </c>
      <c r="I37" s="109">
        <f>'FR-31'!$AU$20/100</f>
        <v>0.84219999999999995</v>
      </c>
      <c r="J37" s="109">
        <f>'FR-31'!$AU$21/100</f>
        <v>0.83019999999999994</v>
      </c>
      <c r="K37" s="108">
        <f t="shared" si="0"/>
        <v>0.89</v>
      </c>
      <c r="L37" s="95"/>
      <c r="M37" s="111"/>
      <c r="N37" s="111"/>
      <c r="O37" s="92"/>
      <c r="P37" s="92"/>
      <c r="Q37" s="92"/>
      <c r="R37" s="128">
        <f t="shared" si="1"/>
        <v>2021</v>
      </c>
      <c r="S37" s="110">
        <f t="shared" si="2"/>
        <v>40</v>
      </c>
      <c r="T37" s="112">
        <f t="shared" si="10"/>
        <v>0.98063829371633748</v>
      </c>
      <c r="U37" s="95">
        <v>1</v>
      </c>
      <c r="V37" s="113">
        <v>31.536000000000001</v>
      </c>
      <c r="X37" s="92" t="str">
        <f>'FR-31'!$AU$11</f>
        <v xml:space="preserve">PWR  </v>
      </c>
      <c r="Y37" s="92" t="str">
        <f>'FR-31'!$AU$12</f>
        <v>CP1</v>
      </c>
      <c r="Z37" s="92" t="str">
        <f>'FR-31'!$AU$7</f>
        <v>DAMPIERRE-4</v>
      </c>
      <c r="AA37" s="95">
        <v>40</v>
      </c>
      <c r="AB37" s="114">
        <f>'FR-31'!$AU$18</f>
        <v>29816</v>
      </c>
      <c r="AC37" s="115">
        <f t="shared" si="3"/>
        <v>44426</v>
      </c>
      <c r="AD37" s="92" t="str">
        <f>'FR-31'!$AU$19</f>
        <v>33735</v>
      </c>
      <c r="AE37" s="110">
        <f t="shared" si="4"/>
        <v>6814.3812239999997</v>
      </c>
      <c r="AF37" s="109">
        <f>'FR-31'!$AU$16/'FR-31'!$AU$13</f>
        <v>0.33644524236983842</v>
      </c>
      <c r="AG37" s="110">
        <f t="shared" si="11"/>
        <v>20254.05732</v>
      </c>
      <c r="AH37" s="116">
        <f t="shared" si="6"/>
        <v>25.016127315844081</v>
      </c>
      <c r="AI37" s="110">
        <f>AH37*Assumptions!$H$7</f>
        <v>200.12901852675265</v>
      </c>
      <c r="AJ37" s="110">
        <f t="shared" si="12"/>
        <v>272.39952603231598</v>
      </c>
      <c r="AK37" s="109">
        <f t="shared" si="13"/>
        <v>0.98063829371633748</v>
      </c>
    </row>
    <row r="38" spans="2:37" s="18" customFormat="1">
      <c r="B38" s="75" t="s">
        <v>7258</v>
      </c>
      <c r="C38" s="56" t="s">
        <v>1561</v>
      </c>
      <c r="D38" s="56" t="s">
        <v>1562</v>
      </c>
      <c r="E38" s="56">
        <f t="shared" si="9"/>
        <v>1977</v>
      </c>
      <c r="F38" s="146">
        <f>'FR-11'!$AU$17/1000</f>
        <v>0.88</v>
      </c>
      <c r="G38" s="108">
        <f>'FR-11'!$AU$16/1000</f>
        <v>0.92</v>
      </c>
      <c r="H38" s="198">
        <v>0.71799999999999997</v>
      </c>
      <c r="I38" s="109">
        <f>'FR-11'!$AU$20/100</f>
        <v>0.70680000000000009</v>
      </c>
      <c r="J38" s="109">
        <f>'FR-11'!$AU$21/100</f>
        <v>0.67220000000000002</v>
      </c>
      <c r="K38" s="108">
        <f t="shared" si="0"/>
        <v>0.88</v>
      </c>
      <c r="L38" s="95"/>
      <c r="M38" s="111"/>
      <c r="N38" s="111"/>
      <c r="O38" s="92"/>
      <c r="P38" s="92"/>
      <c r="Q38" s="92"/>
      <c r="R38" s="128">
        <f t="shared" si="1"/>
        <v>2017</v>
      </c>
      <c r="S38" s="110">
        <f t="shared" si="2"/>
        <v>40</v>
      </c>
      <c r="T38" s="112">
        <f t="shared" si="10"/>
        <v>1.3148390977443607</v>
      </c>
      <c r="U38" s="95">
        <v>1</v>
      </c>
      <c r="V38" s="113">
        <v>31.536000000000001</v>
      </c>
      <c r="X38" s="92" t="str">
        <f>'FR-11'!$AU$11</f>
        <v xml:space="preserve">PWR  </v>
      </c>
      <c r="Y38" s="92" t="str">
        <f>'FR-11'!$AU$12</f>
        <v>CP0</v>
      </c>
      <c r="Z38" s="92" t="str">
        <f>'FR-11'!$AU$7</f>
        <v>FESSENHEIM-1</v>
      </c>
      <c r="AA38" s="95">
        <v>40</v>
      </c>
      <c r="AB38" s="114">
        <f>'FR-11'!$AU$18</f>
        <v>28221</v>
      </c>
      <c r="AC38" s="115">
        <f t="shared" si="3"/>
        <v>42831</v>
      </c>
      <c r="AD38" s="92" t="str">
        <f>'FR-11'!$AU$19</f>
        <v>44000</v>
      </c>
      <c r="AE38" s="110">
        <f t="shared" si="4"/>
        <v>5417.3942400000005</v>
      </c>
      <c r="AF38" s="109">
        <f>'FR-11'!$AU$16/'FR-11'!$AU$13</f>
        <v>0.34586466165413532</v>
      </c>
      <c r="AG38" s="110">
        <f t="shared" si="11"/>
        <v>15663.335520000002</v>
      </c>
      <c r="AH38" s="116">
        <f t="shared" si="6"/>
        <v>14.832704090909093</v>
      </c>
      <c r="AI38" s="110">
        <f>AH38*Assumptions!$H$7</f>
        <v>118.66163272727275</v>
      </c>
      <c r="AJ38" s="110">
        <f t="shared" si="12"/>
        <v>365.23308270676688</v>
      </c>
      <c r="AK38" s="109">
        <f t="shared" si="13"/>
        <v>1.3148390977443607</v>
      </c>
    </row>
    <row r="39" spans="2:37" s="18" customFormat="1">
      <c r="B39" s="75" t="s">
        <v>7259</v>
      </c>
      <c r="C39" s="56" t="s">
        <v>1561</v>
      </c>
      <c r="D39" s="56" t="s">
        <v>1562</v>
      </c>
      <c r="E39" s="56">
        <f t="shared" si="9"/>
        <v>1977</v>
      </c>
      <c r="F39" s="146">
        <f>'FR-12'!$AU$17/1000</f>
        <v>0.88</v>
      </c>
      <c r="G39" s="108">
        <f>'FR-12'!$AU$16/1000</f>
        <v>0.92</v>
      </c>
      <c r="H39" s="198">
        <v>0.73599999999999999</v>
      </c>
      <c r="I39" s="109">
        <f>'FR-12'!$AU$20/100</f>
        <v>0.82769999999999999</v>
      </c>
      <c r="J39" s="109">
        <f>'FR-12'!$AU$21/100</f>
        <v>0.85270000000000001</v>
      </c>
      <c r="K39" s="108">
        <f t="shared" ref="K39:K65" si="14">F39</f>
        <v>0.88</v>
      </c>
      <c r="L39" s="95"/>
      <c r="M39" s="111"/>
      <c r="N39" s="111"/>
      <c r="O39" s="92"/>
      <c r="P39" s="92"/>
      <c r="Q39" s="92"/>
      <c r="R39" s="128">
        <f t="shared" ref="R39:R68" si="15">YEAR(AC39)</f>
        <v>2017</v>
      </c>
      <c r="S39" s="110">
        <f t="shared" ref="S39:S68" si="16">R39-E39</f>
        <v>40</v>
      </c>
      <c r="T39" s="112">
        <f t="shared" si="10"/>
        <v>1.3148390977443609</v>
      </c>
      <c r="U39" s="95">
        <v>1</v>
      </c>
      <c r="V39" s="113">
        <v>31.536000000000001</v>
      </c>
      <c r="X39" s="92" t="str">
        <f>'FR-12'!$AU$11</f>
        <v xml:space="preserve">PWR  </v>
      </c>
      <c r="Y39" s="92" t="str">
        <f>'FR-12'!$AU$12</f>
        <v>CP0</v>
      </c>
      <c r="Z39" s="92" t="str">
        <f>'FR-12'!$AU$7</f>
        <v>FESSENHEIM-2</v>
      </c>
      <c r="AA39" s="95">
        <v>40</v>
      </c>
      <c r="AB39" s="114">
        <f>'FR-12'!$AU$18</f>
        <v>28405</v>
      </c>
      <c r="AC39" s="115">
        <f t="shared" si="3"/>
        <v>43015</v>
      </c>
      <c r="AD39" s="92" t="str">
        <f>'FR-12'!$AU$19</f>
        <v>44000</v>
      </c>
      <c r="AE39" s="110">
        <f t="shared" si="4"/>
        <v>6872.0798400000003</v>
      </c>
      <c r="AF39" s="109">
        <f>'FR-12'!$AU$16/'FR-12'!$AU$13</f>
        <v>0.34586466165413532</v>
      </c>
      <c r="AG39" s="110">
        <f t="shared" si="11"/>
        <v>19869.27432</v>
      </c>
      <c r="AH39" s="116">
        <f t="shared" si="6"/>
        <v>18.815600681818182</v>
      </c>
      <c r="AI39" s="110">
        <f>AH39*Assumptions!$H$7</f>
        <v>150.52480545454546</v>
      </c>
      <c r="AJ39" s="110">
        <f t="shared" si="12"/>
        <v>365.23308270676694</v>
      </c>
      <c r="AK39" s="109">
        <f t="shared" si="13"/>
        <v>1.3148390977443609</v>
      </c>
    </row>
    <row r="40" spans="2:37" s="18" customFormat="1">
      <c r="B40" s="75" t="s">
        <v>7260</v>
      </c>
      <c r="C40" s="56" t="s">
        <v>1561</v>
      </c>
      <c r="D40" s="56" t="s">
        <v>1562</v>
      </c>
      <c r="E40" s="56">
        <f t="shared" si="9"/>
        <v>1985</v>
      </c>
      <c r="F40" s="147">
        <f>'FR-46'!$AU$17/1000</f>
        <v>1.33</v>
      </c>
      <c r="G40" s="108">
        <f>'FR-46'!$AU$16/1000</f>
        <v>1.3819999999999999</v>
      </c>
      <c r="H40" s="198">
        <v>0.76200000000000001</v>
      </c>
      <c r="I40" s="109">
        <f>'FR-46'!$AU$20/100</f>
        <v>0.78099999999999992</v>
      </c>
      <c r="J40" s="109">
        <f>'FR-46'!$AU$21/100</f>
        <v>0.73129999999999995</v>
      </c>
      <c r="K40" s="108">
        <f t="shared" si="14"/>
        <v>1.33</v>
      </c>
      <c r="L40" s="95"/>
      <c r="M40" s="111"/>
      <c r="N40" s="111"/>
      <c r="O40" s="92"/>
      <c r="P40" s="92"/>
      <c r="Q40" s="92"/>
      <c r="R40" s="128">
        <f t="shared" si="15"/>
        <v>2015</v>
      </c>
      <c r="S40" s="110">
        <f t="shared" si="16"/>
        <v>30</v>
      </c>
      <c r="T40" s="112">
        <f t="shared" si="10"/>
        <v>1.0323181556195966</v>
      </c>
      <c r="U40" s="95">
        <v>1</v>
      </c>
      <c r="V40" s="113">
        <v>31.536000000000001</v>
      </c>
      <c r="X40" s="92" t="str">
        <f>'FR-46'!$AU$11</f>
        <v xml:space="preserve">PWR  </v>
      </c>
      <c r="Y40" s="92" t="str">
        <f>'FR-46'!$AU$12</f>
        <v>P4 REP 1300</v>
      </c>
      <c r="Z40" s="92" t="str">
        <f>'FR-46'!$AU$7</f>
        <v>FLAMANVILLE-1</v>
      </c>
      <c r="AA40" s="95">
        <v>30</v>
      </c>
      <c r="AB40" s="114">
        <f>'FR-46'!$AU$18</f>
        <v>31385</v>
      </c>
      <c r="AC40" s="115">
        <f t="shared" ref="AC40:AC68" si="17">DATE(YEAR(AB40)+AA40,MONTH(AB40),DAY(AB40))</f>
        <v>42342</v>
      </c>
      <c r="AD40" s="92" t="str">
        <f>'FR-46'!$AU$19</f>
        <v>33000</v>
      </c>
      <c r="AE40" s="110">
        <f t="shared" ref="AE40:AE65" si="18">G40*J40*8760</f>
        <v>8853.3518159999985</v>
      </c>
      <c r="AF40" s="109">
        <f>'FR-46'!$AU$16/'FR-46'!$AU$13</f>
        <v>0.36206444851977992</v>
      </c>
      <c r="AG40" s="110">
        <f t="shared" si="11"/>
        <v>24452.419595999996</v>
      </c>
      <c r="AH40" s="116">
        <f t="shared" ref="AH40:AH65" si="19">AG40/(AD40*24)*1000</f>
        <v>30.874267166666659</v>
      </c>
      <c r="AI40" s="110">
        <f>AH40*Assumptions!$H$7</f>
        <v>246.99413733333327</v>
      </c>
      <c r="AJ40" s="110">
        <f t="shared" si="12"/>
        <v>286.75504322766574</v>
      </c>
      <c r="AK40" s="109">
        <f t="shared" si="13"/>
        <v>1.0323181556195966</v>
      </c>
    </row>
    <row r="41" spans="2:37" s="18" customFormat="1">
      <c r="B41" s="75" t="s">
        <v>7261</v>
      </c>
      <c r="C41" s="56" t="s">
        <v>1561</v>
      </c>
      <c r="D41" s="56" t="s">
        <v>1562</v>
      </c>
      <c r="E41" s="56">
        <f t="shared" si="9"/>
        <v>1986</v>
      </c>
      <c r="F41" s="147">
        <f>'FR-47'!$AU$17/1000</f>
        <v>1.33</v>
      </c>
      <c r="G41" s="108">
        <f>'FR-47'!$AU$16/1000</f>
        <v>1.3819999999999999</v>
      </c>
      <c r="H41" s="198">
        <v>0.78099999999999992</v>
      </c>
      <c r="I41" s="109">
        <f>'FR-47'!$AU$20/100</f>
        <v>0.83939999999999992</v>
      </c>
      <c r="J41" s="109">
        <f>'FR-47'!$AU$21/100</f>
        <v>0.65180000000000005</v>
      </c>
      <c r="K41" s="108">
        <f t="shared" si="14"/>
        <v>1.33</v>
      </c>
      <c r="L41" s="95"/>
      <c r="M41" s="111"/>
      <c r="N41" s="111"/>
      <c r="O41" s="92"/>
      <c r="P41" s="92"/>
      <c r="Q41" s="92"/>
      <c r="R41" s="128">
        <f t="shared" si="15"/>
        <v>2016</v>
      </c>
      <c r="S41" s="110">
        <f t="shared" si="16"/>
        <v>30</v>
      </c>
      <c r="T41" s="112">
        <f>AK41</f>
        <v>1.0323181556195964</v>
      </c>
      <c r="U41" s="95">
        <v>1</v>
      </c>
      <c r="V41" s="113">
        <v>31.536000000000001</v>
      </c>
      <c r="X41" s="92" t="str">
        <f>'FR-47'!$AU$11</f>
        <v xml:space="preserve">PWR  </v>
      </c>
      <c r="Y41" s="92" t="str">
        <f>'FR-47'!$AU$12</f>
        <v>P4 REP 1300</v>
      </c>
      <c r="Z41" s="92" t="str">
        <f>'FR-47'!$AU$7</f>
        <v>FLAMANVILLE-2</v>
      </c>
      <c r="AA41" s="95">
        <v>30</v>
      </c>
      <c r="AB41" s="114">
        <f>'FR-47'!$AU$18</f>
        <v>31611</v>
      </c>
      <c r="AC41" s="115">
        <f t="shared" si="17"/>
        <v>42569</v>
      </c>
      <c r="AD41" s="92" t="str">
        <f>'FR-47'!$AU$19</f>
        <v>33000</v>
      </c>
      <c r="AE41" s="110">
        <f t="shared" si="18"/>
        <v>7890.8993760000003</v>
      </c>
      <c r="AF41" s="109">
        <f>'FR-47'!$AU$16/'FR-47'!$AU$13</f>
        <v>0.36206444851977992</v>
      </c>
      <c r="AG41" s="110">
        <f t="shared" si="11"/>
        <v>21794.184456000003</v>
      </c>
      <c r="AH41" s="116">
        <f t="shared" si="19"/>
        <v>27.517909666666672</v>
      </c>
      <c r="AI41" s="110">
        <f>AH41*Assumptions!$H$7</f>
        <v>220.14327733333337</v>
      </c>
      <c r="AJ41" s="110">
        <f t="shared" si="12"/>
        <v>286.75504322766568</v>
      </c>
      <c r="AK41" s="109">
        <f t="shared" si="13"/>
        <v>1.0323181556195964</v>
      </c>
    </row>
    <row r="42" spans="2:37" s="18" customFormat="1">
      <c r="B42" s="75" t="s">
        <v>7262</v>
      </c>
      <c r="C42" s="56" t="s">
        <v>1561</v>
      </c>
      <c r="D42" s="56" t="s">
        <v>1562</v>
      </c>
      <c r="E42" s="56">
        <f t="shared" si="9"/>
        <v>1990</v>
      </c>
      <c r="F42" s="147">
        <f>'FR-61'!$AU$17/1000</f>
        <v>1.31</v>
      </c>
      <c r="G42" s="108">
        <f>'FR-61'!$AU$16/1000</f>
        <v>1.363</v>
      </c>
      <c r="H42" s="198">
        <v>0.86</v>
      </c>
      <c r="I42" s="109">
        <f>'FR-61'!$AU$20/100</f>
        <v>0.754</v>
      </c>
      <c r="J42" s="109">
        <f>'FR-61'!$AU$21/100</f>
        <v>0.77459999999999996</v>
      </c>
      <c r="K42" s="108">
        <f t="shared" si="14"/>
        <v>1.31</v>
      </c>
      <c r="L42" s="95"/>
      <c r="M42" s="111"/>
      <c r="N42" s="111"/>
      <c r="O42" s="92"/>
      <c r="P42" s="92"/>
      <c r="Q42" s="92"/>
      <c r="R42" s="128">
        <f t="shared" si="15"/>
        <v>2020</v>
      </c>
      <c r="S42" s="110">
        <f t="shared" si="16"/>
        <v>30</v>
      </c>
      <c r="T42" s="112">
        <f t="shared" si="10"/>
        <v>1.0181256484149859</v>
      </c>
      <c r="U42" s="95">
        <v>1</v>
      </c>
      <c r="V42" s="113">
        <v>31.536000000000001</v>
      </c>
      <c r="X42" s="92" t="str">
        <f>'FR-61'!$AU$11</f>
        <v xml:space="preserve">PWR  </v>
      </c>
      <c r="Y42" s="92" t="str">
        <f>'FR-61'!$AU$12</f>
        <v>P'4 REP 1300</v>
      </c>
      <c r="Z42" s="92" t="str">
        <f>'FR-61'!$AU$7</f>
        <v>GOLFECH-1</v>
      </c>
      <c r="AA42" s="95">
        <v>30</v>
      </c>
      <c r="AB42" s="114">
        <f>'FR-61'!$AU$18</f>
        <v>33031</v>
      </c>
      <c r="AC42" s="115">
        <f t="shared" si="17"/>
        <v>43989</v>
      </c>
      <c r="AD42" s="92" t="str">
        <f>'FR-61'!$AU$19</f>
        <v>33000</v>
      </c>
      <c r="AE42" s="110">
        <f t="shared" si="18"/>
        <v>9248.6310479999993</v>
      </c>
      <c r="AF42" s="109">
        <f>'FR-61'!$AU$16/'FR-61'!$AU$13</f>
        <v>0.35708671731726488</v>
      </c>
      <c r="AG42" s="110">
        <f t="shared" si="11"/>
        <v>25900.238231999996</v>
      </c>
      <c r="AH42" s="116">
        <f t="shared" si="19"/>
        <v>32.702320999999991</v>
      </c>
      <c r="AI42" s="110">
        <f>AH42*Assumptions!$H$7</f>
        <v>261.61856799999993</v>
      </c>
      <c r="AJ42" s="110">
        <f t="shared" si="12"/>
        <v>282.81268011527385</v>
      </c>
      <c r="AK42" s="109">
        <f t="shared" si="13"/>
        <v>1.0181256484149859</v>
      </c>
    </row>
    <row r="43" spans="2:37" s="18" customFormat="1">
      <c r="B43" s="75" t="s">
        <v>7263</v>
      </c>
      <c r="C43" s="56" t="s">
        <v>1561</v>
      </c>
      <c r="D43" s="56" t="s">
        <v>1562</v>
      </c>
      <c r="E43" s="56">
        <f t="shared" si="9"/>
        <v>1993</v>
      </c>
      <c r="F43" s="147">
        <f>'FR-68'!$AU$17/1000</f>
        <v>1.31</v>
      </c>
      <c r="G43" s="108">
        <f>'FR-68'!$AU$16/1000</f>
        <v>1.363</v>
      </c>
      <c r="H43" s="198">
        <v>0.8590000000000001</v>
      </c>
      <c r="I43" s="109">
        <f>'FR-68'!$AU$20/100</f>
        <v>0.86580000000000001</v>
      </c>
      <c r="J43" s="109">
        <f>'FR-68'!$AU$21/100</f>
        <v>0.79090000000000005</v>
      </c>
      <c r="K43" s="108">
        <f t="shared" si="14"/>
        <v>1.31</v>
      </c>
      <c r="L43" s="95"/>
      <c r="M43" s="111"/>
      <c r="N43" s="111"/>
      <c r="O43" s="92"/>
      <c r="P43" s="92"/>
      <c r="Q43" s="92"/>
      <c r="R43" s="128">
        <f t="shared" si="15"/>
        <v>2023</v>
      </c>
      <c r="S43" s="110">
        <f t="shared" si="16"/>
        <v>30</v>
      </c>
      <c r="T43" s="112">
        <f t="shared" si="10"/>
        <v>1.0181256484149857</v>
      </c>
      <c r="U43" s="95">
        <v>1</v>
      </c>
      <c r="V43" s="113">
        <v>31.536000000000001</v>
      </c>
      <c r="X43" s="92" t="str">
        <f>'FR-68'!$AU$11</f>
        <v xml:space="preserve">PWR  </v>
      </c>
      <c r="Y43" s="92" t="str">
        <f>'FR-68'!$AU$12</f>
        <v>P'4 REP 1300</v>
      </c>
      <c r="Z43" s="92" t="str">
        <f>'FR-68'!$AU$7</f>
        <v>GOLFECH-2</v>
      </c>
      <c r="AA43" s="95">
        <v>30</v>
      </c>
      <c r="AB43" s="114">
        <f>'FR-68'!$AU$18</f>
        <v>34138</v>
      </c>
      <c r="AC43" s="115">
        <f t="shared" si="17"/>
        <v>45095</v>
      </c>
      <c r="AD43" s="92" t="str">
        <f>'FR-68'!$AU$19</f>
        <v>33000</v>
      </c>
      <c r="AE43" s="110">
        <f t="shared" si="18"/>
        <v>9443.2510920000004</v>
      </c>
      <c r="AF43" s="109">
        <f>'FR-68'!$AU$16/'FR-68'!$AU$13</f>
        <v>0.35708671731726488</v>
      </c>
      <c r="AG43" s="110">
        <f t="shared" si="11"/>
        <v>26445.260028000001</v>
      </c>
      <c r="AH43" s="116">
        <f t="shared" si="19"/>
        <v>33.39047983333333</v>
      </c>
      <c r="AI43" s="110">
        <f>AH43*Assumptions!$H$7</f>
        <v>267.12383866666664</v>
      </c>
      <c r="AJ43" s="110">
        <f t="shared" si="12"/>
        <v>282.81268011527379</v>
      </c>
      <c r="AK43" s="109">
        <f t="shared" si="13"/>
        <v>1.0181256484149857</v>
      </c>
    </row>
    <row r="44" spans="2:37" s="18" customFormat="1">
      <c r="B44" s="75" t="s">
        <v>7264</v>
      </c>
      <c r="C44" s="56" t="s">
        <v>1561</v>
      </c>
      <c r="D44" s="56" t="s">
        <v>1562</v>
      </c>
      <c r="E44" s="56">
        <f t="shared" si="9"/>
        <v>1980</v>
      </c>
      <c r="F44" s="146">
        <f>'FR-20'!$AU$17/1000</f>
        <v>0.91</v>
      </c>
      <c r="G44" s="108">
        <f>'FR-20'!$AU$16/1000</f>
        <v>0.95099999999999996</v>
      </c>
      <c r="H44" s="198">
        <v>0.77300000000000002</v>
      </c>
      <c r="I44" s="109">
        <f>'FR-20'!$AU$20/100</f>
        <v>0.77629999999999999</v>
      </c>
      <c r="J44" s="109">
        <f>'FR-20'!$AU$21/100</f>
        <v>0.79469999999999996</v>
      </c>
      <c r="K44" s="108">
        <f t="shared" si="14"/>
        <v>0.91</v>
      </c>
      <c r="L44" s="95"/>
      <c r="M44" s="111"/>
      <c r="N44" s="111"/>
      <c r="O44" s="92"/>
      <c r="P44" s="92"/>
      <c r="Q44" s="92"/>
      <c r="R44" s="128">
        <f t="shared" si="15"/>
        <v>2020</v>
      </c>
      <c r="S44" s="110">
        <f t="shared" si="16"/>
        <v>40</v>
      </c>
      <c r="T44" s="112">
        <f t="shared" si="10"/>
        <v>0.99529030664272888</v>
      </c>
      <c r="U44" s="95">
        <v>1</v>
      </c>
      <c r="V44" s="113">
        <v>31.536000000000001</v>
      </c>
      <c r="X44" s="92" t="str">
        <f>'FR-20'!$AU$11</f>
        <v xml:space="preserve">PWR  </v>
      </c>
      <c r="Y44" s="92" t="str">
        <f>'FR-20'!$AU$12</f>
        <v>CP1</v>
      </c>
      <c r="Z44" s="92" t="str">
        <f>'FR-20'!$AU$7</f>
        <v>GRAVELINES-1</v>
      </c>
      <c r="AA44" s="95">
        <v>40</v>
      </c>
      <c r="AB44" s="114">
        <f>'FR-20'!$AU$18</f>
        <v>29293</v>
      </c>
      <c r="AC44" s="115">
        <f t="shared" si="17"/>
        <v>43903</v>
      </c>
      <c r="AD44" s="92" t="str">
        <f>'FR-20'!$AU$19</f>
        <v>33735</v>
      </c>
      <c r="AE44" s="110">
        <f t="shared" si="18"/>
        <v>6620.4549719999995</v>
      </c>
      <c r="AF44" s="109">
        <f>'FR-20'!$AU$16/'FR-20'!$AU$13</f>
        <v>0.34147217235188509</v>
      </c>
      <c r="AG44" s="110">
        <f t="shared" si="11"/>
        <v>19387.978019999999</v>
      </c>
      <c r="AH44" s="116">
        <f t="shared" si="19"/>
        <v>23.946418185860381</v>
      </c>
      <c r="AI44" s="110">
        <f>AH44*Assumptions!$H$7</f>
        <v>191.57134548688305</v>
      </c>
      <c r="AJ44" s="110">
        <f t="shared" si="12"/>
        <v>276.46952962298025</v>
      </c>
      <c r="AK44" s="109">
        <f t="shared" si="13"/>
        <v>0.99529030664272888</v>
      </c>
    </row>
    <row r="45" spans="2:37" s="18" customFormat="1">
      <c r="B45" s="75" t="s">
        <v>7265</v>
      </c>
      <c r="C45" s="56" t="s">
        <v>1561</v>
      </c>
      <c r="D45" s="56" t="s">
        <v>1562</v>
      </c>
      <c r="E45" s="56">
        <f t="shared" si="9"/>
        <v>1980</v>
      </c>
      <c r="F45" s="146">
        <f>'FR-21'!$AU$17/1000</f>
        <v>0.91</v>
      </c>
      <c r="G45" s="108">
        <f>'FR-21'!$AU$16/1000</f>
        <v>0.95099999999999996</v>
      </c>
      <c r="H45" s="198">
        <v>0.80700000000000005</v>
      </c>
      <c r="I45" s="109">
        <f>'FR-21'!$AU$20/100</f>
        <v>0.83069999999999988</v>
      </c>
      <c r="J45" s="109">
        <f>'FR-21'!$AU$21/100</f>
        <v>0.6552</v>
      </c>
      <c r="K45" s="108">
        <f t="shared" si="14"/>
        <v>0.91</v>
      </c>
      <c r="L45" s="95"/>
      <c r="M45" s="111"/>
      <c r="N45" s="111"/>
      <c r="O45" s="92"/>
      <c r="P45" s="92"/>
      <c r="Q45" s="92"/>
      <c r="R45" s="128">
        <f t="shared" si="15"/>
        <v>2020</v>
      </c>
      <c r="S45" s="110">
        <f t="shared" si="16"/>
        <v>40</v>
      </c>
      <c r="T45" s="112">
        <f t="shared" si="10"/>
        <v>0.99529030664272888</v>
      </c>
      <c r="U45" s="95">
        <v>1</v>
      </c>
      <c r="V45" s="113">
        <v>31.536000000000001</v>
      </c>
      <c r="X45" s="92" t="str">
        <f>'FR-21'!$AU$11</f>
        <v xml:space="preserve">PWR  </v>
      </c>
      <c r="Y45" s="92" t="str">
        <f>'FR-21'!$AU$12</f>
        <v>CP1</v>
      </c>
      <c r="Z45" s="92" t="str">
        <f>'FR-21'!$AU$7</f>
        <v>GRAVELINES-2</v>
      </c>
      <c r="AA45" s="95">
        <v>40</v>
      </c>
      <c r="AB45" s="114">
        <f>'FR-21'!$AU$18</f>
        <v>29459</v>
      </c>
      <c r="AC45" s="115">
        <f t="shared" si="17"/>
        <v>44069</v>
      </c>
      <c r="AD45" s="92" t="str">
        <f>'FR-21'!$AU$19</f>
        <v>33735</v>
      </c>
      <c r="AE45" s="110">
        <f t="shared" si="18"/>
        <v>5458.3139519999995</v>
      </c>
      <c r="AF45" s="109">
        <f>'FR-21'!$AU$16/'FR-21'!$AU$13</f>
        <v>0.34147217235188509</v>
      </c>
      <c r="AG45" s="110">
        <f t="shared" si="11"/>
        <v>15984.652319999999</v>
      </c>
      <c r="AH45" s="116">
        <f t="shared" si="19"/>
        <v>19.742913294797688</v>
      </c>
      <c r="AI45" s="110">
        <f>AH45*Assumptions!$H$7</f>
        <v>157.94330635838151</v>
      </c>
      <c r="AJ45" s="110">
        <f t="shared" si="12"/>
        <v>276.46952962298025</v>
      </c>
      <c r="AK45" s="109">
        <f t="shared" si="13"/>
        <v>0.99529030664272888</v>
      </c>
    </row>
    <row r="46" spans="2:37" s="18" customFormat="1">
      <c r="B46" s="75" t="s">
        <v>7266</v>
      </c>
      <c r="C46" s="56" t="s">
        <v>1561</v>
      </c>
      <c r="D46" s="56" t="s">
        <v>1562</v>
      </c>
      <c r="E46" s="56">
        <f t="shared" si="9"/>
        <v>1980</v>
      </c>
      <c r="F46" s="146">
        <f>'FR-27'!$AU$17/1000</f>
        <v>0.91</v>
      </c>
      <c r="G46" s="108">
        <f>'FR-27'!$AU$16/1000</f>
        <v>0.95099999999999996</v>
      </c>
      <c r="H46" s="198">
        <v>0.80099999999999993</v>
      </c>
      <c r="I46" s="109">
        <f>'FR-27'!$AU$20/100</f>
        <v>0.76209999999999989</v>
      </c>
      <c r="J46" s="109">
        <f>'FR-27'!$AU$21/100</f>
        <v>0.7137</v>
      </c>
      <c r="K46" s="108">
        <f t="shared" si="14"/>
        <v>0.91</v>
      </c>
      <c r="L46" s="95"/>
      <c r="M46" s="111"/>
      <c r="N46" s="111"/>
      <c r="O46" s="92"/>
      <c r="P46" s="92"/>
      <c r="Q46" s="92"/>
      <c r="R46" s="128">
        <f t="shared" si="15"/>
        <v>2020</v>
      </c>
      <c r="S46" s="110">
        <f t="shared" si="16"/>
        <v>40</v>
      </c>
      <c r="T46" s="112">
        <f t="shared" si="10"/>
        <v>0.99529030664272888</v>
      </c>
      <c r="U46" s="95">
        <v>1</v>
      </c>
      <c r="V46" s="113">
        <v>31.536000000000001</v>
      </c>
      <c r="X46" s="92" t="str">
        <f>'FR-27'!$AU$11</f>
        <v xml:space="preserve">PWR  </v>
      </c>
      <c r="Y46" s="92" t="str">
        <f>'FR-27'!$AU$12</f>
        <v>CP1</v>
      </c>
      <c r="Z46" s="92" t="str">
        <f>'FR-27'!$AU$7</f>
        <v>GRAVELINES-3</v>
      </c>
      <c r="AA46" s="95">
        <v>40</v>
      </c>
      <c r="AB46" s="114">
        <f>'FR-27'!$AU$18</f>
        <v>29567</v>
      </c>
      <c r="AC46" s="115">
        <f t="shared" si="17"/>
        <v>44177</v>
      </c>
      <c r="AD46" s="92" t="str">
        <f>'FR-27'!$AU$19</f>
        <v>33735</v>
      </c>
      <c r="AE46" s="110">
        <f t="shared" si="18"/>
        <v>5945.6634119999999</v>
      </c>
      <c r="AF46" s="109">
        <f>'FR-27'!$AU$16/'FR-27'!$AU$13</f>
        <v>0.34147217235188509</v>
      </c>
      <c r="AG46" s="110">
        <f t="shared" si="11"/>
        <v>17411.853419999999</v>
      </c>
      <c r="AH46" s="116">
        <f t="shared" si="19"/>
        <v>21.505673410404622</v>
      </c>
      <c r="AI46" s="110">
        <f>AH46*Assumptions!$H$7</f>
        <v>172.04538728323698</v>
      </c>
      <c r="AJ46" s="110">
        <f t="shared" si="12"/>
        <v>276.46952962298025</v>
      </c>
      <c r="AK46" s="109">
        <f t="shared" si="13"/>
        <v>0.99529030664272888</v>
      </c>
    </row>
    <row r="47" spans="2:37" s="18" customFormat="1">
      <c r="B47" s="75" t="s">
        <v>7267</v>
      </c>
      <c r="C47" s="56" t="s">
        <v>1561</v>
      </c>
      <c r="D47" s="56" t="s">
        <v>1562</v>
      </c>
      <c r="E47" s="56">
        <f t="shared" si="9"/>
        <v>1981</v>
      </c>
      <c r="F47" s="146">
        <f>'FR-28'!$AU$17/1000</f>
        <v>0.91</v>
      </c>
      <c r="G47" s="108">
        <f>'FR-28'!$AU$16/1000</f>
        <v>0.95099999999999996</v>
      </c>
      <c r="H47" s="198">
        <v>0.81</v>
      </c>
      <c r="I47" s="109">
        <f>'FR-28'!$AU$20/100</f>
        <v>0.8075</v>
      </c>
      <c r="J47" s="109">
        <f>'FR-28'!$AU$21/100</f>
        <v>0.85120000000000007</v>
      </c>
      <c r="K47" s="108">
        <f t="shared" si="14"/>
        <v>0.91</v>
      </c>
      <c r="L47" s="95"/>
      <c r="M47" s="111"/>
      <c r="N47" s="111"/>
      <c r="O47" s="92"/>
      <c r="P47" s="92"/>
      <c r="Q47" s="92"/>
      <c r="R47" s="128">
        <f t="shared" si="15"/>
        <v>2021</v>
      </c>
      <c r="S47" s="110">
        <f t="shared" si="16"/>
        <v>40</v>
      </c>
      <c r="T47" s="112">
        <f t="shared" si="10"/>
        <v>0.99529030664272888</v>
      </c>
      <c r="U47" s="95">
        <v>1</v>
      </c>
      <c r="V47" s="113">
        <v>31.536000000000001</v>
      </c>
      <c r="X47" s="92" t="str">
        <f>'FR-28'!$AU$11</f>
        <v xml:space="preserve">PWR  </v>
      </c>
      <c r="Y47" s="92" t="str">
        <f>'FR-28'!$AU$12</f>
        <v>CP1</v>
      </c>
      <c r="Z47" s="92" t="str">
        <f>'FR-28'!$AU$7</f>
        <v>GRAVELINES-4</v>
      </c>
      <c r="AA47" s="95">
        <v>40</v>
      </c>
      <c r="AB47" s="114">
        <f>'FR-28'!$AU$18</f>
        <v>29751</v>
      </c>
      <c r="AC47" s="115">
        <f t="shared" si="17"/>
        <v>44361</v>
      </c>
      <c r="AD47" s="92" t="str">
        <f>'FR-28'!$AU$19</f>
        <v>33735</v>
      </c>
      <c r="AE47" s="110">
        <f t="shared" si="18"/>
        <v>7091.1429120000003</v>
      </c>
      <c r="AF47" s="109">
        <f>'FR-28'!$AU$16/'FR-28'!$AU$13</f>
        <v>0.34147217235188509</v>
      </c>
      <c r="AG47" s="110">
        <f t="shared" si="11"/>
        <v>20766.385920000001</v>
      </c>
      <c r="AH47" s="116">
        <f t="shared" si="19"/>
        <v>25.648912998369646</v>
      </c>
      <c r="AI47" s="110">
        <f>AH47*Assumptions!$H$7</f>
        <v>205.19130398695717</v>
      </c>
      <c r="AJ47" s="110">
        <f t="shared" si="12"/>
        <v>276.46952962298025</v>
      </c>
      <c r="AK47" s="109">
        <f t="shared" si="13"/>
        <v>0.99529030664272888</v>
      </c>
    </row>
    <row r="48" spans="2:37" s="18" customFormat="1">
      <c r="B48" s="75" t="s">
        <v>7268</v>
      </c>
      <c r="C48" s="56" t="s">
        <v>1561</v>
      </c>
      <c r="D48" s="56" t="s">
        <v>1562</v>
      </c>
      <c r="E48" s="56">
        <f t="shared" si="9"/>
        <v>1984</v>
      </c>
      <c r="F48" s="146">
        <f>'FR-51'!$AU$17/1000</f>
        <v>0.91</v>
      </c>
      <c r="G48" s="108">
        <f>'FR-51'!$AU$16/1000</f>
        <v>0.95099999999999996</v>
      </c>
      <c r="H48" s="198">
        <v>0.82599999999999996</v>
      </c>
      <c r="I48" s="109">
        <f>'FR-51'!$AU$20/100</f>
        <v>0.80400000000000005</v>
      </c>
      <c r="J48" s="109">
        <f>'FR-51'!$AU$21/100</f>
        <v>0.78129999999999999</v>
      </c>
      <c r="K48" s="108">
        <f t="shared" si="14"/>
        <v>0.91</v>
      </c>
      <c r="L48" s="95"/>
      <c r="M48" s="111"/>
      <c r="N48" s="111"/>
      <c r="O48" s="92"/>
      <c r="P48" s="92"/>
      <c r="Q48" s="92"/>
      <c r="R48" s="128">
        <f t="shared" si="15"/>
        <v>2024</v>
      </c>
      <c r="S48" s="110">
        <f t="shared" si="16"/>
        <v>40</v>
      </c>
      <c r="T48" s="112">
        <f t="shared" si="10"/>
        <v>1.3866501974865353</v>
      </c>
      <c r="U48" s="95">
        <v>1</v>
      </c>
      <c r="V48" s="113">
        <v>31.536000000000001</v>
      </c>
      <c r="X48" s="92" t="str">
        <f>'FR-51'!$AU$11</f>
        <v xml:space="preserve">PWR  </v>
      </c>
      <c r="Y48" s="92" t="str">
        <f>'FR-51'!$AU$12</f>
        <v>CP1</v>
      </c>
      <c r="Z48" s="92" t="str">
        <f>'FR-51'!$AU$7</f>
        <v>GRAVELINES-5</v>
      </c>
      <c r="AA48" s="95">
        <v>40</v>
      </c>
      <c r="AB48" s="114">
        <f>'FR-51'!$AU$18</f>
        <v>30922</v>
      </c>
      <c r="AC48" s="115">
        <f t="shared" si="17"/>
        <v>45532</v>
      </c>
      <c r="AD48" s="92" t="str">
        <f>'FR-51'!$AU$19</f>
        <v>47000</v>
      </c>
      <c r="AE48" s="110">
        <f t="shared" si="18"/>
        <v>6508.8227879999995</v>
      </c>
      <c r="AF48" s="109">
        <f>'FR-51'!$AU$16/'FR-51'!$AU$13</f>
        <v>0.34147217235188509</v>
      </c>
      <c r="AG48" s="110">
        <f t="shared" si="11"/>
        <v>19061.063579999998</v>
      </c>
      <c r="AH48" s="116">
        <f t="shared" si="19"/>
        <v>16.898106010638294</v>
      </c>
      <c r="AI48" s="110">
        <f>AH48*Assumptions!$H$7</f>
        <v>135.18484808510635</v>
      </c>
      <c r="AJ48" s="110">
        <f t="shared" si="12"/>
        <v>385.18061041292646</v>
      </c>
      <c r="AK48" s="109">
        <f t="shared" si="13"/>
        <v>1.3866501974865353</v>
      </c>
    </row>
    <row r="49" spans="2:37" s="18" customFormat="1">
      <c r="B49" s="75" t="s">
        <v>7269</v>
      </c>
      <c r="C49" s="56" t="s">
        <v>1561</v>
      </c>
      <c r="D49" s="56" t="s">
        <v>1562</v>
      </c>
      <c r="E49" s="56">
        <f t="shared" si="9"/>
        <v>1985</v>
      </c>
      <c r="F49" s="146">
        <f>'FR-52'!$AU$17/1000</f>
        <v>0.91</v>
      </c>
      <c r="G49" s="108">
        <f>'FR-52'!$AU$16/1000</f>
        <v>0.95099999999999996</v>
      </c>
      <c r="H49" s="198">
        <v>0.81900000000000006</v>
      </c>
      <c r="I49" s="109">
        <f>'FR-52'!$AU$20/100</f>
        <v>0.82</v>
      </c>
      <c r="J49" s="109">
        <f>'FR-52'!$AU$21/100</f>
        <v>0.79830000000000001</v>
      </c>
      <c r="K49" s="108">
        <f t="shared" si="14"/>
        <v>0.91</v>
      </c>
      <c r="L49" s="95"/>
      <c r="M49" s="111"/>
      <c r="N49" s="111"/>
      <c r="O49" s="92"/>
      <c r="P49" s="92"/>
      <c r="Q49" s="92"/>
      <c r="R49" s="128">
        <f t="shared" si="15"/>
        <v>2025</v>
      </c>
      <c r="S49" s="110">
        <f t="shared" si="16"/>
        <v>40</v>
      </c>
      <c r="T49" s="112">
        <f t="shared" si="10"/>
        <v>1.3866501974865346</v>
      </c>
      <c r="U49" s="95">
        <v>1</v>
      </c>
      <c r="V49" s="113">
        <v>31.536000000000001</v>
      </c>
      <c r="X49" s="92" t="str">
        <f>'FR-52'!$AU$11</f>
        <v xml:space="preserve">PWR  </v>
      </c>
      <c r="Y49" s="92" t="str">
        <f>'FR-52'!$AU$12</f>
        <v>CP1</v>
      </c>
      <c r="Z49" s="92" t="str">
        <f>'FR-52'!$AU$7</f>
        <v>GRAVELINES-6</v>
      </c>
      <c r="AA49" s="95">
        <v>40</v>
      </c>
      <c r="AB49" s="114">
        <f>'FR-52'!$AU$18</f>
        <v>31260</v>
      </c>
      <c r="AC49" s="115">
        <f t="shared" si="17"/>
        <v>45870</v>
      </c>
      <c r="AD49" s="92" t="str">
        <f>'FR-52'!$AU$19</f>
        <v>47000</v>
      </c>
      <c r="AE49" s="110">
        <f t="shared" si="18"/>
        <v>6650.4457080000002</v>
      </c>
      <c r="AF49" s="109">
        <f>'FR-52'!$AU$16/'FR-52'!$AU$13</f>
        <v>0.34147217235188509</v>
      </c>
      <c r="AG49" s="110">
        <f t="shared" si="11"/>
        <v>19475.805780000002</v>
      </c>
      <c r="AH49" s="116">
        <f t="shared" si="19"/>
        <v>17.265785265957451</v>
      </c>
      <c r="AI49" s="110">
        <f>AH49*Assumptions!$H$7</f>
        <v>138.12628212765961</v>
      </c>
      <c r="AJ49" s="110">
        <f t="shared" si="12"/>
        <v>385.18061041292628</v>
      </c>
      <c r="AK49" s="109">
        <f t="shared" si="13"/>
        <v>1.3866501974865346</v>
      </c>
    </row>
    <row r="50" spans="2:37" s="18" customFormat="1">
      <c r="B50" s="75" t="s">
        <v>7270</v>
      </c>
      <c r="C50" s="56" t="s">
        <v>1561</v>
      </c>
      <c r="D50" s="56" t="s">
        <v>1562</v>
      </c>
      <c r="E50" s="56">
        <f t="shared" si="9"/>
        <v>1987</v>
      </c>
      <c r="F50" s="147">
        <f>'FR-58'!$AU$17/1000</f>
        <v>1.31</v>
      </c>
      <c r="G50" s="108">
        <f>'FR-58'!$AU$16/1000</f>
        <v>1.363</v>
      </c>
      <c r="H50" s="198">
        <v>0.79299999999999993</v>
      </c>
      <c r="I50" s="109">
        <f>'FR-58'!$AU$20/100</f>
        <v>0.74370000000000003</v>
      </c>
      <c r="J50" s="109">
        <f>'FR-58'!$AU$21/100</f>
        <v>0.90469999999999995</v>
      </c>
      <c r="K50" s="108">
        <f t="shared" si="14"/>
        <v>1.31</v>
      </c>
      <c r="L50" s="95"/>
      <c r="M50" s="111"/>
      <c r="N50" s="111"/>
      <c r="O50" s="92"/>
      <c r="P50" s="92"/>
      <c r="Q50" s="92"/>
      <c r="R50" s="128">
        <f t="shared" si="15"/>
        <v>2017</v>
      </c>
      <c r="S50" s="110">
        <f t="shared" si="16"/>
        <v>30</v>
      </c>
      <c r="T50" s="112">
        <f t="shared" si="10"/>
        <v>1.0181256484149859</v>
      </c>
      <c r="U50" s="95">
        <v>1</v>
      </c>
      <c r="V50" s="113">
        <v>31.536000000000001</v>
      </c>
      <c r="X50" s="92" t="str">
        <f>'FR-58'!$AU$11</f>
        <v xml:space="preserve">PWR  </v>
      </c>
      <c r="Y50" s="92" t="str">
        <f>'FR-58'!$AU$12</f>
        <v>P'4 REP 1300</v>
      </c>
      <c r="Z50" s="92" t="str">
        <f>'FR-58'!$AU$7</f>
        <v>NOGENT-1</v>
      </c>
      <c r="AA50" s="95">
        <v>30</v>
      </c>
      <c r="AB50" s="114">
        <f>'FR-58'!$AU$18</f>
        <v>32071</v>
      </c>
      <c r="AC50" s="115">
        <f t="shared" si="17"/>
        <v>43029</v>
      </c>
      <c r="AD50" s="92" t="str">
        <f>'FR-58'!$AU$19</f>
        <v>33000</v>
      </c>
      <c r="AE50" s="110">
        <f t="shared" si="18"/>
        <v>10802.009435999998</v>
      </c>
      <c r="AF50" s="109">
        <f>'FR-58'!$AU$16/'FR-58'!$AU$13</f>
        <v>0.35708671731726488</v>
      </c>
      <c r="AG50" s="110">
        <f t="shared" si="11"/>
        <v>30250.381523999993</v>
      </c>
      <c r="AH50" s="116">
        <f t="shared" si="19"/>
        <v>38.194926166666654</v>
      </c>
      <c r="AI50" s="110">
        <f>AH50*Assumptions!$H$7</f>
        <v>305.55940933333324</v>
      </c>
      <c r="AJ50" s="110">
        <f t="shared" si="12"/>
        <v>282.81268011527385</v>
      </c>
      <c r="AK50" s="109">
        <f t="shared" si="13"/>
        <v>1.0181256484149859</v>
      </c>
    </row>
    <row r="51" spans="2:37" s="18" customFormat="1">
      <c r="B51" s="75" t="s">
        <v>7271</v>
      </c>
      <c r="C51" s="56" t="s">
        <v>1561</v>
      </c>
      <c r="D51" s="56" t="s">
        <v>1562</v>
      </c>
      <c r="E51" s="56">
        <f t="shared" si="9"/>
        <v>1988</v>
      </c>
      <c r="F51" s="147">
        <f>'FR-59'!$AU$17/1000</f>
        <v>1.31</v>
      </c>
      <c r="G51" s="108">
        <f>'FR-59'!$AU$16/1000</f>
        <v>1.363</v>
      </c>
      <c r="H51" s="198">
        <v>0.81900000000000006</v>
      </c>
      <c r="I51" s="109">
        <f>'FR-59'!$AU$20/100</f>
        <v>0.73140000000000005</v>
      </c>
      <c r="J51" s="109">
        <f>'FR-59'!$AU$21/100</f>
        <v>0.70189999999999997</v>
      </c>
      <c r="K51" s="108">
        <f t="shared" si="14"/>
        <v>1.31</v>
      </c>
      <c r="L51" s="95"/>
      <c r="M51" s="111"/>
      <c r="N51" s="111"/>
      <c r="O51" s="92"/>
      <c r="P51" s="92"/>
      <c r="Q51" s="92"/>
      <c r="R51" s="128">
        <f t="shared" si="15"/>
        <v>2018</v>
      </c>
      <c r="S51" s="110">
        <f t="shared" si="16"/>
        <v>30</v>
      </c>
      <c r="T51" s="112">
        <f t="shared" si="10"/>
        <v>1.0181256484149857</v>
      </c>
      <c r="U51" s="95">
        <v>1</v>
      </c>
      <c r="V51" s="113">
        <v>31.536000000000001</v>
      </c>
      <c r="X51" s="92" t="str">
        <f>'FR-59'!$AU$11</f>
        <v xml:space="preserve">PWR  </v>
      </c>
      <c r="Y51" s="92" t="str">
        <f>'FR-59'!$AU$12</f>
        <v>P'4 REP 1300</v>
      </c>
      <c r="Z51" s="92" t="str">
        <f>'FR-59'!$AU$7</f>
        <v>NOGENT-2</v>
      </c>
      <c r="AA51" s="95">
        <v>30</v>
      </c>
      <c r="AB51" s="114">
        <f>'FR-59'!$AU$18</f>
        <v>32491</v>
      </c>
      <c r="AC51" s="115">
        <f t="shared" si="17"/>
        <v>43448</v>
      </c>
      <c r="AD51" s="92" t="str">
        <f>'FR-59'!$AU$19</f>
        <v>33000</v>
      </c>
      <c r="AE51" s="110">
        <f t="shared" si="18"/>
        <v>8380.601772</v>
      </c>
      <c r="AF51" s="109">
        <f>'FR-59'!$AU$16/'FR-59'!$AU$13</f>
        <v>0.35708671731726488</v>
      </c>
      <c r="AG51" s="110">
        <f t="shared" si="11"/>
        <v>23469.374147999999</v>
      </c>
      <c r="AH51" s="116">
        <f t="shared" si="19"/>
        <v>29.633048166666665</v>
      </c>
      <c r="AI51" s="110">
        <f>AH51*Assumptions!$H$7</f>
        <v>237.06438533333332</v>
      </c>
      <c r="AJ51" s="110">
        <f t="shared" si="12"/>
        <v>282.81268011527379</v>
      </c>
      <c r="AK51" s="109">
        <f t="shared" si="13"/>
        <v>1.0181256484149857</v>
      </c>
    </row>
    <row r="52" spans="2:37" s="18" customFormat="1">
      <c r="B52" s="75" t="s">
        <v>7272</v>
      </c>
      <c r="C52" s="56" t="s">
        <v>1561</v>
      </c>
      <c r="D52" s="56" t="s">
        <v>1562</v>
      </c>
      <c r="E52" s="56">
        <f t="shared" si="9"/>
        <v>1984</v>
      </c>
      <c r="F52" s="147">
        <f>'FR-36'!$AU$17/1000</f>
        <v>1.33</v>
      </c>
      <c r="G52" s="108">
        <f>'FR-36'!$AU$16/1000</f>
        <v>1.3819999999999999</v>
      </c>
      <c r="H52" s="198">
        <v>0.79099999999999993</v>
      </c>
      <c r="I52" s="109">
        <f>'FR-36'!$AU$20/100</f>
        <v>0.90689999999999993</v>
      </c>
      <c r="J52" s="109">
        <f>'FR-36'!$AU$21/100</f>
        <v>0.71200000000000008</v>
      </c>
      <c r="K52" s="108">
        <f t="shared" si="14"/>
        <v>1.33</v>
      </c>
      <c r="L52" s="95"/>
      <c r="M52" s="111"/>
      <c r="N52" s="111"/>
      <c r="O52" s="92"/>
      <c r="P52" s="92"/>
      <c r="Q52" s="92"/>
      <c r="R52" s="128">
        <f t="shared" si="15"/>
        <v>2014</v>
      </c>
      <c r="S52" s="110">
        <f t="shared" si="16"/>
        <v>30</v>
      </c>
      <c r="T52" s="112">
        <f t="shared" si="10"/>
        <v>1.0323181556195964</v>
      </c>
      <c r="U52" s="95">
        <v>1</v>
      </c>
      <c r="V52" s="113">
        <v>31.536000000000001</v>
      </c>
      <c r="X52" s="92" t="str">
        <f>'FR-36'!$AU$11</f>
        <v xml:space="preserve">PWR  </v>
      </c>
      <c r="Y52" s="92" t="str">
        <f>'FR-36'!$AU$12</f>
        <v>P4 REP 1300</v>
      </c>
      <c r="Z52" s="92" t="str">
        <f>'FR-36'!$AU$7</f>
        <v>PALUEL-1</v>
      </c>
      <c r="AA52" s="95">
        <v>30</v>
      </c>
      <c r="AB52" s="114">
        <f>'FR-36'!$AU$18</f>
        <v>30855</v>
      </c>
      <c r="AC52" s="115">
        <f t="shared" si="17"/>
        <v>41812</v>
      </c>
      <c r="AD52" s="92" t="str">
        <f>'FR-36'!$AU$19</f>
        <v>33000</v>
      </c>
      <c r="AE52" s="110">
        <f t="shared" si="18"/>
        <v>8619.6998400000011</v>
      </c>
      <c r="AF52" s="109">
        <f>'FR-36'!$AU$16/'FR-36'!$AU$13</f>
        <v>0.36206444851977992</v>
      </c>
      <c r="AG52" s="110">
        <f t="shared" si="11"/>
        <v>23807.087040000002</v>
      </c>
      <c r="AH52" s="116">
        <f t="shared" si="19"/>
        <v>30.059453333333337</v>
      </c>
      <c r="AI52" s="110">
        <f>AH52*Assumptions!$H$7</f>
        <v>240.4756266666667</v>
      </c>
      <c r="AJ52" s="110">
        <f t="shared" si="12"/>
        <v>286.75504322766568</v>
      </c>
      <c r="AK52" s="109">
        <f t="shared" si="13"/>
        <v>1.0323181556195964</v>
      </c>
    </row>
    <row r="53" spans="2:37" s="18" customFormat="1">
      <c r="B53" s="75" t="s">
        <v>7273</v>
      </c>
      <c r="C53" s="56" t="s">
        <v>1561</v>
      </c>
      <c r="D53" s="56" t="s">
        <v>1562</v>
      </c>
      <c r="E53" s="56">
        <f t="shared" si="9"/>
        <v>1984</v>
      </c>
      <c r="F53" s="147">
        <f>'FR-37'!$AU$17/1000</f>
        <v>1.33</v>
      </c>
      <c r="G53" s="108">
        <f>'FR-37'!$AU$16/1000</f>
        <v>1.3819999999999999</v>
      </c>
      <c r="H53" s="198">
        <v>0.77200000000000002</v>
      </c>
      <c r="I53" s="109">
        <f>'FR-37'!$AU$20/100</f>
        <v>0.62190000000000001</v>
      </c>
      <c r="J53" s="109">
        <f>'FR-37'!$AU$21/100</f>
        <v>0.87629999999999997</v>
      </c>
      <c r="K53" s="108">
        <f t="shared" si="14"/>
        <v>1.33</v>
      </c>
      <c r="L53" s="95"/>
      <c r="M53" s="111"/>
      <c r="N53" s="111"/>
      <c r="O53" s="92"/>
      <c r="P53" s="92"/>
      <c r="Q53" s="92"/>
      <c r="R53" s="128">
        <f t="shared" si="15"/>
        <v>2014</v>
      </c>
      <c r="S53" s="110">
        <f t="shared" si="16"/>
        <v>30</v>
      </c>
      <c r="T53" s="112">
        <f t="shared" si="10"/>
        <v>1.0323181556195964</v>
      </c>
      <c r="U53" s="95">
        <v>1</v>
      </c>
      <c r="V53" s="113">
        <v>31.536000000000001</v>
      </c>
      <c r="X53" s="92" t="str">
        <f>'FR-37'!$AU$11</f>
        <v xml:space="preserve">PWR  </v>
      </c>
      <c r="Y53" s="92" t="str">
        <f>'FR-37'!$AU$12</f>
        <v>P4 REP 1300</v>
      </c>
      <c r="Z53" s="92" t="str">
        <f>'FR-37'!$AU$7</f>
        <v>PALUEL-2</v>
      </c>
      <c r="AA53" s="95">
        <v>30</v>
      </c>
      <c r="AB53" s="114">
        <f>'FR-37'!$AU$18</f>
        <v>30939</v>
      </c>
      <c r="AC53" s="115">
        <f t="shared" si="17"/>
        <v>41896</v>
      </c>
      <c r="AD53" s="92" t="str">
        <f>'FR-37'!$AU$19</f>
        <v>33000</v>
      </c>
      <c r="AE53" s="110">
        <f t="shared" si="18"/>
        <v>10608.768216</v>
      </c>
      <c r="AF53" s="109">
        <f>'FR-37'!$AU$16/'FR-37'!$AU$13</f>
        <v>0.36206444851977992</v>
      </c>
      <c r="AG53" s="110">
        <f t="shared" si="11"/>
        <v>29300.772996000003</v>
      </c>
      <c r="AH53" s="116">
        <f t="shared" si="19"/>
        <v>36.995925500000006</v>
      </c>
      <c r="AI53" s="110">
        <f>AH53*Assumptions!$H$7</f>
        <v>295.96740400000004</v>
      </c>
      <c r="AJ53" s="110">
        <f t="shared" si="12"/>
        <v>286.75504322766568</v>
      </c>
      <c r="AK53" s="109">
        <f t="shared" si="13"/>
        <v>1.0323181556195964</v>
      </c>
    </row>
    <row r="54" spans="2:37" s="18" customFormat="1">
      <c r="B54" s="75" t="s">
        <v>7274</v>
      </c>
      <c r="C54" s="56" t="s">
        <v>1561</v>
      </c>
      <c r="D54" s="56" t="s">
        <v>1562</v>
      </c>
      <c r="E54" s="56">
        <f t="shared" si="9"/>
        <v>1985</v>
      </c>
      <c r="F54" s="147">
        <f>'FR-38'!$AU$17/1000</f>
        <v>1.33</v>
      </c>
      <c r="G54" s="108">
        <f>'FR-38'!$AU$16/1000</f>
        <v>1.3819999999999999</v>
      </c>
      <c r="H54" s="198">
        <v>0.74299999999999999</v>
      </c>
      <c r="I54" s="109">
        <f>'FR-38'!$AU$20/100</f>
        <v>0.70019999999999993</v>
      </c>
      <c r="J54" s="109">
        <f>'FR-38'!$AU$21/100</f>
        <v>0.58789999999999998</v>
      </c>
      <c r="K54" s="108">
        <f t="shared" si="14"/>
        <v>1.33</v>
      </c>
      <c r="L54" s="95"/>
      <c r="M54" s="111"/>
      <c r="N54" s="111"/>
      <c r="O54" s="92"/>
      <c r="P54" s="92"/>
      <c r="Q54" s="92"/>
      <c r="R54" s="128">
        <f t="shared" si="15"/>
        <v>2015</v>
      </c>
      <c r="S54" s="110">
        <f t="shared" si="16"/>
        <v>30</v>
      </c>
      <c r="T54" s="112">
        <f t="shared" si="10"/>
        <v>1.0323181556195964</v>
      </c>
      <c r="U54" s="95">
        <v>1</v>
      </c>
      <c r="V54" s="113">
        <v>31.536000000000001</v>
      </c>
      <c r="X54" s="92" t="str">
        <f>'FR-38'!$AU$11</f>
        <v xml:space="preserve">PWR  </v>
      </c>
      <c r="Y54" s="92" t="str">
        <f>'FR-38'!$AU$12</f>
        <v>P4 REP 1300</v>
      </c>
      <c r="Z54" s="92" t="str">
        <f>'FR-38'!$AU$7</f>
        <v>PALUEL-3</v>
      </c>
      <c r="AA54" s="95">
        <v>30</v>
      </c>
      <c r="AB54" s="114">
        <f>'FR-38'!$AU$18</f>
        <v>31320</v>
      </c>
      <c r="AC54" s="115">
        <f t="shared" si="17"/>
        <v>42277</v>
      </c>
      <c r="AD54" s="92" t="str">
        <f>'FR-38'!$AU$19</f>
        <v>33000</v>
      </c>
      <c r="AE54" s="110">
        <f t="shared" si="18"/>
        <v>7117.305527999999</v>
      </c>
      <c r="AF54" s="109">
        <f>'FR-38'!$AU$16/'FR-38'!$AU$13</f>
        <v>0.36206444851977992</v>
      </c>
      <c r="AG54" s="110">
        <f t="shared" si="11"/>
        <v>19657.565267999998</v>
      </c>
      <c r="AH54" s="116">
        <f t="shared" si="19"/>
        <v>24.820158166666666</v>
      </c>
      <c r="AI54" s="110">
        <f>AH54*Assumptions!$H$7</f>
        <v>198.56126533333332</v>
      </c>
      <c r="AJ54" s="110">
        <f t="shared" si="12"/>
        <v>286.75504322766568</v>
      </c>
      <c r="AK54" s="109">
        <f t="shared" si="13"/>
        <v>1.0323181556195964</v>
      </c>
    </row>
    <row r="55" spans="2:37" s="18" customFormat="1">
      <c r="B55" s="75" t="s">
        <v>7275</v>
      </c>
      <c r="C55" s="56" t="s">
        <v>1561</v>
      </c>
      <c r="D55" s="56" t="s">
        <v>1562</v>
      </c>
      <c r="E55" s="56">
        <f t="shared" si="9"/>
        <v>1986</v>
      </c>
      <c r="F55" s="147">
        <f>'FR-39'!$AU$17/1000</f>
        <v>1.33</v>
      </c>
      <c r="G55" s="108">
        <f>'FR-39'!$AU$16/1000</f>
        <v>1.3819999999999999</v>
      </c>
      <c r="H55" s="198">
        <v>0.78299999999999992</v>
      </c>
      <c r="I55" s="109">
        <f>'FR-39'!$AU$20/100</f>
        <v>0.83090000000000008</v>
      </c>
      <c r="J55" s="109">
        <f>'FR-39'!$AU$21/100</f>
        <v>0.66170000000000007</v>
      </c>
      <c r="K55" s="108">
        <f t="shared" si="14"/>
        <v>1.33</v>
      </c>
      <c r="L55" s="95"/>
      <c r="M55" s="111"/>
      <c r="N55" s="111"/>
      <c r="O55" s="92"/>
      <c r="P55" s="92"/>
      <c r="Q55" s="92"/>
      <c r="R55" s="128">
        <f t="shared" si="15"/>
        <v>2016</v>
      </c>
      <c r="S55" s="110">
        <f t="shared" si="16"/>
        <v>30</v>
      </c>
      <c r="T55" s="112">
        <f t="shared" si="10"/>
        <v>1.0323181556195966</v>
      </c>
      <c r="U55" s="95">
        <v>1</v>
      </c>
      <c r="V55" s="113">
        <v>31.536000000000001</v>
      </c>
      <c r="X55" s="92" t="str">
        <f>'FR-39'!$AU$11</f>
        <v xml:space="preserve">PWR  </v>
      </c>
      <c r="Y55" s="92" t="str">
        <f>'FR-39'!$AU$12</f>
        <v>P4 REP 1300</v>
      </c>
      <c r="Z55" s="92" t="str">
        <f>'FR-39'!$AU$7</f>
        <v>PALUEL-4</v>
      </c>
      <c r="AA55" s="95">
        <v>30</v>
      </c>
      <c r="AB55" s="114">
        <f>'FR-39'!$AU$18</f>
        <v>31513</v>
      </c>
      <c r="AC55" s="115">
        <f t="shared" si="17"/>
        <v>42471</v>
      </c>
      <c r="AD55" s="92" t="str">
        <f>'FR-39'!$AU$19</f>
        <v>33000</v>
      </c>
      <c r="AE55" s="110">
        <f t="shared" si="18"/>
        <v>8010.7519439999996</v>
      </c>
      <c r="AF55" s="109">
        <f>'FR-39'!$AU$16/'FR-39'!$AU$13</f>
        <v>0.36206444851977992</v>
      </c>
      <c r="AG55" s="110">
        <f t="shared" si="11"/>
        <v>22125.209963999998</v>
      </c>
      <c r="AH55" s="116">
        <f t="shared" si="19"/>
        <v>27.935871166666665</v>
      </c>
      <c r="AI55" s="110">
        <f>AH55*Assumptions!$H$7</f>
        <v>223.48696933333332</v>
      </c>
      <c r="AJ55" s="110">
        <f t="shared" si="12"/>
        <v>286.75504322766574</v>
      </c>
      <c r="AK55" s="109">
        <f t="shared" si="13"/>
        <v>1.0323181556195966</v>
      </c>
    </row>
    <row r="56" spans="2:37" s="18" customFormat="1">
      <c r="B56" s="75" t="s">
        <v>7276</v>
      </c>
      <c r="C56" s="56" t="s">
        <v>1561</v>
      </c>
      <c r="D56" s="56" t="s">
        <v>1562</v>
      </c>
      <c r="E56" s="56">
        <f t="shared" si="9"/>
        <v>1990</v>
      </c>
      <c r="F56" s="147">
        <f>'FR-63'!$AU$17/1000</f>
        <v>1.33</v>
      </c>
      <c r="G56" s="108">
        <f>'FR-63'!$AU$16/1000</f>
        <v>1.3819999999999999</v>
      </c>
      <c r="H56" s="198">
        <v>0.81599999999999995</v>
      </c>
      <c r="I56" s="109">
        <f>'FR-63'!$AU$20/100</f>
        <v>0.7288</v>
      </c>
      <c r="J56" s="109">
        <f>'FR-63'!$AU$21/100</f>
        <v>0.56879999999999997</v>
      </c>
      <c r="K56" s="108">
        <f t="shared" si="14"/>
        <v>1.33</v>
      </c>
      <c r="L56" s="95"/>
      <c r="M56" s="111"/>
      <c r="N56" s="111"/>
      <c r="O56" s="92"/>
      <c r="P56" s="92"/>
      <c r="Q56" s="92"/>
      <c r="R56" s="128">
        <f t="shared" si="15"/>
        <v>2020</v>
      </c>
      <c r="S56" s="110">
        <f t="shared" si="16"/>
        <v>30</v>
      </c>
      <c r="T56" s="112">
        <f t="shared" si="10"/>
        <v>1.0323181556195964</v>
      </c>
      <c r="U56" s="95">
        <v>1</v>
      </c>
      <c r="V56" s="113">
        <v>31.536000000000001</v>
      </c>
      <c r="X56" s="92" t="str">
        <f>'FR-63'!$AU$11</f>
        <v xml:space="preserve">PWR  </v>
      </c>
      <c r="Y56" s="92" t="str">
        <f>'FR-63'!$AU$12</f>
        <v>P'4 REP 1300</v>
      </c>
      <c r="Z56" s="92" t="str">
        <f>'FR-63'!$AU$7</f>
        <v>PENLY-1</v>
      </c>
      <c r="AA56" s="95">
        <v>30</v>
      </c>
      <c r="AB56" s="114">
        <f>'FR-63'!$AU$18</f>
        <v>32997</v>
      </c>
      <c r="AC56" s="115">
        <f t="shared" si="17"/>
        <v>43955</v>
      </c>
      <c r="AD56" s="92" t="str">
        <f>'FR-63'!$AU$19</f>
        <v>33000</v>
      </c>
      <c r="AE56" s="110">
        <f t="shared" si="18"/>
        <v>6886.0748159999994</v>
      </c>
      <c r="AF56" s="109">
        <f>'FR-63'!$AU$16/'FR-63'!$AU$13</f>
        <v>0.36206444851977992</v>
      </c>
      <c r="AG56" s="110">
        <f t="shared" si="11"/>
        <v>19018.920095999998</v>
      </c>
      <c r="AH56" s="116">
        <f t="shared" si="19"/>
        <v>24.013787999999998</v>
      </c>
      <c r="AI56" s="110">
        <f>AH56*Assumptions!$H$7</f>
        <v>192.11030399999999</v>
      </c>
      <c r="AJ56" s="110">
        <f t="shared" si="12"/>
        <v>286.75504322766568</v>
      </c>
      <c r="AK56" s="109">
        <f t="shared" si="13"/>
        <v>1.0323181556195964</v>
      </c>
    </row>
    <row r="57" spans="2:37" s="18" customFormat="1">
      <c r="B57" s="75" t="s">
        <v>7277</v>
      </c>
      <c r="C57" s="56" t="s">
        <v>1561</v>
      </c>
      <c r="D57" s="56" t="s">
        <v>1562</v>
      </c>
      <c r="E57" s="56">
        <f t="shared" si="9"/>
        <v>1992</v>
      </c>
      <c r="F57" s="147">
        <f>'FR-64'!$AU$17/1000</f>
        <v>1.33</v>
      </c>
      <c r="G57" s="108">
        <f>'FR-64'!$AU$16/1000</f>
        <v>1.3819999999999999</v>
      </c>
      <c r="H57" s="198">
        <v>0.84900000000000009</v>
      </c>
      <c r="I57" s="109">
        <f>'FR-64'!$AU$20/100</f>
        <v>0.78129999999999999</v>
      </c>
      <c r="J57" s="109">
        <f>'FR-64'!$AU$21/100</f>
        <v>0.85719999999999996</v>
      </c>
      <c r="K57" s="108">
        <f t="shared" si="14"/>
        <v>1.33</v>
      </c>
      <c r="L57" s="95"/>
      <c r="M57" s="111"/>
      <c r="N57" s="111"/>
      <c r="O57" s="92"/>
      <c r="P57" s="92"/>
      <c r="Q57" s="92"/>
      <c r="R57" s="128">
        <f t="shared" si="15"/>
        <v>2022</v>
      </c>
      <c r="S57" s="110">
        <f t="shared" si="16"/>
        <v>30</v>
      </c>
      <c r="T57" s="112">
        <f t="shared" si="10"/>
        <v>1.0323181556195966</v>
      </c>
      <c r="U57" s="95">
        <v>1</v>
      </c>
      <c r="V57" s="113">
        <v>31.536000000000001</v>
      </c>
      <c r="X57" s="92" t="str">
        <f>'FR-64'!$AU$11</f>
        <v xml:space="preserve">PWR  </v>
      </c>
      <c r="Y57" s="92" t="str">
        <f>'FR-64'!$AU$12</f>
        <v>P'4 REP 1300</v>
      </c>
      <c r="Z57" s="92" t="str">
        <f>'FR-64'!$AU$7</f>
        <v>PENLY-2</v>
      </c>
      <c r="AA57" s="95">
        <v>30</v>
      </c>
      <c r="AB57" s="114">
        <f>'FR-64'!$AU$18</f>
        <v>33638</v>
      </c>
      <c r="AC57" s="115">
        <f t="shared" si="17"/>
        <v>44596</v>
      </c>
      <c r="AD57" s="92" t="str">
        <f>'FR-64'!$AU$19</f>
        <v>33000</v>
      </c>
      <c r="AE57" s="110">
        <f t="shared" si="18"/>
        <v>10377.537503999998</v>
      </c>
      <c r="AF57" s="109">
        <f>'FR-64'!$AU$16/'FR-64'!$AU$13</f>
        <v>0.36206444851977992</v>
      </c>
      <c r="AG57" s="110">
        <f t="shared" si="11"/>
        <v>28662.127823999996</v>
      </c>
      <c r="AH57" s="116">
        <f t="shared" si="19"/>
        <v>36.189555333333324</v>
      </c>
      <c r="AI57" s="110">
        <f>AH57*Assumptions!$H$7</f>
        <v>289.51644266666659</v>
      </c>
      <c r="AJ57" s="110">
        <f t="shared" si="12"/>
        <v>286.75504322766574</v>
      </c>
      <c r="AK57" s="109">
        <f t="shared" si="13"/>
        <v>1.0323181556195966</v>
      </c>
    </row>
    <row r="58" spans="2:37" s="18" customFormat="1">
      <c r="B58" s="75" t="s">
        <v>7278</v>
      </c>
      <c r="C58" s="56" t="s">
        <v>1561</v>
      </c>
      <c r="D58" s="56" t="s">
        <v>1562</v>
      </c>
      <c r="E58" s="56">
        <f t="shared" si="9"/>
        <v>1985</v>
      </c>
      <c r="F58" s="147">
        <f>'FR-48'!$AU$17/1000</f>
        <v>1.335</v>
      </c>
      <c r="G58" s="108">
        <f>'FR-48'!$AU$16/1000</f>
        <v>1.381</v>
      </c>
      <c r="H58" s="198">
        <v>0.754</v>
      </c>
      <c r="I58" s="109">
        <f>'FR-48'!$AU$20/100</f>
        <v>0.82909999999999995</v>
      </c>
      <c r="J58" s="109">
        <f>'FR-48'!$AU$21/100</f>
        <v>0.92010000000000003</v>
      </c>
      <c r="K58" s="108">
        <f t="shared" si="14"/>
        <v>1.335</v>
      </c>
      <c r="L58" s="95"/>
      <c r="M58" s="111"/>
      <c r="N58" s="111"/>
      <c r="O58" s="92"/>
      <c r="P58" s="92"/>
      <c r="Q58" s="92"/>
      <c r="R58" s="128">
        <f t="shared" si="15"/>
        <v>2015</v>
      </c>
      <c r="S58" s="110">
        <f t="shared" si="16"/>
        <v>30</v>
      </c>
      <c r="T58" s="112">
        <f t="shared" si="10"/>
        <v>1.0315711815561959</v>
      </c>
      <c r="U58" s="95">
        <v>1</v>
      </c>
      <c r="V58" s="113">
        <v>31.536000000000001</v>
      </c>
      <c r="X58" s="92" t="str">
        <f>'FR-48'!$AU$11</f>
        <v xml:space="preserve">PWR  </v>
      </c>
      <c r="Y58" s="92" t="str">
        <f>'FR-48'!$AU$12</f>
        <v>P4 REP 1300</v>
      </c>
      <c r="Z58" s="92" t="str">
        <f>'FR-48'!$AU$7</f>
        <v>ST. ALBAN-1</v>
      </c>
      <c r="AA58" s="95">
        <v>30</v>
      </c>
      <c r="AB58" s="114">
        <f>'FR-48'!$AU$18</f>
        <v>31289</v>
      </c>
      <c r="AC58" s="115">
        <f t="shared" si="17"/>
        <v>42246</v>
      </c>
      <c r="AD58" s="92" t="str">
        <f>'FR-48'!$AU$19</f>
        <v>33000</v>
      </c>
      <c r="AE58" s="110">
        <f t="shared" si="18"/>
        <v>11130.964956000002</v>
      </c>
      <c r="AF58" s="109">
        <f>'FR-48'!$AU$16/'FR-48'!$AU$13</f>
        <v>0.36180246266701599</v>
      </c>
      <c r="AG58" s="110">
        <f t="shared" si="11"/>
        <v>30765.310092000003</v>
      </c>
      <c r="AH58" s="116">
        <f t="shared" si="19"/>
        <v>38.84508850000001</v>
      </c>
      <c r="AI58" s="110">
        <f>AH58*Assumptions!$H$7</f>
        <v>310.76070800000008</v>
      </c>
      <c r="AJ58" s="110">
        <f t="shared" si="12"/>
        <v>286.54755043227664</v>
      </c>
      <c r="AK58" s="109">
        <f t="shared" si="13"/>
        <v>1.0315711815561959</v>
      </c>
    </row>
    <row r="59" spans="2:37" s="18" customFormat="1">
      <c r="B59" s="75" t="s">
        <v>7279</v>
      </c>
      <c r="C59" s="56" t="s">
        <v>1561</v>
      </c>
      <c r="D59" s="56" t="s">
        <v>1562</v>
      </c>
      <c r="E59" s="56">
        <f t="shared" si="9"/>
        <v>1986</v>
      </c>
      <c r="F59" s="147">
        <f>'FR-49'!$AU$17/1000</f>
        <v>1.335</v>
      </c>
      <c r="G59" s="108">
        <f>'FR-49'!$AU$16/1000</f>
        <v>1.381</v>
      </c>
      <c r="H59" s="198">
        <v>0.77200000000000002</v>
      </c>
      <c r="I59" s="109">
        <f>'FR-49'!$AU$20/100</f>
        <v>0.61880000000000002</v>
      </c>
      <c r="J59" s="109">
        <f>'FR-49'!$AU$21/100</f>
        <v>0.70950000000000002</v>
      </c>
      <c r="K59" s="108">
        <f t="shared" si="14"/>
        <v>1.335</v>
      </c>
      <c r="L59" s="95"/>
      <c r="M59" s="111"/>
      <c r="N59" s="111"/>
      <c r="O59" s="92"/>
      <c r="P59" s="92"/>
      <c r="Q59" s="92"/>
      <c r="R59" s="128">
        <f t="shared" si="15"/>
        <v>2016</v>
      </c>
      <c r="S59" s="110">
        <f t="shared" si="16"/>
        <v>30</v>
      </c>
      <c r="T59" s="112">
        <f t="shared" si="10"/>
        <v>1.0315711815561959</v>
      </c>
      <c r="U59" s="95">
        <v>1</v>
      </c>
      <c r="V59" s="113">
        <v>31.536000000000001</v>
      </c>
      <c r="X59" s="92" t="str">
        <f>'FR-49'!$AU$11</f>
        <v xml:space="preserve">PWR  </v>
      </c>
      <c r="Y59" s="92" t="str">
        <f>'FR-49'!$AU$12</f>
        <v>P4 REP 1300</v>
      </c>
      <c r="Z59" s="92" t="str">
        <f>'FR-49'!$AU$7</f>
        <v>ST. ALBAN-2</v>
      </c>
      <c r="AA59" s="95">
        <v>30</v>
      </c>
      <c r="AB59" s="114">
        <f>'FR-49'!$AU$18</f>
        <v>31596</v>
      </c>
      <c r="AC59" s="115">
        <f t="shared" si="17"/>
        <v>42554</v>
      </c>
      <c r="AD59" s="92" t="str">
        <f>'FR-49'!$AU$19</f>
        <v>33000</v>
      </c>
      <c r="AE59" s="110">
        <f t="shared" si="18"/>
        <v>8583.2188200000001</v>
      </c>
      <c r="AF59" s="109">
        <f>'FR-49'!$AU$16/'FR-49'!$AU$13</f>
        <v>0.36180246266701599</v>
      </c>
      <c r="AG59" s="110">
        <f t="shared" si="11"/>
        <v>23723.494739999998</v>
      </c>
      <c r="AH59" s="116">
        <f t="shared" si="19"/>
        <v>29.9539075</v>
      </c>
      <c r="AI59" s="110">
        <f>AH59*Assumptions!$H$7</f>
        <v>239.63126</v>
      </c>
      <c r="AJ59" s="110">
        <f t="shared" si="12"/>
        <v>286.54755043227664</v>
      </c>
      <c r="AK59" s="109">
        <f t="shared" si="13"/>
        <v>1.0315711815561959</v>
      </c>
    </row>
    <row r="60" spans="2:37" s="18" customFormat="1">
      <c r="B60" s="75" t="s">
        <v>7280</v>
      </c>
      <c r="C60" s="56" t="s">
        <v>1561</v>
      </c>
      <c r="D60" s="56" t="s">
        <v>1562</v>
      </c>
      <c r="E60" s="56">
        <f t="shared" si="9"/>
        <v>1981</v>
      </c>
      <c r="F60" s="146">
        <f>'FR-17'!$AU$17/1000</f>
        <v>0.91500000000000004</v>
      </c>
      <c r="G60" s="108">
        <f>'FR-17'!$AU$16/1000</f>
        <v>0.95599999999999996</v>
      </c>
      <c r="H60" s="198">
        <v>0.78599999999999992</v>
      </c>
      <c r="I60" s="109">
        <f>'FR-17'!$AU$20/100</f>
        <v>0.67159999999999997</v>
      </c>
      <c r="J60" s="109">
        <f>'FR-17'!$AU$21/100</f>
        <v>0.84860000000000002</v>
      </c>
      <c r="K60" s="108">
        <f t="shared" si="14"/>
        <v>0.91500000000000004</v>
      </c>
      <c r="L60" s="95"/>
      <c r="M60" s="111"/>
      <c r="N60" s="111"/>
      <c r="O60" s="92"/>
      <c r="P60" s="92"/>
      <c r="Q60" s="92"/>
      <c r="R60" s="128">
        <f t="shared" si="15"/>
        <v>2021</v>
      </c>
      <c r="S60" s="110">
        <f t="shared" si="16"/>
        <v>40</v>
      </c>
      <c r="T60" s="112">
        <f t="shared" si="10"/>
        <v>1.0005231684021543</v>
      </c>
      <c r="U60" s="95">
        <v>1</v>
      </c>
      <c r="V60" s="113">
        <v>31.536000000000001</v>
      </c>
      <c r="X60" s="92" t="str">
        <f>'FR-17'!$AU$11</f>
        <v xml:space="preserve">PWR  </v>
      </c>
      <c r="Y60" s="92" t="str">
        <f>'FR-17'!$AU$12</f>
        <v>CP2</v>
      </c>
      <c r="Z60" s="92" t="str">
        <f>'FR-17'!$AU$7</f>
        <v>ST. LAURENT-B-1</v>
      </c>
      <c r="AA60" s="95">
        <v>40</v>
      </c>
      <c r="AB60" s="114">
        <f>'FR-17'!$AU$18</f>
        <v>29607</v>
      </c>
      <c r="AC60" s="115">
        <f t="shared" si="17"/>
        <v>44217</v>
      </c>
      <c r="AD60" s="92" t="str">
        <f>'FR-17'!$AU$19</f>
        <v>33735</v>
      </c>
      <c r="AE60" s="110">
        <f t="shared" si="18"/>
        <v>7106.6516160000001</v>
      </c>
      <c r="AF60" s="109">
        <f>'FR-17'!$AU$16/'FR-17'!$AU$13</f>
        <v>0.34326750448833032</v>
      </c>
      <c r="AG60" s="110">
        <f t="shared" si="11"/>
        <v>20702.954760000001</v>
      </c>
      <c r="AH60" s="116">
        <f t="shared" si="19"/>
        <v>25.570568104342673</v>
      </c>
      <c r="AI60" s="110">
        <f>AH60*Assumptions!$H$7</f>
        <v>204.56454483474138</v>
      </c>
      <c r="AJ60" s="110">
        <f t="shared" si="12"/>
        <v>277.92310233393175</v>
      </c>
      <c r="AK60" s="109">
        <f t="shared" si="13"/>
        <v>1.0005231684021543</v>
      </c>
    </row>
    <row r="61" spans="2:37" s="18" customFormat="1">
      <c r="B61" s="75" t="s">
        <v>7281</v>
      </c>
      <c r="C61" s="56" t="s">
        <v>1561</v>
      </c>
      <c r="D61" s="56" t="s">
        <v>1562</v>
      </c>
      <c r="E61" s="56">
        <f t="shared" si="9"/>
        <v>1981</v>
      </c>
      <c r="F61" s="146">
        <f>'FR-23'!$AU$17/1000</f>
        <v>0.91500000000000004</v>
      </c>
      <c r="G61" s="108">
        <f>'FR-23'!$AU$16/1000</f>
        <v>0.95599999999999996</v>
      </c>
      <c r="H61" s="198">
        <v>0.78599999999999992</v>
      </c>
      <c r="I61" s="109">
        <f>'FR-23'!$AU$20/100</f>
        <v>0.71450000000000002</v>
      </c>
      <c r="J61" s="109">
        <f>'FR-23'!$AU$21/100</f>
        <v>0.83519999999999994</v>
      </c>
      <c r="K61" s="108">
        <f t="shared" si="14"/>
        <v>0.91500000000000004</v>
      </c>
      <c r="L61" s="95"/>
      <c r="M61" s="111"/>
      <c r="N61" s="111"/>
      <c r="O61" s="92"/>
      <c r="P61" s="92"/>
      <c r="Q61" s="92"/>
      <c r="R61" s="128">
        <f t="shared" si="15"/>
        <v>2021</v>
      </c>
      <c r="S61" s="110">
        <f t="shared" si="16"/>
        <v>40</v>
      </c>
      <c r="T61" s="112">
        <f t="shared" si="10"/>
        <v>1.0005231684021543</v>
      </c>
      <c r="U61" s="95">
        <v>1</v>
      </c>
      <c r="V61" s="113">
        <v>31.536000000000001</v>
      </c>
      <c r="X61" s="92" t="str">
        <f>'FR-23'!$AU$11</f>
        <v xml:space="preserve">PWR  </v>
      </c>
      <c r="Y61" s="92" t="str">
        <f>'FR-23'!$AU$12</f>
        <v>CP2</v>
      </c>
      <c r="Z61" s="92" t="str">
        <f>'FR-23'!$AU$7</f>
        <v>ST. LAURENT-B-2</v>
      </c>
      <c r="AA61" s="95">
        <v>40</v>
      </c>
      <c r="AB61" s="114">
        <f>'FR-23'!$AU$18</f>
        <v>29738</v>
      </c>
      <c r="AC61" s="115">
        <f t="shared" si="17"/>
        <v>44348</v>
      </c>
      <c r="AD61" s="92" t="str">
        <f>'FR-23'!$AU$19</f>
        <v>33735</v>
      </c>
      <c r="AE61" s="110">
        <f t="shared" si="18"/>
        <v>6994.4325119999994</v>
      </c>
      <c r="AF61" s="109">
        <f>'FR-23'!$AU$16/'FR-23'!$AU$13</f>
        <v>0.34326750448833032</v>
      </c>
      <c r="AG61" s="110">
        <f t="shared" si="11"/>
        <v>20376.04032</v>
      </c>
      <c r="AH61" s="116">
        <f t="shared" si="19"/>
        <v>25.166790573588262</v>
      </c>
      <c r="AI61" s="110">
        <f>AH61*Assumptions!$H$7</f>
        <v>201.3343245887061</v>
      </c>
      <c r="AJ61" s="110">
        <f t="shared" si="12"/>
        <v>277.92310233393175</v>
      </c>
      <c r="AK61" s="109">
        <f t="shared" si="13"/>
        <v>1.0005231684021543</v>
      </c>
    </row>
    <row r="62" spans="2:37" s="18" customFormat="1">
      <c r="B62" s="75" t="s">
        <v>7282</v>
      </c>
      <c r="C62" s="56" t="s">
        <v>1561</v>
      </c>
      <c r="D62" s="56" t="s">
        <v>1562</v>
      </c>
      <c r="E62" s="56">
        <f t="shared" si="9"/>
        <v>1980</v>
      </c>
      <c r="F62" s="146">
        <f>'FR-18'!$AU$17/1000</f>
        <v>0.91500000000000004</v>
      </c>
      <c r="G62" s="108">
        <f>'FR-18'!$AU$16/1000</f>
        <v>0.95499999999999996</v>
      </c>
      <c r="H62" s="198">
        <v>0.79700000000000004</v>
      </c>
      <c r="I62" s="109">
        <f>'FR-18'!$AU$20/100</f>
        <v>0.72739999999999994</v>
      </c>
      <c r="J62" s="109">
        <f>'FR-18'!$AU$21/100</f>
        <v>0.83440000000000003</v>
      </c>
      <c r="K62" s="108">
        <f t="shared" si="14"/>
        <v>0.91500000000000004</v>
      </c>
      <c r="L62" s="95"/>
      <c r="M62" s="111"/>
      <c r="N62" s="111"/>
      <c r="O62" s="92"/>
      <c r="P62" s="92"/>
      <c r="Q62" s="92"/>
      <c r="R62" s="128">
        <f t="shared" si="15"/>
        <v>2020</v>
      </c>
      <c r="S62" s="110">
        <f t="shared" si="16"/>
        <v>40</v>
      </c>
      <c r="T62" s="112">
        <f t="shared" si="10"/>
        <v>1.2443461400359064</v>
      </c>
      <c r="U62" s="95">
        <v>1</v>
      </c>
      <c r="V62" s="113">
        <v>31.536000000000001</v>
      </c>
      <c r="X62" s="92" t="str">
        <f>'FR-18'!$AU$11</f>
        <v xml:space="preserve">PWR  </v>
      </c>
      <c r="Y62" s="92" t="str">
        <f>'FR-18'!$AU$12</f>
        <v>CP1</v>
      </c>
      <c r="Z62" s="92" t="str">
        <f>'FR-18'!$AU$7</f>
        <v>TRICASTIN-1</v>
      </c>
      <c r="AA62" s="95">
        <v>40</v>
      </c>
      <c r="AB62" s="114">
        <f>'FR-18'!$AU$18</f>
        <v>29372</v>
      </c>
      <c r="AC62" s="115">
        <f t="shared" si="17"/>
        <v>43982</v>
      </c>
      <c r="AD62" s="92" t="str">
        <f>'FR-18'!$AU$19</f>
        <v>42000</v>
      </c>
      <c r="AE62" s="110">
        <f t="shared" si="18"/>
        <v>6980.4235200000003</v>
      </c>
      <c r="AF62" s="109">
        <f>'FR-18'!$AU$16/'FR-18'!$AU$13</f>
        <v>0.34290843806104127</v>
      </c>
      <c r="AG62" s="110">
        <f t="shared" si="11"/>
        <v>20356.523040000004</v>
      </c>
      <c r="AH62" s="116">
        <f t="shared" si="19"/>
        <v>20.194963333333337</v>
      </c>
      <c r="AI62" s="110">
        <f>AH62*Assumptions!$H$7</f>
        <v>161.5597066666667</v>
      </c>
      <c r="AJ62" s="110">
        <f t="shared" si="12"/>
        <v>345.65170556552954</v>
      </c>
      <c r="AK62" s="109">
        <f t="shared" si="13"/>
        <v>1.2443461400359064</v>
      </c>
    </row>
    <row r="63" spans="2:37" s="18" customFormat="1">
      <c r="B63" s="75" t="s">
        <v>7283</v>
      </c>
      <c r="C63" s="56" t="s">
        <v>1561</v>
      </c>
      <c r="D63" s="56" t="s">
        <v>1562</v>
      </c>
      <c r="E63" s="56">
        <f t="shared" si="9"/>
        <v>1980</v>
      </c>
      <c r="F63" s="146">
        <f>'FR-19'!$AU$17/1000</f>
        <v>0.91500000000000004</v>
      </c>
      <c r="G63" s="108">
        <f>'FR-19'!$AU$16/1000</f>
        <v>0.95499999999999996</v>
      </c>
      <c r="H63" s="198">
        <v>0.78799999999999992</v>
      </c>
      <c r="I63" s="109">
        <f>'FR-19'!$AU$20/100</f>
        <v>0.73329999999999995</v>
      </c>
      <c r="J63" s="109">
        <f>'FR-19'!$AU$21/100</f>
        <v>0.80689999999999995</v>
      </c>
      <c r="K63" s="108">
        <f t="shared" si="14"/>
        <v>0.91500000000000004</v>
      </c>
      <c r="L63" s="95"/>
      <c r="M63" s="111"/>
      <c r="N63" s="111"/>
      <c r="O63" s="92"/>
      <c r="P63" s="92"/>
      <c r="Q63" s="92"/>
      <c r="R63" s="128">
        <f t="shared" si="15"/>
        <v>2020</v>
      </c>
      <c r="S63" s="110">
        <f t="shared" si="16"/>
        <v>40</v>
      </c>
      <c r="T63" s="112">
        <f t="shared" si="10"/>
        <v>0.99947659605026917</v>
      </c>
      <c r="U63" s="95">
        <v>1</v>
      </c>
      <c r="V63" s="113">
        <v>31.536000000000001</v>
      </c>
      <c r="X63" s="92" t="str">
        <f>'FR-19'!$AU$11</f>
        <v xml:space="preserve">PWR  </v>
      </c>
      <c r="Y63" s="92" t="str">
        <f>'FR-19'!$AU$12</f>
        <v>CP1</v>
      </c>
      <c r="Z63" s="92" t="str">
        <f>'FR-19'!$AU$7</f>
        <v>TRICASTIN-2</v>
      </c>
      <c r="AA63" s="95">
        <v>40</v>
      </c>
      <c r="AB63" s="114">
        <f>'FR-19'!$AU$18</f>
        <v>29440</v>
      </c>
      <c r="AC63" s="115">
        <f t="shared" si="17"/>
        <v>44050</v>
      </c>
      <c r="AD63" s="92" t="str">
        <f>'FR-19'!$AU$19</f>
        <v>33735</v>
      </c>
      <c r="AE63" s="110">
        <f t="shared" si="18"/>
        <v>6750.3640199999991</v>
      </c>
      <c r="AF63" s="109">
        <f>'FR-19'!$AU$16/'FR-19'!$AU$13</f>
        <v>0.34290843806104127</v>
      </c>
      <c r="AG63" s="110">
        <f t="shared" si="11"/>
        <v>19685.616539999999</v>
      </c>
      <c r="AH63" s="116">
        <f t="shared" si="19"/>
        <v>24.314036534756188</v>
      </c>
      <c r="AI63" s="110">
        <f>AH63*Assumptions!$H$7</f>
        <v>194.5122922780495</v>
      </c>
      <c r="AJ63" s="110">
        <f t="shared" si="12"/>
        <v>277.63238779174145</v>
      </c>
      <c r="AK63" s="109">
        <f t="shared" si="13"/>
        <v>0.99947659605026917</v>
      </c>
    </row>
    <row r="64" spans="2:37" s="18" customFormat="1">
      <c r="B64" s="75" t="s">
        <v>7284</v>
      </c>
      <c r="C64" s="56" t="s">
        <v>1561</v>
      </c>
      <c r="D64" s="56" t="s">
        <v>1562</v>
      </c>
      <c r="E64" s="56">
        <f t="shared" si="9"/>
        <v>1981</v>
      </c>
      <c r="F64" s="146">
        <f>'FR-25'!$AU$17/1000</f>
        <v>0.91500000000000004</v>
      </c>
      <c r="G64" s="108">
        <f>'FR-25'!$AU$16/1000</f>
        <v>0.95499999999999996</v>
      </c>
      <c r="H64" s="198">
        <v>0.80900000000000005</v>
      </c>
      <c r="I64" s="109">
        <f>'FR-25'!$AU$20/100</f>
        <v>0.81870000000000009</v>
      </c>
      <c r="J64" s="109">
        <f>'FR-25'!$AU$21/100</f>
        <v>0.78069999999999995</v>
      </c>
      <c r="K64" s="108">
        <f t="shared" si="14"/>
        <v>0.91500000000000004</v>
      </c>
      <c r="L64" s="95"/>
      <c r="M64" s="111"/>
      <c r="N64" s="111"/>
      <c r="O64" s="92"/>
      <c r="P64" s="92"/>
      <c r="Q64" s="92"/>
      <c r="R64" s="128">
        <f t="shared" si="15"/>
        <v>2021</v>
      </c>
      <c r="S64" s="110">
        <f t="shared" si="16"/>
        <v>40</v>
      </c>
      <c r="T64" s="112">
        <f t="shared" si="10"/>
        <v>0.99947659605026917</v>
      </c>
      <c r="U64" s="95">
        <v>1</v>
      </c>
      <c r="V64" s="113">
        <v>31.536000000000001</v>
      </c>
      <c r="X64" s="92" t="str">
        <f>'FR-25'!$AU$11</f>
        <v xml:space="preserve">PWR  </v>
      </c>
      <c r="Y64" s="92" t="str">
        <f>'FR-25'!$AU$12</f>
        <v>CP1</v>
      </c>
      <c r="Z64" s="92" t="str">
        <f>'FR-25'!$AU$7</f>
        <v>TRICASTIN-3</v>
      </c>
      <c r="AA64" s="95">
        <v>40</v>
      </c>
      <c r="AB64" s="114">
        <f>'FR-25'!$AU$18</f>
        <v>29627</v>
      </c>
      <c r="AC64" s="115">
        <f t="shared" si="17"/>
        <v>44237</v>
      </c>
      <c r="AD64" s="92" t="str">
        <f>'FR-25'!$AU$19</f>
        <v>33735</v>
      </c>
      <c r="AE64" s="110">
        <f t="shared" si="18"/>
        <v>6531.1800599999997</v>
      </c>
      <c r="AF64" s="109">
        <f>'FR-25'!$AU$16/'FR-25'!$AU$13</f>
        <v>0.34290843806104127</v>
      </c>
      <c r="AG64" s="110">
        <f>AE64/AF64</f>
        <v>19046.425620000002</v>
      </c>
      <c r="AH64" s="116">
        <f t="shared" si="19"/>
        <v>23.524561064176673</v>
      </c>
      <c r="AI64" s="110">
        <f>AH64*Assumptions!$H$7</f>
        <v>188.19648851341339</v>
      </c>
      <c r="AJ64" s="110">
        <f>AE64/AH64</f>
        <v>277.63238779174145</v>
      </c>
      <c r="AK64" s="109">
        <f>AJ64*0.0036</f>
        <v>0.99947659605026917</v>
      </c>
    </row>
    <row r="65" spans="2:37" s="18" customFormat="1">
      <c r="B65" s="75" t="s">
        <v>7285</v>
      </c>
      <c r="C65" s="56" t="s">
        <v>1561</v>
      </c>
      <c r="D65" s="56" t="s">
        <v>1562</v>
      </c>
      <c r="E65" s="56">
        <f t="shared" si="9"/>
        <v>1981</v>
      </c>
      <c r="F65" s="146">
        <f>'FR-26'!$AU$17/1000</f>
        <v>0.91500000000000004</v>
      </c>
      <c r="G65" s="108">
        <f>'FR-26'!$AU$16/1000</f>
        <v>0.95499999999999996</v>
      </c>
      <c r="H65" s="198">
        <v>0.82200000000000006</v>
      </c>
      <c r="I65" s="109">
        <f>'FR-26'!$AU$20/100</f>
        <v>0.81099999999999994</v>
      </c>
      <c r="J65" s="109">
        <f>'FR-26'!$AU$21/100</f>
        <v>0.78150000000000008</v>
      </c>
      <c r="K65" s="108">
        <f t="shared" si="14"/>
        <v>0.91500000000000004</v>
      </c>
      <c r="L65" s="95"/>
      <c r="M65" s="111"/>
      <c r="N65" s="111"/>
      <c r="O65" s="92"/>
      <c r="P65" s="92"/>
      <c r="Q65" s="92"/>
      <c r="R65" s="128">
        <f t="shared" si="15"/>
        <v>2021</v>
      </c>
      <c r="S65" s="110">
        <f t="shared" si="16"/>
        <v>40</v>
      </c>
      <c r="T65" s="112">
        <f t="shared" si="10"/>
        <v>0.99947659605026895</v>
      </c>
      <c r="U65" s="95">
        <v>1</v>
      </c>
      <c r="V65" s="113">
        <v>31.536000000000001</v>
      </c>
      <c r="X65" s="92" t="str">
        <f>'FR-26'!$AU$11</f>
        <v xml:space="preserve">PWR  </v>
      </c>
      <c r="Y65" s="92" t="str">
        <f>'FR-26'!$AU$12</f>
        <v>CP1</v>
      </c>
      <c r="Z65" s="92" t="str">
        <f>'FR-26'!$AU$7</f>
        <v>TRICASTIN-4</v>
      </c>
      <c r="AA65" s="95">
        <v>40</v>
      </c>
      <c r="AB65" s="114">
        <f>'FR-26'!$AU$18</f>
        <v>29749</v>
      </c>
      <c r="AC65" s="115">
        <f t="shared" si="17"/>
        <v>44359</v>
      </c>
      <c r="AD65" s="92" t="str">
        <f>'FR-26'!$AU$19</f>
        <v>33735</v>
      </c>
      <c r="AE65" s="110">
        <f t="shared" si="18"/>
        <v>6537.8727000000008</v>
      </c>
      <c r="AF65" s="109">
        <f>'FR-26'!$AU$16/'FR-26'!$AU$13</f>
        <v>0.34290843806104127</v>
      </c>
      <c r="AG65" s="110">
        <f>AE65/AF65</f>
        <v>19065.942900000005</v>
      </c>
      <c r="AH65" s="116">
        <f t="shared" si="19"/>
        <v>23.548667185415749</v>
      </c>
      <c r="AI65" s="110">
        <f>AH65*Assumptions!$H$7</f>
        <v>188.38933748332599</v>
      </c>
      <c r="AJ65" s="110">
        <f>AE65/AH65</f>
        <v>277.63238779174139</v>
      </c>
      <c r="AK65" s="109">
        <f>AJ65*0.0036</f>
        <v>0.99947659605026895</v>
      </c>
    </row>
    <row r="66" spans="2:37" s="18" customFormat="1">
      <c r="B66" s="76" t="s">
        <v>1742</v>
      </c>
      <c r="C66" s="57" t="s">
        <v>1561</v>
      </c>
      <c r="D66" s="57" t="s">
        <v>1562</v>
      </c>
      <c r="E66" s="57">
        <v>2018</v>
      </c>
      <c r="F66" s="117">
        <f>1630/1000</f>
        <v>1.63</v>
      </c>
      <c r="G66" s="117">
        <f>1750/1000</f>
        <v>1.75</v>
      </c>
      <c r="H66" s="118">
        <v>0.92</v>
      </c>
      <c r="I66" s="118">
        <v>0.92</v>
      </c>
      <c r="J66" s="121"/>
      <c r="K66" s="121"/>
      <c r="L66" s="83"/>
      <c r="M66" s="120">
        <f>F66</f>
        <v>1.63</v>
      </c>
      <c r="N66" s="83">
        <f>E66</f>
        <v>2018</v>
      </c>
      <c r="O66" s="83">
        <f>N66</f>
        <v>2018</v>
      </c>
      <c r="P66" s="85"/>
      <c r="Q66" s="85"/>
      <c r="R66" s="129">
        <f t="shared" si="15"/>
        <v>2066</v>
      </c>
      <c r="S66" s="119">
        <f t="shared" si="16"/>
        <v>48</v>
      </c>
      <c r="T66" s="121">
        <v>1.8532799999999996</v>
      </c>
      <c r="U66" s="83">
        <v>1</v>
      </c>
      <c r="V66" s="122">
        <v>31.536000000000001</v>
      </c>
      <c r="X66" s="85" t="str">
        <f>'FR-26'!$AU$11</f>
        <v xml:space="preserve">PWR  </v>
      </c>
      <c r="Y66" s="85" t="s">
        <v>1564</v>
      </c>
      <c r="Z66" s="85" t="s">
        <v>1644</v>
      </c>
      <c r="AA66" s="83">
        <v>50</v>
      </c>
      <c r="AB66" s="123">
        <v>42735</v>
      </c>
      <c r="AC66" s="124">
        <f t="shared" si="17"/>
        <v>60997</v>
      </c>
      <c r="AD66" s="85"/>
      <c r="AE66" s="119"/>
      <c r="AF66" s="118">
        <f>1650/4300</f>
        <v>0.38372093023255816</v>
      </c>
      <c r="AG66" s="119"/>
      <c r="AH66" s="125"/>
      <c r="AI66" s="119"/>
      <c r="AJ66" s="119"/>
      <c r="AK66" s="118"/>
    </row>
    <row r="67" spans="2:37" s="18" customFormat="1"/>
    <row r="68" spans="2:37" s="18" customFormat="1">
      <c r="B68" s="76" t="s">
        <v>1743</v>
      </c>
      <c r="C68" s="57" t="s">
        <v>1561</v>
      </c>
      <c r="D68" s="57" t="s">
        <v>1562</v>
      </c>
      <c r="E68" s="57">
        <f t="shared" si="9"/>
        <v>2017</v>
      </c>
      <c r="F68" s="117">
        <f>1630/1000</f>
        <v>1.63</v>
      </c>
      <c r="G68" s="117">
        <f>1750/1000</f>
        <v>1.75</v>
      </c>
      <c r="H68" s="118">
        <v>0.92</v>
      </c>
      <c r="I68" s="118">
        <v>0.92</v>
      </c>
      <c r="J68" s="121"/>
      <c r="K68" s="121"/>
      <c r="L68" s="83"/>
      <c r="M68" s="120">
        <f>F68</f>
        <v>1.63</v>
      </c>
      <c r="N68" s="83">
        <f>E68</f>
        <v>2017</v>
      </c>
      <c r="O68" s="83"/>
      <c r="P68" s="85"/>
      <c r="Q68" s="85"/>
      <c r="R68" s="129">
        <f t="shared" si="15"/>
        <v>2067</v>
      </c>
      <c r="S68" s="119">
        <f t="shared" si="16"/>
        <v>50</v>
      </c>
      <c r="T68" s="121">
        <f>T66</f>
        <v>1.8532799999999996</v>
      </c>
      <c r="U68" s="83">
        <v>1</v>
      </c>
      <c r="V68" s="122">
        <v>31.536000000000001</v>
      </c>
      <c r="X68" s="85" t="str">
        <f>'FR-26'!$AU$11</f>
        <v xml:space="preserve">PWR  </v>
      </c>
      <c r="Y68" s="85" t="s">
        <v>1564</v>
      </c>
      <c r="Z68" s="83" t="s">
        <v>1705</v>
      </c>
      <c r="AA68" s="85">
        <v>50</v>
      </c>
      <c r="AB68" s="123">
        <v>43100</v>
      </c>
      <c r="AC68" s="124">
        <f t="shared" si="17"/>
        <v>61362</v>
      </c>
      <c r="AD68" s="85"/>
      <c r="AE68" s="85"/>
      <c r="AF68" s="85"/>
      <c r="AG68" s="85"/>
      <c r="AH68" s="85"/>
      <c r="AI68" s="85"/>
      <c r="AJ68" s="85"/>
      <c r="AK68" s="85"/>
    </row>
    <row r="69" spans="2:37" s="18" customFormat="1">
      <c r="B69" s="85"/>
      <c r="C69" s="85"/>
      <c r="D69" s="85"/>
      <c r="E69" s="85"/>
      <c r="F69" s="85"/>
      <c r="G69" s="85"/>
      <c r="H69" s="85"/>
      <c r="I69" s="85"/>
      <c r="J69" s="85"/>
      <c r="K69" s="145"/>
      <c r="L69" s="85"/>
      <c r="M69" s="85"/>
      <c r="N69" s="85"/>
      <c r="O69" s="85"/>
      <c r="P69" s="85"/>
      <c r="Q69" s="85"/>
      <c r="R69" s="83"/>
      <c r="S69" s="85"/>
      <c r="T69" s="85"/>
      <c r="U69" s="85"/>
      <c r="V69" s="85"/>
      <c r="X69" s="85"/>
      <c r="Y69" s="85"/>
      <c r="Z69" s="85"/>
      <c r="AA69" s="85"/>
      <c r="AB69" s="85"/>
      <c r="AC69" s="85"/>
      <c r="AD69" s="85"/>
      <c r="AE69" s="85"/>
      <c r="AF69" s="85"/>
      <c r="AG69" s="85"/>
      <c r="AH69" s="85"/>
      <c r="AI69" s="85"/>
      <c r="AJ69" s="85"/>
      <c r="AK69" s="85"/>
    </row>
    <row r="70" spans="2:37" s="18" customFormat="1">
      <c r="B70" s="83"/>
      <c r="C70" s="85"/>
      <c r="D70" s="85"/>
      <c r="E70" s="85"/>
      <c r="F70" s="85"/>
      <c r="G70" s="85"/>
      <c r="H70" s="85"/>
      <c r="I70" s="85"/>
      <c r="J70" s="85"/>
      <c r="K70" s="145"/>
      <c r="L70" s="85"/>
      <c r="M70" s="85"/>
      <c r="N70" s="85"/>
      <c r="O70" s="85"/>
      <c r="P70" s="85"/>
      <c r="Q70" s="85"/>
      <c r="R70" s="83"/>
      <c r="S70" s="85"/>
      <c r="T70" s="85"/>
      <c r="U70" s="85"/>
      <c r="V70" s="85"/>
      <c r="X70" s="85"/>
      <c r="Y70" s="85"/>
      <c r="Z70" s="85"/>
      <c r="AA70" s="85"/>
      <c r="AB70" s="85"/>
      <c r="AC70" s="85"/>
      <c r="AD70" s="85"/>
      <c r="AE70" s="85"/>
      <c r="AF70" s="85"/>
      <c r="AG70" s="85"/>
      <c r="AH70" s="85"/>
      <c r="AI70" s="85"/>
      <c r="AJ70" s="85"/>
      <c r="AK70" s="85"/>
    </row>
    <row r="71" spans="2:37" s="18" customFormat="1">
      <c r="B71" s="85"/>
      <c r="C71" s="85"/>
      <c r="D71" s="85"/>
      <c r="E71" s="85"/>
      <c r="F71" s="85"/>
      <c r="G71" s="85"/>
      <c r="H71" s="85"/>
      <c r="I71" s="85"/>
      <c r="J71" s="85"/>
      <c r="K71" s="145"/>
      <c r="L71" s="85"/>
      <c r="M71" s="85"/>
      <c r="N71" s="85"/>
      <c r="O71" s="85"/>
      <c r="P71" s="85"/>
      <c r="Q71" s="85"/>
      <c r="R71" s="83"/>
      <c r="S71" s="85"/>
      <c r="T71" s="85"/>
      <c r="U71" s="85"/>
      <c r="V71" s="85"/>
      <c r="X71" s="85"/>
      <c r="Y71" s="85"/>
      <c r="Z71" s="85"/>
      <c r="AA71" s="85"/>
      <c r="AB71" s="85"/>
      <c r="AC71" s="85"/>
      <c r="AD71" s="85"/>
      <c r="AE71" s="85"/>
      <c r="AF71" s="85"/>
      <c r="AG71" s="85"/>
      <c r="AH71" s="85"/>
      <c r="AI71" s="85"/>
      <c r="AJ71" s="85"/>
      <c r="AK71" s="85"/>
    </row>
    <row r="72" spans="2:37" s="18" customFormat="1">
      <c r="B72" s="85"/>
      <c r="C72" s="85"/>
      <c r="D72" s="85"/>
      <c r="E72" s="85"/>
      <c r="F72" s="85"/>
      <c r="G72" s="85"/>
      <c r="H72" s="85"/>
      <c r="I72" s="85"/>
      <c r="J72" s="85"/>
      <c r="K72" s="145"/>
      <c r="L72" s="85"/>
      <c r="M72" s="85"/>
      <c r="N72" s="85"/>
      <c r="O72" s="85"/>
      <c r="P72" s="85"/>
      <c r="Q72" s="85"/>
      <c r="R72" s="83"/>
      <c r="S72" s="85"/>
      <c r="T72" s="85"/>
      <c r="U72" s="85"/>
      <c r="V72" s="85"/>
      <c r="X72" s="85"/>
      <c r="Y72" s="85"/>
      <c r="Z72" s="85"/>
      <c r="AA72" s="85"/>
      <c r="AB72" s="85"/>
      <c r="AC72" s="85"/>
      <c r="AD72" s="85"/>
      <c r="AE72" s="85"/>
      <c r="AF72" s="85"/>
      <c r="AG72" s="85"/>
      <c r="AH72" s="85"/>
      <c r="AI72" s="85"/>
      <c r="AJ72" s="85"/>
      <c r="AK72" s="85"/>
    </row>
    <row r="73" spans="2:37" s="18" customFormat="1">
      <c r="B73" s="85"/>
      <c r="C73" s="85"/>
      <c r="D73" s="85"/>
      <c r="E73" s="85"/>
      <c r="F73" s="85"/>
      <c r="G73" s="85"/>
      <c r="H73" s="85"/>
      <c r="I73" s="85"/>
      <c r="J73" s="85"/>
      <c r="K73" s="145"/>
      <c r="L73" s="85"/>
      <c r="M73" s="85"/>
      <c r="N73" s="85"/>
      <c r="O73" s="85"/>
      <c r="P73" s="85"/>
      <c r="Q73" s="85"/>
      <c r="R73" s="83"/>
      <c r="S73" s="85"/>
      <c r="T73" s="85"/>
      <c r="U73" s="85"/>
      <c r="V73" s="85"/>
      <c r="X73" s="85"/>
      <c r="Y73" s="85"/>
      <c r="Z73" s="85"/>
      <c r="AA73" s="85"/>
      <c r="AB73" s="85"/>
      <c r="AC73" s="85"/>
      <c r="AD73" s="85"/>
      <c r="AE73" s="85"/>
      <c r="AF73" s="85"/>
      <c r="AG73" s="85"/>
      <c r="AH73" s="85"/>
      <c r="AI73" s="85"/>
      <c r="AJ73" s="85"/>
      <c r="AK73" s="85"/>
    </row>
    <row r="74" spans="2:37" s="18" customFormat="1">
      <c r="J74" s="17"/>
      <c r="Q74" s="60"/>
    </row>
    <row r="75" spans="2:37" s="18" customFormat="1">
      <c r="E75" s="18" t="s">
        <v>7128</v>
      </c>
      <c r="F75" s="160">
        <f>SUM(F7:F65)</f>
        <v>63.259999999999984</v>
      </c>
      <c r="G75" s="18" t="s">
        <v>7215</v>
      </c>
      <c r="H75" s="137">
        <f>F75/H76</f>
        <v>2.4330769230769222</v>
      </c>
      <c r="J75" s="17"/>
      <c r="Q75" s="60"/>
    </row>
    <row r="76" spans="2:37" s="18" customFormat="1">
      <c r="E76" s="18" t="s">
        <v>7127</v>
      </c>
      <c r="F76" s="160">
        <f>SUM(F66:F68)</f>
        <v>3.26</v>
      </c>
      <c r="G76" s="18" t="s">
        <v>7216</v>
      </c>
      <c r="H76" s="18">
        <f>MAX(E7:E65)-MIN(E7:E65)</f>
        <v>26</v>
      </c>
      <c r="J76" s="17"/>
      <c r="P76" s="87"/>
      <c r="Q76" s="60"/>
    </row>
    <row r="77" spans="2:37" s="18" customFormat="1">
      <c r="J77" s="17"/>
      <c r="P77" s="87"/>
      <c r="Q77" s="60"/>
    </row>
    <row r="78" spans="2:37" s="18" customFormat="1">
      <c r="J78" s="17"/>
      <c r="P78" s="87"/>
      <c r="Q78" s="60"/>
    </row>
    <row r="79" spans="2:37" s="18" customFormat="1">
      <c r="B79" s="224" t="s">
        <v>1603</v>
      </c>
      <c r="C79" s="224"/>
      <c r="D79" s="225"/>
      <c r="E79" s="225"/>
      <c r="F79" s="225"/>
      <c r="G79" s="225"/>
      <c r="H79" s="225"/>
      <c r="I79" s="225"/>
      <c r="J79" s="17"/>
      <c r="P79" s="155"/>
      <c r="Q79" s="60"/>
    </row>
    <row r="80" spans="2:37" s="18" customFormat="1" ht="13.5" thickBot="1">
      <c r="B80" s="226" t="s">
        <v>1604</v>
      </c>
      <c r="C80" s="226" t="s">
        <v>1540</v>
      </c>
      <c r="D80" s="226" t="s">
        <v>1605</v>
      </c>
      <c r="E80" s="226" t="s">
        <v>1606</v>
      </c>
      <c r="F80" s="226" t="s">
        <v>1607</v>
      </c>
      <c r="G80" s="226" t="s">
        <v>1608</v>
      </c>
      <c r="H80" s="226" t="s">
        <v>1609</v>
      </c>
      <c r="I80" s="226" t="s">
        <v>1610</v>
      </c>
      <c r="J80" s="17"/>
      <c r="P80" s="87"/>
      <c r="Q80" s="60"/>
    </row>
    <row r="81" spans="2:17" s="18" customFormat="1">
      <c r="B81" s="225" t="s">
        <v>1611</v>
      </c>
      <c r="C81" s="225" t="str">
        <f t="shared" ref="C81:C112" si="20">B7</f>
        <v>ENFR_PHENIX_00</v>
      </c>
      <c r="D81" s="227" t="str">
        <f t="shared" ref="D81:D112" si="21">"Nuclear Power Plant: "&amp;Z7</f>
        <v>Nuclear Power Plant: PHENIX</v>
      </c>
      <c r="E81" s="228" t="s">
        <v>1612</v>
      </c>
      <c r="F81" s="228" t="s">
        <v>1556</v>
      </c>
      <c r="G81" s="228" t="s">
        <v>7378</v>
      </c>
      <c r="H81" s="228"/>
      <c r="I81" s="228"/>
      <c r="J81" s="17"/>
      <c r="P81" s="87"/>
      <c r="Q81" s="60"/>
    </row>
    <row r="82" spans="2:17" s="18" customFormat="1">
      <c r="B82" s="225"/>
      <c r="C82" s="225" t="str">
        <f t="shared" si="20"/>
        <v>ENFR_BELLEVILLE-1_00</v>
      </c>
      <c r="D82" s="227" t="str">
        <f t="shared" si="21"/>
        <v>Nuclear Power Plant: BELLEVILLE-1</v>
      </c>
      <c r="E82" s="228" t="s">
        <v>1612</v>
      </c>
      <c r="F82" s="228" t="s">
        <v>1556</v>
      </c>
      <c r="G82" s="228" t="s">
        <v>7378</v>
      </c>
      <c r="H82" s="228"/>
      <c r="I82" s="228"/>
      <c r="J82" s="17"/>
      <c r="P82" s="87"/>
      <c r="Q82" s="60"/>
    </row>
    <row r="83" spans="2:17" s="18" customFormat="1">
      <c r="B83" s="225"/>
      <c r="C83" s="225" t="str">
        <f t="shared" si="20"/>
        <v>ENFR_BELLEVILLE-2_00</v>
      </c>
      <c r="D83" s="227" t="str">
        <f t="shared" si="21"/>
        <v>Nuclear Power Plant: BELLEVILLE-2</v>
      </c>
      <c r="E83" s="228" t="s">
        <v>1612</v>
      </c>
      <c r="F83" s="228" t="s">
        <v>1556</v>
      </c>
      <c r="G83" s="228" t="s">
        <v>7378</v>
      </c>
      <c r="H83" s="228"/>
      <c r="I83" s="228"/>
      <c r="J83" s="17"/>
      <c r="Q83" s="60"/>
    </row>
    <row r="84" spans="2:17" s="18" customFormat="1">
      <c r="B84" s="225"/>
      <c r="C84" s="225" t="str">
        <f t="shared" si="20"/>
        <v>ENFR_BLAYAIS-1_00</v>
      </c>
      <c r="D84" s="227" t="str">
        <f t="shared" si="21"/>
        <v>Nuclear Power Plant: BLAYAIS-1</v>
      </c>
      <c r="E84" s="228" t="s">
        <v>1612</v>
      </c>
      <c r="F84" s="228" t="s">
        <v>1556</v>
      </c>
      <c r="G84" s="228" t="s">
        <v>7378</v>
      </c>
      <c r="H84" s="228"/>
      <c r="I84" s="228"/>
      <c r="J84" s="17"/>
      <c r="Q84" s="60"/>
    </row>
    <row r="85" spans="2:17" s="18" customFormat="1">
      <c r="B85" s="225"/>
      <c r="C85" s="225" t="str">
        <f t="shared" si="20"/>
        <v>ENFR_BLAYAIS-2_00</v>
      </c>
      <c r="D85" s="227" t="str">
        <f t="shared" si="21"/>
        <v>Nuclear Power Plant: BLAYAIS-2</v>
      </c>
      <c r="E85" s="228" t="s">
        <v>1612</v>
      </c>
      <c r="F85" s="228" t="s">
        <v>1556</v>
      </c>
      <c r="G85" s="228" t="s">
        <v>7378</v>
      </c>
      <c r="H85" s="228"/>
      <c r="I85" s="228"/>
      <c r="J85" s="17"/>
      <c r="Q85" s="60"/>
    </row>
    <row r="86" spans="2:17" s="18" customFormat="1">
      <c r="B86" s="225"/>
      <c r="C86" s="225" t="str">
        <f t="shared" si="20"/>
        <v>ENFR_BLAYAIS-3_00</v>
      </c>
      <c r="D86" s="227" t="str">
        <f t="shared" si="21"/>
        <v>Nuclear Power Plant: BLAYAIS-3</v>
      </c>
      <c r="E86" s="228" t="s">
        <v>1612</v>
      </c>
      <c r="F86" s="228" t="s">
        <v>1556</v>
      </c>
      <c r="G86" s="228" t="s">
        <v>7378</v>
      </c>
      <c r="H86" s="225"/>
      <c r="I86" s="225"/>
      <c r="J86" s="17"/>
      <c r="Q86" s="60"/>
    </row>
    <row r="87" spans="2:17" s="18" customFormat="1">
      <c r="B87" s="225"/>
      <c r="C87" s="225" t="str">
        <f t="shared" si="20"/>
        <v>ENFR_BLAYAIS-4_00</v>
      </c>
      <c r="D87" s="227" t="str">
        <f t="shared" si="21"/>
        <v>Nuclear Power Plant: BLAYAIS-4</v>
      </c>
      <c r="E87" s="228" t="s">
        <v>1612</v>
      </c>
      <c r="F87" s="228" t="s">
        <v>1556</v>
      </c>
      <c r="G87" s="228" t="s">
        <v>7378</v>
      </c>
      <c r="H87" s="225"/>
      <c r="I87" s="225"/>
      <c r="J87" s="17"/>
      <c r="Q87" s="60"/>
    </row>
    <row r="88" spans="2:17" s="18" customFormat="1">
      <c r="B88" s="225"/>
      <c r="C88" s="225" t="str">
        <f t="shared" si="20"/>
        <v>ENFR_BUGEY-2_00_00</v>
      </c>
      <c r="D88" s="227" t="str">
        <f t="shared" si="21"/>
        <v>Nuclear Power Plant: BUGEY-2</v>
      </c>
      <c r="E88" s="228" t="s">
        <v>1612</v>
      </c>
      <c r="F88" s="228" t="s">
        <v>1556</v>
      </c>
      <c r="G88" s="228" t="s">
        <v>7378</v>
      </c>
      <c r="H88" s="225"/>
      <c r="I88" s="225"/>
      <c r="J88" s="17"/>
      <c r="Q88" s="60"/>
    </row>
    <row r="89" spans="2:17" s="18" customFormat="1">
      <c r="B89" s="225"/>
      <c r="C89" s="225" t="str">
        <f t="shared" si="20"/>
        <v>ENFR_BUGEY-3_00_00</v>
      </c>
      <c r="D89" s="227" t="str">
        <f t="shared" si="21"/>
        <v>Nuclear Power Plant: BUGEY-3</v>
      </c>
      <c r="E89" s="228" t="s">
        <v>1612</v>
      </c>
      <c r="F89" s="228" t="s">
        <v>1556</v>
      </c>
      <c r="G89" s="228" t="s">
        <v>7378</v>
      </c>
      <c r="H89" s="225"/>
      <c r="I89" s="225"/>
      <c r="J89" s="17"/>
      <c r="Q89" s="60"/>
    </row>
    <row r="90" spans="2:17" s="18" customFormat="1">
      <c r="B90" s="225"/>
      <c r="C90" s="225" t="str">
        <f t="shared" si="20"/>
        <v>ENFR_BUGEY-4_00_00</v>
      </c>
      <c r="D90" s="227" t="str">
        <f t="shared" si="21"/>
        <v>Nuclear Power Plant: BUGEY-4</v>
      </c>
      <c r="E90" s="228" t="s">
        <v>1612</v>
      </c>
      <c r="F90" s="228" t="s">
        <v>1556</v>
      </c>
      <c r="G90" s="228" t="s">
        <v>7378</v>
      </c>
      <c r="H90" s="225"/>
      <c r="I90" s="225"/>
      <c r="J90" s="17"/>
      <c r="Q90" s="60"/>
    </row>
    <row r="91" spans="2:17" s="18" customFormat="1">
      <c r="B91" s="225"/>
      <c r="C91" s="225" t="str">
        <f t="shared" si="20"/>
        <v>ENFR_BUGEY-5_00_00</v>
      </c>
      <c r="D91" s="227" t="str">
        <f t="shared" si="21"/>
        <v>Nuclear Power Plant: BUGEY-5</v>
      </c>
      <c r="E91" s="228" t="s">
        <v>1612</v>
      </c>
      <c r="F91" s="228" t="s">
        <v>1556</v>
      </c>
      <c r="G91" s="228" t="s">
        <v>7378</v>
      </c>
      <c r="H91" s="225"/>
      <c r="I91" s="225"/>
      <c r="J91" s="17"/>
      <c r="Q91" s="60"/>
    </row>
    <row r="92" spans="2:17" s="18" customFormat="1">
      <c r="B92" s="225"/>
      <c r="C92" s="225" t="str">
        <f t="shared" si="20"/>
        <v>ENFR_CATTENOM-1_00</v>
      </c>
      <c r="D92" s="227" t="str">
        <f t="shared" si="21"/>
        <v>Nuclear Power Plant: CATTENOM-1</v>
      </c>
      <c r="E92" s="228" t="s">
        <v>1612</v>
      </c>
      <c r="F92" s="228" t="s">
        <v>1556</v>
      </c>
      <c r="G92" s="228" t="s">
        <v>7378</v>
      </c>
      <c r="H92" s="225"/>
      <c r="I92" s="225"/>
      <c r="J92" s="17"/>
      <c r="Q92" s="60"/>
    </row>
    <row r="93" spans="2:17" s="18" customFormat="1">
      <c r="B93" s="225"/>
      <c r="C93" s="225" t="str">
        <f t="shared" si="20"/>
        <v>ENFR_CATTENOM-2_00</v>
      </c>
      <c r="D93" s="227" t="str">
        <f t="shared" si="21"/>
        <v>Nuclear Power Plant: CATTENOM-2</v>
      </c>
      <c r="E93" s="228" t="s">
        <v>1612</v>
      </c>
      <c r="F93" s="228" t="s">
        <v>1556</v>
      </c>
      <c r="G93" s="228" t="s">
        <v>7378</v>
      </c>
      <c r="H93" s="225"/>
      <c r="I93" s="225"/>
      <c r="J93" s="17"/>
      <c r="Q93" s="60"/>
    </row>
    <row r="94" spans="2:17" s="18" customFormat="1">
      <c r="B94" s="225"/>
      <c r="C94" s="225" t="str">
        <f t="shared" si="20"/>
        <v>ENFR_CATTENOM-3_00</v>
      </c>
      <c r="D94" s="227" t="str">
        <f t="shared" si="21"/>
        <v>Nuclear Power Plant: CATTENOM-3</v>
      </c>
      <c r="E94" s="228" t="s">
        <v>1612</v>
      </c>
      <c r="F94" s="228" t="s">
        <v>1556</v>
      </c>
      <c r="G94" s="228" t="s">
        <v>7378</v>
      </c>
      <c r="H94" s="225"/>
      <c r="I94" s="225"/>
      <c r="J94" s="17"/>
      <c r="Q94" s="60"/>
    </row>
    <row r="95" spans="2:17" s="18" customFormat="1">
      <c r="B95" s="225"/>
      <c r="C95" s="225" t="str">
        <f t="shared" si="20"/>
        <v>ENFR_CATTENOM-4_00</v>
      </c>
      <c r="D95" s="227" t="str">
        <f t="shared" si="21"/>
        <v>Nuclear Power Plant: CATTENOM-4</v>
      </c>
      <c r="E95" s="228" t="s">
        <v>1612</v>
      </c>
      <c r="F95" s="228" t="s">
        <v>1556</v>
      </c>
      <c r="G95" s="228" t="s">
        <v>7378</v>
      </c>
      <c r="H95" s="225"/>
      <c r="I95" s="225"/>
      <c r="J95" s="17"/>
      <c r="Q95" s="60"/>
    </row>
    <row r="96" spans="2:17" s="18" customFormat="1">
      <c r="B96" s="225"/>
      <c r="C96" s="225" t="str">
        <f t="shared" si="20"/>
        <v>ENFR_CHINON-B-1_00</v>
      </c>
      <c r="D96" s="227" t="str">
        <f t="shared" si="21"/>
        <v>Nuclear Power Plant: CHINON-B-1</v>
      </c>
      <c r="E96" s="228" t="s">
        <v>1612</v>
      </c>
      <c r="F96" s="228" t="s">
        <v>1556</v>
      </c>
      <c r="G96" s="228" t="s">
        <v>7378</v>
      </c>
      <c r="H96" s="225"/>
      <c r="I96" s="225"/>
      <c r="J96" s="17"/>
      <c r="Q96" s="60"/>
    </row>
    <row r="97" spans="2:17" s="18" customFormat="1">
      <c r="B97" s="225"/>
      <c r="C97" s="225" t="str">
        <f t="shared" si="20"/>
        <v>ENFR_CHINON-B-2_00</v>
      </c>
      <c r="D97" s="227" t="str">
        <f t="shared" si="21"/>
        <v>Nuclear Power Plant: CHINON-B-2</v>
      </c>
      <c r="E97" s="228" t="s">
        <v>1612</v>
      </c>
      <c r="F97" s="228" t="s">
        <v>1556</v>
      </c>
      <c r="G97" s="228" t="s">
        <v>7378</v>
      </c>
      <c r="H97" s="225"/>
      <c r="I97" s="225"/>
      <c r="J97" s="17"/>
      <c r="Q97" s="60"/>
    </row>
    <row r="98" spans="2:17" s="18" customFormat="1">
      <c r="B98" s="225"/>
      <c r="C98" s="225" t="str">
        <f t="shared" si="20"/>
        <v>ENFR_CHINON-B-3_00</v>
      </c>
      <c r="D98" s="227" t="str">
        <f t="shared" si="21"/>
        <v>Nuclear Power Plant: CHINON-B-3</v>
      </c>
      <c r="E98" s="228" t="s">
        <v>1612</v>
      </c>
      <c r="F98" s="228" t="s">
        <v>1556</v>
      </c>
      <c r="G98" s="228" t="s">
        <v>7378</v>
      </c>
      <c r="H98" s="225"/>
      <c r="I98" s="225"/>
      <c r="J98" s="17"/>
      <c r="Q98" s="60"/>
    </row>
    <row r="99" spans="2:17" s="18" customFormat="1">
      <c r="B99" s="225"/>
      <c r="C99" s="225" t="str">
        <f t="shared" si="20"/>
        <v>ENFR_CHINON-B-4_00</v>
      </c>
      <c r="D99" s="227" t="str">
        <f t="shared" si="21"/>
        <v>Nuclear Power Plant: CHINON-B-4</v>
      </c>
      <c r="E99" s="228" t="s">
        <v>1612</v>
      </c>
      <c r="F99" s="228" t="s">
        <v>1556</v>
      </c>
      <c r="G99" s="228" t="s">
        <v>7378</v>
      </c>
      <c r="H99" s="225"/>
      <c r="I99" s="225"/>
      <c r="J99" s="17"/>
      <c r="Q99" s="60"/>
    </row>
    <row r="100" spans="2:17" s="18" customFormat="1">
      <c r="B100" s="225"/>
      <c r="C100" s="225" t="str">
        <f t="shared" si="20"/>
        <v>ENFR_CHOOZ-B-1_00</v>
      </c>
      <c r="D100" s="227" t="str">
        <f t="shared" si="21"/>
        <v>Nuclear Power Plant: CHOOZ-B-1</v>
      </c>
      <c r="E100" s="228" t="s">
        <v>1612</v>
      </c>
      <c r="F100" s="228" t="s">
        <v>1556</v>
      </c>
      <c r="G100" s="228" t="s">
        <v>7378</v>
      </c>
      <c r="H100" s="225"/>
      <c r="I100" s="225"/>
      <c r="J100" s="17"/>
      <c r="Q100" s="60"/>
    </row>
    <row r="101" spans="2:17" s="18" customFormat="1">
      <c r="B101" s="225"/>
      <c r="C101" s="225" t="str">
        <f t="shared" si="20"/>
        <v>ENFR_CHOOZ-B-2_00</v>
      </c>
      <c r="D101" s="227" t="str">
        <f t="shared" si="21"/>
        <v>Nuclear Power Plant: CHOOZ-B-2</v>
      </c>
      <c r="E101" s="228" t="s">
        <v>1612</v>
      </c>
      <c r="F101" s="228" t="s">
        <v>1556</v>
      </c>
      <c r="G101" s="228" t="s">
        <v>7378</v>
      </c>
      <c r="H101" s="225"/>
      <c r="I101" s="225"/>
      <c r="J101" s="17"/>
      <c r="Q101" s="60"/>
    </row>
    <row r="102" spans="2:17" s="18" customFormat="1">
      <c r="B102" s="225"/>
      <c r="C102" s="225" t="str">
        <f t="shared" si="20"/>
        <v>ENFR_CIVAUX-1_00</v>
      </c>
      <c r="D102" s="227" t="str">
        <f t="shared" si="21"/>
        <v>Nuclear Power Plant: CIVAUX-1</v>
      </c>
      <c r="E102" s="228" t="s">
        <v>1612</v>
      </c>
      <c r="F102" s="228" t="s">
        <v>1556</v>
      </c>
      <c r="G102" s="228" t="s">
        <v>7378</v>
      </c>
      <c r="H102" s="225"/>
      <c r="I102" s="225"/>
      <c r="J102" s="17"/>
      <c r="Q102" s="60"/>
    </row>
    <row r="103" spans="2:17" s="18" customFormat="1">
      <c r="B103" s="225"/>
      <c r="C103" s="225" t="str">
        <f t="shared" si="20"/>
        <v>ENFR_CIVAUX-2_00</v>
      </c>
      <c r="D103" s="227" t="str">
        <f t="shared" si="21"/>
        <v>Nuclear Power Plant: CIVAUX-2</v>
      </c>
      <c r="E103" s="228" t="s">
        <v>1612</v>
      </c>
      <c r="F103" s="228" t="s">
        <v>1556</v>
      </c>
      <c r="G103" s="228" t="s">
        <v>7378</v>
      </c>
      <c r="H103" s="225"/>
      <c r="I103" s="225"/>
      <c r="J103" s="17"/>
      <c r="Q103" s="60"/>
    </row>
    <row r="104" spans="2:17" s="18" customFormat="1">
      <c r="B104" s="225"/>
      <c r="C104" s="225" t="str">
        <f t="shared" si="20"/>
        <v>ENFR_CRUAS-1_00</v>
      </c>
      <c r="D104" s="227" t="str">
        <f t="shared" si="21"/>
        <v>Nuclear Power Plant: CRUAS-1</v>
      </c>
      <c r="E104" s="228" t="s">
        <v>1612</v>
      </c>
      <c r="F104" s="228" t="s">
        <v>1556</v>
      </c>
      <c r="G104" s="228" t="s">
        <v>7378</v>
      </c>
      <c r="H104" s="225"/>
      <c r="I104" s="225"/>
      <c r="J104" s="17"/>
      <c r="Q104" s="60"/>
    </row>
    <row r="105" spans="2:17" s="18" customFormat="1">
      <c r="B105" s="225"/>
      <c r="C105" s="225" t="str">
        <f t="shared" si="20"/>
        <v>ENFR_CRUAS-2_00</v>
      </c>
      <c r="D105" s="227" t="str">
        <f t="shared" si="21"/>
        <v>Nuclear Power Plant: CRUAS-2</v>
      </c>
      <c r="E105" s="228" t="s">
        <v>1612</v>
      </c>
      <c r="F105" s="228" t="s">
        <v>1556</v>
      </c>
      <c r="G105" s="228" t="s">
        <v>7378</v>
      </c>
      <c r="H105" s="225"/>
      <c r="I105" s="225"/>
      <c r="J105" s="17"/>
      <c r="Q105" s="60"/>
    </row>
    <row r="106" spans="2:17" s="18" customFormat="1">
      <c r="B106" s="225"/>
      <c r="C106" s="225" t="str">
        <f t="shared" si="20"/>
        <v>ENFR_CRUAS-3_00</v>
      </c>
      <c r="D106" s="227" t="str">
        <f t="shared" si="21"/>
        <v>Nuclear Power Plant: CRUAS-3</v>
      </c>
      <c r="E106" s="228" t="s">
        <v>1612</v>
      </c>
      <c r="F106" s="228" t="s">
        <v>1556</v>
      </c>
      <c r="G106" s="228" t="s">
        <v>7378</v>
      </c>
      <c r="H106" s="225"/>
      <c r="I106" s="225"/>
      <c r="J106" s="17"/>
      <c r="Q106" s="60"/>
    </row>
    <row r="107" spans="2:17" s="18" customFormat="1">
      <c r="B107" s="225"/>
      <c r="C107" s="225" t="str">
        <f t="shared" si="20"/>
        <v>ENFR_CRUAS-4_00</v>
      </c>
      <c r="D107" s="227" t="str">
        <f t="shared" si="21"/>
        <v>Nuclear Power Plant: CRUAS-4</v>
      </c>
      <c r="E107" s="228" t="s">
        <v>1612</v>
      </c>
      <c r="F107" s="228" t="s">
        <v>1556</v>
      </c>
      <c r="G107" s="228" t="s">
        <v>7378</v>
      </c>
      <c r="H107" s="225"/>
      <c r="I107" s="225"/>
      <c r="J107" s="17"/>
      <c r="Q107" s="60"/>
    </row>
    <row r="108" spans="2:17" s="18" customFormat="1">
      <c r="B108" s="225"/>
      <c r="C108" s="225" t="str">
        <f t="shared" si="20"/>
        <v>ENFR_DAMPIERRE-1_00</v>
      </c>
      <c r="D108" s="227" t="str">
        <f t="shared" si="21"/>
        <v>Nuclear Power Plant: DAMPIERRE-1</v>
      </c>
      <c r="E108" s="228" t="s">
        <v>1612</v>
      </c>
      <c r="F108" s="228" t="s">
        <v>1556</v>
      </c>
      <c r="G108" s="228" t="s">
        <v>7378</v>
      </c>
      <c r="H108" s="225"/>
      <c r="I108" s="225"/>
      <c r="J108" s="17"/>
      <c r="Q108" s="60"/>
    </row>
    <row r="109" spans="2:17" s="18" customFormat="1">
      <c r="B109" s="225"/>
      <c r="C109" s="225" t="str">
        <f t="shared" si="20"/>
        <v>ENFR_DAMPIERRE-2_00</v>
      </c>
      <c r="D109" s="227" t="str">
        <f t="shared" si="21"/>
        <v>Nuclear Power Plant: DAMPIERRE-2</v>
      </c>
      <c r="E109" s="228" t="s">
        <v>1612</v>
      </c>
      <c r="F109" s="228" t="s">
        <v>1556</v>
      </c>
      <c r="G109" s="228" t="s">
        <v>7378</v>
      </c>
      <c r="H109" s="225"/>
      <c r="I109" s="225"/>
      <c r="J109" s="17"/>
      <c r="Q109" s="60"/>
    </row>
    <row r="110" spans="2:17" s="18" customFormat="1">
      <c r="B110" s="225"/>
      <c r="C110" s="225" t="str">
        <f t="shared" si="20"/>
        <v>ENFR_DAMPIERRE-3_00</v>
      </c>
      <c r="D110" s="227" t="str">
        <f t="shared" si="21"/>
        <v>Nuclear Power Plant: DAMPIERRE-3</v>
      </c>
      <c r="E110" s="228" t="s">
        <v>1612</v>
      </c>
      <c r="F110" s="228" t="s">
        <v>1556</v>
      </c>
      <c r="G110" s="228" t="s">
        <v>7378</v>
      </c>
      <c r="H110" s="225"/>
      <c r="I110" s="225"/>
      <c r="J110" s="17"/>
      <c r="Q110" s="60"/>
    </row>
    <row r="111" spans="2:17" s="18" customFormat="1">
      <c r="B111" s="225"/>
      <c r="C111" s="225" t="str">
        <f t="shared" si="20"/>
        <v>ENFR_DAMPIERRE-4_00</v>
      </c>
      <c r="D111" s="227" t="str">
        <f t="shared" si="21"/>
        <v>Nuclear Power Plant: DAMPIERRE-4</v>
      </c>
      <c r="E111" s="228" t="s">
        <v>1612</v>
      </c>
      <c r="F111" s="228" t="s">
        <v>1556</v>
      </c>
      <c r="G111" s="228" t="s">
        <v>7378</v>
      </c>
      <c r="H111" s="225"/>
      <c r="I111" s="225"/>
      <c r="J111" s="17"/>
      <c r="Q111" s="60"/>
    </row>
    <row r="112" spans="2:17" s="18" customFormat="1">
      <c r="B112" s="225"/>
      <c r="C112" s="225" t="str">
        <f t="shared" si="20"/>
        <v>ENFR_FESSENHEIM-1_00</v>
      </c>
      <c r="D112" s="227" t="str">
        <f t="shared" si="21"/>
        <v>Nuclear Power Plant: FESSENHEIM-1</v>
      </c>
      <c r="E112" s="228" t="s">
        <v>1612</v>
      </c>
      <c r="F112" s="228" t="s">
        <v>1556</v>
      </c>
      <c r="G112" s="228" t="s">
        <v>7378</v>
      </c>
      <c r="H112" s="225"/>
      <c r="I112" s="225"/>
      <c r="J112" s="17"/>
      <c r="Q112" s="60"/>
    </row>
    <row r="113" spans="2:17" s="18" customFormat="1">
      <c r="B113" s="225"/>
      <c r="C113" s="225" t="str">
        <f t="shared" ref="C113:C140" si="22">B39</f>
        <v>ENFR_FESSENHEIM-2_00</v>
      </c>
      <c r="D113" s="227" t="str">
        <f t="shared" ref="D113:D140" si="23">"Nuclear Power Plant: "&amp;Z39</f>
        <v>Nuclear Power Plant: FESSENHEIM-2</v>
      </c>
      <c r="E113" s="228" t="s">
        <v>1612</v>
      </c>
      <c r="F113" s="228" t="s">
        <v>1556</v>
      </c>
      <c r="G113" s="228" t="s">
        <v>7378</v>
      </c>
      <c r="H113" s="225"/>
      <c r="I113" s="225"/>
      <c r="J113" s="17"/>
      <c r="Q113" s="60"/>
    </row>
    <row r="114" spans="2:17" s="18" customFormat="1">
      <c r="B114" s="225"/>
      <c r="C114" s="225" t="str">
        <f t="shared" si="22"/>
        <v>ENFR_FLAMANVILLE-1_00</v>
      </c>
      <c r="D114" s="227" t="str">
        <f t="shared" si="23"/>
        <v>Nuclear Power Plant: FLAMANVILLE-1</v>
      </c>
      <c r="E114" s="228" t="s">
        <v>1612</v>
      </c>
      <c r="F114" s="228" t="s">
        <v>1556</v>
      </c>
      <c r="G114" s="228" t="s">
        <v>7378</v>
      </c>
      <c r="H114" s="225"/>
      <c r="I114" s="225"/>
      <c r="J114" s="17"/>
      <c r="Q114" s="60"/>
    </row>
    <row r="115" spans="2:17" s="18" customFormat="1">
      <c r="B115" s="225"/>
      <c r="C115" s="225" t="str">
        <f t="shared" si="22"/>
        <v>ENFR_FLAMANVILLE-2_00</v>
      </c>
      <c r="D115" s="227" t="str">
        <f t="shared" si="23"/>
        <v>Nuclear Power Plant: FLAMANVILLE-2</v>
      </c>
      <c r="E115" s="228" t="s">
        <v>1612</v>
      </c>
      <c r="F115" s="228" t="s">
        <v>1556</v>
      </c>
      <c r="G115" s="228" t="s">
        <v>7378</v>
      </c>
      <c r="H115" s="225"/>
      <c r="I115" s="225"/>
      <c r="J115" s="17"/>
      <c r="Q115" s="60"/>
    </row>
    <row r="116" spans="2:17" s="18" customFormat="1">
      <c r="B116" s="225"/>
      <c r="C116" s="225" t="str">
        <f t="shared" si="22"/>
        <v>ENFR_GOLFECH-1_00</v>
      </c>
      <c r="D116" s="227" t="str">
        <f t="shared" si="23"/>
        <v>Nuclear Power Plant: GOLFECH-1</v>
      </c>
      <c r="E116" s="228" t="s">
        <v>1612</v>
      </c>
      <c r="F116" s="228" t="s">
        <v>1556</v>
      </c>
      <c r="G116" s="228" t="s">
        <v>7378</v>
      </c>
      <c r="H116" s="225"/>
      <c r="I116" s="225"/>
      <c r="J116" s="17"/>
      <c r="Q116" s="60"/>
    </row>
    <row r="117" spans="2:17" s="18" customFormat="1">
      <c r="B117" s="225"/>
      <c r="C117" s="225" t="str">
        <f t="shared" si="22"/>
        <v>ENFR_GOLFECH-2_00</v>
      </c>
      <c r="D117" s="227" t="str">
        <f t="shared" si="23"/>
        <v>Nuclear Power Plant: GOLFECH-2</v>
      </c>
      <c r="E117" s="228" t="s">
        <v>1612</v>
      </c>
      <c r="F117" s="228" t="s">
        <v>1556</v>
      </c>
      <c r="G117" s="228" t="s">
        <v>7378</v>
      </c>
      <c r="H117" s="225"/>
      <c r="I117" s="225"/>
      <c r="J117" s="17"/>
      <c r="Q117" s="60"/>
    </row>
    <row r="118" spans="2:17" s="18" customFormat="1">
      <c r="B118" s="225"/>
      <c r="C118" s="225" t="str">
        <f t="shared" si="22"/>
        <v>ENFR_GRAVELINES-1_00</v>
      </c>
      <c r="D118" s="227" t="str">
        <f t="shared" si="23"/>
        <v>Nuclear Power Plant: GRAVELINES-1</v>
      </c>
      <c r="E118" s="228" t="s">
        <v>1612</v>
      </c>
      <c r="F118" s="228" t="s">
        <v>1556</v>
      </c>
      <c r="G118" s="228" t="s">
        <v>7378</v>
      </c>
      <c r="H118" s="225"/>
      <c r="I118" s="225"/>
      <c r="J118" s="17"/>
      <c r="Q118" s="60"/>
    </row>
    <row r="119" spans="2:17" s="18" customFormat="1">
      <c r="B119" s="225"/>
      <c r="C119" s="225" t="str">
        <f t="shared" si="22"/>
        <v>ENFR_GRAVELINES-2_00</v>
      </c>
      <c r="D119" s="227" t="str">
        <f t="shared" si="23"/>
        <v>Nuclear Power Plant: GRAVELINES-2</v>
      </c>
      <c r="E119" s="228" t="s">
        <v>1612</v>
      </c>
      <c r="F119" s="228" t="s">
        <v>1556</v>
      </c>
      <c r="G119" s="228" t="s">
        <v>7378</v>
      </c>
      <c r="H119" s="225"/>
      <c r="I119" s="225"/>
      <c r="J119" s="17"/>
      <c r="Q119" s="60"/>
    </row>
    <row r="120" spans="2:17" s="18" customFormat="1">
      <c r="B120" s="225"/>
      <c r="C120" s="225" t="str">
        <f t="shared" si="22"/>
        <v>ENFR_GRAVELINES-3_00</v>
      </c>
      <c r="D120" s="227" t="str">
        <f t="shared" si="23"/>
        <v>Nuclear Power Plant: GRAVELINES-3</v>
      </c>
      <c r="E120" s="228" t="s">
        <v>1612</v>
      </c>
      <c r="F120" s="228" t="s">
        <v>1556</v>
      </c>
      <c r="G120" s="228" t="s">
        <v>7378</v>
      </c>
      <c r="H120" s="225"/>
      <c r="I120" s="225"/>
      <c r="J120" s="17"/>
      <c r="Q120" s="60"/>
    </row>
    <row r="121" spans="2:17" s="18" customFormat="1">
      <c r="B121" s="225"/>
      <c r="C121" s="225" t="str">
        <f t="shared" si="22"/>
        <v>ENFR_GRAVELINES-4_00</v>
      </c>
      <c r="D121" s="227" t="str">
        <f t="shared" si="23"/>
        <v>Nuclear Power Plant: GRAVELINES-4</v>
      </c>
      <c r="E121" s="228" t="s">
        <v>1612</v>
      </c>
      <c r="F121" s="228" t="s">
        <v>1556</v>
      </c>
      <c r="G121" s="228" t="s">
        <v>7378</v>
      </c>
      <c r="H121" s="225"/>
      <c r="I121" s="225"/>
      <c r="J121" s="17"/>
      <c r="Q121" s="60"/>
    </row>
    <row r="122" spans="2:17" s="18" customFormat="1">
      <c r="B122" s="225"/>
      <c r="C122" s="225" t="str">
        <f t="shared" si="22"/>
        <v>ENFR_GRAVELINES-5_00</v>
      </c>
      <c r="D122" s="227" t="str">
        <f t="shared" si="23"/>
        <v>Nuclear Power Plant: GRAVELINES-5</v>
      </c>
      <c r="E122" s="228" t="s">
        <v>1612</v>
      </c>
      <c r="F122" s="228" t="s">
        <v>1556</v>
      </c>
      <c r="G122" s="228" t="s">
        <v>7378</v>
      </c>
      <c r="H122" s="225"/>
      <c r="I122" s="225"/>
      <c r="J122" s="17"/>
      <c r="Q122" s="60"/>
    </row>
    <row r="123" spans="2:17" s="18" customFormat="1">
      <c r="B123" s="225"/>
      <c r="C123" s="225" t="str">
        <f t="shared" si="22"/>
        <v>ENFR_GRAVELINES-6_00</v>
      </c>
      <c r="D123" s="227" t="str">
        <f t="shared" si="23"/>
        <v>Nuclear Power Plant: GRAVELINES-6</v>
      </c>
      <c r="E123" s="228" t="s">
        <v>1612</v>
      </c>
      <c r="F123" s="228" t="s">
        <v>1556</v>
      </c>
      <c r="G123" s="228" t="s">
        <v>7378</v>
      </c>
      <c r="H123" s="225"/>
      <c r="I123" s="225"/>
      <c r="J123" s="17"/>
      <c r="Q123" s="60"/>
    </row>
    <row r="124" spans="2:17" s="18" customFormat="1">
      <c r="B124" s="225"/>
      <c r="C124" s="225" t="str">
        <f t="shared" si="22"/>
        <v>ENFR_NOGENT-1_00</v>
      </c>
      <c r="D124" s="227" t="str">
        <f t="shared" si="23"/>
        <v>Nuclear Power Plant: NOGENT-1</v>
      </c>
      <c r="E124" s="228" t="s">
        <v>1612</v>
      </c>
      <c r="F124" s="228" t="s">
        <v>1556</v>
      </c>
      <c r="G124" s="228" t="s">
        <v>7378</v>
      </c>
      <c r="H124" s="225"/>
      <c r="I124" s="225"/>
      <c r="J124" s="17"/>
      <c r="Q124" s="60"/>
    </row>
    <row r="125" spans="2:17" s="18" customFormat="1">
      <c r="B125" s="225"/>
      <c r="C125" s="225" t="str">
        <f t="shared" si="22"/>
        <v>ENFR_NOGENT-2_00</v>
      </c>
      <c r="D125" s="227" t="str">
        <f t="shared" si="23"/>
        <v>Nuclear Power Plant: NOGENT-2</v>
      </c>
      <c r="E125" s="228" t="s">
        <v>1612</v>
      </c>
      <c r="F125" s="228" t="s">
        <v>1556</v>
      </c>
      <c r="G125" s="228" t="s">
        <v>7378</v>
      </c>
      <c r="H125" s="225"/>
      <c r="I125" s="225"/>
      <c r="J125" s="17"/>
      <c r="Q125" s="60"/>
    </row>
    <row r="126" spans="2:17" s="18" customFormat="1">
      <c r="B126" s="225"/>
      <c r="C126" s="225" t="str">
        <f t="shared" si="22"/>
        <v>ENFR_PALUEL-1_00</v>
      </c>
      <c r="D126" s="227" t="str">
        <f t="shared" si="23"/>
        <v>Nuclear Power Plant: PALUEL-1</v>
      </c>
      <c r="E126" s="228" t="s">
        <v>1612</v>
      </c>
      <c r="F126" s="228" t="s">
        <v>1556</v>
      </c>
      <c r="G126" s="228" t="s">
        <v>7378</v>
      </c>
      <c r="H126" s="225"/>
      <c r="I126" s="225"/>
      <c r="J126" s="17"/>
      <c r="Q126" s="60"/>
    </row>
    <row r="127" spans="2:17" s="18" customFormat="1">
      <c r="B127" s="225"/>
      <c r="C127" s="225" t="str">
        <f t="shared" si="22"/>
        <v>ENFR_PALUEL-2_00</v>
      </c>
      <c r="D127" s="227" t="str">
        <f t="shared" si="23"/>
        <v>Nuclear Power Plant: PALUEL-2</v>
      </c>
      <c r="E127" s="228" t="s">
        <v>1612</v>
      </c>
      <c r="F127" s="228" t="s">
        <v>1556</v>
      </c>
      <c r="G127" s="228" t="s">
        <v>7378</v>
      </c>
      <c r="H127" s="225"/>
      <c r="I127" s="225"/>
      <c r="J127" s="17"/>
      <c r="Q127" s="60"/>
    </row>
    <row r="128" spans="2:17" s="18" customFormat="1">
      <c r="B128" s="225"/>
      <c r="C128" s="225" t="str">
        <f t="shared" si="22"/>
        <v>ENFR_PALUEL-3_00</v>
      </c>
      <c r="D128" s="227" t="str">
        <f t="shared" si="23"/>
        <v>Nuclear Power Plant: PALUEL-3</v>
      </c>
      <c r="E128" s="228" t="s">
        <v>1612</v>
      </c>
      <c r="F128" s="228" t="s">
        <v>1556</v>
      </c>
      <c r="G128" s="228" t="s">
        <v>7378</v>
      </c>
      <c r="H128" s="225"/>
      <c r="I128" s="225"/>
      <c r="J128" s="17"/>
      <c r="Q128" s="60"/>
    </row>
    <row r="129" spans="2:17" s="18" customFormat="1">
      <c r="B129" s="225"/>
      <c r="C129" s="225" t="str">
        <f t="shared" si="22"/>
        <v>ENFR_PALUEL-4_00</v>
      </c>
      <c r="D129" s="227" t="str">
        <f t="shared" si="23"/>
        <v>Nuclear Power Plant: PALUEL-4</v>
      </c>
      <c r="E129" s="228" t="s">
        <v>1612</v>
      </c>
      <c r="F129" s="228" t="s">
        <v>1556</v>
      </c>
      <c r="G129" s="228" t="s">
        <v>7378</v>
      </c>
      <c r="H129" s="225"/>
      <c r="I129" s="225"/>
      <c r="J129" s="17"/>
      <c r="Q129" s="60"/>
    </row>
    <row r="130" spans="2:17" s="18" customFormat="1">
      <c r="B130" s="225"/>
      <c r="C130" s="225" t="str">
        <f t="shared" si="22"/>
        <v>ENFR_PENLY-1_00</v>
      </c>
      <c r="D130" s="227" t="str">
        <f t="shared" si="23"/>
        <v>Nuclear Power Plant: PENLY-1</v>
      </c>
      <c r="E130" s="228" t="s">
        <v>1612</v>
      </c>
      <c r="F130" s="228" t="s">
        <v>1556</v>
      </c>
      <c r="G130" s="228" t="s">
        <v>7378</v>
      </c>
      <c r="H130" s="225"/>
      <c r="I130" s="225"/>
      <c r="J130" s="17"/>
      <c r="Q130" s="60"/>
    </row>
    <row r="131" spans="2:17" s="18" customFormat="1">
      <c r="B131" s="225"/>
      <c r="C131" s="225" t="str">
        <f t="shared" si="22"/>
        <v>ENFR_PENLY-2_00</v>
      </c>
      <c r="D131" s="227" t="str">
        <f t="shared" si="23"/>
        <v>Nuclear Power Plant: PENLY-2</v>
      </c>
      <c r="E131" s="228" t="s">
        <v>1612</v>
      </c>
      <c r="F131" s="228" t="s">
        <v>1556</v>
      </c>
      <c r="G131" s="228" t="s">
        <v>7378</v>
      </c>
      <c r="H131" s="225"/>
      <c r="I131" s="225"/>
      <c r="J131" s="17"/>
      <c r="Q131" s="60"/>
    </row>
    <row r="132" spans="2:17" s="18" customFormat="1">
      <c r="B132" s="225"/>
      <c r="C132" s="225" t="str">
        <f t="shared" si="22"/>
        <v>ENFR_STALBAN-1_00</v>
      </c>
      <c r="D132" s="227" t="str">
        <f t="shared" si="23"/>
        <v>Nuclear Power Plant: ST. ALBAN-1</v>
      </c>
      <c r="E132" s="228" t="s">
        <v>1612</v>
      </c>
      <c r="F132" s="228" t="s">
        <v>1556</v>
      </c>
      <c r="G132" s="228" t="s">
        <v>7378</v>
      </c>
      <c r="H132" s="225"/>
      <c r="I132" s="225"/>
      <c r="J132" s="17"/>
      <c r="Q132" s="60"/>
    </row>
    <row r="133" spans="2:17" s="18" customFormat="1">
      <c r="B133" s="225"/>
      <c r="C133" s="225" t="str">
        <f t="shared" si="22"/>
        <v>ENFR_STALBAN-2_00</v>
      </c>
      <c r="D133" s="227" t="str">
        <f t="shared" si="23"/>
        <v>Nuclear Power Plant: ST. ALBAN-2</v>
      </c>
      <c r="E133" s="228" t="s">
        <v>1612</v>
      </c>
      <c r="F133" s="228" t="s">
        <v>1556</v>
      </c>
      <c r="G133" s="228" t="s">
        <v>7378</v>
      </c>
      <c r="H133" s="225"/>
      <c r="I133" s="225"/>
      <c r="J133" s="17"/>
      <c r="Q133" s="60"/>
    </row>
    <row r="134" spans="2:17" s="18" customFormat="1">
      <c r="B134" s="225"/>
      <c r="C134" s="225" t="str">
        <f t="shared" si="22"/>
        <v>ENFR_STLAURENT-B-1_00</v>
      </c>
      <c r="D134" s="227" t="str">
        <f t="shared" si="23"/>
        <v>Nuclear Power Plant: ST. LAURENT-B-1</v>
      </c>
      <c r="E134" s="228" t="s">
        <v>1612</v>
      </c>
      <c r="F134" s="228" t="s">
        <v>1556</v>
      </c>
      <c r="G134" s="228" t="s">
        <v>7378</v>
      </c>
      <c r="H134" s="225"/>
      <c r="I134" s="225"/>
      <c r="J134" s="17"/>
      <c r="Q134" s="60"/>
    </row>
    <row r="135" spans="2:17" s="18" customFormat="1">
      <c r="B135" s="225"/>
      <c r="C135" s="225" t="str">
        <f t="shared" si="22"/>
        <v>ENFR_STLAURENT-B-2_00</v>
      </c>
      <c r="D135" s="227" t="str">
        <f t="shared" si="23"/>
        <v>Nuclear Power Plant: ST. LAURENT-B-2</v>
      </c>
      <c r="E135" s="228" t="s">
        <v>1612</v>
      </c>
      <c r="F135" s="228" t="s">
        <v>1556</v>
      </c>
      <c r="G135" s="228" t="s">
        <v>7378</v>
      </c>
      <c r="H135" s="225"/>
      <c r="I135" s="225"/>
      <c r="J135" s="17"/>
      <c r="Q135" s="60"/>
    </row>
    <row r="136" spans="2:17" s="18" customFormat="1">
      <c r="B136" s="225"/>
      <c r="C136" s="225" t="str">
        <f t="shared" si="22"/>
        <v>ENFR_TRICASTIN-1_00</v>
      </c>
      <c r="D136" s="227" t="str">
        <f t="shared" si="23"/>
        <v>Nuclear Power Plant: TRICASTIN-1</v>
      </c>
      <c r="E136" s="228" t="s">
        <v>1612</v>
      </c>
      <c r="F136" s="228" t="s">
        <v>1556</v>
      </c>
      <c r="G136" s="228" t="s">
        <v>7378</v>
      </c>
      <c r="H136" s="225"/>
      <c r="I136" s="225"/>
      <c r="J136" s="17"/>
      <c r="Q136" s="60"/>
    </row>
    <row r="137" spans="2:17" s="18" customFormat="1">
      <c r="B137" s="225"/>
      <c r="C137" s="225" t="str">
        <f t="shared" si="22"/>
        <v>ENFR_TRICASTIN-2_00</v>
      </c>
      <c r="D137" s="227" t="str">
        <f t="shared" si="23"/>
        <v>Nuclear Power Plant: TRICASTIN-2</v>
      </c>
      <c r="E137" s="228" t="s">
        <v>1612</v>
      </c>
      <c r="F137" s="228" t="s">
        <v>1556</v>
      </c>
      <c r="G137" s="228" t="s">
        <v>7378</v>
      </c>
      <c r="H137" s="225"/>
      <c r="I137" s="225"/>
      <c r="J137" s="17"/>
      <c r="Q137" s="60"/>
    </row>
    <row r="138" spans="2:17" s="18" customFormat="1">
      <c r="B138" s="225"/>
      <c r="C138" s="225" t="str">
        <f t="shared" si="22"/>
        <v>ENFR_TRICASTIN-3_00</v>
      </c>
      <c r="D138" s="227" t="str">
        <f t="shared" si="23"/>
        <v>Nuclear Power Plant: TRICASTIN-3</v>
      </c>
      <c r="E138" s="228" t="s">
        <v>1612</v>
      </c>
      <c r="F138" s="228" t="s">
        <v>1556</v>
      </c>
      <c r="G138" s="228" t="s">
        <v>7378</v>
      </c>
      <c r="H138" s="225"/>
      <c r="I138" s="225"/>
      <c r="J138" s="17"/>
      <c r="Q138" s="60"/>
    </row>
    <row r="139" spans="2:17" s="18" customFormat="1">
      <c r="B139" s="225"/>
      <c r="C139" s="225" t="str">
        <f t="shared" si="22"/>
        <v>ENFR_TRICASTIN-4_00</v>
      </c>
      <c r="D139" s="227" t="str">
        <f t="shared" si="23"/>
        <v>Nuclear Power Plant: TRICASTIN-4</v>
      </c>
      <c r="E139" s="228" t="s">
        <v>1612</v>
      </c>
      <c r="F139" s="228" t="s">
        <v>1556</v>
      </c>
      <c r="G139" s="228" t="s">
        <v>7378</v>
      </c>
      <c r="H139" s="225"/>
      <c r="I139" s="225"/>
      <c r="J139" s="17"/>
      <c r="Q139" s="60"/>
    </row>
    <row r="140" spans="2:17" s="18" customFormat="1">
      <c r="B140" s="225"/>
      <c r="C140" s="225" t="str">
        <f t="shared" si="22"/>
        <v>ENFR_FLAMANVILLE-3</v>
      </c>
      <c r="D140" s="227" t="str">
        <f t="shared" si="23"/>
        <v>Nuclear Power Plant: FLAMANVILLE-3</v>
      </c>
      <c r="E140" s="228" t="s">
        <v>1612</v>
      </c>
      <c r="F140" s="228" t="s">
        <v>1556</v>
      </c>
      <c r="G140" s="228" t="s">
        <v>7378</v>
      </c>
      <c r="H140" s="225"/>
      <c r="I140" s="225"/>
      <c r="J140" s="17"/>
      <c r="Q140" s="60"/>
    </row>
    <row r="141" spans="2:17" s="18" customFormat="1">
      <c r="B141" s="225"/>
      <c r="C141" s="225"/>
      <c r="D141" s="227"/>
      <c r="E141" s="228"/>
      <c r="F141" s="228"/>
      <c r="G141" s="228"/>
      <c r="H141" s="225"/>
      <c r="I141" s="225"/>
      <c r="J141" s="17"/>
      <c r="Q141" s="60"/>
    </row>
    <row r="142" spans="2:17" s="18" customFormat="1">
      <c r="B142" s="225"/>
      <c r="C142" s="225" t="str">
        <f>B68</f>
        <v>ENFR_PENLY-3</v>
      </c>
      <c r="D142" s="227" t="str">
        <f>"Nuclear Power Plant: "&amp;Z68</f>
        <v>Nuclear Power Plant: PENLY-3</v>
      </c>
      <c r="E142" s="228" t="s">
        <v>1612</v>
      </c>
      <c r="F142" s="228" t="s">
        <v>1556</v>
      </c>
      <c r="G142" s="228" t="s">
        <v>7378</v>
      </c>
      <c r="H142" s="225"/>
      <c r="I142" s="225"/>
      <c r="J142" s="17"/>
      <c r="Q142" s="60"/>
    </row>
    <row r="143" spans="2:17" s="18" customFormat="1">
      <c r="J143" s="17"/>
      <c r="Q143" s="60"/>
    </row>
    <row r="144" spans="2: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18" customFormat="1">
      <c r="J445" s="17"/>
      <c r="Q445" s="60"/>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row r="452" spans="2:29" s="70" customFormat="1">
      <c r="B452" s="18"/>
      <c r="C452" s="18"/>
      <c r="D452" s="18"/>
      <c r="E452" s="18"/>
      <c r="J452" s="71"/>
      <c r="Q452" s="144"/>
      <c r="W452" s="18"/>
      <c r="X452" s="18"/>
      <c r="Y452" s="18"/>
      <c r="Z452" s="18"/>
      <c r="AC452" s="18"/>
    </row>
    <row r="453" spans="2:29" s="70" customFormat="1">
      <c r="B453" s="18"/>
      <c r="C453" s="18"/>
      <c r="D453" s="18"/>
      <c r="E453" s="18"/>
      <c r="J453" s="71"/>
      <c r="Q453" s="144"/>
      <c r="W453" s="18"/>
      <c r="X453" s="18"/>
      <c r="Y453" s="18"/>
      <c r="Z453" s="18"/>
      <c r="AC453" s="18"/>
    </row>
  </sheetData>
  <phoneticPr fontId="0" type="noConversion"/>
  <hyperlinks>
    <hyperlink ref="Y6" r:id="rId1" display="http://www.iaea.org/cgi-bin/db.page.pl/pris.prdeta.htm?country=FR&amp;site=PHENIX&amp;units=&amp;refno=10&amp;link=HOT&amp;sort=&amp;sortlong=Alphabetic"/>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0"/>
  </sheetPr>
  <dimension ref="B1:AK444"/>
  <sheetViews>
    <sheetView topLeftCell="B16" zoomScale="110" zoomScaleNormal="110" zoomScalePageLayoutView="125" workbookViewId="0">
      <selection activeCell="C23" sqref="C23"/>
    </sheetView>
  </sheetViews>
  <sheetFormatPr defaultColWidth="8.85546875" defaultRowHeight="12.75"/>
  <cols>
    <col min="1" max="1" width="3" style="19" customWidth="1"/>
    <col min="2" max="2" width="38.42578125" style="18" bestFit="1" customWidth="1"/>
    <col min="3" max="3" width="37.140625" style="18" bestFit="1" customWidth="1"/>
    <col min="4" max="5" width="13.4257812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8" style="18" bestFit="1" customWidth="1"/>
    <col min="25" max="25" width="28.14062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1585</v>
      </c>
      <c r="C1" s="78"/>
      <c r="D1" s="78"/>
      <c r="E1" s="79" t="s">
        <v>1586</v>
      </c>
      <c r="F1" s="68" t="s">
        <v>7358</v>
      </c>
      <c r="G1" s="2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4" t="s">
        <v>7364</v>
      </c>
      <c r="C7" s="61" t="s">
        <v>1561</v>
      </c>
      <c r="D7" s="61" t="s">
        <v>1562</v>
      </c>
      <c r="E7" s="61">
        <f t="shared" ref="E7:E23" si="0">YEAR(AB7)</f>
        <v>1974</v>
      </c>
      <c r="F7" s="98">
        <f>1167/1000</f>
        <v>1.167</v>
      </c>
      <c r="G7" s="98">
        <f>1125/1000</f>
        <v>1.125</v>
      </c>
      <c r="H7" s="99">
        <f>'DE-32'!$AU$20/100</f>
        <v>0.94989999999999997</v>
      </c>
      <c r="I7" s="99">
        <f>'DE-32'!$AU$20/100</f>
        <v>0.94989999999999997</v>
      </c>
      <c r="J7" s="99">
        <f>'DE-32'!$AU$21/100</f>
        <v>0.91980000000000006</v>
      </c>
      <c r="K7" s="98">
        <f t="shared" ref="K7:K23" si="1">F7</f>
        <v>1.167</v>
      </c>
      <c r="L7" s="91"/>
      <c r="M7" s="103"/>
      <c r="N7" s="103"/>
      <c r="O7" s="90"/>
      <c r="P7" s="90"/>
      <c r="Q7" s="90"/>
      <c r="R7" s="132">
        <v>2011</v>
      </c>
      <c r="S7" s="94">
        <f t="shared" ref="S7:S23" si="2">R7-E7</f>
        <v>37</v>
      </c>
      <c r="T7" s="100">
        <f>AK7</f>
        <v>0.94089600000000018</v>
      </c>
      <c r="U7" s="91">
        <v>1</v>
      </c>
      <c r="V7" s="104">
        <v>31.536000000000001</v>
      </c>
      <c r="X7" s="90" t="s">
        <v>2820</v>
      </c>
      <c r="Y7" s="90" t="s">
        <v>1652</v>
      </c>
      <c r="Z7" s="90" t="s">
        <v>1683</v>
      </c>
      <c r="AA7" s="91">
        <v>30</v>
      </c>
      <c r="AB7" s="105">
        <v>27266</v>
      </c>
      <c r="AC7" s="106">
        <f t="shared" ref="AC7:AC23" si="3">DATE(YEAR(AB7)+AA7,MONTH(AB7),DAY(AB7))</f>
        <v>38224</v>
      </c>
      <c r="AD7" s="90">
        <v>33000</v>
      </c>
      <c r="AE7" s="102">
        <f t="shared" ref="AE7:AE23" si="4">G7*J7*8760</f>
        <v>9064.6290000000008</v>
      </c>
      <c r="AF7" s="99">
        <v>0.33</v>
      </c>
      <c r="AG7" s="102">
        <f t="shared" ref="AG7:AG14" si="5">AE7/AF7</f>
        <v>27468.572727272727</v>
      </c>
      <c r="AH7" s="107">
        <f t="shared" ref="AH7:AH23" si="6">AG7/(AD7*24)*1000</f>
        <v>34.682541322314044</v>
      </c>
      <c r="AI7" s="102">
        <f>AH7*Assumptions!$H$7</f>
        <v>277.46033057851236</v>
      </c>
      <c r="AJ7" s="102">
        <f t="shared" ref="AJ7:AJ14" si="7">AE7/AH7</f>
        <v>261.36000000000007</v>
      </c>
      <c r="AK7" s="99">
        <f t="shared" ref="AK7:AK14" si="8">AJ7*0.0036</f>
        <v>0.94089600000000018</v>
      </c>
    </row>
    <row r="8" spans="2:37" s="18" customFormat="1">
      <c r="B8" s="74" t="s">
        <v>7365</v>
      </c>
      <c r="C8" s="61" t="s">
        <v>1561</v>
      </c>
      <c r="D8" s="61" t="s">
        <v>1562</v>
      </c>
      <c r="E8" s="61">
        <f t="shared" si="0"/>
        <v>1976</v>
      </c>
      <c r="F8" s="98">
        <f>1240/1000</f>
        <v>1.24</v>
      </c>
      <c r="G8" s="98">
        <f>1300/1000</f>
        <v>1.3</v>
      </c>
      <c r="H8" s="99">
        <f>'DE-32'!$AU$20/100</f>
        <v>0.94989999999999997</v>
      </c>
      <c r="I8" s="99">
        <f>'DE-32'!$AU$20/100</f>
        <v>0.94989999999999997</v>
      </c>
      <c r="J8" s="99">
        <f>'DE-32'!$AU$21/100</f>
        <v>0.91980000000000006</v>
      </c>
      <c r="K8" s="98">
        <f t="shared" si="1"/>
        <v>1.24</v>
      </c>
      <c r="L8" s="91"/>
      <c r="M8" s="103"/>
      <c r="N8" s="103"/>
      <c r="O8" s="90"/>
      <c r="P8" s="90"/>
      <c r="Q8" s="90"/>
      <c r="R8" s="132">
        <v>2011</v>
      </c>
      <c r="S8" s="102">
        <f t="shared" si="2"/>
        <v>35</v>
      </c>
      <c r="T8" s="100">
        <f t="shared" ref="T8:T23" si="9">AK8</f>
        <v>0.94089599999999984</v>
      </c>
      <c r="U8" s="91">
        <v>1</v>
      </c>
      <c r="V8" s="104">
        <v>31.536000000000001</v>
      </c>
      <c r="X8" s="90" t="s">
        <v>2820</v>
      </c>
      <c r="Y8" s="90" t="s">
        <v>1652</v>
      </c>
      <c r="Z8" s="90" t="s">
        <v>1685</v>
      </c>
      <c r="AA8" s="91">
        <v>30</v>
      </c>
      <c r="AB8" s="105">
        <v>27875</v>
      </c>
      <c r="AC8" s="106">
        <f t="shared" si="3"/>
        <v>38832</v>
      </c>
      <c r="AD8" s="90">
        <v>33000</v>
      </c>
      <c r="AE8" s="102">
        <f t="shared" si="4"/>
        <v>10474.6824</v>
      </c>
      <c r="AF8" s="99">
        <v>0.33</v>
      </c>
      <c r="AG8" s="102">
        <f>AE8/AF8</f>
        <v>31741.461818181815</v>
      </c>
      <c r="AH8" s="107">
        <f t="shared" si="6"/>
        <v>40.077603305785125</v>
      </c>
      <c r="AI8" s="102">
        <f>AH8*Assumptions!$H$7</f>
        <v>320.620826446281</v>
      </c>
      <c r="AJ8" s="102">
        <f>AE8/AH8</f>
        <v>261.35999999999996</v>
      </c>
      <c r="AK8" s="99">
        <f>AJ8*0.0036</f>
        <v>0.94089599999999984</v>
      </c>
    </row>
    <row r="9" spans="2:37" s="18" customFormat="1">
      <c r="B9" s="74" t="s">
        <v>7366</v>
      </c>
      <c r="C9" s="61" t="s">
        <v>1561</v>
      </c>
      <c r="D9" s="61" t="s">
        <v>1562</v>
      </c>
      <c r="E9" s="61">
        <f t="shared" si="0"/>
        <v>1976</v>
      </c>
      <c r="F9" s="98">
        <f>785/1000</f>
        <v>0.78500000000000003</v>
      </c>
      <c r="G9" s="98">
        <f>840/1000</f>
        <v>0.84</v>
      </c>
      <c r="H9" s="99">
        <f>'DE-32'!$AU$20/100</f>
        <v>0.94989999999999997</v>
      </c>
      <c r="I9" s="99">
        <f>'DE-32'!$AU$20/100</f>
        <v>0.94989999999999997</v>
      </c>
      <c r="J9" s="99">
        <f>'DE-32'!$AU$21/100</f>
        <v>0.91980000000000006</v>
      </c>
      <c r="K9" s="98">
        <f t="shared" si="1"/>
        <v>0.78500000000000003</v>
      </c>
      <c r="L9" s="91"/>
      <c r="M9" s="103"/>
      <c r="N9" s="103"/>
      <c r="O9" s="90"/>
      <c r="P9" s="90"/>
      <c r="Q9" s="90"/>
      <c r="R9" s="132">
        <v>2011</v>
      </c>
      <c r="S9" s="102">
        <f t="shared" si="2"/>
        <v>35</v>
      </c>
      <c r="T9" s="100">
        <f t="shared" si="9"/>
        <v>1.0463903999999999</v>
      </c>
      <c r="U9" s="91">
        <v>1</v>
      </c>
      <c r="V9" s="104">
        <v>31.536000000000001</v>
      </c>
      <c r="X9" s="90" t="s">
        <v>2820</v>
      </c>
      <c r="Y9" s="90" t="s">
        <v>1652</v>
      </c>
      <c r="Z9" s="90" t="s">
        <v>1684</v>
      </c>
      <c r="AA9" s="91">
        <v>30</v>
      </c>
      <c r="AB9" s="105">
        <v>27914</v>
      </c>
      <c r="AC9" s="106">
        <f t="shared" si="3"/>
        <v>38871</v>
      </c>
      <c r="AD9" s="90">
        <v>36700</v>
      </c>
      <c r="AE9" s="102">
        <f t="shared" si="4"/>
        <v>6768.2563199999995</v>
      </c>
      <c r="AF9" s="99">
        <v>0.33</v>
      </c>
      <c r="AG9" s="102">
        <f t="shared" si="5"/>
        <v>20509.867636363633</v>
      </c>
      <c r="AH9" s="107">
        <f t="shared" si="6"/>
        <v>23.285499133019567</v>
      </c>
      <c r="AI9" s="102">
        <f>AH9*Assumptions!$H$7</f>
        <v>186.28399306415653</v>
      </c>
      <c r="AJ9" s="102">
        <f t="shared" si="7"/>
        <v>290.66399999999999</v>
      </c>
      <c r="AK9" s="99">
        <f t="shared" si="8"/>
        <v>1.0463903999999999</v>
      </c>
    </row>
    <row r="10" spans="2:37" s="18" customFormat="1">
      <c r="B10" s="74" t="s">
        <v>7367</v>
      </c>
      <c r="C10" s="61" t="s">
        <v>1561</v>
      </c>
      <c r="D10" s="61" t="s">
        <v>1562</v>
      </c>
      <c r="E10" s="61">
        <f t="shared" si="0"/>
        <v>1976</v>
      </c>
      <c r="F10" s="98">
        <f>771/1000</f>
        <v>0.77100000000000002</v>
      </c>
      <c r="G10" s="98">
        <f>806/1000</f>
        <v>0.80600000000000005</v>
      </c>
      <c r="H10" s="99">
        <f>'DE-32'!$AU$20/100</f>
        <v>0.94989999999999997</v>
      </c>
      <c r="I10" s="99">
        <f>'DE-32'!$AU$20/100</f>
        <v>0.94989999999999997</v>
      </c>
      <c r="J10" s="99">
        <f>'DE-32'!$AU$21/100</f>
        <v>0.91980000000000006</v>
      </c>
      <c r="K10" s="98">
        <f t="shared" si="1"/>
        <v>0.77100000000000002</v>
      </c>
      <c r="L10" s="91"/>
      <c r="M10" s="103"/>
      <c r="N10" s="103"/>
      <c r="O10" s="90"/>
      <c r="P10" s="90"/>
      <c r="Q10" s="90"/>
      <c r="R10" s="132">
        <v>2011</v>
      </c>
      <c r="S10" s="102">
        <f t="shared" si="2"/>
        <v>35</v>
      </c>
      <c r="T10" s="100">
        <f t="shared" si="9"/>
        <v>0.91238399999999997</v>
      </c>
      <c r="U10" s="91">
        <v>1</v>
      </c>
      <c r="V10" s="104">
        <v>31.536000000000001</v>
      </c>
      <c r="X10" s="90" t="s">
        <v>5181</v>
      </c>
      <c r="Y10" s="90" t="s">
        <v>1652</v>
      </c>
      <c r="Z10" s="90" t="s">
        <v>1689</v>
      </c>
      <c r="AA10" s="91">
        <v>30</v>
      </c>
      <c r="AB10" s="105">
        <v>27954</v>
      </c>
      <c r="AC10" s="106">
        <f t="shared" si="3"/>
        <v>38911</v>
      </c>
      <c r="AD10" s="90">
        <v>32000</v>
      </c>
      <c r="AE10" s="102">
        <f t="shared" si="4"/>
        <v>6494.3030880000006</v>
      </c>
      <c r="AF10" s="99">
        <v>0.33</v>
      </c>
      <c r="AG10" s="102">
        <f t="shared" si="5"/>
        <v>19679.706327272728</v>
      </c>
      <c r="AH10" s="107">
        <f t="shared" si="6"/>
        <v>25.624617613636367</v>
      </c>
      <c r="AI10" s="102">
        <f>AH10*Assumptions!$H$7</f>
        <v>204.99694090909094</v>
      </c>
      <c r="AJ10" s="102">
        <f t="shared" si="7"/>
        <v>253.44</v>
      </c>
      <c r="AK10" s="99">
        <f t="shared" si="8"/>
        <v>0.91238399999999997</v>
      </c>
    </row>
    <row r="11" spans="2:37" s="18" customFormat="1">
      <c r="B11" s="74" t="s">
        <v>7368</v>
      </c>
      <c r="C11" s="61" t="s">
        <v>1561</v>
      </c>
      <c r="D11" s="61" t="s">
        <v>1562</v>
      </c>
      <c r="E11" s="61">
        <f t="shared" si="0"/>
        <v>1988</v>
      </c>
      <c r="F11" s="98">
        <f>878/1000</f>
        <v>0.878</v>
      </c>
      <c r="G11" s="98">
        <f>912/1000</f>
        <v>0.91200000000000003</v>
      </c>
      <c r="H11" s="99">
        <f>'DE-32'!$AU$20/100</f>
        <v>0.94989999999999997</v>
      </c>
      <c r="I11" s="99">
        <f>'DE-32'!$AU$20/100</f>
        <v>0.94989999999999997</v>
      </c>
      <c r="J11" s="99">
        <f>'DE-32'!$AU$21/100</f>
        <v>0.91980000000000006</v>
      </c>
      <c r="K11" s="98">
        <f t="shared" si="1"/>
        <v>0.878</v>
      </c>
      <c r="L11" s="91"/>
      <c r="M11" s="103"/>
      <c r="N11" s="103"/>
      <c r="O11" s="90"/>
      <c r="P11" s="90"/>
      <c r="Q11" s="90"/>
      <c r="R11" s="132">
        <v>2011</v>
      </c>
      <c r="S11" s="90">
        <f t="shared" si="2"/>
        <v>23</v>
      </c>
      <c r="T11" s="100">
        <f t="shared" si="9"/>
        <v>1.2830400000000002</v>
      </c>
      <c r="U11" s="91">
        <v>1</v>
      </c>
      <c r="V11" s="104">
        <v>31.536000000000001</v>
      </c>
      <c r="X11" s="90" t="s">
        <v>2820</v>
      </c>
      <c r="Y11" s="90" t="s">
        <v>1652</v>
      </c>
      <c r="Z11" s="90" t="s">
        <v>1686</v>
      </c>
      <c r="AA11" s="91">
        <v>30</v>
      </c>
      <c r="AB11" s="105">
        <v>32164</v>
      </c>
      <c r="AC11" s="106">
        <f t="shared" si="3"/>
        <v>43122</v>
      </c>
      <c r="AD11" s="90">
        <v>45000</v>
      </c>
      <c r="AE11" s="102">
        <f t="shared" si="4"/>
        <v>7348.3925760000011</v>
      </c>
      <c r="AF11" s="99">
        <v>0.33</v>
      </c>
      <c r="AG11" s="102">
        <f t="shared" si="5"/>
        <v>22267.856290909094</v>
      </c>
      <c r="AH11" s="107">
        <f t="shared" si="6"/>
        <v>20.618385454545457</v>
      </c>
      <c r="AI11" s="102">
        <f>AH11*Assumptions!$H$7</f>
        <v>164.94708363636366</v>
      </c>
      <c r="AJ11" s="102">
        <f t="shared" si="7"/>
        <v>356.40000000000003</v>
      </c>
      <c r="AK11" s="99">
        <f t="shared" si="8"/>
        <v>1.2830400000000002</v>
      </c>
    </row>
    <row r="12" spans="2:37" s="18" customFormat="1">
      <c r="B12" s="74" t="s">
        <v>7369</v>
      </c>
      <c r="C12" s="61" t="s">
        <v>1561</v>
      </c>
      <c r="D12" s="61" t="s">
        <v>1562</v>
      </c>
      <c r="E12" s="61">
        <f t="shared" si="0"/>
        <v>1978</v>
      </c>
      <c r="F12" s="98">
        <f>1345/1000</f>
        <v>1.345</v>
      </c>
      <c r="G12" s="98">
        <f>1410/1000</f>
        <v>1.41</v>
      </c>
      <c r="H12" s="99">
        <f>'DE-32'!$AU$20/100</f>
        <v>0.94989999999999997</v>
      </c>
      <c r="I12" s="99">
        <f>'DE-32'!$AU$20/100</f>
        <v>0.94989999999999997</v>
      </c>
      <c r="J12" s="99">
        <f>'DE-32'!$AU$21/100</f>
        <v>0.91980000000000006</v>
      </c>
      <c r="K12" s="98">
        <f t="shared" si="1"/>
        <v>1.345</v>
      </c>
      <c r="L12" s="91"/>
      <c r="M12" s="103"/>
      <c r="N12" s="103"/>
      <c r="O12" s="90"/>
      <c r="P12" s="90"/>
      <c r="Q12" s="90"/>
      <c r="R12" s="132">
        <v>2011</v>
      </c>
      <c r="S12" s="90">
        <f t="shared" si="2"/>
        <v>33</v>
      </c>
      <c r="T12" s="100">
        <f t="shared" si="9"/>
        <v>1.0093247999999999</v>
      </c>
      <c r="U12" s="91">
        <v>1</v>
      </c>
      <c r="V12" s="104">
        <v>31.536000000000001</v>
      </c>
      <c r="X12" s="90" t="s">
        <v>2820</v>
      </c>
      <c r="Y12" s="90" t="s">
        <v>1652</v>
      </c>
      <c r="Z12" s="90" t="s">
        <v>1687</v>
      </c>
      <c r="AA12" s="91">
        <v>30</v>
      </c>
      <c r="AB12" s="105">
        <v>28762</v>
      </c>
      <c r="AC12" s="106">
        <f t="shared" si="3"/>
        <v>39720</v>
      </c>
      <c r="AD12" s="90">
        <v>35400</v>
      </c>
      <c r="AE12" s="102">
        <f t="shared" si="4"/>
        <v>11361.001679999999</v>
      </c>
      <c r="AF12" s="99">
        <v>0.33</v>
      </c>
      <c r="AG12" s="102">
        <f t="shared" si="5"/>
        <v>34427.277818181814</v>
      </c>
      <c r="AH12" s="107">
        <f t="shared" si="6"/>
        <v>40.521748844375963</v>
      </c>
      <c r="AI12" s="102">
        <f>AH12*Assumptions!$H$7</f>
        <v>324.17399075500771</v>
      </c>
      <c r="AJ12" s="102">
        <f t="shared" si="7"/>
        <v>280.36799999999999</v>
      </c>
      <c r="AK12" s="99">
        <f t="shared" si="8"/>
        <v>1.0093247999999999</v>
      </c>
    </row>
    <row r="13" spans="2:37" s="18" customFormat="1">
      <c r="B13" s="74" t="s">
        <v>7370</v>
      </c>
      <c r="C13" s="61" t="s">
        <v>1561</v>
      </c>
      <c r="D13" s="61" t="s">
        <v>1562</v>
      </c>
      <c r="E13" s="61">
        <f t="shared" si="0"/>
        <v>1979</v>
      </c>
      <c r="F13" s="98">
        <f>890/1000</f>
        <v>0.89</v>
      </c>
      <c r="G13" s="98">
        <f>926/1000</f>
        <v>0.92600000000000005</v>
      </c>
      <c r="H13" s="99">
        <f>'DE-32'!$AU$20/100</f>
        <v>0.94989999999999997</v>
      </c>
      <c r="I13" s="99">
        <f>'DE-32'!$AU$20/100</f>
        <v>0.94989999999999997</v>
      </c>
      <c r="J13" s="99">
        <f>'DE-32'!$AU$21/100</f>
        <v>0.91980000000000006</v>
      </c>
      <c r="K13" s="98">
        <f t="shared" si="1"/>
        <v>0.89</v>
      </c>
      <c r="L13" s="91"/>
      <c r="M13" s="103"/>
      <c r="N13" s="103"/>
      <c r="O13" s="90"/>
      <c r="P13" s="90"/>
      <c r="Q13" s="90"/>
      <c r="R13" s="132">
        <v>2011</v>
      </c>
      <c r="S13" s="90">
        <f t="shared" si="2"/>
        <v>32</v>
      </c>
      <c r="T13" s="100">
        <f t="shared" si="9"/>
        <v>1.1376288000000001</v>
      </c>
      <c r="U13" s="91">
        <v>1</v>
      </c>
      <c r="V13" s="104">
        <v>31.536000000000001</v>
      </c>
      <c r="X13" s="90" t="s">
        <v>5181</v>
      </c>
      <c r="Y13" s="90" t="s">
        <v>1652</v>
      </c>
      <c r="Z13" s="90" t="s">
        <v>1690</v>
      </c>
      <c r="AA13" s="91">
        <v>30</v>
      </c>
      <c r="AB13" s="105">
        <v>28980</v>
      </c>
      <c r="AC13" s="106">
        <f t="shared" si="3"/>
        <v>39938</v>
      </c>
      <c r="AD13" s="90">
        <v>39900</v>
      </c>
      <c r="AE13" s="102">
        <f t="shared" si="4"/>
        <v>7461.1968480000014</v>
      </c>
      <c r="AF13" s="99">
        <v>0.33</v>
      </c>
      <c r="AG13" s="102">
        <f t="shared" si="5"/>
        <v>22609.68741818182</v>
      </c>
      <c r="AH13" s="107">
        <f t="shared" si="6"/>
        <v>23.610784688995217</v>
      </c>
      <c r="AI13" s="102">
        <f>AH13*Assumptions!$H$7</f>
        <v>188.88627751196174</v>
      </c>
      <c r="AJ13" s="102">
        <f t="shared" si="7"/>
        <v>316.00800000000004</v>
      </c>
      <c r="AK13" s="99">
        <f t="shared" si="8"/>
        <v>1.1376288000000001</v>
      </c>
    </row>
    <row r="14" spans="2:37" s="18" customFormat="1">
      <c r="B14" s="74" t="s">
        <v>7371</v>
      </c>
      <c r="C14" s="61" t="s">
        <v>1561</v>
      </c>
      <c r="D14" s="61" t="s">
        <v>1562</v>
      </c>
      <c r="E14" s="61">
        <f t="shared" si="0"/>
        <v>1983</v>
      </c>
      <c r="F14" s="98">
        <f>1260/1000</f>
        <v>1.26</v>
      </c>
      <c r="G14" s="98">
        <f>1313/1000</f>
        <v>1.3129999999999999</v>
      </c>
      <c r="H14" s="99">
        <f>'DE-32'!$AU$20/100</f>
        <v>0.94989999999999997</v>
      </c>
      <c r="I14" s="99">
        <f>'DE-32'!$AU$20/100</f>
        <v>0.94989999999999997</v>
      </c>
      <c r="J14" s="99">
        <f>'DE-32'!$AU$21/100</f>
        <v>0.91980000000000006</v>
      </c>
      <c r="K14" s="98">
        <f t="shared" si="1"/>
        <v>1.26</v>
      </c>
      <c r="L14" s="91"/>
      <c r="M14" s="103"/>
      <c r="N14" s="103"/>
      <c r="O14" s="90"/>
      <c r="P14" s="90"/>
      <c r="Q14" s="90"/>
      <c r="R14" s="132">
        <v>2011</v>
      </c>
      <c r="S14" s="90">
        <f t="shared" si="2"/>
        <v>28</v>
      </c>
      <c r="T14" s="100">
        <f t="shared" si="9"/>
        <v>0.91238399999999997</v>
      </c>
      <c r="U14" s="91">
        <v>1</v>
      </c>
      <c r="V14" s="104">
        <v>31.536000000000001</v>
      </c>
      <c r="X14" s="90" t="s">
        <v>5181</v>
      </c>
      <c r="Y14" s="90" t="s">
        <v>1652</v>
      </c>
      <c r="Z14" s="90" t="s">
        <v>1688</v>
      </c>
      <c r="AA14" s="91">
        <v>30</v>
      </c>
      <c r="AB14" s="105">
        <v>30587</v>
      </c>
      <c r="AC14" s="106">
        <f t="shared" si="3"/>
        <v>41545</v>
      </c>
      <c r="AD14" s="90">
        <v>32000</v>
      </c>
      <c r="AE14" s="102">
        <f t="shared" si="4"/>
        <v>10579.429224</v>
      </c>
      <c r="AF14" s="99">
        <v>0.33</v>
      </c>
      <c r="AG14" s="102">
        <f t="shared" si="5"/>
        <v>32058.876436363633</v>
      </c>
      <c r="AH14" s="107">
        <f t="shared" si="6"/>
        <v>41.743328693181816</v>
      </c>
      <c r="AI14" s="102">
        <f>AH14*Assumptions!$H$7</f>
        <v>333.94662954545453</v>
      </c>
      <c r="AJ14" s="102">
        <f t="shared" si="7"/>
        <v>253.44</v>
      </c>
      <c r="AK14" s="99">
        <f t="shared" si="8"/>
        <v>0.91238399999999997</v>
      </c>
    </row>
    <row r="15" spans="2:37" s="18" customFormat="1">
      <c r="B15" s="75" t="s">
        <v>7311</v>
      </c>
      <c r="C15" s="56" t="s">
        <v>1561</v>
      </c>
      <c r="D15" s="56" t="s">
        <v>1562</v>
      </c>
      <c r="E15" s="56">
        <f t="shared" si="0"/>
        <v>1986</v>
      </c>
      <c r="F15" s="108">
        <f>'DE-32'!$AU$17/1000</f>
        <v>1.41</v>
      </c>
      <c r="G15" s="108">
        <f>'DE-32'!$AU$16/1000</f>
        <v>1.48</v>
      </c>
      <c r="H15" s="198">
        <v>0.90400000000000003</v>
      </c>
      <c r="I15" s="109">
        <f>'DE-32'!$AU$20/100</f>
        <v>0.94989999999999997</v>
      </c>
      <c r="J15" s="109">
        <f>'DE-32'!$AU$21/100</f>
        <v>0.91980000000000006</v>
      </c>
      <c r="K15" s="108">
        <f t="shared" si="1"/>
        <v>1.41</v>
      </c>
      <c r="L15" s="95"/>
      <c r="M15" s="111"/>
      <c r="N15" s="111"/>
      <c r="O15" s="92"/>
      <c r="P15" s="92"/>
      <c r="Q15" s="92"/>
      <c r="R15" s="128">
        <f>YEAR(AC15)+5</f>
        <v>2021</v>
      </c>
      <c r="S15" s="92">
        <f t="shared" si="2"/>
        <v>35</v>
      </c>
      <c r="T15" s="109">
        <f t="shared" si="9"/>
        <v>1.1147815384615383</v>
      </c>
      <c r="U15" s="95">
        <v>1</v>
      </c>
      <c r="V15" s="113">
        <v>31.536000000000001</v>
      </c>
      <c r="X15" s="92" t="str">
        <f>'DE-32'!$AU$11</f>
        <v xml:space="preserve">PWR  </v>
      </c>
      <c r="Y15" s="92" t="str">
        <f>'DE-32'!$AU$12</f>
        <v>PWR</v>
      </c>
      <c r="Z15" s="92" t="str">
        <f>'DE-32'!$AU$7</f>
        <v>BROKDORF (KBR)</v>
      </c>
      <c r="AA15" s="95">
        <v>30</v>
      </c>
      <c r="AB15" s="114">
        <f>'DE-32'!$AU$18</f>
        <v>31699</v>
      </c>
      <c r="AC15" s="115">
        <f t="shared" si="3"/>
        <v>42657</v>
      </c>
      <c r="AD15" s="92" t="str">
        <f>'DE-32'!$AU$19</f>
        <v>34000</v>
      </c>
      <c r="AE15" s="110">
        <f t="shared" si="4"/>
        <v>11925.02304</v>
      </c>
      <c r="AF15" s="109">
        <f>'DE-32'!$AU$16/'DE-32'!$AU$13</f>
        <v>0.37948717948717947</v>
      </c>
      <c r="AG15" s="110">
        <f t="shared" ref="AG15:AG23" si="10">AE15/AF15</f>
        <v>31424.047200000001</v>
      </c>
      <c r="AH15" s="116">
        <f t="shared" si="6"/>
        <v>38.509861764705882</v>
      </c>
      <c r="AI15" s="110">
        <f>AH15*Assumptions!$H$7</f>
        <v>308.07889411764705</v>
      </c>
      <c r="AJ15" s="110">
        <f t="shared" ref="AJ15:AJ23" si="11">AE15/AH15</f>
        <v>309.66153846153844</v>
      </c>
      <c r="AK15" s="109">
        <f t="shared" ref="AK15:AK23" si="12">AJ15*0.0036</f>
        <v>1.1147815384615383</v>
      </c>
    </row>
    <row r="16" spans="2:37" s="18" customFormat="1">
      <c r="B16" s="75" t="s">
        <v>7312</v>
      </c>
      <c r="C16" s="56" t="s">
        <v>1561</v>
      </c>
      <c r="D16" s="56" t="s">
        <v>1562</v>
      </c>
      <c r="E16" s="56">
        <f t="shared" si="0"/>
        <v>1988</v>
      </c>
      <c r="F16" s="108">
        <f>'DE-33'!$AU$17/1000</f>
        <v>1.329</v>
      </c>
      <c r="G16" s="108">
        <f>'DE-33'!$AU$16/1000</f>
        <v>1.4</v>
      </c>
      <c r="H16" s="198">
        <v>0.93599999999999994</v>
      </c>
      <c r="I16" s="109">
        <f>'DE-33'!$AU$20/100</f>
        <v>0.93510000000000004</v>
      </c>
      <c r="J16" s="109">
        <f>'DE-33'!$AU$21/100</f>
        <v>0.94299999999999995</v>
      </c>
      <c r="K16" s="108">
        <f t="shared" si="1"/>
        <v>1.329</v>
      </c>
      <c r="L16" s="95"/>
      <c r="M16" s="111"/>
      <c r="N16" s="111"/>
      <c r="O16" s="92"/>
      <c r="P16" s="92"/>
      <c r="Q16" s="92"/>
      <c r="R16" s="128">
        <f>YEAR(AC16)+4</f>
        <v>2022</v>
      </c>
      <c r="S16" s="92">
        <f t="shared" si="2"/>
        <v>34</v>
      </c>
      <c r="T16" s="109">
        <f t="shared" si="9"/>
        <v>1.0053818181818182</v>
      </c>
      <c r="U16" s="95">
        <v>1</v>
      </c>
      <c r="V16" s="113">
        <v>31.536000000000001</v>
      </c>
      <c r="X16" s="92" t="str">
        <f>'DE-33'!$AU$11</f>
        <v xml:space="preserve">PWR  </v>
      </c>
      <c r="Y16" s="92" t="str">
        <f>'DE-33'!$AU$12</f>
        <v>Konvoi</v>
      </c>
      <c r="Z16" s="92" t="str">
        <f>'DE-33'!$AU$7</f>
        <v>EMSLAND (KKE)</v>
      </c>
      <c r="AA16" s="95">
        <v>30</v>
      </c>
      <c r="AB16" s="114">
        <f>'DE-33'!$AU$18</f>
        <v>32252</v>
      </c>
      <c r="AC16" s="115">
        <f t="shared" si="3"/>
        <v>43209</v>
      </c>
      <c r="AD16" s="92" t="str">
        <f>'DE-33'!$AU$19</f>
        <v>32000</v>
      </c>
      <c r="AE16" s="110">
        <f t="shared" si="4"/>
        <v>11564.951999999997</v>
      </c>
      <c r="AF16" s="109">
        <f>'DE-33'!$AU$16/'DE-33'!$AU$13</f>
        <v>0.36363636363636365</v>
      </c>
      <c r="AG16" s="110">
        <f t="shared" si="10"/>
        <v>31803.617999999991</v>
      </c>
      <c r="AH16" s="116">
        <f t="shared" si="6"/>
        <v>41.410960937499993</v>
      </c>
      <c r="AI16" s="110">
        <f>AH16*Assumptions!$H$7</f>
        <v>331.28768749999995</v>
      </c>
      <c r="AJ16" s="110">
        <f t="shared" si="11"/>
        <v>279.27272727272725</v>
      </c>
      <c r="AK16" s="109">
        <f t="shared" si="12"/>
        <v>1.0053818181818182</v>
      </c>
    </row>
    <row r="17" spans="2:37" s="18" customFormat="1">
      <c r="B17" s="75" t="s">
        <v>7313</v>
      </c>
      <c r="C17" s="56" t="s">
        <v>1561</v>
      </c>
      <c r="D17" s="56" t="s">
        <v>1562</v>
      </c>
      <c r="E17" s="56">
        <f t="shared" si="0"/>
        <v>1981</v>
      </c>
      <c r="F17" s="108">
        <f>'DE-23'!$AU$17/1000</f>
        <v>1.2749999999999999</v>
      </c>
      <c r="G17" s="108">
        <f>'DE-23'!$AU$16/1000</f>
        <v>1.345</v>
      </c>
      <c r="H17" s="198">
        <v>0.873</v>
      </c>
      <c r="I17" s="109">
        <f>'DE-23'!$AU$20/100</f>
        <v>0.90480000000000005</v>
      </c>
      <c r="J17" s="109">
        <f>'DE-23'!$AU$21/100</f>
        <v>0.67079999999999995</v>
      </c>
      <c r="K17" s="108">
        <f t="shared" si="1"/>
        <v>1.2749999999999999</v>
      </c>
      <c r="L17" s="95"/>
      <c r="M17" s="111"/>
      <c r="N17" s="111"/>
      <c r="O17" s="92"/>
      <c r="P17" s="92"/>
      <c r="Q17" s="92"/>
      <c r="R17" s="128">
        <f>YEAR(AC17)+4</f>
        <v>2015</v>
      </c>
      <c r="S17" s="92">
        <f t="shared" si="2"/>
        <v>34</v>
      </c>
      <c r="T17" s="109">
        <f t="shared" si="9"/>
        <v>1.0494215139442231</v>
      </c>
      <c r="U17" s="95">
        <v>1</v>
      </c>
      <c r="V17" s="113">
        <v>31.536000000000001</v>
      </c>
      <c r="X17" s="92" t="str">
        <f>'DE-23'!$AU$11</f>
        <v xml:space="preserve">PWR  </v>
      </c>
      <c r="Y17" s="92" t="str">
        <f>'DE-23'!$AU$12</f>
        <v>PWR</v>
      </c>
      <c r="Z17" s="92" t="str">
        <f>'DE-23'!$AU$7</f>
        <v>GRAFENRHEINFELD (KKG)</v>
      </c>
      <c r="AA17" s="95">
        <v>30</v>
      </c>
      <c r="AB17" s="114">
        <f>'DE-23'!$AU$18</f>
        <v>29950</v>
      </c>
      <c r="AC17" s="115">
        <f t="shared" si="3"/>
        <v>40907</v>
      </c>
      <c r="AD17" s="92" t="str">
        <f>'DE-23'!$AU$19</f>
        <v>34000</v>
      </c>
      <c r="AE17" s="110">
        <f t="shared" si="4"/>
        <v>7903.4997599999997</v>
      </c>
      <c r="AF17" s="109">
        <f>'DE-23'!$AU$16/'DE-23'!$AU$13</f>
        <v>0.35723771580345287</v>
      </c>
      <c r="AG17" s="110">
        <f t="shared" si="10"/>
        <v>22123.923119999999</v>
      </c>
      <c r="AH17" s="116">
        <f t="shared" si="6"/>
        <v>27.112650882352938</v>
      </c>
      <c r="AI17" s="110">
        <f>AH17*Assumptions!$H$7</f>
        <v>216.9012070588235</v>
      </c>
      <c r="AJ17" s="110">
        <f t="shared" si="11"/>
        <v>291.50597609561754</v>
      </c>
      <c r="AK17" s="109">
        <f t="shared" si="12"/>
        <v>1.0494215139442231</v>
      </c>
    </row>
    <row r="18" spans="2:37" s="18" customFormat="1">
      <c r="B18" s="75" t="s">
        <v>7314</v>
      </c>
      <c r="C18" s="56" t="s">
        <v>1561</v>
      </c>
      <c r="D18" s="56" t="s">
        <v>1562</v>
      </c>
      <c r="E18" s="56">
        <f t="shared" si="0"/>
        <v>1984</v>
      </c>
      <c r="F18" s="108">
        <f>'DE-27'!$AU$17/1000</f>
        <v>1.36</v>
      </c>
      <c r="G18" s="108">
        <f>'DE-27'!$AU$16/1000</f>
        <v>1.43</v>
      </c>
      <c r="H18" s="198">
        <v>0.92299999999999993</v>
      </c>
      <c r="I18" s="109">
        <f>'DE-27'!$AU$20/100</f>
        <v>0.91</v>
      </c>
      <c r="J18" s="109">
        <f>'DE-27'!$AU$21/100</f>
        <v>0.90510000000000002</v>
      </c>
      <c r="K18" s="108">
        <f t="shared" si="1"/>
        <v>1.36</v>
      </c>
      <c r="L18" s="95"/>
      <c r="M18" s="111"/>
      <c r="N18" s="111"/>
      <c r="O18" s="92"/>
      <c r="P18" s="92"/>
      <c r="Q18" s="92"/>
      <c r="R18" s="128">
        <f>YEAR(AC18)+7</f>
        <v>2021</v>
      </c>
      <c r="S18" s="92">
        <f t="shared" si="2"/>
        <v>37</v>
      </c>
      <c r="T18" s="109">
        <f t="shared" si="9"/>
        <v>1.0771199999999999</v>
      </c>
      <c r="U18" s="95">
        <v>1</v>
      </c>
      <c r="V18" s="113">
        <v>31.536000000000001</v>
      </c>
      <c r="X18" s="92" t="str">
        <f>'DE-27'!$AU$11</f>
        <v xml:space="preserve">PWR  </v>
      </c>
      <c r="Y18" s="92" t="str">
        <f>'DE-27'!$AU$12</f>
        <v>PWR</v>
      </c>
      <c r="Z18" s="92" t="str">
        <f>'DE-27'!$AU$7</f>
        <v>GROHNDE (KWG)</v>
      </c>
      <c r="AA18" s="95">
        <v>30</v>
      </c>
      <c r="AB18" s="114">
        <f>'DE-27'!$AU$18</f>
        <v>30930</v>
      </c>
      <c r="AC18" s="115">
        <f t="shared" si="3"/>
        <v>41887</v>
      </c>
      <c r="AD18" s="92" t="str">
        <f>'DE-27'!$AU$19</f>
        <v>34000</v>
      </c>
      <c r="AE18" s="110">
        <f t="shared" si="4"/>
        <v>11338.006679999999</v>
      </c>
      <c r="AF18" s="109">
        <f>'DE-27'!$AU$16/'DE-27'!$AU$13</f>
        <v>0.36666666666666664</v>
      </c>
      <c r="AG18" s="110">
        <f t="shared" si="10"/>
        <v>30921.8364</v>
      </c>
      <c r="AH18" s="116">
        <f t="shared" si="6"/>
        <v>37.894407352941172</v>
      </c>
      <c r="AI18" s="110">
        <f>AH18*Assumptions!$H$7</f>
        <v>303.15525882352938</v>
      </c>
      <c r="AJ18" s="110">
        <f t="shared" si="11"/>
        <v>299.2</v>
      </c>
      <c r="AK18" s="109">
        <f t="shared" si="12"/>
        <v>1.0771199999999999</v>
      </c>
    </row>
    <row r="19" spans="2:37" s="18" customFormat="1">
      <c r="B19" s="75" t="s">
        <v>7374</v>
      </c>
      <c r="C19" s="56" t="s">
        <v>1561</v>
      </c>
      <c r="D19" s="56" t="s">
        <v>1562</v>
      </c>
      <c r="E19" s="56">
        <f t="shared" si="0"/>
        <v>1984</v>
      </c>
      <c r="F19" s="108">
        <f>'DE-26'!$AU$17/1000</f>
        <v>1.284</v>
      </c>
      <c r="G19" s="108">
        <f>'DE-26'!$AU$16/1000</f>
        <v>1.3440000000000001</v>
      </c>
      <c r="H19" s="198">
        <v>0.88700000000000001</v>
      </c>
      <c r="I19" s="109">
        <f>'DE-26'!$AU$20/100</f>
        <v>0.91569999999999996</v>
      </c>
      <c r="J19" s="109">
        <f>'DE-26'!$AU$21/100</f>
        <v>0.84109999999999996</v>
      </c>
      <c r="K19" s="108">
        <f t="shared" si="1"/>
        <v>1.284</v>
      </c>
      <c r="L19" s="95"/>
      <c r="M19" s="111"/>
      <c r="N19" s="111"/>
      <c r="O19" s="92"/>
      <c r="P19" s="92"/>
      <c r="Q19" s="92"/>
      <c r="R19" s="128">
        <f>YEAR(AC19)+3</f>
        <v>2017</v>
      </c>
      <c r="S19" s="92">
        <f t="shared" si="2"/>
        <v>33</v>
      </c>
      <c r="T19" s="109">
        <f t="shared" si="9"/>
        <v>0.83159999999999989</v>
      </c>
      <c r="U19" s="95">
        <v>1</v>
      </c>
      <c r="V19" s="113">
        <v>31.536000000000001</v>
      </c>
      <c r="X19" s="92" t="str">
        <f>'DE-26'!$AU$11</f>
        <v xml:space="preserve">BWR  </v>
      </c>
      <c r="Y19" s="92" t="str">
        <f>'DE-26'!$AU$12</f>
        <v>BWR 72</v>
      </c>
      <c r="Z19" s="92" t="str">
        <f>'DE-26'!$AU$7</f>
        <v>GUNDREMMINGEN-B (GUN-B)</v>
      </c>
      <c r="AA19" s="95">
        <v>30</v>
      </c>
      <c r="AB19" s="114">
        <f>'DE-26'!$AU$18</f>
        <v>30757</v>
      </c>
      <c r="AC19" s="115">
        <f t="shared" si="3"/>
        <v>41714</v>
      </c>
      <c r="AD19" s="92" t="str">
        <f>'DE-26'!$AU$19</f>
        <v>27500</v>
      </c>
      <c r="AE19" s="110">
        <f t="shared" si="4"/>
        <v>9902.6403840000003</v>
      </c>
      <c r="AF19" s="109">
        <f>'DE-26'!$AU$16/'DE-26'!$AU$13</f>
        <v>0.35</v>
      </c>
      <c r="AG19" s="110">
        <f t="shared" si="10"/>
        <v>28293.258240000003</v>
      </c>
      <c r="AH19" s="116">
        <f t="shared" si="6"/>
        <v>42.868573090909095</v>
      </c>
      <c r="AI19" s="110">
        <f>AH19*Assumptions!$H$7</f>
        <v>342.94858472727276</v>
      </c>
      <c r="AJ19" s="110">
        <f t="shared" si="11"/>
        <v>230.99999999999997</v>
      </c>
      <c r="AK19" s="109">
        <f t="shared" si="12"/>
        <v>0.83159999999999989</v>
      </c>
    </row>
    <row r="20" spans="2:37" s="18" customFormat="1">
      <c r="B20" s="75" t="s">
        <v>7375</v>
      </c>
      <c r="C20" s="56" t="s">
        <v>1561</v>
      </c>
      <c r="D20" s="56" t="s">
        <v>1562</v>
      </c>
      <c r="E20" s="56">
        <f t="shared" si="0"/>
        <v>1984</v>
      </c>
      <c r="F20" s="108">
        <f>'DE-28'!$AU$17/1000</f>
        <v>1.288</v>
      </c>
      <c r="G20" s="108">
        <f>'DE-28'!$AU$16/1000</f>
        <v>1.3440000000000001</v>
      </c>
      <c r="H20" s="198">
        <v>0.875</v>
      </c>
      <c r="I20" s="109">
        <f>'DE-28'!$AU$20/100</f>
        <v>0.88769999999999993</v>
      </c>
      <c r="J20" s="109">
        <f>'DE-28'!$AU$21/100</f>
        <v>0.92130000000000001</v>
      </c>
      <c r="K20" s="108">
        <f t="shared" si="1"/>
        <v>1.288</v>
      </c>
      <c r="L20" s="95"/>
      <c r="M20" s="111"/>
      <c r="N20" s="111"/>
      <c r="O20" s="92"/>
      <c r="P20" s="92"/>
      <c r="Q20" s="92"/>
      <c r="R20" s="128">
        <f>YEAR(AC20)+7</f>
        <v>2021</v>
      </c>
      <c r="S20" s="92">
        <f t="shared" si="2"/>
        <v>37</v>
      </c>
      <c r="T20" s="109">
        <f t="shared" si="9"/>
        <v>0.83160000000000001</v>
      </c>
      <c r="U20" s="95">
        <v>1</v>
      </c>
      <c r="V20" s="113">
        <v>31.536000000000001</v>
      </c>
      <c r="X20" s="92" t="str">
        <f>'DE-28'!$AU$11</f>
        <v xml:space="preserve">BWR  </v>
      </c>
      <c r="Y20" s="92" t="str">
        <f>'DE-28'!$AU$12</f>
        <v>BWR 72</v>
      </c>
      <c r="Z20" s="92" t="str">
        <f>'DE-28'!$AU$7</f>
        <v>GUNDREMMINGEN-C (GUN-C)</v>
      </c>
      <c r="AA20" s="95">
        <v>30</v>
      </c>
      <c r="AB20" s="114">
        <f>'DE-28'!$AU$18</f>
        <v>30988</v>
      </c>
      <c r="AC20" s="115">
        <f t="shared" si="3"/>
        <v>41945</v>
      </c>
      <c r="AD20" s="92" t="str">
        <f>'DE-28'!$AU$19</f>
        <v>27500</v>
      </c>
      <c r="AE20" s="110">
        <f t="shared" si="4"/>
        <v>10846.870272</v>
      </c>
      <c r="AF20" s="109">
        <f>'DE-28'!$AU$16/'DE-28'!$AU$13</f>
        <v>0.35</v>
      </c>
      <c r="AG20" s="110">
        <f t="shared" si="10"/>
        <v>30991.057920000003</v>
      </c>
      <c r="AH20" s="116">
        <f t="shared" si="6"/>
        <v>46.956148363636366</v>
      </c>
      <c r="AI20" s="110">
        <f>AH20*Assumptions!$H$7</f>
        <v>375.64918690909093</v>
      </c>
      <c r="AJ20" s="110">
        <f t="shared" si="11"/>
        <v>231</v>
      </c>
      <c r="AK20" s="109">
        <f t="shared" si="12"/>
        <v>0.83160000000000001</v>
      </c>
    </row>
    <row r="21" spans="2:37" s="18" customFormat="1">
      <c r="B21" s="75" t="s">
        <v>7315</v>
      </c>
      <c r="C21" s="56" t="s">
        <v>1561</v>
      </c>
      <c r="D21" s="56" t="s">
        <v>1562</v>
      </c>
      <c r="E21" s="56">
        <f t="shared" si="0"/>
        <v>1988</v>
      </c>
      <c r="F21" s="108">
        <f>'DE-31'!$AU$17/1000</f>
        <v>1.41</v>
      </c>
      <c r="G21" s="108">
        <f>'DE-31'!$AU$16/1000</f>
        <v>1.4850000000000001</v>
      </c>
      <c r="H21" s="198">
        <v>0.92400000000000004</v>
      </c>
      <c r="I21" s="109">
        <f>'DE-31'!$AU$20/100</f>
        <v>0.90529999999999999</v>
      </c>
      <c r="J21" s="109">
        <f>'DE-31'!$AU$21/100</f>
        <v>0.92099999999999993</v>
      </c>
      <c r="K21" s="108">
        <f t="shared" si="1"/>
        <v>1.41</v>
      </c>
      <c r="L21" s="95"/>
      <c r="M21" s="111"/>
      <c r="N21" s="111"/>
      <c r="O21" s="92"/>
      <c r="P21" s="92"/>
      <c r="Q21" s="92"/>
      <c r="R21" s="128">
        <f>YEAR(AC21)+4</f>
        <v>2022</v>
      </c>
      <c r="S21" s="92">
        <f t="shared" si="2"/>
        <v>34</v>
      </c>
      <c r="T21" s="109">
        <f t="shared" si="9"/>
        <v>1.0394248101265822</v>
      </c>
      <c r="U21" s="95">
        <v>1</v>
      </c>
      <c r="V21" s="113">
        <v>31.536000000000001</v>
      </c>
      <c r="X21" s="92" t="str">
        <f>'DE-31'!$AU$11</f>
        <v xml:space="preserve">PWR  </v>
      </c>
      <c r="Y21" s="92" t="str">
        <f>'DE-31'!$AU$12</f>
        <v>Konvoi</v>
      </c>
      <c r="Z21" s="92" t="str">
        <f>'DE-31'!$AU$7</f>
        <v>ISAR-2 (KKI 2)</v>
      </c>
      <c r="AA21" s="95">
        <v>30</v>
      </c>
      <c r="AB21" s="114">
        <f>'DE-31'!$AU$18</f>
        <v>32164</v>
      </c>
      <c r="AC21" s="115">
        <f t="shared" si="3"/>
        <v>43122</v>
      </c>
      <c r="AD21" s="92" t="str">
        <f>'DE-31'!$AU$19</f>
        <v>32000</v>
      </c>
      <c r="AE21" s="110">
        <f t="shared" si="4"/>
        <v>11980.920599999999</v>
      </c>
      <c r="AF21" s="109">
        <f>'DE-31'!$AU$16/'DE-31'!$AU$13</f>
        <v>0.3759493670886076</v>
      </c>
      <c r="AG21" s="110">
        <f t="shared" si="10"/>
        <v>31868.441999999999</v>
      </c>
      <c r="AH21" s="116">
        <f t="shared" si="6"/>
        <v>41.495367187500001</v>
      </c>
      <c r="AI21" s="110">
        <f>AH21*Assumptions!$H$7</f>
        <v>331.96293750000001</v>
      </c>
      <c r="AJ21" s="110">
        <f t="shared" si="11"/>
        <v>288.72911392405064</v>
      </c>
      <c r="AK21" s="109">
        <f t="shared" si="12"/>
        <v>1.0394248101265822</v>
      </c>
    </row>
    <row r="22" spans="2:37" s="18" customFormat="1">
      <c r="B22" s="75" t="s">
        <v>7376</v>
      </c>
      <c r="C22" s="56" t="s">
        <v>1561</v>
      </c>
      <c r="D22" s="56" t="s">
        <v>1562</v>
      </c>
      <c r="E22" s="56">
        <f t="shared" si="0"/>
        <v>1989</v>
      </c>
      <c r="F22" s="108">
        <f>'DE-44'!$AU$17/1000</f>
        <v>1.31</v>
      </c>
      <c r="G22" s="108">
        <f>'DE-44'!$AU$16/1000</f>
        <v>1.4</v>
      </c>
      <c r="H22" s="198">
        <v>0.93599999999999994</v>
      </c>
      <c r="I22" s="109">
        <f>'DE-44'!$AU$20/100</f>
        <v>0.94790000000000008</v>
      </c>
      <c r="J22" s="109">
        <f>'DE-44'!$AU$21/100</f>
        <v>0.88709999999999989</v>
      </c>
      <c r="K22" s="108">
        <f t="shared" si="1"/>
        <v>1.31</v>
      </c>
      <c r="L22" s="95"/>
      <c r="M22" s="111"/>
      <c r="N22" s="111"/>
      <c r="O22" s="92"/>
      <c r="P22" s="92"/>
      <c r="Q22" s="92"/>
      <c r="R22" s="131">
        <f>YEAR(AC22)+3</f>
        <v>2022</v>
      </c>
      <c r="S22" s="92">
        <f t="shared" si="2"/>
        <v>33</v>
      </c>
      <c r="T22" s="109">
        <f t="shared" si="9"/>
        <v>1.4452363636363634</v>
      </c>
      <c r="U22" s="95">
        <v>1</v>
      </c>
      <c r="V22" s="113">
        <v>31.536000000000001</v>
      </c>
      <c r="X22" s="92" t="str">
        <f>'DE-44'!$AU$11</f>
        <v xml:space="preserve">PWR  </v>
      </c>
      <c r="Y22" s="92" t="str">
        <f>'DE-44'!$AU$12</f>
        <v>Konvoi</v>
      </c>
      <c r="Z22" s="92" t="str">
        <f>'DE-44'!$AU$7</f>
        <v>NECKARWESTHEIM-2 (GKN 2)</v>
      </c>
      <c r="AA22" s="95">
        <v>30</v>
      </c>
      <c r="AB22" s="114">
        <f>'DE-44'!$AU$18</f>
        <v>32511</v>
      </c>
      <c r="AC22" s="115">
        <f t="shared" si="3"/>
        <v>43468</v>
      </c>
      <c r="AD22" s="92" t="str">
        <f>'DE-44'!$AU$19</f>
        <v>46000</v>
      </c>
      <c r="AE22" s="110">
        <f t="shared" si="4"/>
        <v>10879.394399999999</v>
      </c>
      <c r="AF22" s="109">
        <f>'DE-44'!$AU$16/'DE-44'!$AU$13</f>
        <v>0.36363636363636365</v>
      </c>
      <c r="AG22" s="110">
        <f t="shared" si="10"/>
        <v>29918.334599999998</v>
      </c>
      <c r="AH22" s="116">
        <f t="shared" si="6"/>
        <v>27.099940760869565</v>
      </c>
      <c r="AI22" s="110">
        <f>AH22*Assumptions!$H$7</f>
        <v>216.79952608695652</v>
      </c>
      <c r="AJ22" s="110">
        <f t="shared" si="11"/>
        <v>401.45454545454544</v>
      </c>
      <c r="AK22" s="109">
        <f t="shared" si="12"/>
        <v>1.4452363636363634</v>
      </c>
    </row>
    <row r="23" spans="2:37" s="18" customFormat="1">
      <c r="B23" s="75" t="s">
        <v>7316</v>
      </c>
      <c r="C23" s="56" t="s">
        <v>1561</v>
      </c>
      <c r="D23" s="56" t="s">
        <v>1562</v>
      </c>
      <c r="E23" s="56">
        <f t="shared" si="0"/>
        <v>1984</v>
      </c>
      <c r="F23" s="108">
        <f>'DE-24'!$AU$17/1000</f>
        <v>1.4019999999999999</v>
      </c>
      <c r="G23" s="108">
        <f>'DE-24'!$AU$16/1000</f>
        <v>1.468</v>
      </c>
      <c r="H23" s="198">
        <v>0.90700000000000003</v>
      </c>
      <c r="I23" s="109">
        <f>'DE-24'!$AU$20/100</f>
        <v>0.88760000000000006</v>
      </c>
      <c r="J23" s="109">
        <f>'DE-24'!$AU$21/100</f>
        <v>0.9113</v>
      </c>
      <c r="K23" s="108">
        <f t="shared" si="1"/>
        <v>1.4019999999999999</v>
      </c>
      <c r="L23" s="95"/>
      <c r="M23" s="111"/>
      <c r="N23" s="111"/>
      <c r="O23" s="92"/>
      <c r="P23" s="92"/>
      <c r="Q23" s="92"/>
      <c r="R23" s="128">
        <f>YEAR(AC23)+5</f>
        <v>2019</v>
      </c>
      <c r="S23" s="92">
        <f t="shared" si="2"/>
        <v>35</v>
      </c>
      <c r="T23" s="109">
        <f t="shared" si="9"/>
        <v>1.0596358481012662</v>
      </c>
      <c r="U23" s="95">
        <v>1</v>
      </c>
      <c r="V23" s="113">
        <v>31.536000000000001</v>
      </c>
      <c r="X23" s="92" t="str">
        <f>'DE-24'!$AU$11</f>
        <v xml:space="preserve">PWR  </v>
      </c>
      <c r="Y23" s="92" t="str">
        <f>'DE-24'!$AU$12</f>
        <v>PWR</v>
      </c>
      <c r="Z23" s="92" t="str">
        <f>'DE-24'!$AU$7</f>
        <v>PHILIPPSBURG-2 (KKP 2)</v>
      </c>
      <c r="AA23" s="95">
        <v>30</v>
      </c>
      <c r="AB23" s="114">
        <f>'DE-24'!$AU$18</f>
        <v>31033</v>
      </c>
      <c r="AC23" s="115">
        <f t="shared" si="3"/>
        <v>41990</v>
      </c>
      <c r="AD23" s="92" t="str">
        <f>'DE-24'!$AU$19</f>
        <v>33000</v>
      </c>
      <c r="AE23" s="110">
        <f t="shared" si="4"/>
        <v>11719.026384000001</v>
      </c>
      <c r="AF23" s="109">
        <f>'DE-24'!$AU$16/'DE-24'!$AU$13</f>
        <v>0.37164556962025319</v>
      </c>
      <c r="AG23" s="110">
        <f t="shared" si="10"/>
        <v>31532.802599999999</v>
      </c>
      <c r="AH23" s="116">
        <f t="shared" si="6"/>
        <v>39.814144696969691</v>
      </c>
      <c r="AI23" s="110">
        <f>AH23*Assumptions!$H$7</f>
        <v>318.51315757575753</v>
      </c>
      <c r="AJ23" s="110">
        <f t="shared" si="11"/>
        <v>294.34329113924059</v>
      </c>
      <c r="AK23" s="109">
        <f t="shared" si="12"/>
        <v>1.0596358481012662</v>
      </c>
    </row>
    <row r="24" spans="2:37" s="18" customFormat="1">
      <c r="Q24" s="60"/>
    </row>
    <row r="25" spans="2:37" s="18" customFormat="1">
      <c r="E25" s="18" t="s">
        <v>7128</v>
      </c>
      <c r="F25" s="160">
        <f>SUM(F7:F24)</f>
        <v>20.404</v>
      </c>
      <c r="G25" s="18" t="s">
        <v>7215</v>
      </c>
      <c r="H25" s="137">
        <f>F25/H26</f>
        <v>1.3602666666666667</v>
      </c>
      <c r="J25" s="17"/>
      <c r="Q25" s="60"/>
    </row>
    <row r="26" spans="2:37" s="18" customFormat="1">
      <c r="E26" s="18" t="s">
        <v>7127</v>
      </c>
      <c r="F26" s="160">
        <v>0</v>
      </c>
      <c r="G26" s="18" t="s">
        <v>7216</v>
      </c>
      <c r="H26" s="18">
        <f>MAX(E7:E23)-MIN(E7:E23)</f>
        <v>15</v>
      </c>
      <c r="J26" s="17"/>
      <c r="Q26" s="60"/>
    </row>
    <row r="27" spans="2:37" s="18" customFormat="1">
      <c r="J27" s="17"/>
      <c r="Q27" s="60"/>
    </row>
    <row r="28" spans="2:37" s="18" customFormat="1">
      <c r="J28" s="17"/>
      <c r="Q28" s="60"/>
    </row>
    <row r="29" spans="2:37" s="18" customFormat="1">
      <c r="B29" s="224" t="s">
        <v>1603</v>
      </c>
      <c r="C29" s="224"/>
      <c r="D29" s="225"/>
      <c r="E29" s="225"/>
      <c r="F29" s="225"/>
      <c r="G29" s="225"/>
      <c r="H29" s="225"/>
      <c r="I29" s="225"/>
      <c r="J29" s="17"/>
      <c r="Q29" s="60"/>
    </row>
    <row r="30" spans="2:37" s="18" customFormat="1" ht="13.5" thickBot="1">
      <c r="B30" s="226" t="s">
        <v>1604</v>
      </c>
      <c r="C30" s="226" t="s">
        <v>1540</v>
      </c>
      <c r="D30" s="226" t="s">
        <v>1605</v>
      </c>
      <c r="E30" s="226" t="s">
        <v>1606</v>
      </c>
      <c r="F30" s="226" t="s">
        <v>1607</v>
      </c>
      <c r="G30" s="226" t="s">
        <v>1608</v>
      </c>
      <c r="H30" s="226" t="s">
        <v>1609</v>
      </c>
      <c r="I30" s="226" t="s">
        <v>1610</v>
      </c>
      <c r="J30" s="17"/>
      <c r="Q30" s="60"/>
    </row>
    <row r="31" spans="2:37" s="18" customFormat="1">
      <c r="B31" s="225" t="s">
        <v>1611</v>
      </c>
      <c r="C31" s="225" t="str">
        <f>B7</f>
        <v>ENDE_BIBLIS-A_00</v>
      </c>
      <c r="D31" s="227" t="str">
        <f t="shared" ref="D31:D39" si="13">"Nuclear Power Plant: "&amp;Z15</f>
        <v>Nuclear Power Plant: BROKDORF (KBR)</v>
      </c>
      <c r="E31" s="228" t="s">
        <v>1612</v>
      </c>
      <c r="F31" s="228" t="s">
        <v>1556</v>
      </c>
      <c r="G31" s="228" t="s">
        <v>1613</v>
      </c>
      <c r="H31" s="228"/>
      <c r="I31" s="228"/>
      <c r="J31" s="17"/>
      <c r="Q31" s="60"/>
    </row>
    <row r="32" spans="2:37" s="18" customFormat="1">
      <c r="B32" s="225"/>
      <c r="C32" s="225" t="str">
        <f t="shared" ref="C32:C47" si="14">B8</f>
        <v>ENDE_BIBLIS-B_00</v>
      </c>
      <c r="D32" s="227" t="str">
        <f t="shared" si="13"/>
        <v>Nuclear Power Plant: EMSLAND (KKE)</v>
      </c>
      <c r="E32" s="228" t="s">
        <v>1612</v>
      </c>
      <c r="F32" s="228" t="s">
        <v>1556</v>
      </c>
      <c r="G32" s="228" t="s">
        <v>1613</v>
      </c>
      <c r="H32" s="228"/>
      <c r="I32" s="228"/>
      <c r="J32" s="17"/>
      <c r="Q32" s="60"/>
    </row>
    <row r="33" spans="2:17" s="18" customFormat="1">
      <c r="B33" s="225"/>
      <c r="C33" s="225" t="str">
        <f t="shared" si="14"/>
        <v>ENDE_NECKARWESTHEIM-1_00</v>
      </c>
      <c r="D33" s="227" t="str">
        <f t="shared" si="13"/>
        <v>Nuclear Power Plant: GRAFENRHEINFELD (KKG)</v>
      </c>
      <c r="E33" s="228" t="s">
        <v>1612</v>
      </c>
      <c r="F33" s="228" t="s">
        <v>1556</v>
      </c>
      <c r="G33" s="228" t="s">
        <v>1613</v>
      </c>
      <c r="H33" s="228"/>
      <c r="I33" s="228"/>
      <c r="J33" s="17"/>
      <c r="Q33" s="60"/>
    </row>
    <row r="34" spans="2:17" s="18" customFormat="1">
      <c r="B34" s="225"/>
      <c r="C34" s="225" t="str">
        <f t="shared" si="14"/>
        <v>ENDE_BRUNSBUETTEL_00</v>
      </c>
      <c r="D34" s="227" t="str">
        <f t="shared" si="13"/>
        <v>Nuclear Power Plant: GROHNDE (KWG)</v>
      </c>
      <c r="E34" s="228" t="s">
        <v>1612</v>
      </c>
      <c r="F34" s="228" t="s">
        <v>1556</v>
      </c>
      <c r="G34" s="228" t="s">
        <v>1613</v>
      </c>
      <c r="H34" s="228"/>
      <c r="I34" s="228"/>
      <c r="J34" s="17"/>
      <c r="Q34" s="60"/>
    </row>
    <row r="35" spans="2:17" s="18" customFormat="1">
      <c r="B35" s="225"/>
      <c r="C35" s="225" t="str">
        <f t="shared" si="14"/>
        <v>ENDE_ISAR-1_00</v>
      </c>
      <c r="D35" s="227" t="str">
        <f t="shared" si="13"/>
        <v>Nuclear Power Plant: GUNDREMMINGEN-B (GUN-B)</v>
      </c>
      <c r="E35" s="228" t="s">
        <v>1612</v>
      </c>
      <c r="F35" s="228" t="s">
        <v>1556</v>
      </c>
      <c r="G35" s="228" t="s">
        <v>1613</v>
      </c>
      <c r="H35" s="228"/>
      <c r="I35" s="228"/>
      <c r="J35" s="17"/>
      <c r="Q35" s="60"/>
    </row>
    <row r="36" spans="2:17" s="18" customFormat="1">
      <c r="B36" s="225"/>
      <c r="C36" s="225" t="str">
        <f t="shared" si="14"/>
        <v>ENDE_UNTERWESER_00</v>
      </c>
      <c r="D36" s="227" t="str">
        <f t="shared" si="13"/>
        <v>Nuclear Power Plant: GUNDREMMINGEN-C (GUN-C)</v>
      </c>
      <c r="E36" s="228" t="s">
        <v>1612</v>
      </c>
      <c r="F36" s="228" t="s">
        <v>1556</v>
      </c>
      <c r="G36" s="228" t="s">
        <v>1613</v>
      </c>
      <c r="H36" s="225"/>
      <c r="I36" s="225"/>
      <c r="J36" s="17"/>
      <c r="Q36" s="60"/>
    </row>
    <row r="37" spans="2:17" s="18" customFormat="1">
      <c r="B37" s="225"/>
      <c r="C37" s="225" t="str">
        <f t="shared" si="14"/>
        <v>ENDE_PHILIPPSBURG-1_00</v>
      </c>
      <c r="D37" s="227" t="str">
        <f t="shared" si="13"/>
        <v>Nuclear Power Plant: ISAR-2 (KKI 2)</v>
      </c>
      <c r="E37" s="228" t="s">
        <v>1612</v>
      </c>
      <c r="F37" s="228" t="s">
        <v>1556</v>
      </c>
      <c r="G37" s="228" t="s">
        <v>1613</v>
      </c>
      <c r="H37" s="225"/>
      <c r="I37" s="225"/>
      <c r="J37" s="17"/>
      <c r="Q37" s="60"/>
    </row>
    <row r="38" spans="2:17" s="18" customFormat="1">
      <c r="B38" s="225"/>
      <c r="C38" s="225" t="str">
        <f t="shared" si="14"/>
        <v>ENDE_KRUEMMEL_00</v>
      </c>
      <c r="D38" s="227" t="str">
        <f t="shared" si="13"/>
        <v>Nuclear Power Plant: NECKARWESTHEIM-2 (GKN 2)</v>
      </c>
      <c r="E38" s="228" t="s">
        <v>1612</v>
      </c>
      <c r="F38" s="228" t="s">
        <v>1556</v>
      </c>
      <c r="G38" s="228" t="s">
        <v>1613</v>
      </c>
      <c r="H38" s="225"/>
      <c r="I38" s="225"/>
      <c r="J38" s="17"/>
      <c r="Q38" s="60"/>
    </row>
    <row r="39" spans="2:17" s="18" customFormat="1">
      <c r="B39" s="225"/>
      <c r="C39" s="225" t="str">
        <f t="shared" si="14"/>
        <v>ENDE_BROKDORF_KBR_00</v>
      </c>
      <c r="D39" s="227" t="str">
        <f t="shared" si="13"/>
        <v>Nuclear Power Plant: PHILIPPSBURG-2 (KKP 2)</v>
      </c>
      <c r="E39" s="228" t="s">
        <v>1612</v>
      </c>
      <c r="F39" s="228" t="s">
        <v>1556</v>
      </c>
      <c r="G39" s="228" t="s">
        <v>1613</v>
      </c>
      <c r="H39" s="225"/>
      <c r="I39" s="225"/>
      <c r="J39" s="17"/>
      <c r="Q39" s="60"/>
    </row>
    <row r="40" spans="2:17" s="18" customFormat="1">
      <c r="B40" s="225"/>
      <c r="C40" s="225" t="str">
        <f t="shared" si="14"/>
        <v>ENDE_EMSLAND_KKE_00</v>
      </c>
      <c r="D40" s="227" t="str">
        <f t="shared" ref="D40:D45" si="15">"Nuclear Power Plant: "&amp;Y24</f>
        <v xml:space="preserve">Nuclear Power Plant: </v>
      </c>
      <c r="E40" s="228" t="s">
        <v>1612</v>
      </c>
      <c r="F40" s="228" t="s">
        <v>1556</v>
      </c>
      <c r="G40" s="228" t="s">
        <v>1613</v>
      </c>
      <c r="H40" s="225"/>
      <c r="I40" s="225"/>
      <c r="J40" s="17"/>
      <c r="Q40" s="60"/>
    </row>
    <row r="41" spans="2:17" s="18" customFormat="1">
      <c r="B41" s="225"/>
      <c r="C41" s="225" t="str">
        <f t="shared" si="14"/>
        <v>ENDE_GRAFENRHEINFELD_KKG_00</v>
      </c>
      <c r="D41" s="227" t="str">
        <f t="shared" si="15"/>
        <v xml:space="preserve">Nuclear Power Plant: </v>
      </c>
      <c r="E41" s="228" t="s">
        <v>1612</v>
      </c>
      <c r="F41" s="228" t="s">
        <v>1556</v>
      </c>
      <c r="G41" s="228" t="s">
        <v>1613</v>
      </c>
      <c r="H41" s="225"/>
      <c r="I41" s="225"/>
      <c r="J41" s="17"/>
      <c r="Q41" s="60"/>
    </row>
    <row r="42" spans="2:17" s="18" customFormat="1">
      <c r="B42" s="225"/>
      <c r="C42" s="225" t="str">
        <f t="shared" si="14"/>
        <v>ENDE_GROHNDE_KWG_00</v>
      </c>
      <c r="D42" s="227" t="str">
        <f t="shared" si="15"/>
        <v xml:space="preserve">Nuclear Power Plant: </v>
      </c>
      <c r="E42" s="228" t="s">
        <v>1612</v>
      </c>
      <c r="F42" s="228" t="s">
        <v>1556</v>
      </c>
      <c r="G42" s="228" t="s">
        <v>1613</v>
      </c>
      <c r="H42" s="225"/>
      <c r="I42" s="225"/>
      <c r="J42" s="17"/>
      <c r="Q42" s="60"/>
    </row>
    <row r="43" spans="2:17" s="18" customFormat="1">
      <c r="B43" s="225"/>
      <c r="C43" s="225" t="str">
        <f t="shared" si="14"/>
        <v>ENDE_GUNDREM-B_GUN-B_00</v>
      </c>
      <c r="D43" s="227" t="str">
        <f t="shared" si="15"/>
        <v xml:space="preserve">Nuclear Power Plant: </v>
      </c>
      <c r="E43" s="228" t="s">
        <v>1612</v>
      </c>
      <c r="F43" s="228" t="s">
        <v>1556</v>
      </c>
      <c r="G43" s="228" t="s">
        <v>1613</v>
      </c>
      <c r="H43" s="225"/>
      <c r="I43" s="225"/>
      <c r="J43" s="17"/>
      <c r="Q43" s="60"/>
    </row>
    <row r="44" spans="2:17" s="18" customFormat="1">
      <c r="B44" s="225"/>
      <c r="C44" s="225" t="str">
        <f t="shared" si="14"/>
        <v>ENDE_GUNDREM-C_GUN-C_00</v>
      </c>
      <c r="D44" s="227" t="str">
        <f t="shared" si="15"/>
        <v xml:space="preserve">Nuclear Power Plant: </v>
      </c>
      <c r="E44" s="228" t="s">
        <v>1612</v>
      </c>
      <c r="F44" s="228" t="s">
        <v>1556</v>
      </c>
      <c r="G44" s="228" t="s">
        <v>1613</v>
      </c>
      <c r="H44" s="225"/>
      <c r="I44" s="225"/>
      <c r="J44" s="17"/>
      <c r="Q44" s="60"/>
    </row>
    <row r="45" spans="2:17" s="18" customFormat="1">
      <c r="B45" s="225"/>
      <c r="C45" s="225" t="str">
        <f t="shared" si="14"/>
        <v>ENDE_ISAR-2_KKI2_00</v>
      </c>
      <c r="D45" s="227" t="str">
        <f t="shared" si="15"/>
        <v xml:space="preserve">Nuclear Power Plant: </v>
      </c>
      <c r="E45" s="228" t="s">
        <v>1612</v>
      </c>
      <c r="F45" s="228" t="s">
        <v>1556</v>
      </c>
      <c r="G45" s="228" t="s">
        <v>1613</v>
      </c>
      <c r="H45" s="225"/>
      <c r="I45" s="225"/>
      <c r="J45" s="17"/>
      <c r="Q45" s="60"/>
    </row>
    <row r="46" spans="2:17" s="18" customFormat="1">
      <c r="B46" s="225"/>
      <c r="C46" s="225" t="str">
        <f>B22</f>
        <v>ENDE_NECKARWEST-2_GKN2_00</v>
      </c>
      <c r="D46" s="227" t="str">
        <f>"Nuclear Power Plant: "&amp;Y30</f>
        <v xml:space="preserve">Nuclear Power Plant: </v>
      </c>
      <c r="E46" s="228" t="s">
        <v>1612</v>
      </c>
      <c r="F46" s="228" t="s">
        <v>1556</v>
      </c>
      <c r="G46" s="228" t="s">
        <v>1613</v>
      </c>
      <c r="H46" s="225"/>
      <c r="I46" s="225"/>
      <c r="J46" s="17"/>
      <c r="Q46" s="60"/>
    </row>
    <row r="47" spans="2:17" s="18" customFormat="1">
      <c r="B47" s="225"/>
      <c r="C47" s="225" t="str">
        <f t="shared" si="14"/>
        <v>ENDE_PHILIPPSBURG-2_KKP2_00</v>
      </c>
      <c r="D47" s="227" t="str">
        <f>"Nuclear Power Plant: "&amp;Y31</f>
        <v xml:space="preserve">Nuclear Power Plant: </v>
      </c>
      <c r="E47" s="228" t="s">
        <v>1612</v>
      </c>
      <c r="F47" s="228" t="s">
        <v>1556</v>
      </c>
      <c r="G47" s="228" t="s">
        <v>1613</v>
      </c>
      <c r="H47" s="225"/>
      <c r="I47" s="225"/>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70" customFormat="1">
      <c r="B437" s="18"/>
      <c r="C437" s="18"/>
      <c r="D437" s="18"/>
      <c r="E437" s="18"/>
      <c r="J437" s="71"/>
      <c r="Q437" s="144"/>
      <c r="W437" s="18"/>
      <c r="X437" s="18"/>
      <c r="Y437" s="18"/>
      <c r="Z437" s="18"/>
      <c r="AC437" s="18"/>
    </row>
    <row r="438" spans="2:29" s="70" customFormat="1">
      <c r="B438" s="18"/>
      <c r="C438" s="18"/>
      <c r="D438" s="18"/>
      <c r="E438" s="18"/>
      <c r="J438" s="71"/>
      <c r="Q438" s="144"/>
      <c r="W438" s="18"/>
      <c r="X438" s="18"/>
      <c r="Y438" s="18"/>
      <c r="Z438" s="18"/>
      <c r="AC438" s="18"/>
    </row>
    <row r="439" spans="2:29" s="70" customFormat="1">
      <c r="B439" s="18"/>
      <c r="C439" s="18"/>
      <c r="D439" s="18"/>
      <c r="E439" s="18"/>
      <c r="J439" s="71"/>
      <c r="Q439" s="144"/>
      <c r="W439" s="18"/>
      <c r="X439" s="18"/>
      <c r="Y439" s="18"/>
      <c r="Z439" s="18"/>
      <c r="AC439" s="18"/>
    </row>
    <row r="440" spans="2:29" s="70" customFormat="1">
      <c r="B440" s="18"/>
      <c r="C440" s="18"/>
      <c r="D440" s="18"/>
      <c r="E440" s="18"/>
      <c r="J440" s="71"/>
      <c r="Q440" s="144"/>
      <c r="W440" s="18"/>
      <c r="X440" s="18"/>
      <c r="Y440" s="18"/>
      <c r="Z440" s="18"/>
      <c r="AC440" s="18"/>
    </row>
    <row r="441" spans="2:29" s="70" customFormat="1">
      <c r="B441" s="18"/>
      <c r="C441" s="18"/>
      <c r="D441" s="18"/>
      <c r="E441" s="18"/>
      <c r="J441" s="71"/>
      <c r="Q441" s="144"/>
      <c r="W441" s="18"/>
      <c r="X441" s="18"/>
      <c r="Y441" s="18"/>
      <c r="Z441" s="18"/>
      <c r="AC441" s="18"/>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sheetData>
  <phoneticPr fontId="0" type="noConversion"/>
  <pageMargins left="0.7" right="0.7" top="0.75" bottom="0.75" header="0.3" footer="0.3"/>
  <pageSetup paperSize="9" orientation="portrait" horizontalDpi="4294967292" verticalDpi="4294967292"/>
  <ignoredErrors>
    <ignoredError sqref="F9" formula="1"/>
  </ignoredErrors>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tabColor theme="0"/>
  </sheetPr>
  <dimension ref="B1:AK455"/>
  <sheetViews>
    <sheetView zoomScale="85" zoomScaleNormal="85" zoomScalePageLayoutView="125" workbookViewId="0">
      <selection activeCell="G29" sqref="G29"/>
    </sheetView>
  </sheetViews>
  <sheetFormatPr defaultColWidth="8.85546875" defaultRowHeight="12.75"/>
  <cols>
    <col min="1" max="1" width="3" style="19" customWidth="1"/>
    <col min="2" max="2" width="28.7109375" style="18" customWidth="1"/>
    <col min="3" max="3" width="15.28515625" style="18" customWidth="1"/>
    <col min="4" max="4" width="13.85546875" style="18" customWidth="1"/>
    <col min="5" max="5" width="13.4257812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5703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1587</v>
      </c>
      <c r="C1" s="78"/>
      <c r="D1" s="78"/>
      <c r="E1" s="79" t="s">
        <v>1588</v>
      </c>
      <c r="F1" s="68" t="s">
        <v>7358</v>
      </c>
      <c r="G1" s="2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7372</v>
      </c>
      <c r="C7" s="56" t="s">
        <v>1561</v>
      </c>
      <c r="D7" s="56" t="s">
        <v>1562</v>
      </c>
      <c r="E7" s="56">
        <f>YEAR(AB7)</f>
        <v>1973</v>
      </c>
      <c r="F7" s="108">
        <f>'NL-2'!$AU$17/1000</f>
        <v>0.48199999999999998</v>
      </c>
      <c r="G7" s="108">
        <f>'NL-2'!$AU$16/1000</f>
        <v>0.51500000000000001</v>
      </c>
      <c r="H7" s="198">
        <v>0.85499999999999998</v>
      </c>
      <c r="I7" s="109">
        <f>'NL-2'!$AU$20/100</f>
        <v>0.95689999999999997</v>
      </c>
      <c r="J7" s="109">
        <f>'NL-2'!$AU$21/100</f>
        <v>0.88930000000000009</v>
      </c>
      <c r="K7" s="108">
        <f>F7</f>
        <v>0.48199999999999998</v>
      </c>
      <c r="L7" s="95"/>
      <c r="M7" s="111"/>
      <c r="N7" s="111"/>
      <c r="O7" s="92"/>
      <c r="P7" s="92"/>
      <c r="Q7" s="92"/>
      <c r="R7" s="128">
        <f>YEAR(AC7)+31</f>
        <v>2034</v>
      </c>
      <c r="S7" s="127">
        <f>R7-E7</f>
        <v>61</v>
      </c>
      <c r="T7" s="112">
        <f>AK7</f>
        <v>1.2703836017569545</v>
      </c>
      <c r="U7" s="95">
        <v>1</v>
      </c>
      <c r="V7" s="113">
        <v>31.536000000000001</v>
      </c>
      <c r="X7" s="92" t="str">
        <f>'NL-2'!$AU$11</f>
        <v xml:space="preserve">PWR  </v>
      </c>
      <c r="Y7" s="92" t="str">
        <f>'NL-2'!$AU$12</f>
        <v>2 loops PWR</v>
      </c>
      <c r="Z7" s="92" t="str">
        <f>'NL-2'!$AU$7</f>
        <v>BORSSELE</v>
      </c>
      <c r="AA7" s="95">
        <v>30</v>
      </c>
      <c r="AB7" s="114">
        <f>'NL-2'!$AU$18</f>
        <v>26849</v>
      </c>
      <c r="AC7" s="115">
        <f>DATE(YEAR(AB7)+AA7,MONTH(AB7),DAY(AB7))</f>
        <v>37806</v>
      </c>
      <c r="AD7" s="92" t="str">
        <f>'NL-2'!$AU$19</f>
        <v>39000</v>
      </c>
      <c r="AE7" s="110">
        <f>G7*J7*8760</f>
        <v>4011.9880200000002</v>
      </c>
      <c r="AF7" s="109">
        <f>'NL-2'!$AU$16/'NL-2'!$AU$13</f>
        <v>0.37701317715959004</v>
      </c>
      <c r="AG7" s="110">
        <f>AE7/AF7</f>
        <v>10641.506088</v>
      </c>
      <c r="AH7" s="116">
        <f>AG7/(AD7*24)*1000</f>
        <v>11.369130435897436</v>
      </c>
      <c r="AI7" s="110">
        <f>AH7*Assumptions!$H$7</f>
        <v>90.953043487179485</v>
      </c>
      <c r="AJ7" s="110">
        <f>AE7/AH7</f>
        <v>352.88433382137629</v>
      </c>
      <c r="AK7" s="109">
        <f>AJ7*0.0036</f>
        <v>1.2703836017569545</v>
      </c>
    </row>
    <row r="8" spans="2:37" s="18" customFormat="1">
      <c r="B8" s="76" t="s">
        <v>1744</v>
      </c>
      <c r="C8" s="57" t="s">
        <v>1561</v>
      </c>
      <c r="D8" s="57" t="s">
        <v>1562</v>
      </c>
      <c r="E8" s="85">
        <f>YEAR(AB8)</f>
        <v>2018</v>
      </c>
      <c r="F8" s="83"/>
      <c r="G8" s="83"/>
      <c r="H8" s="118">
        <v>0.92</v>
      </c>
      <c r="I8" s="118">
        <v>0.92</v>
      </c>
      <c r="J8" s="83"/>
      <c r="K8" s="120"/>
      <c r="L8" s="117">
        <v>1.2</v>
      </c>
      <c r="M8" s="83"/>
      <c r="N8" s="83">
        <f>E8</f>
        <v>2018</v>
      </c>
      <c r="O8" s="83"/>
      <c r="P8" s="85"/>
      <c r="Q8" s="85"/>
      <c r="R8" s="83">
        <f>YEAR(AC8)</f>
        <v>2068</v>
      </c>
      <c r="S8" s="119">
        <f>R8-E8</f>
        <v>50</v>
      </c>
      <c r="T8" s="121">
        <f>T7</f>
        <v>1.2703836017569545</v>
      </c>
      <c r="U8" s="85">
        <v>1</v>
      </c>
      <c r="V8" s="85">
        <v>31.536000000000001</v>
      </c>
      <c r="X8" s="85" t="s">
        <v>2820</v>
      </c>
      <c r="Y8" s="85"/>
      <c r="Z8" s="83" t="s">
        <v>1675</v>
      </c>
      <c r="AA8" s="85">
        <v>50</v>
      </c>
      <c r="AB8" s="123">
        <v>43101</v>
      </c>
      <c r="AC8" s="124">
        <f>DATE(YEAR(AB8)+AA8,MONTH(AB8),DAY(AB8))</f>
        <v>61363</v>
      </c>
      <c r="AD8" s="85"/>
      <c r="AE8" s="85"/>
      <c r="AF8" s="85"/>
      <c r="AG8" s="85"/>
      <c r="AH8" s="85"/>
      <c r="AI8" s="85"/>
      <c r="AJ8" s="85"/>
      <c r="AK8" s="85"/>
    </row>
    <row r="9" spans="2:37" s="18" customFormat="1">
      <c r="Q9" s="60"/>
    </row>
    <row r="10" spans="2:37" s="18" customFormat="1">
      <c r="Q10" s="60"/>
    </row>
    <row r="11" spans="2:37" s="18" customFormat="1">
      <c r="Q11" s="60"/>
    </row>
    <row r="12" spans="2:37" s="18" customFormat="1">
      <c r="Q12" s="60"/>
    </row>
    <row r="13" spans="2:37" s="18" customFormat="1">
      <c r="Q13" s="60"/>
    </row>
    <row r="14" spans="2:37" s="18" customFormat="1">
      <c r="Q14" s="60"/>
    </row>
    <row r="15" spans="2:37" s="18" customFormat="1">
      <c r="Q15" s="60"/>
    </row>
    <row r="16" spans="2: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F7</f>
        <v>0.48199999999999998</v>
      </c>
      <c r="G21" s="18" t="s">
        <v>7215</v>
      </c>
      <c r="H21" s="137">
        <f>F21/H22</f>
        <v>0.48199999999999998</v>
      </c>
      <c r="Q21" s="60"/>
    </row>
    <row r="22" spans="2:17" s="18" customFormat="1">
      <c r="E22" s="18" t="s">
        <v>7127</v>
      </c>
      <c r="F22" s="160">
        <f>F8</f>
        <v>0</v>
      </c>
      <c r="G22" s="18" t="s">
        <v>7216</v>
      </c>
      <c r="H22" s="18">
        <v>1</v>
      </c>
      <c r="Q22" s="60"/>
    </row>
    <row r="23" spans="2:17" s="18" customFormat="1">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ENNL_BORSSELE_00</v>
      </c>
      <c r="D27" s="227" t="str">
        <f>"Nuclear Power Plant: "&amp;Z7</f>
        <v>Nuclear Power Plant: BORSSELE</v>
      </c>
      <c r="E27" s="228" t="s">
        <v>1612</v>
      </c>
      <c r="F27" s="228" t="s">
        <v>1556</v>
      </c>
      <c r="G27" s="228" t="s">
        <v>1613</v>
      </c>
      <c r="H27" s="228"/>
      <c r="I27" s="228"/>
      <c r="J27" s="17"/>
      <c r="Q27" s="60"/>
    </row>
    <row r="28" spans="2:17" s="18" customFormat="1">
      <c r="B28" s="225"/>
      <c r="C28" s="225" t="str">
        <f>B8</f>
        <v>ENNL_BORSSELE-2</v>
      </c>
      <c r="D28" s="227" t="str">
        <f>"Nuclear Power Plant: "&amp;Z8</f>
        <v>Nuclear Power Plant: BORSSELE-2</v>
      </c>
      <c r="E28" s="228" t="s">
        <v>1612</v>
      </c>
      <c r="F28" s="228" t="s">
        <v>1556</v>
      </c>
      <c r="G28" s="228" t="s">
        <v>7378</v>
      </c>
      <c r="H28" s="225"/>
      <c r="I28" s="228"/>
      <c r="J28" s="17"/>
      <c r="Q28" s="60"/>
    </row>
    <row r="29" spans="2:17" s="18" customFormat="1">
      <c r="I29" s="84"/>
      <c r="J29" s="17"/>
      <c r="Q29" s="60"/>
    </row>
    <row r="30" spans="2:17" s="18" customFormat="1">
      <c r="I30" s="84"/>
      <c r="J30" s="17"/>
      <c r="Q30" s="60"/>
    </row>
    <row r="31" spans="2:17" s="18" customFormat="1">
      <c r="I31" s="84"/>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18" customFormat="1">
      <c r="J445" s="17"/>
      <c r="Q445" s="60"/>
    </row>
    <row r="446" spans="2:29" s="18" customFormat="1">
      <c r="J446" s="17"/>
      <c r="Q446" s="60"/>
    </row>
    <row r="447" spans="2:29" s="18" customFormat="1">
      <c r="J447" s="17"/>
      <c r="Q447" s="60"/>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row r="452" spans="2:29" s="70" customFormat="1">
      <c r="B452" s="18"/>
      <c r="C452" s="18"/>
      <c r="D452" s="18"/>
      <c r="E452" s="18"/>
      <c r="J452" s="71"/>
      <c r="Q452" s="144"/>
      <c r="W452" s="18"/>
      <c r="X452" s="18"/>
      <c r="Y452" s="18"/>
      <c r="Z452" s="18"/>
      <c r="AC452" s="18"/>
    </row>
    <row r="453" spans="2:29" s="70" customFormat="1">
      <c r="B453" s="18"/>
      <c r="C453" s="18"/>
      <c r="D453" s="18"/>
      <c r="E453" s="18"/>
      <c r="J453" s="71"/>
      <c r="Q453" s="144"/>
      <c r="W453" s="18"/>
      <c r="X453" s="18"/>
      <c r="Y453" s="18"/>
      <c r="Z453" s="18"/>
      <c r="AC453" s="18"/>
    </row>
    <row r="454" spans="2:29" s="70" customFormat="1">
      <c r="B454" s="18"/>
      <c r="C454" s="18"/>
      <c r="D454" s="18"/>
      <c r="E454" s="18"/>
      <c r="J454" s="71"/>
      <c r="Q454" s="144"/>
      <c r="W454" s="18"/>
      <c r="X454" s="18"/>
      <c r="Y454" s="18"/>
      <c r="Z454" s="18"/>
      <c r="AC454" s="18"/>
    </row>
    <row r="455" spans="2:29" s="70" customFormat="1">
      <c r="B455" s="18"/>
      <c r="C455" s="18"/>
      <c r="D455" s="18"/>
      <c r="E455" s="18"/>
      <c r="J455" s="71"/>
      <c r="Q455" s="144"/>
      <c r="W455" s="18"/>
      <c r="X455" s="18"/>
      <c r="Y455" s="18"/>
      <c r="Z455" s="18"/>
      <c r="AC455" s="18"/>
    </row>
  </sheetData>
  <phoneticPr fontId="0"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tabColor theme="0"/>
  </sheetPr>
  <dimension ref="B1:AK449"/>
  <sheetViews>
    <sheetView zoomScale="85" zoomScaleNormal="85" zoomScalePageLayoutView="125" workbookViewId="0">
      <selection activeCell="F1" sqref="F1"/>
    </sheetView>
  </sheetViews>
  <sheetFormatPr defaultColWidth="8.85546875" defaultRowHeight="12.75"/>
  <cols>
    <col min="1" max="1" width="3" style="19" customWidth="1"/>
    <col min="2" max="2" width="35.85546875" style="18" bestFit="1" customWidth="1"/>
    <col min="3" max="3" width="16.7109375" style="18" customWidth="1"/>
    <col min="4" max="4" width="16.140625" style="18" customWidth="1"/>
    <col min="5" max="5" width="1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1590</v>
      </c>
      <c r="C1" s="78"/>
      <c r="D1" s="78"/>
      <c r="E1" s="79" t="s">
        <v>1589</v>
      </c>
      <c r="F1" s="68" t="s">
        <v>7358</v>
      </c>
      <c r="G1" s="2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7317</v>
      </c>
      <c r="C7" s="56" t="s">
        <v>1561</v>
      </c>
      <c r="D7" s="56" t="s">
        <v>1562</v>
      </c>
      <c r="E7" s="56">
        <f>YEAR(AB7)</f>
        <v>1981</v>
      </c>
      <c r="F7" s="108">
        <f>'ES-6'!$AU$17/1000</f>
        <v>1.0109999999999999</v>
      </c>
      <c r="G7" s="222">
        <v>1.0489999999999999</v>
      </c>
      <c r="H7" s="198">
        <v>0.8640000000000001</v>
      </c>
      <c r="I7" s="109">
        <f>'ES-6'!$AU$20/100</f>
        <v>0.90930000000000011</v>
      </c>
      <c r="J7" s="109">
        <f>'ES-6'!$AU$21/100</f>
        <v>0.89700000000000002</v>
      </c>
      <c r="K7" s="108">
        <f t="shared" ref="K7:K14" si="0">F7</f>
        <v>1.0109999999999999</v>
      </c>
      <c r="L7" s="95"/>
      <c r="M7" s="95"/>
      <c r="N7" s="111"/>
      <c r="O7" s="92"/>
      <c r="P7" s="92"/>
      <c r="Q7" s="92"/>
      <c r="R7" s="128">
        <f>YEAR(AC7)+9</f>
        <v>2020</v>
      </c>
      <c r="S7" s="127">
        <f t="shared" ref="S7:S14" si="1">R7-E7</f>
        <v>39</v>
      </c>
      <c r="T7" s="112">
        <f>AK7</f>
        <v>1.7769609772650152</v>
      </c>
      <c r="U7" s="95">
        <v>1</v>
      </c>
      <c r="V7" s="113">
        <v>31.536000000000001</v>
      </c>
      <c r="X7" s="92" t="str">
        <f>'ES-6'!$AU$11</f>
        <v xml:space="preserve">PWR  </v>
      </c>
      <c r="Y7" s="92" t="str">
        <f>'ES-6'!$AU$12</f>
        <v>WE 3-loops</v>
      </c>
      <c r="Z7" s="92" t="str">
        <f>'ES-6'!$AU$7</f>
        <v>ALMARAZ-1</v>
      </c>
      <c r="AA7" s="95">
        <v>30</v>
      </c>
      <c r="AB7" s="114">
        <f>'ES-6'!$AU$18</f>
        <v>29707</v>
      </c>
      <c r="AC7" s="115">
        <f t="shared" ref="AC7:AC14" si="2">DATE(YEAR(AB7)+AA7,MONTH(AB7),DAY(AB7))</f>
        <v>40664</v>
      </c>
      <c r="AD7" s="92" t="str">
        <f>'ES-6'!$AU$19</f>
        <v>58000</v>
      </c>
      <c r="AE7" s="110">
        <f t="shared" ref="AE7:AE14" si="3">G7*J7*8760</f>
        <v>8242.7482799999998</v>
      </c>
      <c r="AF7" s="109">
        <f>'ES-6'!$AU$16/'ES-6'!$AU$13</f>
        <v>0.35459789616559212</v>
      </c>
      <c r="AG7" s="110">
        <f t="shared" ref="AG7:AG14" si="4">AE7/AF7</f>
        <v>23245.338929339712</v>
      </c>
      <c r="AH7" s="116">
        <f t="shared" ref="AH7:AH14" si="5">AG7/(AD7*24)*1000</f>
        <v>16.699237736594622</v>
      </c>
      <c r="AI7" s="110">
        <f>AH7*Assumptions!$H$7</f>
        <v>133.59390189275697</v>
      </c>
      <c r="AJ7" s="110">
        <f t="shared" ref="AJ7:AJ14" si="6">AE7/AH7</f>
        <v>493.60027146250422</v>
      </c>
      <c r="AK7" s="109">
        <f t="shared" ref="AK7:AK14" si="7">AJ7*0.0036</f>
        <v>1.7769609772650152</v>
      </c>
    </row>
    <row r="8" spans="2:37" s="18" customFormat="1">
      <c r="B8" s="75" t="s">
        <v>7318</v>
      </c>
      <c r="C8" s="56" t="s">
        <v>1561</v>
      </c>
      <c r="D8" s="56" t="s">
        <v>1562</v>
      </c>
      <c r="E8" s="56">
        <f t="shared" ref="E8:E14" si="8">YEAR(AB8)</f>
        <v>1983</v>
      </c>
      <c r="F8" s="108">
        <f>'ES-7'!$AU$17/1000</f>
        <v>1.006</v>
      </c>
      <c r="G8" s="223">
        <f>'ES-7'!$AU$16/1000</f>
        <v>1.044</v>
      </c>
      <c r="H8" s="198">
        <v>0.88</v>
      </c>
      <c r="I8" s="109">
        <f>'ES-7'!$AU$20/100</f>
        <v>0.98549999999999993</v>
      </c>
      <c r="J8" s="109">
        <f>'ES-7'!$AU$21/100</f>
        <v>0.8367</v>
      </c>
      <c r="K8" s="108">
        <f t="shared" si="0"/>
        <v>1.006</v>
      </c>
      <c r="L8" s="95"/>
      <c r="M8" s="95"/>
      <c r="N8" s="111"/>
      <c r="O8" s="92"/>
      <c r="P8" s="92"/>
      <c r="Q8" s="92"/>
      <c r="R8" s="128">
        <f>YEAR(AC8)+7</f>
        <v>2020</v>
      </c>
      <c r="S8" s="110">
        <f t="shared" si="1"/>
        <v>37</v>
      </c>
      <c r="T8" s="112">
        <f t="shared" ref="T8:T14" si="9">AK8</f>
        <v>1.377357312521208</v>
      </c>
      <c r="U8" s="95">
        <v>1</v>
      </c>
      <c r="V8" s="113">
        <v>31.536000000000001</v>
      </c>
      <c r="X8" s="92" t="str">
        <f>'ES-7'!$AU$11</f>
        <v xml:space="preserve">PWR  </v>
      </c>
      <c r="Y8" s="92" t="str">
        <f>'ES-7'!$AU$12</f>
        <v>WE 3-loops</v>
      </c>
      <c r="Z8" s="92" t="str">
        <f>'ES-7'!$AU$7</f>
        <v>ALMARAZ-2</v>
      </c>
      <c r="AA8" s="95">
        <v>30</v>
      </c>
      <c r="AB8" s="114">
        <f>'ES-7'!$AU$18</f>
        <v>30597</v>
      </c>
      <c r="AC8" s="115">
        <f t="shared" si="2"/>
        <v>41555</v>
      </c>
      <c r="AD8" s="92" t="str">
        <f>'ES-7'!$AU$19</f>
        <v>45000</v>
      </c>
      <c r="AE8" s="110">
        <f t="shared" si="3"/>
        <v>7651.9896480000007</v>
      </c>
      <c r="AF8" s="109">
        <f>'ES-7'!$AU$16/'ES-7'!$AU$13</f>
        <v>0.3542585680352901</v>
      </c>
      <c r="AG8" s="110">
        <f t="shared" si="4"/>
        <v>21600.012924000002</v>
      </c>
      <c r="AH8" s="116">
        <f t="shared" si="5"/>
        <v>20.000011966666669</v>
      </c>
      <c r="AI8" s="110">
        <f>AH8*Assumptions!$H$7</f>
        <v>160.00009573333335</v>
      </c>
      <c r="AJ8" s="110">
        <f t="shared" si="6"/>
        <v>382.59925347811333</v>
      </c>
      <c r="AK8" s="109">
        <f t="shared" si="7"/>
        <v>1.377357312521208</v>
      </c>
    </row>
    <row r="9" spans="2:37" s="18" customFormat="1">
      <c r="B9" s="75" t="s">
        <v>7319</v>
      </c>
      <c r="C9" s="56" t="s">
        <v>1561</v>
      </c>
      <c r="D9" s="56" t="s">
        <v>1562</v>
      </c>
      <c r="E9" s="56">
        <f t="shared" si="8"/>
        <v>1983</v>
      </c>
      <c r="F9" s="108">
        <f>'ES-8'!$AU$17/1000</f>
        <v>0.995</v>
      </c>
      <c r="G9" s="223">
        <f>'ES-8'!$AU$16/1000</f>
        <v>1.0329999999999999</v>
      </c>
      <c r="H9" s="198">
        <v>0.85</v>
      </c>
      <c r="I9" s="109">
        <f>'ES-8'!$AU$20/100</f>
        <v>0.87659999999999993</v>
      </c>
      <c r="J9" s="109">
        <f>'ES-8'!$AU$21/100</f>
        <v>0.91739999999999999</v>
      </c>
      <c r="K9" s="108">
        <f t="shared" si="0"/>
        <v>0.995</v>
      </c>
      <c r="L9" s="95"/>
      <c r="M9" s="95"/>
      <c r="N9" s="111"/>
      <c r="O9" s="92"/>
      <c r="P9" s="92"/>
      <c r="Q9" s="92"/>
      <c r="R9" s="131">
        <f>YEAR(AC9)+10</f>
        <v>2023</v>
      </c>
      <c r="S9" s="110">
        <f t="shared" si="1"/>
        <v>40</v>
      </c>
      <c r="T9" s="112">
        <f t="shared" si="9"/>
        <v>1.5325350561033659</v>
      </c>
      <c r="U9" s="95">
        <v>1</v>
      </c>
      <c r="V9" s="113">
        <v>31.536000000000001</v>
      </c>
      <c r="X9" s="92" t="str">
        <f>'ES-8'!$AU$11</f>
        <v xml:space="preserve">PWR  </v>
      </c>
      <c r="Y9" s="92" t="str">
        <f>'ES-8'!$AU$12</f>
        <v>WE 3-loops</v>
      </c>
      <c r="Z9" s="92" t="str">
        <f>'ES-8'!$AU$7</f>
        <v>ASCO-1</v>
      </c>
      <c r="AA9" s="95">
        <v>30</v>
      </c>
      <c r="AB9" s="114">
        <f>'ES-8'!$AU$18</f>
        <v>30541</v>
      </c>
      <c r="AC9" s="115">
        <f t="shared" si="2"/>
        <v>41499</v>
      </c>
      <c r="AD9" s="92" t="str">
        <f>'ES-8'!$AU$19</f>
        <v>50500</v>
      </c>
      <c r="AE9" s="110">
        <f t="shared" si="3"/>
        <v>8301.6259919999993</v>
      </c>
      <c r="AF9" s="109">
        <f>'ES-8'!$AU$16/'ES-8'!$AU$13</f>
        <v>0.3512410744644679</v>
      </c>
      <c r="AG9" s="110">
        <f t="shared" si="4"/>
        <v>23635.122983999998</v>
      </c>
      <c r="AH9" s="116">
        <f t="shared" si="5"/>
        <v>19.500926554455447</v>
      </c>
      <c r="AI9" s="110">
        <f>AH9*Assumptions!$H$7</f>
        <v>156.00741243564357</v>
      </c>
      <c r="AJ9" s="110">
        <f t="shared" si="6"/>
        <v>425.70418225093499</v>
      </c>
      <c r="AK9" s="109">
        <f t="shared" si="7"/>
        <v>1.5325350561033659</v>
      </c>
    </row>
    <row r="10" spans="2:37" s="18" customFormat="1">
      <c r="B10" s="75" t="s">
        <v>7320</v>
      </c>
      <c r="C10" s="56" t="s">
        <v>1561</v>
      </c>
      <c r="D10" s="56" t="s">
        <v>1562</v>
      </c>
      <c r="E10" s="56">
        <f t="shared" si="8"/>
        <v>1985</v>
      </c>
      <c r="F10" s="108">
        <f>'ES-9'!$AU$17/1000</f>
        <v>0.997</v>
      </c>
      <c r="G10" s="222">
        <v>1.0349999999999999</v>
      </c>
      <c r="H10" s="198">
        <v>0.88</v>
      </c>
      <c r="I10" s="109">
        <f>'ES-9'!$AU$20/100</f>
        <v>0.84950000000000003</v>
      </c>
      <c r="J10" s="109">
        <f>'ES-9'!$AU$21/100</f>
        <v>0.83689999999999998</v>
      </c>
      <c r="K10" s="108">
        <f t="shared" si="0"/>
        <v>0.997</v>
      </c>
      <c r="L10" s="95"/>
      <c r="M10" s="95"/>
      <c r="N10" s="111"/>
      <c r="O10" s="92"/>
      <c r="P10" s="92"/>
      <c r="Q10" s="92"/>
      <c r="R10" s="131">
        <f>YEAR(AC10)+10</f>
        <v>2025</v>
      </c>
      <c r="S10" s="110">
        <f t="shared" si="1"/>
        <v>40</v>
      </c>
      <c r="T10" s="112">
        <f t="shared" si="9"/>
        <v>1.5236335940156409</v>
      </c>
      <c r="U10" s="95">
        <v>1</v>
      </c>
      <c r="V10" s="113">
        <v>31.536000000000001</v>
      </c>
      <c r="X10" s="92" t="str">
        <f>'ES-9'!$AU$11</f>
        <v xml:space="preserve">PWR  </v>
      </c>
      <c r="Y10" s="92" t="str">
        <f>'ES-9'!$AU$12</f>
        <v>WE 3-loops</v>
      </c>
      <c r="Z10" s="92" t="str">
        <f>'ES-9'!$AU$7</f>
        <v>ASCO-2</v>
      </c>
      <c r="AA10" s="95">
        <v>30</v>
      </c>
      <c r="AB10" s="114">
        <f>'ES-9'!$AU$18</f>
        <v>31343</v>
      </c>
      <c r="AC10" s="115">
        <f t="shared" si="2"/>
        <v>42300</v>
      </c>
      <c r="AD10" s="92" t="str">
        <f>'ES-9'!$AU$19</f>
        <v>50500</v>
      </c>
      <c r="AE10" s="110">
        <f t="shared" si="3"/>
        <v>7587.8375399999986</v>
      </c>
      <c r="AF10" s="109">
        <f>'ES-9'!$AU$16/'ES-9'!$AU$13</f>
        <v>0.34920095205712343</v>
      </c>
      <c r="AG10" s="110">
        <f t="shared" si="4"/>
        <v>21729.1433350925</v>
      </c>
      <c r="AH10" s="116">
        <f t="shared" si="5"/>
        <v>17.928336085059819</v>
      </c>
      <c r="AI10" s="110">
        <f>AH10*Assumptions!$H$7</f>
        <v>143.42668868047855</v>
      </c>
      <c r="AJ10" s="110">
        <f t="shared" si="6"/>
        <v>423.23155389323358</v>
      </c>
      <c r="AK10" s="109">
        <f t="shared" si="7"/>
        <v>1.5236335940156409</v>
      </c>
    </row>
    <row r="11" spans="2:37" s="18" customFormat="1">
      <c r="B11" s="75" t="s">
        <v>7321</v>
      </c>
      <c r="C11" s="56" t="s">
        <v>1561</v>
      </c>
      <c r="D11" s="56" t="s">
        <v>1562</v>
      </c>
      <c r="E11" s="56">
        <f t="shared" si="8"/>
        <v>1984</v>
      </c>
      <c r="F11" s="108">
        <f>'ES-10'!$AU$17/1000</f>
        <v>1.0640000000000001</v>
      </c>
      <c r="G11" s="222">
        <v>1.1020000000000001</v>
      </c>
      <c r="H11" s="198">
        <v>0.872</v>
      </c>
      <c r="I11" s="109">
        <f>'ES-10'!$AU$20/100</f>
        <v>0.7258</v>
      </c>
      <c r="J11" s="109">
        <f>'ES-10'!$AU$21/100</f>
        <v>0.98730000000000007</v>
      </c>
      <c r="K11" s="108">
        <f t="shared" si="0"/>
        <v>1.0640000000000001</v>
      </c>
      <c r="L11" s="95"/>
      <c r="M11" s="95"/>
      <c r="N11" s="111"/>
      <c r="O11" s="92"/>
      <c r="P11" s="92"/>
      <c r="Q11" s="92"/>
      <c r="R11" s="128">
        <f>YEAR(AC11)+10</f>
        <v>2024</v>
      </c>
      <c r="S11" s="110">
        <f t="shared" si="1"/>
        <v>40</v>
      </c>
      <c r="T11" s="112">
        <f t="shared" si="9"/>
        <v>1.1658795180722892</v>
      </c>
      <c r="U11" s="95">
        <v>1</v>
      </c>
      <c r="V11" s="113">
        <v>31.536000000000001</v>
      </c>
      <c r="X11" s="92" t="str">
        <f>'ES-10'!$AU$11</f>
        <v xml:space="preserve">BWR  </v>
      </c>
      <c r="Y11" s="92" t="str">
        <f>'ES-10'!$AU$12</f>
        <v>BWR-6</v>
      </c>
      <c r="Z11" s="92" t="str">
        <f>'ES-10'!$AU$7</f>
        <v>COFRENTES</v>
      </c>
      <c r="AA11" s="95">
        <v>30</v>
      </c>
      <c r="AB11" s="114">
        <f>'ES-10'!$AU$18</f>
        <v>30969</v>
      </c>
      <c r="AC11" s="115">
        <f t="shared" si="2"/>
        <v>41926</v>
      </c>
      <c r="AD11" s="92" t="str">
        <f>'ES-10'!$AU$19</f>
        <v>40000</v>
      </c>
      <c r="AE11" s="110">
        <f t="shared" si="3"/>
        <v>9530.9202960000002</v>
      </c>
      <c r="AF11" s="109">
        <f>'ES-10'!$AU$16/'ES-10'!$AU$13</f>
        <v>0.33734939759036142</v>
      </c>
      <c r="AG11" s="110">
        <f t="shared" si="4"/>
        <v>28252.370877428573</v>
      </c>
      <c r="AH11" s="116">
        <f t="shared" si="5"/>
        <v>29.42955299732143</v>
      </c>
      <c r="AI11" s="110">
        <f>AH11*Assumptions!$H$7</f>
        <v>235.43642397857144</v>
      </c>
      <c r="AJ11" s="110">
        <f t="shared" si="6"/>
        <v>323.85542168674698</v>
      </c>
      <c r="AK11" s="109">
        <f t="shared" si="7"/>
        <v>1.1658795180722892</v>
      </c>
    </row>
    <row r="12" spans="2:37" s="18" customFormat="1">
      <c r="B12" s="75" t="s">
        <v>7322</v>
      </c>
      <c r="C12" s="56" t="s">
        <v>1561</v>
      </c>
      <c r="D12" s="56" t="s">
        <v>1562</v>
      </c>
      <c r="E12" s="56">
        <f t="shared" si="8"/>
        <v>1971</v>
      </c>
      <c r="F12" s="108">
        <f>'ES-2'!$AU$17/1000</f>
        <v>0.44600000000000001</v>
      </c>
      <c r="G12" s="108">
        <f>'ES-2'!$AU$16/1000</f>
        <v>0.46600000000000003</v>
      </c>
      <c r="H12" s="198">
        <v>0.79299999999999993</v>
      </c>
      <c r="I12" s="109">
        <f>'ES-2'!$AU$20/100</f>
        <v>0.89969999999999994</v>
      </c>
      <c r="J12" s="109">
        <f>'ES-2'!$AU$21/100</f>
        <v>0.9375</v>
      </c>
      <c r="K12" s="108">
        <f t="shared" si="0"/>
        <v>0.44600000000000001</v>
      </c>
      <c r="L12" s="95"/>
      <c r="M12" s="95"/>
      <c r="N12" s="111"/>
      <c r="O12" s="92"/>
      <c r="P12" s="92"/>
      <c r="Q12" s="92"/>
      <c r="R12" s="128">
        <f>YEAR(AC12)+12</f>
        <v>2013</v>
      </c>
      <c r="S12" s="110">
        <f t="shared" si="1"/>
        <v>42</v>
      </c>
      <c r="T12" s="112">
        <f t="shared" si="9"/>
        <v>0.90379029688631418</v>
      </c>
      <c r="U12" s="95">
        <v>1</v>
      </c>
      <c r="V12" s="113">
        <v>31.536000000000001</v>
      </c>
      <c r="X12" s="92" t="str">
        <f>'ES-2'!$AU$11</f>
        <v xml:space="preserve">BWR  </v>
      </c>
      <c r="Y12" s="92" t="str">
        <f>'ES-2'!$AU$12</f>
        <v>BWR-3</v>
      </c>
      <c r="Z12" s="92" t="str">
        <f>'ES-2'!$AU$7</f>
        <v>SANTA MARIA DE GARONA</v>
      </c>
      <c r="AA12" s="95">
        <v>30</v>
      </c>
      <c r="AB12" s="114">
        <f>'ES-2'!$AU$18</f>
        <v>25994</v>
      </c>
      <c r="AC12" s="115">
        <f t="shared" si="2"/>
        <v>36952</v>
      </c>
      <c r="AD12" s="92" t="str">
        <f>'ES-2'!$AU$19</f>
        <v>31000</v>
      </c>
      <c r="AE12" s="110">
        <f t="shared" si="3"/>
        <v>3827.0250000000001</v>
      </c>
      <c r="AF12" s="109">
        <f>'ES-2'!$AU$16/'ES-2'!$AU$13</f>
        <v>0.33743664011585806</v>
      </c>
      <c r="AG12" s="110">
        <f t="shared" si="4"/>
        <v>11341.462500000001</v>
      </c>
      <c r="AH12" s="116">
        <f t="shared" si="5"/>
        <v>15.243901209677421</v>
      </c>
      <c r="AI12" s="110">
        <f>AH12*Assumptions!$H$7</f>
        <v>121.95120967741937</v>
      </c>
      <c r="AJ12" s="110">
        <f t="shared" si="6"/>
        <v>251.05286024619838</v>
      </c>
      <c r="AK12" s="109">
        <f t="shared" si="7"/>
        <v>0.90379029688631418</v>
      </c>
    </row>
    <row r="13" spans="2:37" s="18" customFormat="1">
      <c r="B13" s="75" t="s">
        <v>7323</v>
      </c>
      <c r="C13" s="56" t="s">
        <v>1561</v>
      </c>
      <c r="D13" s="56" t="s">
        <v>1562</v>
      </c>
      <c r="E13" s="56">
        <f t="shared" si="8"/>
        <v>1988</v>
      </c>
      <c r="F13" s="108">
        <f>'ES-11'!$AU$17/1000</f>
        <v>1.0029999999999999</v>
      </c>
      <c r="G13" s="108">
        <f>'ES-11'!$AU$16/1000</f>
        <v>1.0660000000000001</v>
      </c>
      <c r="H13" s="198">
        <v>0.86799999999999999</v>
      </c>
      <c r="I13" s="109">
        <f>'ES-11'!$AU$20/100</f>
        <v>0.91969999999999996</v>
      </c>
      <c r="J13" s="109">
        <f>'ES-11'!$AU$21/100</f>
        <v>0.87590000000000001</v>
      </c>
      <c r="K13" s="108">
        <f t="shared" si="0"/>
        <v>1.0029999999999999</v>
      </c>
      <c r="L13" s="95"/>
      <c r="M13" s="95"/>
      <c r="N13" s="111"/>
      <c r="O13" s="92"/>
      <c r="P13" s="92"/>
      <c r="Q13" s="92"/>
      <c r="R13" s="131">
        <f>YEAR(AC13)</f>
        <v>2018</v>
      </c>
      <c r="S13" s="110">
        <f t="shared" si="1"/>
        <v>30</v>
      </c>
      <c r="T13" s="112">
        <f t="shared" si="9"/>
        <v>1.0097605315614617</v>
      </c>
      <c r="U13" s="95">
        <v>1</v>
      </c>
      <c r="V13" s="113">
        <v>31.536000000000001</v>
      </c>
      <c r="X13" s="92" t="str">
        <f>'ES-11'!$AU$11</f>
        <v xml:space="preserve">PWR  </v>
      </c>
      <c r="Y13" s="92" t="str">
        <f>'ES-11'!$AU$12</f>
        <v>PWR 3 loops</v>
      </c>
      <c r="Z13" s="92" t="str">
        <f>'ES-11'!$AU$7</f>
        <v>TRILLO-1</v>
      </c>
      <c r="AA13" s="95">
        <v>30</v>
      </c>
      <c r="AB13" s="114">
        <f>'ES-11'!$AU$18</f>
        <v>32286</v>
      </c>
      <c r="AC13" s="115">
        <f t="shared" si="2"/>
        <v>43243</v>
      </c>
      <c r="AD13" s="92" t="str">
        <f>'ES-11'!$AU$19</f>
        <v>33000</v>
      </c>
      <c r="AE13" s="110">
        <f t="shared" si="3"/>
        <v>8179.2943439999999</v>
      </c>
      <c r="AF13" s="109">
        <f>'ES-11'!$AU$16/'ES-11'!$AU$13</f>
        <v>0.35415282392026576</v>
      </c>
      <c r="AG13" s="110">
        <f t="shared" si="4"/>
        <v>23095.380840000002</v>
      </c>
      <c r="AH13" s="116">
        <f t="shared" si="5"/>
        <v>29.160834393939396</v>
      </c>
      <c r="AI13" s="110">
        <f>AH13*Assumptions!$H$7</f>
        <v>233.28667515151517</v>
      </c>
      <c r="AJ13" s="110">
        <f t="shared" si="6"/>
        <v>280.48903654485048</v>
      </c>
      <c r="AK13" s="109">
        <f t="shared" si="7"/>
        <v>1.0097605315614617</v>
      </c>
    </row>
    <row r="14" spans="2:37" s="18" customFormat="1">
      <c r="B14" s="75" t="s">
        <v>7324</v>
      </c>
      <c r="C14" s="56" t="s">
        <v>1561</v>
      </c>
      <c r="D14" s="56" t="s">
        <v>1562</v>
      </c>
      <c r="E14" s="56">
        <f t="shared" si="8"/>
        <v>1987</v>
      </c>
      <c r="F14" s="108">
        <f>'ES-16'!$AU$17/1000</f>
        <v>1.0449999999999999</v>
      </c>
      <c r="G14" s="108">
        <f>'ES-16'!$AU$16/1000</f>
        <v>1.087</v>
      </c>
      <c r="H14" s="198">
        <v>0.82299999999999995</v>
      </c>
      <c r="I14" s="109">
        <f>'ES-16'!$AU$20/100</f>
        <v>0.51329999999999998</v>
      </c>
      <c r="J14" s="109">
        <f>'ES-16'!$AU$21/100</f>
        <v>0.9284</v>
      </c>
      <c r="K14" s="108">
        <f t="shared" si="0"/>
        <v>1.0449999999999999</v>
      </c>
      <c r="L14" s="95"/>
      <c r="M14" s="95"/>
      <c r="N14" s="111"/>
      <c r="O14" s="92"/>
      <c r="P14" s="92"/>
      <c r="Q14" s="92"/>
      <c r="R14" s="131">
        <f>YEAR(AC14)+10</f>
        <v>2027</v>
      </c>
      <c r="S14" s="110">
        <f t="shared" si="1"/>
        <v>40</v>
      </c>
      <c r="T14" s="112">
        <f t="shared" si="9"/>
        <v>1.6126482148928936</v>
      </c>
      <c r="U14" s="95">
        <v>1</v>
      </c>
      <c r="V14" s="113">
        <v>31.536000000000001</v>
      </c>
      <c r="X14" s="92" t="str">
        <f>'ES-16'!$AU$11</f>
        <v xml:space="preserve">PWR  </v>
      </c>
      <c r="Y14" s="92" t="str">
        <f>'ES-16'!$AU$12</f>
        <v>WE 3-loops</v>
      </c>
      <c r="Z14" s="92" t="str">
        <f>'ES-16'!$AU$7</f>
        <v>VANDELLOS-2</v>
      </c>
      <c r="AA14" s="95">
        <v>30</v>
      </c>
      <c r="AB14" s="114">
        <f>'ES-16'!$AU$18</f>
        <v>32123</v>
      </c>
      <c r="AC14" s="115">
        <f t="shared" si="2"/>
        <v>43081</v>
      </c>
      <c r="AD14" s="92" t="str">
        <f>'ES-16'!$AU$19</f>
        <v>50500</v>
      </c>
      <c r="AE14" s="110">
        <f t="shared" si="3"/>
        <v>8840.3362079999988</v>
      </c>
      <c r="AF14" s="109">
        <f>'ES-16'!$AU$16/'ES-16'!$AU$13</f>
        <v>0.36960217613056784</v>
      </c>
      <c r="AG14" s="110">
        <f t="shared" si="4"/>
        <v>23918.517743999997</v>
      </c>
      <c r="AH14" s="116">
        <f t="shared" si="5"/>
        <v>19.734750613861383</v>
      </c>
      <c r="AI14" s="110">
        <f>AH14*Assumptions!$H$7</f>
        <v>157.87800491089106</v>
      </c>
      <c r="AJ14" s="110">
        <f t="shared" si="6"/>
        <v>447.95783747024825</v>
      </c>
      <c r="AK14" s="109">
        <f t="shared" si="7"/>
        <v>1.6126482148928936</v>
      </c>
    </row>
    <row r="15" spans="2:37" s="18" customFormat="1">
      <c r="J15" s="17"/>
      <c r="Q15" s="60"/>
    </row>
    <row r="16" spans="2:37" s="18" customFormat="1">
      <c r="J16" s="17"/>
      <c r="Q16" s="60"/>
    </row>
    <row r="17" spans="2:17" s="18" customFormat="1">
      <c r="J17" s="17"/>
      <c r="Q17" s="60"/>
    </row>
    <row r="18" spans="2:17" s="18" customFormat="1">
      <c r="J18" s="17"/>
      <c r="Q18" s="60"/>
    </row>
    <row r="19" spans="2:17" s="18" customFormat="1">
      <c r="J19" s="17"/>
      <c r="Q19" s="60"/>
    </row>
    <row r="20" spans="2:17" s="18" customFormat="1">
      <c r="J20" s="17"/>
      <c r="Q20" s="60"/>
    </row>
    <row r="21" spans="2:17" s="18" customFormat="1">
      <c r="E21" s="18" t="s">
        <v>7128</v>
      </c>
      <c r="F21" s="160">
        <f>SUM(F7:F14)</f>
        <v>7.5670000000000002</v>
      </c>
      <c r="G21" s="18" t="s">
        <v>7215</v>
      </c>
      <c r="H21" s="137">
        <f>F21/H22</f>
        <v>0.44511764705882356</v>
      </c>
      <c r="J21" s="17"/>
      <c r="Q21" s="60"/>
    </row>
    <row r="22" spans="2:17" s="18" customFormat="1">
      <c r="E22" s="18" t="s">
        <v>7127</v>
      </c>
      <c r="G22" s="18" t="s">
        <v>7216</v>
      </c>
      <c r="H22" s="18">
        <f>MAX(E7:E19)-MIN(E7:E19)</f>
        <v>17</v>
      </c>
      <c r="J22" s="17"/>
      <c r="Q22" s="60"/>
    </row>
    <row r="23" spans="2:17" s="18" customFormat="1">
      <c r="J23" s="17"/>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ENES_ALMARAZ-1_00</v>
      </c>
      <c r="D27" s="227" t="str">
        <f>"Nuclear Power Plant: "&amp;Z7</f>
        <v>Nuclear Power Plant: ALMARAZ-1</v>
      </c>
      <c r="E27" s="228" t="s">
        <v>1612</v>
      </c>
      <c r="F27" s="228" t="s">
        <v>1556</v>
      </c>
      <c r="G27" s="228" t="s">
        <v>1613</v>
      </c>
      <c r="H27" s="228"/>
      <c r="I27" s="228"/>
      <c r="J27" s="17"/>
      <c r="Q27" s="60"/>
    </row>
    <row r="28" spans="2:17" s="18" customFormat="1">
      <c r="B28" s="225"/>
      <c r="C28" s="225" t="str">
        <f t="shared" ref="C28:C34" si="10">B8</f>
        <v>ENES_ALMARAZ-2_00</v>
      </c>
      <c r="D28" s="227" t="str">
        <f t="shared" ref="D28:D34" si="11">"Nuclear Power Plant: "&amp;Z8</f>
        <v>Nuclear Power Plant: ALMARAZ-2</v>
      </c>
      <c r="E28" s="228" t="s">
        <v>1612</v>
      </c>
      <c r="F28" s="228" t="s">
        <v>1556</v>
      </c>
      <c r="G28" s="228" t="s">
        <v>1613</v>
      </c>
      <c r="H28" s="228"/>
      <c r="I28" s="228"/>
      <c r="J28" s="17"/>
      <c r="Q28" s="60"/>
    </row>
    <row r="29" spans="2:17" s="18" customFormat="1">
      <c r="B29" s="225"/>
      <c r="C29" s="225" t="str">
        <f t="shared" si="10"/>
        <v>ENES_ASCO-1_00</v>
      </c>
      <c r="D29" s="227" t="str">
        <f t="shared" si="11"/>
        <v>Nuclear Power Plant: ASCO-1</v>
      </c>
      <c r="E29" s="228" t="s">
        <v>1612</v>
      </c>
      <c r="F29" s="228" t="s">
        <v>1556</v>
      </c>
      <c r="G29" s="228" t="s">
        <v>1613</v>
      </c>
      <c r="H29" s="228"/>
      <c r="I29" s="228"/>
      <c r="J29" s="17"/>
      <c r="Q29" s="60"/>
    </row>
    <row r="30" spans="2:17" s="18" customFormat="1">
      <c r="B30" s="225"/>
      <c r="C30" s="225" t="str">
        <f t="shared" si="10"/>
        <v>ENES_ASCO-2_00</v>
      </c>
      <c r="D30" s="227" t="str">
        <f t="shared" si="11"/>
        <v>Nuclear Power Plant: ASCO-2</v>
      </c>
      <c r="E30" s="228" t="s">
        <v>1612</v>
      </c>
      <c r="F30" s="228" t="s">
        <v>1556</v>
      </c>
      <c r="G30" s="228" t="s">
        <v>1613</v>
      </c>
      <c r="H30" s="228"/>
      <c r="I30" s="228"/>
      <c r="J30" s="17"/>
      <c r="Q30" s="60"/>
    </row>
    <row r="31" spans="2:17" s="18" customFormat="1">
      <c r="B31" s="225"/>
      <c r="C31" s="225" t="str">
        <f t="shared" si="10"/>
        <v>ENES_COFRENTES_00</v>
      </c>
      <c r="D31" s="227" t="str">
        <f t="shared" si="11"/>
        <v>Nuclear Power Plant: COFRENTES</v>
      </c>
      <c r="E31" s="228" t="s">
        <v>1612</v>
      </c>
      <c r="F31" s="228" t="s">
        <v>1556</v>
      </c>
      <c r="G31" s="228" t="s">
        <v>1613</v>
      </c>
      <c r="H31" s="228"/>
      <c r="I31" s="228"/>
      <c r="J31" s="17"/>
      <c r="Q31" s="60"/>
    </row>
    <row r="32" spans="2:17" s="18" customFormat="1">
      <c r="B32" s="225"/>
      <c r="C32" s="225" t="str">
        <f t="shared" si="10"/>
        <v>ENES_SANTAMARIADEGARONA_00</v>
      </c>
      <c r="D32" s="227" t="str">
        <f t="shared" si="11"/>
        <v>Nuclear Power Plant: SANTA MARIA DE GARONA</v>
      </c>
      <c r="E32" s="228" t="s">
        <v>1612</v>
      </c>
      <c r="F32" s="228" t="s">
        <v>1556</v>
      </c>
      <c r="G32" s="228" t="s">
        <v>1613</v>
      </c>
      <c r="H32" s="225"/>
      <c r="I32" s="225"/>
      <c r="J32" s="17"/>
      <c r="Q32" s="60"/>
    </row>
    <row r="33" spans="2:17" s="18" customFormat="1">
      <c r="B33" s="225"/>
      <c r="C33" s="225" t="str">
        <f t="shared" si="10"/>
        <v>ENES_TRILLO-1_00</v>
      </c>
      <c r="D33" s="227" t="str">
        <f t="shared" si="11"/>
        <v>Nuclear Power Plant: TRILLO-1</v>
      </c>
      <c r="E33" s="228" t="s">
        <v>1612</v>
      </c>
      <c r="F33" s="228" t="s">
        <v>1556</v>
      </c>
      <c r="G33" s="228" t="s">
        <v>1613</v>
      </c>
      <c r="H33" s="225"/>
      <c r="I33" s="225"/>
      <c r="J33" s="17"/>
      <c r="Q33" s="60"/>
    </row>
    <row r="34" spans="2:17" s="18" customFormat="1">
      <c r="B34" s="225"/>
      <c r="C34" s="225" t="str">
        <f t="shared" si="10"/>
        <v>ENES_VANDELLOS-2_00</v>
      </c>
      <c r="D34" s="227" t="str">
        <f t="shared" si="11"/>
        <v>Nuclear Power Plant: VANDELLOS-2</v>
      </c>
      <c r="E34" s="228" t="s">
        <v>1612</v>
      </c>
      <c r="F34" s="228" t="s">
        <v>1556</v>
      </c>
      <c r="G34" s="228" t="s">
        <v>1613</v>
      </c>
      <c r="H34" s="225"/>
      <c r="I34" s="225"/>
      <c r="J34" s="17"/>
      <c r="Q34" s="60"/>
    </row>
    <row r="35" spans="2:17" s="18" customFormat="1">
      <c r="J35" s="17"/>
      <c r="Q35" s="60"/>
    </row>
    <row r="36" spans="2:17" s="18" customFormat="1">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sheetData>
  <phoneticPr fontId="0"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tabColor theme="0"/>
  </sheetPr>
  <dimension ref="B1:AK447"/>
  <sheetViews>
    <sheetView zoomScale="85" zoomScaleNormal="85" zoomScalePageLayoutView="125" workbookViewId="0">
      <selection activeCell="F1" sqref="F1"/>
    </sheetView>
  </sheetViews>
  <sheetFormatPr defaultColWidth="8.85546875" defaultRowHeight="12.75"/>
  <cols>
    <col min="1" max="1" width="3" style="19" customWidth="1"/>
    <col min="2" max="2" width="28.7109375" style="18" customWidth="1"/>
    <col min="3" max="3" width="15.28515625" style="18" customWidth="1"/>
    <col min="4" max="4" width="13.42578125" style="18" customWidth="1"/>
    <col min="5" max="5" width="1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9.140625"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1592</v>
      </c>
      <c r="C1" s="78"/>
      <c r="D1" s="78"/>
      <c r="E1" s="79" t="s">
        <v>1591</v>
      </c>
      <c r="F1" s="68" t="s">
        <v>7358</v>
      </c>
      <c r="G1" s="2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7325</v>
      </c>
      <c r="C7" s="56" t="s">
        <v>1561</v>
      </c>
      <c r="D7" s="56" t="s">
        <v>1562</v>
      </c>
      <c r="E7" s="56">
        <f t="shared" ref="E7:E16" si="0">YEAR(AB7)</f>
        <v>1980</v>
      </c>
      <c r="F7" s="197">
        <v>0.98399999999999999</v>
      </c>
      <c r="G7" s="108">
        <f>'[1]SE-9'!$AU$16/1000</f>
        <v>1.022</v>
      </c>
      <c r="H7" s="198">
        <v>0.86</v>
      </c>
      <c r="I7" s="109">
        <f>'SE-9'!$AU$20/100</f>
        <v>0.85129999999999995</v>
      </c>
      <c r="J7" s="109">
        <f>'SE-9'!$AU$21/100</f>
        <v>0.93299999999999994</v>
      </c>
      <c r="K7" s="108">
        <f t="shared" ref="K7:K16" si="1">F7</f>
        <v>0.98399999999999999</v>
      </c>
      <c r="L7" s="95"/>
      <c r="M7" s="95"/>
      <c r="N7" s="111"/>
      <c r="O7" s="92"/>
      <c r="P7" s="92"/>
      <c r="Q7" s="92"/>
      <c r="R7" s="128">
        <f>YEAR(AC7)+10</f>
        <v>2020</v>
      </c>
      <c r="S7" s="127">
        <f t="shared" ref="S7:S16" si="2">R7-E7</f>
        <v>40</v>
      </c>
      <c r="T7" s="112">
        <f>AK7</f>
        <v>1.2802426229508197</v>
      </c>
      <c r="U7" s="95">
        <v>1</v>
      </c>
      <c r="V7" s="113">
        <v>31.536000000000001</v>
      </c>
      <c r="X7" s="92" t="str">
        <f>'SE-9'!$AU$11</f>
        <v xml:space="preserve">BWR  </v>
      </c>
      <c r="Y7" s="92" t="str">
        <f>'SE-9'!$AU$12</f>
        <v>BWR 75</v>
      </c>
      <c r="Z7" s="92" t="str">
        <f>'SE-9'!$AU$7</f>
        <v>FORSMARK-1</v>
      </c>
      <c r="AA7" s="95">
        <v>30</v>
      </c>
      <c r="AB7" s="114">
        <f>'SE-9'!$AU$18</f>
        <v>29378</v>
      </c>
      <c r="AC7" s="115">
        <f t="shared" ref="AC7:AC16" si="3">DATE(YEAR(AB7)+AA7,MONTH(AB7),DAY(AB7))</f>
        <v>40335</v>
      </c>
      <c r="AD7" s="92" t="str">
        <f>'SE-9'!$AU$19</f>
        <v>42000</v>
      </c>
      <c r="AE7" s="110">
        <f t="shared" ref="AE7:AE16" si="4">G7*J7*8760</f>
        <v>8352.8877599999996</v>
      </c>
      <c r="AF7" s="109">
        <f>'SE-9'!$AU$16/'SE-9'!$AU$13</f>
        <v>0.35280054644808745</v>
      </c>
      <c r="AG7" s="110">
        <f t="shared" ref="AG7:AG16" si="5">AE7/AF7</f>
        <v>23675.949042865439</v>
      </c>
      <c r="AH7" s="116">
        <f t="shared" ref="AH7:AH16" si="6">AG7/(AD7*24)*1000</f>
        <v>23.488044685382381</v>
      </c>
      <c r="AI7" s="110">
        <f>AH7*Assumptions!$H$7</f>
        <v>187.90435748305904</v>
      </c>
      <c r="AJ7" s="110">
        <f t="shared" ref="AJ7:AJ16" si="7">AE7/AH7</f>
        <v>355.62295081967216</v>
      </c>
      <c r="AK7" s="109">
        <f t="shared" ref="AK7:AK16" si="8">AJ7*0.0036</f>
        <v>1.2802426229508197</v>
      </c>
    </row>
    <row r="8" spans="2:37" s="18" customFormat="1">
      <c r="B8" s="75" t="s">
        <v>7326</v>
      </c>
      <c r="C8" s="56" t="s">
        <v>1561</v>
      </c>
      <c r="D8" s="56" t="s">
        <v>1562</v>
      </c>
      <c r="E8" s="56">
        <f t="shared" si="0"/>
        <v>1981</v>
      </c>
      <c r="F8" s="197">
        <v>0.996</v>
      </c>
      <c r="G8" s="222">
        <v>1.1579999999999999</v>
      </c>
      <c r="H8" s="198">
        <v>0.84</v>
      </c>
      <c r="I8" s="109">
        <f>'SE-11'!$AU$20/100</f>
        <v>0.93510000000000004</v>
      </c>
      <c r="J8" s="109">
        <f>'SE-11'!$AU$21/100</f>
        <v>0.38450000000000001</v>
      </c>
      <c r="K8" s="108">
        <f t="shared" si="1"/>
        <v>0.996</v>
      </c>
      <c r="L8" s="95"/>
      <c r="M8" s="95"/>
      <c r="N8" s="111"/>
      <c r="O8" s="92"/>
      <c r="P8" s="92"/>
      <c r="Q8" s="92"/>
      <c r="R8" s="128">
        <f>YEAR(AC8)+10</f>
        <v>2021</v>
      </c>
      <c r="S8" s="110">
        <f t="shared" si="2"/>
        <v>40</v>
      </c>
      <c r="T8" s="112">
        <f t="shared" ref="T8:T16" si="9">AK8</f>
        <v>1.2740459016393444</v>
      </c>
      <c r="U8" s="95">
        <v>1</v>
      </c>
      <c r="V8" s="113">
        <v>31.536000000000001</v>
      </c>
      <c r="X8" s="92" t="str">
        <f>'SE-11'!$AU$11</f>
        <v xml:space="preserve">BWR  </v>
      </c>
      <c r="Y8" s="92" t="str">
        <f>'SE-11'!$AU$12</f>
        <v>BWR 75</v>
      </c>
      <c r="Z8" s="92" t="str">
        <f>'SE-11'!$AU$7</f>
        <v>FORSMARK-2</v>
      </c>
      <c r="AA8" s="95">
        <v>30</v>
      </c>
      <c r="AB8" s="114">
        <f>'SE-11'!$AU$18</f>
        <v>29612</v>
      </c>
      <c r="AC8" s="115">
        <f t="shared" si="3"/>
        <v>40569</v>
      </c>
      <c r="AD8" s="92" t="str">
        <f>'SE-11'!$AU$19</f>
        <v>42000</v>
      </c>
      <c r="AE8" s="110">
        <f t="shared" si="4"/>
        <v>3900.3987599999996</v>
      </c>
      <c r="AF8" s="109">
        <f>'SE-11'!$AU$16/'SE-11'!$AU$13</f>
        <v>0.35109289617486339</v>
      </c>
      <c r="AG8" s="110">
        <f t="shared" si="5"/>
        <v>11109.306974007781</v>
      </c>
      <c r="AH8" s="116">
        <f t="shared" si="6"/>
        <v>11.021137871039464</v>
      </c>
      <c r="AI8" s="110">
        <f>AH8*Assumptions!$H$7</f>
        <v>88.169102968315713</v>
      </c>
      <c r="AJ8" s="110">
        <f t="shared" si="7"/>
        <v>353.90163934426232</v>
      </c>
      <c r="AK8" s="109">
        <f t="shared" si="8"/>
        <v>1.2740459016393444</v>
      </c>
    </row>
    <row r="9" spans="2:37" s="18" customFormat="1">
      <c r="B9" s="75" t="s">
        <v>7327</v>
      </c>
      <c r="C9" s="56" t="s">
        <v>1561</v>
      </c>
      <c r="D9" s="56" t="s">
        <v>1562</v>
      </c>
      <c r="E9" s="56">
        <f t="shared" si="0"/>
        <v>1985</v>
      </c>
      <c r="F9" s="108">
        <f>'[1]SE-14'!$AU$17/1000</f>
        <v>1.17</v>
      </c>
      <c r="G9" s="108">
        <f>'[1]SE-14'!$AU$16/1000</f>
        <v>1.212</v>
      </c>
      <c r="H9" s="198">
        <v>0.88800000000000001</v>
      </c>
      <c r="I9" s="109">
        <f>'SE-14'!$AU$20/100</f>
        <v>0.94730000000000003</v>
      </c>
      <c r="J9" s="109">
        <f>'SE-14'!$AU$21/100</f>
        <v>0.81180000000000008</v>
      </c>
      <c r="K9" s="108">
        <f t="shared" si="1"/>
        <v>1.17</v>
      </c>
      <c r="L9" s="95"/>
      <c r="M9" s="95"/>
      <c r="N9" s="111"/>
      <c r="O9" s="92"/>
      <c r="P9" s="92"/>
      <c r="Q9" s="92"/>
      <c r="R9" s="128">
        <f>YEAR(AC9)+10</f>
        <v>2025</v>
      </c>
      <c r="S9" s="110">
        <f t="shared" si="2"/>
        <v>40</v>
      </c>
      <c r="T9" s="112">
        <f t="shared" si="9"/>
        <v>1.3327592727272726</v>
      </c>
      <c r="U9" s="95">
        <v>1</v>
      </c>
      <c r="V9" s="113">
        <v>31.536000000000001</v>
      </c>
      <c r="X9" s="92" t="str">
        <f>'SE-14'!$AU$11</f>
        <v xml:space="preserve">BWR  </v>
      </c>
      <c r="Y9" s="92" t="str">
        <f>'SE-14'!$AU$12</f>
        <v>BWR 3000</v>
      </c>
      <c r="Z9" s="92" t="str">
        <f>'SE-14'!$AU$7</f>
        <v>FORSMARK-3</v>
      </c>
      <c r="AA9" s="95">
        <v>30</v>
      </c>
      <c r="AB9" s="114">
        <f>'SE-14'!$AU$18</f>
        <v>31111</v>
      </c>
      <c r="AC9" s="115">
        <f t="shared" si="3"/>
        <v>42068</v>
      </c>
      <c r="AD9" s="92" t="str">
        <f>'SE-14'!$AU$19</f>
        <v>42000</v>
      </c>
      <c r="AE9" s="110">
        <f t="shared" si="4"/>
        <v>8618.9780160000009</v>
      </c>
      <c r="AF9" s="109">
        <f>'SE-14'!$AU$16/'SE-14'!$AU$13</f>
        <v>0.36727272727272725</v>
      </c>
      <c r="AG9" s="110">
        <f t="shared" si="5"/>
        <v>23467.514400000004</v>
      </c>
      <c r="AH9" s="116">
        <f t="shared" si="6"/>
        <v>23.28126428571429</v>
      </c>
      <c r="AI9" s="110">
        <f>AH9*Assumptions!$H$7</f>
        <v>186.25011428571432</v>
      </c>
      <c r="AJ9" s="110">
        <f t="shared" si="7"/>
        <v>370.21090909090907</v>
      </c>
      <c r="AK9" s="109">
        <f t="shared" si="8"/>
        <v>1.3327592727272726</v>
      </c>
    </row>
    <row r="10" spans="2:37" s="18" customFormat="1">
      <c r="B10" s="75" t="s">
        <v>7328</v>
      </c>
      <c r="C10" s="56" t="s">
        <v>1561</v>
      </c>
      <c r="D10" s="56" t="s">
        <v>1562</v>
      </c>
      <c r="E10" s="56">
        <f t="shared" si="0"/>
        <v>1971</v>
      </c>
      <c r="F10" s="108">
        <f>'[1]SE-2'!$AU$17/1000</f>
        <v>0.47299999999999998</v>
      </c>
      <c r="G10" s="108">
        <f>'[1]SE-2'!$AU$16/1000</f>
        <v>0.49199999999999999</v>
      </c>
      <c r="H10" s="198">
        <v>0.64500000000000002</v>
      </c>
      <c r="I10" s="109">
        <f>'SE-2'!$AU$20/100</f>
        <v>0.79819999999999991</v>
      </c>
      <c r="J10" s="109">
        <f>'SE-2'!$AU$21/100</f>
        <v>0.76879999999999993</v>
      </c>
      <c r="K10" s="108">
        <f t="shared" si="1"/>
        <v>0.47299999999999998</v>
      </c>
      <c r="L10" s="95"/>
      <c r="M10" s="95"/>
      <c r="N10" s="111"/>
      <c r="O10" s="92"/>
      <c r="P10" s="92"/>
      <c r="Q10" s="92"/>
      <c r="R10" s="128">
        <f>YEAR(AC10)+30</f>
        <v>2031</v>
      </c>
      <c r="S10" s="110">
        <f t="shared" si="2"/>
        <v>60</v>
      </c>
      <c r="T10" s="112">
        <f t="shared" si="9"/>
        <v>1.3911970909090909</v>
      </c>
      <c r="U10" s="95">
        <v>1</v>
      </c>
      <c r="V10" s="113">
        <v>31.536000000000001</v>
      </c>
      <c r="X10" s="92" t="str">
        <f>'SE-2'!$AU$11</f>
        <v xml:space="preserve">BWR  </v>
      </c>
      <c r="Y10" s="92" t="str">
        <f>'SE-2'!$AU$12</f>
        <v>ABB BWR</v>
      </c>
      <c r="Z10" s="92" t="str">
        <f>'SE-2'!$AU$7</f>
        <v>OSKARSHAMN-1</v>
      </c>
      <c r="AA10" s="95">
        <v>30</v>
      </c>
      <c r="AB10" s="114">
        <f>'SE-2'!$AU$18</f>
        <v>26164</v>
      </c>
      <c r="AC10" s="115">
        <f t="shared" si="3"/>
        <v>37122</v>
      </c>
      <c r="AD10" s="92" t="str">
        <f>'SE-2'!$AU$19</f>
        <v>45000</v>
      </c>
      <c r="AE10" s="110">
        <f t="shared" si="4"/>
        <v>3313.4664959999996</v>
      </c>
      <c r="AF10" s="109">
        <f>'SE-2'!$AU$16/'SE-2'!$AU$13</f>
        <v>0.35781818181818181</v>
      </c>
      <c r="AG10" s="110">
        <f t="shared" si="5"/>
        <v>9260.1959999999981</v>
      </c>
      <c r="AH10" s="116">
        <f t="shared" si="6"/>
        <v>8.5742555555555544</v>
      </c>
      <c r="AI10" s="110">
        <f>AH10*Assumptions!$H$7</f>
        <v>68.594044444444435</v>
      </c>
      <c r="AJ10" s="110">
        <f t="shared" si="7"/>
        <v>386.44363636363636</v>
      </c>
      <c r="AK10" s="109">
        <f t="shared" si="8"/>
        <v>1.3911970909090909</v>
      </c>
    </row>
    <row r="11" spans="2:37" s="18" customFormat="1">
      <c r="B11" s="75" t="s">
        <v>7329</v>
      </c>
      <c r="C11" s="56" t="s">
        <v>1561</v>
      </c>
      <c r="D11" s="56" t="s">
        <v>1562</v>
      </c>
      <c r="E11" s="56">
        <f t="shared" si="0"/>
        <v>1974</v>
      </c>
      <c r="F11" s="108">
        <f>'[1]SE-3'!$AU$17/1000</f>
        <v>0.63800000000000001</v>
      </c>
      <c r="G11" s="108">
        <f>'[1]SE-3'!$AU$16/1000</f>
        <v>0.66100000000000003</v>
      </c>
      <c r="H11" s="198">
        <v>0.81099999999999994</v>
      </c>
      <c r="I11" s="109">
        <f>'SE-3'!$AU$20/100</f>
        <v>0.89659999999999995</v>
      </c>
      <c r="J11" s="109">
        <f>'SE-3'!$AU$21/100</f>
        <v>0.90049999999999997</v>
      </c>
      <c r="K11" s="108">
        <f t="shared" si="1"/>
        <v>0.63800000000000001</v>
      </c>
      <c r="L11" s="95"/>
      <c r="M11" s="95"/>
      <c r="N11" s="111"/>
      <c r="O11" s="92"/>
      <c r="P11" s="92"/>
      <c r="Q11" s="92"/>
      <c r="R11" s="128">
        <f>YEAR(AC11)+30</f>
        <v>2034</v>
      </c>
      <c r="S11" s="110">
        <f t="shared" si="2"/>
        <v>60</v>
      </c>
      <c r="T11" s="112">
        <f t="shared" si="9"/>
        <v>1.4277599999999999</v>
      </c>
      <c r="U11" s="95">
        <v>1</v>
      </c>
      <c r="V11" s="113">
        <v>31.536000000000001</v>
      </c>
      <c r="X11" s="92" t="str">
        <f>'SE-3'!$AU$11</f>
        <v xml:space="preserve">BWR  </v>
      </c>
      <c r="Y11" s="92" t="str">
        <f>'SE-3'!$AU$12</f>
        <v>ABB BWR</v>
      </c>
      <c r="Z11" s="92" t="str">
        <f>'SE-3'!$AU$7</f>
        <v>OSKARSHAMN-2</v>
      </c>
      <c r="AA11" s="95">
        <v>30</v>
      </c>
      <c r="AB11" s="114">
        <f>'SE-3'!$AU$18</f>
        <v>27304</v>
      </c>
      <c r="AC11" s="115">
        <f t="shared" si="3"/>
        <v>38262</v>
      </c>
      <c r="AD11" s="92" t="str">
        <f>'SE-3'!$AU$19</f>
        <v>45000</v>
      </c>
      <c r="AE11" s="110">
        <f t="shared" si="4"/>
        <v>5214.2191800000001</v>
      </c>
      <c r="AF11" s="109">
        <f>'SE-3'!$AU$16/'SE-3'!$AU$13</f>
        <v>0.36722222222222223</v>
      </c>
      <c r="AG11" s="110">
        <f t="shared" si="5"/>
        <v>14199.084000000001</v>
      </c>
      <c r="AH11" s="116">
        <f t="shared" si="6"/>
        <v>13.147300000000001</v>
      </c>
      <c r="AI11" s="110">
        <f>AH11*Assumptions!$H$7</f>
        <v>105.17840000000001</v>
      </c>
      <c r="AJ11" s="110">
        <f t="shared" si="7"/>
        <v>396.59999999999997</v>
      </c>
      <c r="AK11" s="109">
        <f t="shared" si="8"/>
        <v>1.4277599999999999</v>
      </c>
    </row>
    <row r="12" spans="2:37" s="18" customFormat="1">
      <c r="B12" s="75" t="s">
        <v>7330</v>
      </c>
      <c r="C12" s="56" t="s">
        <v>1561</v>
      </c>
      <c r="D12" s="56" t="s">
        <v>1562</v>
      </c>
      <c r="E12" s="56">
        <f t="shared" si="0"/>
        <v>1985</v>
      </c>
      <c r="F12" s="108">
        <f>'[1]SE-12'!$AU$17/1000</f>
        <v>1.4</v>
      </c>
      <c r="G12" s="108">
        <f>'[1]SE-12'!$AU$16/1000</f>
        <v>1.45</v>
      </c>
      <c r="H12" s="198">
        <v>0.82599999999999996</v>
      </c>
      <c r="I12" s="109">
        <f>'SE-12'!$AU$20/100</f>
        <v>0.85180000000000011</v>
      </c>
      <c r="J12" s="109">
        <f>'SE-12'!$AU$21/100</f>
        <v>0.31329999999999997</v>
      </c>
      <c r="K12" s="108">
        <f t="shared" si="1"/>
        <v>1.4</v>
      </c>
      <c r="L12" s="95"/>
      <c r="M12" s="95"/>
      <c r="N12" s="111"/>
      <c r="O12" s="92"/>
      <c r="P12" s="92"/>
      <c r="Q12" s="92"/>
      <c r="R12" s="128">
        <f>YEAR(AC12)+30</f>
        <v>2045</v>
      </c>
      <c r="S12" s="110">
        <f t="shared" si="2"/>
        <v>60</v>
      </c>
      <c r="T12" s="112">
        <f t="shared" si="9"/>
        <v>1.0279384615384615</v>
      </c>
      <c r="U12" s="95">
        <v>1</v>
      </c>
      <c r="V12" s="113">
        <v>31.536000000000001</v>
      </c>
      <c r="X12" s="92" t="str">
        <f>'SE-12'!$AU$11</f>
        <v xml:space="preserve">BWR  </v>
      </c>
      <c r="Y12" s="92" t="str">
        <f>'SE-12'!$AU$12</f>
        <v>BWR 75</v>
      </c>
      <c r="Z12" s="92" t="str">
        <f>'SE-12'!$AU$7</f>
        <v>OSKARSHAMN-3</v>
      </c>
      <c r="AA12" s="95">
        <v>30</v>
      </c>
      <c r="AB12" s="114">
        <f>'SE-12'!$AU$18</f>
        <v>31109</v>
      </c>
      <c r="AC12" s="115">
        <f t="shared" si="3"/>
        <v>42066</v>
      </c>
      <c r="AD12" s="92" t="str">
        <f>'SE-12'!$AU$19</f>
        <v>32000</v>
      </c>
      <c r="AE12" s="110">
        <f t="shared" si="4"/>
        <v>3979.5365999999995</v>
      </c>
      <c r="AF12" s="109">
        <f>'SE-12'!$AU$16/'SE-12'!$AU$13</f>
        <v>0.37179487179487181</v>
      </c>
      <c r="AG12" s="110">
        <f t="shared" si="5"/>
        <v>10703.581199999999</v>
      </c>
      <c r="AH12" s="116">
        <f t="shared" si="6"/>
        <v>13.936954687499998</v>
      </c>
      <c r="AI12" s="110">
        <f>AH12*Assumptions!$H$7</f>
        <v>111.49563749999999</v>
      </c>
      <c r="AJ12" s="110">
        <f t="shared" si="7"/>
        <v>285.53846153846155</v>
      </c>
      <c r="AK12" s="109">
        <f t="shared" si="8"/>
        <v>1.0279384615384615</v>
      </c>
    </row>
    <row r="13" spans="2:37" s="18" customFormat="1">
      <c r="B13" s="75" t="s">
        <v>7331</v>
      </c>
      <c r="C13" s="56" t="s">
        <v>1561</v>
      </c>
      <c r="D13" s="56" t="s">
        <v>1562</v>
      </c>
      <c r="E13" s="56">
        <f t="shared" si="0"/>
        <v>1974</v>
      </c>
      <c r="F13" s="197">
        <v>0.878</v>
      </c>
      <c r="G13" s="197">
        <v>0.91</v>
      </c>
      <c r="H13" s="198">
        <v>0.71299999999999997</v>
      </c>
      <c r="I13" s="109">
        <f>'SE-4'!$AU$20/100</f>
        <v>0.83409999999999995</v>
      </c>
      <c r="J13" s="109">
        <f>'SE-4'!$AU$21/100</f>
        <v>0.47899999999999998</v>
      </c>
      <c r="K13" s="108">
        <f t="shared" si="1"/>
        <v>0.878</v>
      </c>
      <c r="L13" s="95"/>
      <c r="M13" s="95"/>
      <c r="N13" s="111"/>
      <c r="O13" s="92"/>
      <c r="P13" s="92"/>
      <c r="Q13" s="92"/>
      <c r="R13" s="131">
        <f>YEAR(AC13)+11</f>
        <v>2015</v>
      </c>
      <c r="S13" s="110">
        <f t="shared" si="2"/>
        <v>41</v>
      </c>
      <c r="T13" s="112">
        <f t="shared" si="9"/>
        <v>1.2454185826771653</v>
      </c>
      <c r="U13" s="95">
        <v>1</v>
      </c>
      <c r="V13" s="113">
        <v>31.536000000000001</v>
      </c>
      <c r="X13" s="92" t="str">
        <f>'SE-4'!$AU$11</f>
        <v xml:space="preserve">BWR  </v>
      </c>
      <c r="Y13" s="92" t="str">
        <f>'SE-4'!$AU$12</f>
        <v>BWR</v>
      </c>
      <c r="Z13" s="92" t="str">
        <f>'SE-4'!$AU$7</f>
        <v>RINGHALS-1</v>
      </c>
      <c r="AA13" s="95">
        <v>30</v>
      </c>
      <c r="AB13" s="114">
        <f>'SE-4'!$AU$18</f>
        <v>27316</v>
      </c>
      <c r="AC13" s="115">
        <f t="shared" si="3"/>
        <v>38274</v>
      </c>
      <c r="AD13" s="92" t="str">
        <f>'SE-4'!$AU$19</f>
        <v>41000</v>
      </c>
      <c r="AE13" s="110">
        <f t="shared" si="4"/>
        <v>3818.3964000000001</v>
      </c>
      <c r="AF13" s="109">
        <f>'SE-4'!$AU$16/'SE-4'!$AU$13</f>
        <v>0.35157480314960632</v>
      </c>
      <c r="AG13" s="110">
        <f t="shared" si="5"/>
        <v>10860.836344904816</v>
      </c>
      <c r="AH13" s="116">
        <f t="shared" si="6"/>
        <v>11.037435309862618</v>
      </c>
      <c r="AI13" s="110">
        <f>AH13*Assumptions!$H$7</f>
        <v>88.299482478900941</v>
      </c>
      <c r="AJ13" s="110">
        <f t="shared" si="7"/>
        <v>345.94960629921258</v>
      </c>
      <c r="AK13" s="109">
        <f t="shared" si="8"/>
        <v>1.2454185826771653</v>
      </c>
    </row>
    <row r="14" spans="2:37" s="18" customFormat="1">
      <c r="B14" s="75" t="s">
        <v>7332</v>
      </c>
      <c r="C14" s="56" t="s">
        <v>1561</v>
      </c>
      <c r="D14" s="56" t="s">
        <v>1562</v>
      </c>
      <c r="E14" s="56">
        <f t="shared" si="0"/>
        <v>1974</v>
      </c>
      <c r="F14" s="197">
        <v>0.86499999999999999</v>
      </c>
      <c r="G14" s="108">
        <f>'[1]SE-5'!$AU$16/1000</f>
        <v>0.91700000000000004</v>
      </c>
      <c r="H14" s="198">
        <v>0.71</v>
      </c>
      <c r="I14" s="109">
        <f>'SE-5'!$AU$20/100</f>
        <v>0.75470000000000004</v>
      </c>
      <c r="J14" s="109">
        <f>'SE-5'!$AU$21/100</f>
        <v>0.7863</v>
      </c>
      <c r="K14" s="108">
        <f t="shared" si="1"/>
        <v>0.86499999999999999</v>
      </c>
      <c r="L14" s="95"/>
      <c r="M14" s="95"/>
      <c r="N14" s="111"/>
      <c r="O14" s="92"/>
      <c r="P14" s="92"/>
      <c r="Q14" s="92"/>
      <c r="R14" s="131">
        <f>YEAR(AC14)+11</f>
        <v>2015</v>
      </c>
      <c r="S14" s="110">
        <f t="shared" si="2"/>
        <v>41</v>
      </c>
      <c r="T14" s="112">
        <f t="shared" si="9"/>
        <v>1.3999073684210526</v>
      </c>
      <c r="U14" s="95">
        <v>1</v>
      </c>
      <c r="V14" s="113">
        <v>31.536000000000001</v>
      </c>
      <c r="X14" s="92" t="str">
        <f>'SE-5'!$AU$11</f>
        <v xml:space="preserve">PWR  </v>
      </c>
      <c r="Y14" s="92">
        <f>'SE-5'!$AU$12</f>
        <v>0</v>
      </c>
      <c r="Z14" s="92" t="str">
        <f>'SE-5'!$AU$7</f>
        <v>RINGHALS-2</v>
      </c>
      <c r="AA14" s="95">
        <v>30</v>
      </c>
      <c r="AB14" s="114">
        <f>'SE-5'!$AU$18</f>
        <v>27258</v>
      </c>
      <c r="AC14" s="115">
        <f t="shared" si="3"/>
        <v>38216</v>
      </c>
      <c r="AD14" s="92" t="str">
        <f>'SE-5'!$AU$19</f>
        <v>47000</v>
      </c>
      <c r="AE14" s="110">
        <f t="shared" si="4"/>
        <v>6316.2849960000003</v>
      </c>
      <c r="AF14" s="109">
        <f>'SE-5'!$AU$16/'SE-5'!$AU$13</f>
        <v>0.34473684210526317</v>
      </c>
      <c r="AG14" s="110">
        <f t="shared" si="5"/>
        <v>18322.04808</v>
      </c>
      <c r="AH14" s="116">
        <f t="shared" si="6"/>
        <v>16.242950425531916</v>
      </c>
      <c r="AI14" s="110">
        <f>AH14*Assumptions!$H$7</f>
        <v>129.94360340425533</v>
      </c>
      <c r="AJ14" s="110">
        <f t="shared" si="7"/>
        <v>388.86315789473684</v>
      </c>
      <c r="AK14" s="109">
        <f t="shared" si="8"/>
        <v>1.3999073684210526</v>
      </c>
    </row>
    <row r="15" spans="2:37" s="18" customFormat="1">
      <c r="B15" s="75" t="s">
        <v>7333</v>
      </c>
      <c r="C15" s="56" t="s">
        <v>1561</v>
      </c>
      <c r="D15" s="56" t="s">
        <v>1562</v>
      </c>
      <c r="E15" s="56">
        <f t="shared" si="0"/>
        <v>1980</v>
      </c>
      <c r="F15" s="197">
        <v>1.0640000000000001</v>
      </c>
      <c r="G15" s="197">
        <v>1.117</v>
      </c>
      <c r="H15" s="198">
        <v>0.79900000000000004</v>
      </c>
      <c r="I15" s="109">
        <f>'SE-7'!$AU$20/100</f>
        <v>0.89599999999999991</v>
      </c>
      <c r="J15" s="109">
        <f>'SE-7'!$AU$21/100</f>
        <v>0.82609999999999995</v>
      </c>
      <c r="K15" s="108">
        <f t="shared" si="1"/>
        <v>1.0640000000000001</v>
      </c>
      <c r="L15" s="95"/>
      <c r="M15" s="95"/>
      <c r="N15" s="111"/>
      <c r="O15" s="92"/>
      <c r="P15" s="92"/>
      <c r="Q15" s="92"/>
      <c r="R15" s="131">
        <f>YEAR(AC15)+10</f>
        <v>2020</v>
      </c>
      <c r="S15" s="110">
        <f t="shared" si="2"/>
        <v>40</v>
      </c>
      <c r="T15" s="112">
        <f t="shared" si="9"/>
        <v>1.3970618181818182</v>
      </c>
      <c r="U15" s="95">
        <v>1</v>
      </c>
      <c r="V15" s="113">
        <v>31.536000000000001</v>
      </c>
      <c r="X15" s="92" t="str">
        <f>'SE-7'!$AU$11</f>
        <v xml:space="preserve">PWR  </v>
      </c>
      <c r="Y15" s="92" t="str">
        <f>'SE-7'!$AU$12</f>
        <v>WE (3 loops)</v>
      </c>
      <c r="Z15" s="92" t="str">
        <f>'SE-7'!$AU$7</f>
        <v>RINGHALS-3</v>
      </c>
      <c r="AA15" s="95">
        <v>30</v>
      </c>
      <c r="AB15" s="114">
        <f>'SE-7'!$AU$18</f>
        <v>29471</v>
      </c>
      <c r="AC15" s="115">
        <f t="shared" si="3"/>
        <v>40428</v>
      </c>
      <c r="AD15" s="92" t="str">
        <f>'SE-7'!$AU$19</f>
        <v>46000</v>
      </c>
      <c r="AE15" s="110">
        <f t="shared" si="4"/>
        <v>8083.3224119999995</v>
      </c>
      <c r="AF15" s="109">
        <f>'SE-7'!$AU$16/'SE-7'!$AU$13</f>
        <v>0.3515151515151515</v>
      </c>
      <c r="AG15" s="110">
        <f t="shared" si="5"/>
        <v>22995.658585862067</v>
      </c>
      <c r="AH15" s="116">
        <f t="shared" si="6"/>
        <v>20.829400892991004</v>
      </c>
      <c r="AI15" s="110">
        <f>AH15*Assumptions!$H$7</f>
        <v>166.63520714392803</v>
      </c>
      <c r="AJ15" s="110">
        <f t="shared" si="7"/>
        <v>388.07272727272726</v>
      </c>
      <c r="AK15" s="109">
        <f t="shared" si="8"/>
        <v>1.3970618181818182</v>
      </c>
    </row>
    <row r="16" spans="2:37" s="18" customFormat="1">
      <c r="B16" s="75" t="s">
        <v>7334</v>
      </c>
      <c r="C16" s="56" t="s">
        <v>1561</v>
      </c>
      <c r="D16" s="56" t="s">
        <v>1562</v>
      </c>
      <c r="E16" s="56">
        <f t="shared" si="0"/>
        <v>1982</v>
      </c>
      <c r="F16" s="197">
        <v>0.94</v>
      </c>
      <c r="G16" s="197">
        <v>0.99</v>
      </c>
      <c r="H16" s="198">
        <v>0.86199999999999999</v>
      </c>
      <c r="I16" s="109">
        <f>'SE-10'!$AU$20/100</f>
        <v>0.88950000000000007</v>
      </c>
      <c r="J16" s="109">
        <f>'SE-10'!$AU$21/100</f>
        <v>0.88269999999999993</v>
      </c>
      <c r="K16" s="108">
        <f t="shared" si="1"/>
        <v>0.94</v>
      </c>
      <c r="L16" s="95"/>
      <c r="M16" s="95"/>
      <c r="N16" s="111"/>
      <c r="O16" s="92"/>
      <c r="P16" s="92"/>
      <c r="Q16" s="92"/>
      <c r="R16" s="131">
        <f>YEAR(AC16)+10</f>
        <v>2022</v>
      </c>
      <c r="S16" s="110">
        <f t="shared" si="2"/>
        <v>40</v>
      </c>
      <c r="T16" s="112">
        <f t="shared" si="9"/>
        <v>1.4050041081081079</v>
      </c>
      <c r="U16" s="95">
        <v>1</v>
      </c>
      <c r="V16" s="113">
        <v>31.536000000000001</v>
      </c>
      <c r="X16" s="92" t="str">
        <f>'SE-10'!$AU$11</f>
        <v xml:space="preserve">PWR  </v>
      </c>
      <c r="Y16" s="92" t="str">
        <f>'SE-10'!$AU$12</f>
        <v>W 3-loop</v>
      </c>
      <c r="Z16" s="92" t="str">
        <f>'SE-10'!$AU$7</f>
        <v>RINGHALS-4</v>
      </c>
      <c r="AA16" s="95">
        <v>30</v>
      </c>
      <c r="AB16" s="114">
        <f>'SE-10'!$AU$18</f>
        <v>30125</v>
      </c>
      <c r="AC16" s="115">
        <f t="shared" si="3"/>
        <v>41083</v>
      </c>
      <c r="AD16" s="92" t="str">
        <f>'SE-10'!$AU$19</f>
        <v>46000</v>
      </c>
      <c r="AE16" s="110">
        <f t="shared" si="4"/>
        <v>7655.1274799999992</v>
      </c>
      <c r="AF16" s="109">
        <f>'SE-10'!$AU$16/'SE-10'!$AU$13</f>
        <v>0.35351351351351351</v>
      </c>
      <c r="AG16" s="110">
        <f t="shared" si="5"/>
        <v>21654.412596330272</v>
      </c>
      <c r="AH16" s="116">
        <f t="shared" si="6"/>
        <v>19.614504163342641</v>
      </c>
      <c r="AI16" s="110">
        <f>AH16*Assumptions!$H$7</f>
        <v>156.91603330674113</v>
      </c>
      <c r="AJ16" s="110">
        <f t="shared" si="7"/>
        <v>390.27891891891886</v>
      </c>
      <c r="AK16" s="109">
        <f t="shared" si="8"/>
        <v>1.4050041081081079</v>
      </c>
    </row>
    <row r="17" spans="2:17" s="18" customFormat="1">
      <c r="J17" s="17"/>
      <c r="Q17" s="60"/>
    </row>
    <row r="18" spans="2:17" s="18" customFormat="1">
      <c r="J18" s="17"/>
      <c r="Q18" s="60"/>
    </row>
    <row r="19" spans="2:17" s="18" customFormat="1">
      <c r="J19" s="17"/>
      <c r="Q19" s="60"/>
    </row>
    <row r="20" spans="2:17" s="18" customFormat="1">
      <c r="J20" s="17"/>
      <c r="Q20" s="60"/>
    </row>
    <row r="21" spans="2:17" s="18" customFormat="1">
      <c r="E21" s="18" t="s">
        <v>7128</v>
      </c>
      <c r="F21" s="160">
        <f>SUM(F7:F16)</f>
        <v>9.4079999999999995</v>
      </c>
      <c r="G21" s="18" t="s">
        <v>7215</v>
      </c>
      <c r="H21" s="137">
        <f>F21/H22</f>
        <v>0.67199999999999993</v>
      </c>
      <c r="J21" s="17"/>
      <c r="Q21" s="60"/>
    </row>
    <row r="22" spans="2:17" s="18" customFormat="1">
      <c r="E22" s="18" t="s">
        <v>7127</v>
      </c>
      <c r="G22" s="18" t="s">
        <v>7216</v>
      </c>
      <c r="H22" s="18">
        <f>MAX(E7:E16)-MIN(E7:E16)</f>
        <v>14</v>
      </c>
      <c r="J22" s="17"/>
      <c r="Q22" s="60"/>
    </row>
    <row r="23" spans="2:17" s="18" customFormat="1">
      <c r="J23" s="17"/>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ENSE_FORSMARK-1_00</v>
      </c>
      <c r="D27" s="227" t="str">
        <f>"Nuclear Power Plant: "&amp;Z7</f>
        <v>Nuclear Power Plant: FORSMARK-1</v>
      </c>
      <c r="E27" s="228" t="s">
        <v>1612</v>
      </c>
      <c r="F27" s="228" t="s">
        <v>1556</v>
      </c>
      <c r="G27" s="228" t="s">
        <v>1613</v>
      </c>
      <c r="H27" s="228"/>
      <c r="I27" s="228"/>
      <c r="J27" s="17"/>
      <c r="Q27" s="60"/>
    </row>
    <row r="28" spans="2:17" s="18" customFormat="1">
      <c r="B28" s="225"/>
      <c r="C28" s="225" t="str">
        <f t="shared" ref="C28:C36" si="10">B8</f>
        <v>ENSE_FORSMARK-2_00</v>
      </c>
      <c r="D28" s="227" t="str">
        <f t="shared" ref="D28:D36" si="11">"Nuclear Power Plant: "&amp;Z8</f>
        <v>Nuclear Power Plant: FORSMARK-2</v>
      </c>
      <c r="E28" s="228" t="s">
        <v>1612</v>
      </c>
      <c r="F28" s="228" t="s">
        <v>1556</v>
      </c>
      <c r="G28" s="228" t="s">
        <v>1613</v>
      </c>
      <c r="H28" s="228"/>
      <c r="I28" s="228"/>
      <c r="J28" s="17"/>
      <c r="Q28" s="60"/>
    </row>
    <row r="29" spans="2:17" s="18" customFormat="1">
      <c r="B29" s="225"/>
      <c r="C29" s="225" t="str">
        <f t="shared" si="10"/>
        <v>ENSE_FORSMARK-3_00</v>
      </c>
      <c r="D29" s="227" t="str">
        <f t="shared" si="11"/>
        <v>Nuclear Power Plant: FORSMARK-3</v>
      </c>
      <c r="E29" s="228" t="s">
        <v>1612</v>
      </c>
      <c r="F29" s="228" t="s">
        <v>1556</v>
      </c>
      <c r="G29" s="228" t="s">
        <v>1613</v>
      </c>
      <c r="H29" s="228"/>
      <c r="I29" s="228"/>
      <c r="J29" s="17"/>
      <c r="Q29" s="60"/>
    </row>
    <row r="30" spans="2:17" s="18" customFormat="1">
      <c r="B30" s="225"/>
      <c r="C30" s="225" t="str">
        <f t="shared" si="10"/>
        <v>ENSE_OSKARSHAMN-1_00</v>
      </c>
      <c r="D30" s="227" t="str">
        <f t="shared" si="11"/>
        <v>Nuclear Power Plant: OSKARSHAMN-1</v>
      </c>
      <c r="E30" s="228" t="s">
        <v>1612</v>
      </c>
      <c r="F30" s="228" t="s">
        <v>1556</v>
      </c>
      <c r="G30" s="228" t="s">
        <v>1613</v>
      </c>
      <c r="H30" s="228"/>
      <c r="I30" s="228"/>
      <c r="J30" s="17"/>
      <c r="Q30" s="60"/>
    </row>
    <row r="31" spans="2:17" s="18" customFormat="1">
      <c r="B31" s="225"/>
      <c r="C31" s="225" t="str">
        <f t="shared" si="10"/>
        <v>ENSE_OSKARSHAMN-2_00</v>
      </c>
      <c r="D31" s="227" t="str">
        <f t="shared" si="11"/>
        <v>Nuclear Power Plant: OSKARSHAMN-2</v>
      </c>
      <c r="E31" s="228" t="s">
        <v>1612</v>
      </c>
      <c r="F31" s="228" t="s">
        <v>1556</v>
      </c>
      <c r="G31" s="228" t="s">
        <v>1613</v>
      </c>
      <c r="H31" s="228"/>
      <c r="I31" s="228"/>
      <c r="J31" s="17"/>
      <c r="Q31" s="60"/>
    </row>
    <row r="32" spans="2:17" s="18" customFormat="1">
      <c r="B32" s="225"/>
      <c r="C32" s="225" t="str">
        <f t="shared" si="10"/>
        <v>ENSE_OSKARSHAMN-3_00</v>
      </c>
      <c r="D32" s="227" t="str">
        <f t="shared" si="11"/>
        <v>Nuclear Power Plant: OSKARSHAMN-3</v>
      </c>
      <c r="E32" s="228" t="s">
        <v>1612</v>
      </c>
      <c r="F32" s="228" t="s">
        <v>1556</v>
      </c>
      <c r="G32" s="228" t="s">
        <v>1613</v>
      </c>
      <c r="H32" s="225"/>
      <c r="I32" s="225"/>
      <c r="J32" s="17"/>
      <c r="Q32" s="60"/>
    </row>
    <row r="33" spans="2:17" s="18" customFormat="1">
      <c r="B33" s="225"/>
      <c r="C33" s="225" t="str">
        <f t="shared" si="10"/>
        <v>ENSE_RINGHALS-1_00</v>
      </c>
      <c r="D33" s="227" t="str">
        <f t="shared" si="11"/>
        <v>Nuclear Power Plant: RINGHALS-1</v>
      </c>
      <c r="E33" s="228" t="s">
        <v>1612</v>
      </c>
      <c r="F33" s="228" t="s">
        <v>1556</v>
      </c>
      <c r="G33" s="228" t="s">
        <v>1613</v>
      </c>
      <c r="H33" s="225"/>
      <c r="I33" s="225"/>
      <c r="J33" s="17"/>
      <c r="Q33" s="60"/>
    </row>
    <row r="34" spans="2:17" s="18" customFormat="1">
      <c r="B34" s="225"/>
      <c r="C34" s="225" t="str">
        <f t="shared" si="10"/>
        <v>ENSE_RINGHALS-2_00</v>
      </c>
      <c r="D34" s="227" t="str">
        <f t="shared" si="11"/>
        <v>Nuclear Power Plant: RINGHALS-2</v>
      </c>
      <c r="E34" s="228" t="s">
        <v>1612</v>
      </c>
      <c r="F34" s="228" t="s">
        <v>1556</v>
      </c>
      <c r="G34" s="228" t="s">
        <v>1613</v>
      </c>
      <c r="H34" s="225"/>
      <c r="I34" s="225"/>
      <c r="J34" s="17"/>
      <c r="Q34" s="60"/>
    </row>
    <row r="35" spans="2:17" s="18" customFormat="1">
      <c r="B35" s="225"/>
      <c r="C35" s="225" t="str">
        <f t="shared" si="10"/>
        <v>ENSE_RINGHALS-3_00</v>
      </c>
      <c r="D35" s="227" t="str">
        <f t="shared" si="11"/>
        <v>Nuclear Power Plant: RINGHALS-3</v>
      </c>
      <c r="E35" s="228" t="s">
        <v>1612</v>
      </c>
      <c r="F35" s="228" t="s">
        <v>1556</v>
      </c>
      <c r="G35" s="228" t="s">
        <v>1613</v>
      </c>
      <c r="H35" s="225"/>
      <c r="I35" s="225"/>
      <c r="J35" s="17"/>
      <c r="Q35" s="60"/>
    </row>
    <row r="36" spans="2:17" s="18" customFormat="1">
      <c r="B36" s="225"/>
      <c r="C36" s="225" t="str">
        <f t="shared" si="10"/>
        <v>ENSE_RINGHALS-4_00</v>
      </c>
      <c r="D36" s="227" t="str">
        <f t="shared" si="11"/>
        <v>Nuclear Power Plant: RINGHALS-4</v>
      </c>
      <c r="E36" s="228" t="s">
        <v>1612</v>
      </c>
      <c r="F36" s="228" t="s">
        <v>1556</v>
      </c>
      <c r="G36" s="228" t="s">
        <v>1613</v>
      </c>
      <c r="H36" s="225"/>
      <c r="I36" s="225"/>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70" customFormat="1">
      <c r="B440" s="18"/>
      <c r="C440" s="18"/>
      <c r="D440" s="18"/>
      <c r="E440" s="18"/>
      <c r="J440" s="71"/>
      <c r="Q440" s="144"/>
      <c r="W440" s="18"/>
      <c r="X440" s="18"/>
      <c r="Y440" s="18"/>
      <c r="Z440" s="18"/>
      <c r="AC440" s="18"/>
    </row>
    <row r="441" spans="2:29" s="70" customFormat="1">
      <c r="B441" s="18"/>
      <c r="C441" s="18"/>
      <c r="D441" s="18"/>
      <c r="E441" s="18"/>
      <c r="J441" s="71"/>
      <c r="Q441" s="144"/>
      <c r="W441" s="18"/>
      <c r="X441" s="18"/>
      <c r="Y441" s="18"/>
      <c r="Z441" s="18"/>
      <c r="AC441" s="18"/>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sheetData>
  <phoneticPr fontId="0" type="noConversion"/>
  <pageMargins left="0.7" right="0.7" top="0.75" bottom="0.75" header="0.3" footer="0.3"/>
  <pageSetup paperSize="9" orientation="portrait" horizontalDpi="4294967292" verticalDpi="4294967292"/>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theme="0"/>
  </sheetPr>
  <dimension ref="B1:AK452"/>
  <sheetViews>
    <sheetView zoomScale="85" zoomScaleNormal="85" zoomScalePageLayoutView="125" workbookViewId="0">
      <selection activeCell="F1" sqref="F1"/>
    </sheetView>
  </sheetViews>
  <sheetFormatPr defaultColWidth="8.85546875" defaultRowHeight="12.75"/>
  <cols>
    <col min="1" max="1" width="3" style="19" customWidth="1"/>
    <col min="2" max="2" width="28.7109375" style="18" customWidth="1"/>
    <col min="3" max="3" width="16.7109375" style="18" customWidth="1"/>
    <col min="4" max="4" width="17" style="18" customWidth="1"/>
    <col min="5" max="5" width="15.14062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9.140625"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5703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1595</v>
      </c>
      <c r="C1" s="78"/>
      <c r="D1" s="78"/>
      <c r="E1" s="79" t="s">
        <v>1596</v>
      </c>
      <c r="F1" s="68" t="s">
        <v>7358</v>
      </c>
      <c r="G1" s="2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7335</v>
      </c>
      <c r="C7" s="56" t="s">
        <v>1561</v>
      </c>
      <c r="D7" s="56" t="s">
        <v>1562</v>
      </c>
      <c r="E7" s="56">
        <f>YEAR(AB7)</f>
        <v>1969</v>
      </c>
      <c r="F7" s="108">
        <f>'CH-1'!$AU$17/1000</f>
        <v>0.36499999999999999</v>
      </c>
      <c r="G7" s="108">
        <f>'CH-1'!$AU$16/1000</f>
        <v>0.38</v>
      </c>
      <c r="H7" s="198">
        <v>0.85</v>
      </c>
      <c r="I7" s="109">
        <f>'CH-1'!$AU$20/100</f>
        <v>0.96819999999999995</v>
      </c>
      <c r="J7" s="109">
        <f>'CH-1'!$AU$21/100</f>
        <v>0.83629999999999993</v>
      </c>
      <c r="K7" s="108">
        <f>F7</f>
        <v>0.36499999999999999</v>
      </c>
      <c r="L7" s="95"/>
      <c r="M7" s="95"/>
      <c r="N7" s="111"/>
      <c r="O7" s="92"/>
      <c r="P7" s="92"/>
      <c r="Q7" s="92"/>
      <c r="R7" s="128">
        <v>2019</v>
      </c>
      <c r="S7" s="127">
        <f>R7-E7</f>
        <v>50</v>
      </c>
      <c r="T7" s="112">
        <f>AK7</f>
        <v>1.2203044247787613</v>
      </c>
      <c r="U7" s="95">
        <v>1</v>
      </c>
      <c r="V7" s="113">
        <v>31.536000000000001</v>
      </c>
      <c r="X7" s="92" t="str">
        <f>'CH-1'!$AU$11</f>
        <v xml:space="preserve">PWR  </v>
      </c>
      <c r="Y7" s="92" t="str">
        <f>'CH-1'!$AU$12</f>
        <v>WH - 2 loops</v>
      </c>
      <c r="Z7" s="92" t="str">
        <f>'CH-1'!$AU$7</f>
        <v>BEZNAU-1</v>
      </c>
      <c r="AA7" s="96"/>
      <c r="AB7" s="114">
        <f>'CH-1'!$AU$18</f>
        <v>25401</v>
      </c>
      <c r="AC7" s="115">
        <f>DATE(YEAR(AB7)+AA7,MONTH(AB7),DAY(AB7))</f>
        <v>25401</v>
      </c>
      <c r="AD7" s="92" t="str">
        <f>'CH-1'!$AU$19</f>
        <v>42000</v>
      </c>
      <c r="AE7" s="110">
        <f>G7*J7*8760</f>
        <v>2783.8754399999998</v>
      </c>
      <c r="AF7" s="109">
        <f>'CH-1'!$AU$16/'CH-1'!$AU$13</f>
        <v>0.33628318584070799</v>
      </c>
      <c r="AG7" s="110">
        <f>AE7/AF7</f>
        <v>8278.366439999998</v>
      </c>
      <c r="AH7" s="116">
        <f>AG7/(AD7*24)*1000</f>
        <v>8.2126651190476156</v>
      </c>
      <c r="AI7" s="110">
        <f>AH7*Assumptions!$H$7</f>
        <v>65.701320952380925</v>
      </c>
      <c r="AJ7" s="110">
        <f>AE7/AH7</f>
        <v>338.97345132743374</v>
      </c>
      <c r="AK7" s="109">
        <f>AJ7*0.0036</f>
        <v>1.2203044247787613</v>
      </c>
    </row>
    <row r="8" spans="2:37" s="18" customFormat="1">
      <c r="B8" s="75" t="s">
        <v>7336</v>
      </c>
      <c r="C8" s="56" t="s">
        <v>1561</v>
      </c>
      <c r="D8" s="56" t="s">
        <v>1562</v>
      </c>
      <c r="E8" s="56">
        <f>YEAR(AB8)</f>
        <v>1971</v>
      </c>
      <c r="F8" s="108">
        <f>'CH-3'!$AU$17/1000</f>
        <v>0.36499999999999999</v>
      </c>
      <c r="G8" s="108">
        <f>'CH-3'!$AU$16/1000</f>
        <v>0.38</v>
      </c>
      <c r="H8" s="198">
        <v>0.873</v>
      </c>
      <c r="I8" s="109">
        <f>'CH-3'!$AU$20/100</f>
        <v>0.87599999999999989</v>
      </c>
      <c r="J8" s="109">
        <f>'CH-3'!$AU$21/100</f>
        <v>0.89340000000000008</v>
      </c>
      <c r="K8" s="108">
        <f>F8</f>
        <v>0.36499999999999999</v>
      </c>
      <c r="L8" s="95"/>
      <c r="M8" s="95"/>
      <c r="N8" s="111"/>
      <c r="O8" s="92"/>
      <c r="P8" s="92"/>
      <c r="Q8" s="92"/>
      <c r="R8" s="128">
        <v>2021</v>
      </c>
      <c r="S8" s="110">
        <f>R8-E8</f>
        <v>50</v>
      </c>
      <c r="T8" s="112">
        <f>AK8</f>
        <v>1.2203044247787611</v>
      </c>
      <c r="U8" s="95">
        <v>1</v>
      </c>
      <c r="V8" s="113">
        <v>31.536000000000001</v>
      </c>
      <c r="X8" s="92" t="str">
        <f>'CH-3'!$AU$11</f>
        <v xml:space="preserve">PWR  </v>
      </c>
      <c r="Y8" s="92" t="str">
        <f>'CH-3'!$AU$12</f>
        <v>WH - 2 loops</v>
      </c>
      <c r="Z8" s="92" t="str">
        <f>'CH-3'!$AU$7</f>
        <v>BEZNAU-2</v>
      </c>
      <c r="AA8" s="96"/>
      <c r="AB8" s="114">
        <f>'CH-3'!$AU$18</f>
        <v>26229</v>
      </c>
      <c r="AC8" s="115">
        <f>DATE(YEAR(AB8)+AA8,MONTH(AB8),DAY(AB8))</f>
        <v>26229</v>
      </c>
      <c r="AD8" s="92" t="str">
        <f>'CH-3'!$AU$19</f>
        <v>42000</v>
      </c>
      <c r="AE8" s="110">
        <f>G8*J8*8760</f>
        <v>2973.94992</v>
      </c>
      <c r="AF8" s="109">
        <f>'CH-3'!$AU$16/'CH-3'!$AU$13</f>
        <v>0.33628318584070799</v>
      </c>
      <c r="AG8" s="110">
        <f>AE8/AF8</f>
        <v>8843.5879199999999</v>
      </c>
      <c r="AH8" s="116">
        <f>AG8/(AD8*24)*1000</f>
        <v>8.7734007142857138</v>
      </c>
      <c r="AI8" s="110">
        <f>AH8*Assumptions!$H$7</f>
        <v>70.18720571428571</v>
      </c>
      <c r="AJ8" s="110">
        <f>AE8/AH8</f>
        <v>338.97345132743362</v>
      </c>
      <c r="AK8" s="109">
        <f>AJ8*0.0036</f>
        <v>1.2203044247787611</v>
      </c>
    </row>
    <row r="9" spans="2:37" s="18" customFormat="1">
      <c r="B9" s="75" t="s">
        <v>7337</v>
      </c>
      <c r="C9" s="56" t="s">
        <v>1561</v>
      </c>
      <c r="D9" s="56" t="s">
        <v>1562</v>
      </c>
      <c r="E9" s="56">
        <f>YEAR(AB9)</f>
        <v>1979</v>
      </c>
      <c r="F9" s="197">
        <v>0.98499999999999999</v>
      </c>
      <c r="G9" s="108">
        <f>'CH-4'!$AU$16/1000</f>
        <v>1.0349999999999999</v>
      </c>
      <c r="H9" s="198">
        <v>0.89700000000000002</v>
      </c>
      <c r="I9" s="109">
        <f>'CH-4'!$AU$20/100</f>
        <v>0.89300000000000002</v>
      </c>
      <c r="J9" s="109">
        <f>'CH-4'!$AU$21/100</f>
        <v>0.94489999999999996</v>
      </c>
      <c r="K9" s="108">
        <f>F9</f>
        <v>0.98499999999999999</v>
      </c>
      <c r="L9" s="95"/>
      <c r="M9" s="95"/>
      <c r="N9" s="111"/>
      <c r="O9" s="92"/>
      <c r="P9" s="92"/>
      <c r="Q9" s="92"/>
      <c r="R9" s="131">
        <v>2029</v>
      </c>
      <c r="S9" s="110">
        <f>R9-E9</f>
        <v>50</v>
      </c>
      <c r="T9" s="112">
        <f>AK9</f>
        <v>1.548983344437042</v>
      </c>
      <c r="U9" s="95">
        <v>1</v>
      </c>
      <c r="V9" s="113">
        <v>31.536000000000001</v>
      </c>
      <c r="X9" s="92" t="str">
        <f>'CH-4'!$AU$11</f>
        <v xml:space="preserve">PWR  </v>
      </c>
      <c r="Y9" s="92" t="str">
        <f>'CH-4'!$AU$12</f>
        <v>PWR 3 Loop</v>
      </c>
      <c r="Z9" s="92" t="str">
        <f>'CH-4'!$AU$7</f>
        <v>GOESGEN</v>
      </c>
      <c r="AA9" s="96"/>
      <c r="AB9" s="114">
        <f>'CH-4'!$AU$18</f>
        <v>28888</v>
      </c>
      <c r="AC9" s="115">
        <f>DATE(YEAR(AB9)+AA9,MONTH(AB9),DAY(AB9))</f>
        <v>28888</v>
      </c>
      <c r="AD9" s="92" t="str">
        <f>'CH-4'!$AU$19</f>
        <v>52000</v>
      </c>
      <c r="AE9" s="110">
        <f>G9*J9*8760</f>
        <v>8567.0303399999993</v>
      </c>
      <c r="AF9" s="109">
        <f>'CH-4'!$AU$16/'CH-4'!$AU$13</f>
        <v>0.34477015323117921</v>
      </c>
      <c r="AG9" s="110">
        <f>AE9/AF9</f>
        <v>24848.526647999999</v>
      </c>
      <c r="AH9" s="116">
        <f>AG9/(AD9*24)*1000</f>
        <v>19.910678403846152</v>
      </c>
      <c r="AI9" s="110">
        <f>AH9*Assumptions!$H$7</f>
        <v>159.28542723076922</v>
      </c>
      <c r="AJ9" s="110">
        <f>AE9/AH9</f>
        <v>430.27315123251168</v>
      </c>
      <c r="AK9" s="109">
        <f>AJ9*0.0036</f>
        <v>1.548983344437042</v>
      </c>
    </row>
    <row r="10" spans="2:37" s="18" customFormat="1">
      <c r="B10" s="75" t="s">
        <v>7338</v>
      </c>
      <c r="C10" s="56" t="s">
        <v>1561</v>
      </c>
      <c r="D10" s="56" t="s">
        <v>1562</v>
      </c>
      <c r="E10" s="56">
        <f>YEAR(AB10)</f>
        <v>1984</v>
      </c>
      <c r="F10" s="197">
        <v>1.22</v>
      </c>
      <c r="G10" s="108">
        <f>'CH-5'!$AU$16/1000</f>
        <v>1.2450000000000001</v>
      </c>
      <c r="H10" s="198">
        <v>0.875</v>
      </c>
      <c r="I10" s="109">
        <f>'CH-5'!$AU$20/100</f>
        <v>0.56509999999999994</v>
      </c>
      <c r="J10" s="109">
        <f>'CH-5'!$AU$21/100</f>
        <v>0.85980000000000001</v>
      </c>
      <c r="K10" s="108">
        <f>F10</f>
        <v>1.22</v>
      </c>
      <c r="L10" s="95"/>
      <c r="M10" s="95"/>
      <c r="N10" s="111"/>
      <c r="O10" s="92"/>
      <c r="P10" s="92"/>
      <c r="Q10" s="92"/>
      <c r="R10" s="131">
        <v>2034</v>
      </c>
      <c r="S10" s="110">
        <f>R10-E10</f>
        <v>50</v>
      </c>
      <c r="T10" s="112">
        <f>AK10</f>
        <v>1.28484</v>
      </c>
      <c r="U10" s="95">
        <v>1</v>
      </c>
      <c r="V10" s="113">
        <v>31.536000000000001</v>
      </c>
      <c r="X10" s="92" t="str">
        <f>'CH-5'!$AU$11</f>
        <v xml:space="preserve">BWR  </v>
      </c>
      <c r="Y10" s="92" t="str">
        <f>'CH-5'!$AU$12</f>
        <v>BWR 6</v>
      </c>
      <c r="Z10" s="92" t="str">
        <f>'CH-5'!$AU$7</f>
        <v>LEIBSTADT</v>
      </c>
      <c r="AA10" s="96"/>
      <c r="AB10" s="114">
        <f>'CH-5'!$AU$18</f>
        <v>30826</v>
      </c>
      <c r="AC10" s="115">
        <f>DATE(YEAR(AB10)+AA10,MONTH(AB10),DAY(AB10))</f>
        <v>30826</v>
      </c>
      <c r="AD10" s="92" t="str">
        <f>'CH-5'!$AU$19</f>
        <v>43000</v>
      </c>
      <c r="AE10" s="110">
        <f>G10*J10*8760</f>
        <v>9377.1507600000004</v>
      </c>
      <c r="AF10" s="109">
        <f>'CH-5'!$AU$16/'CH-5'!$AU$13</f>
        <v>0.34583333333333333</v>
      </c>
      <c r="AG10" s="110">
        <f>AE10/AF10</f>
        <v>27114.652800000003</v>
      </c>
      <c r="AH10" s="116">
        <f>AG10/(AD10*24)*1000</f>
        <v>26.273888372093026</v>
      </c>
      <c r="AI10" s="110">
        <f>AH10*Assumptions!$H$7</f>
        <v>210.19110697674421</v>
      </c>
      <c r="AJ10" s="110">
        <f>AE10/AH10</f>
        <v>356.9</v>
      </c>
      <c r="AK10" s="109">
        <f>AJ10*0.0036</f>
        <v>1.28484</v>
      </c>
    </row>
    <row r="11" spans="2:37" s="18" customFormat="1">
      <c r="B11" s="75" t="s">
        <v>7339</v>
      </c>
      <c r="C11" s="56" t="s">
        <v>1561</v>
      </c>
      <c r="D11" s="56" t="s">
        <v>1562</v>
      </c>
      <c r="E11" s="56">
        <f>YEAR(AB11)</f>
        <v>1971</v>
      </c>
      <c r="F11" s="108">
        <f>'CH-2'!$AU$17/1000</f>
        <v>0.373</v>
      </c>
      <c r="G11" s="108">
        <f>'CH-2'!$AU$16/1000</f>
        <v>0.39</v>
      </c>
      <c r="H11" s="198">
        <v>0.875</v>
      </c>
      <c r="I11" s="109">
        <f>'CH-2'!$AU$20/100</f>
        <v>0.91810000000000003</v>
      </c>
      <c r="J11" s="109">
        <f>'CH-2'!$AU$21/100</f>
        <v>0.92079999999999995</v>
      </c>
      <c r="K11" s="108">
        <f>F11</f>
        <v>0.373</v>
      </c>
      <c r="L11" s="95"/>
      <c r="M11" s="95"/>
      <c r="N11" s="111"/>
      <c r="O11" s="92"/>
      <c r="P11" s="92"/>
      <c r="Q11" s="92"/>
      <c r="R11" s="131">
        <v>2022</v>
      </c>
      <c r="S11" s="110">
        <f>R11-E11</f>
        <v>51</v>
      </c>
      <c r="T11" s="112">
        <f>AK11</f>
        <v>1.4743919781221513</v>
      </c>
      <c r="U11" s="95">
        <v>1</v>
      </c>
      <c r="V11" s="113">
        <v>31.536000000000001</v>
      </c>
      <c r="X11" s="92" t="str">
        <f>'CH-2'!$AU$11</f>
        <v xml:space="preserve">BWR  </v>
      </c>
      <c r="Y11" s="92" t="str">
        <f>'CH-2'!$AU$12</f>
        <v>BWR 4</v>
      </c>
      <c r="Z11" s="92" t="str">
        <f>'CH-2'!$AU$7</f>
        <v>MUEHLEBERG</v>
      </c>
      <c r="AA11" s="96"/>
      <c r="AB11" s="114">
        <f>'CH-2'!$AU$18</f>
        <v>26115</v>
      </c>
      <c r="AC11" s="115">
        <f>DATE(YEAR(AB11)+AA11,MONTH(AB11),DAY(AB11))</f>
        <v>26115</v>
      </c>
      <c r="AD11" s="92" t="str">
        <f>'CH-2'!$AU$19</f>
        <v>48000</v>
      </c>
      <c r="AE11" s="110">
        <f>G11*J11*8760</f>
        <v>3145.8211200000001</v>
      </c>
      <c r="AF11" s="109">
        <f>'CH-2'!$AU$16/'CH-2'!$AU$13</f>
        <v>0.35551504102096626</v>
      </c>
      <c r="AG11" s="110">
        <f>AE11/AF11</f>
        <v>8848.6301760000006</v>
      </c>
      <c r="AH11" s="116">
        <f>AG11/(AD11*24)*1000</f>
        <v>7.6811025833333337</v>
      </c>
      <c r="AI11" s="110">
        <f>AH11*Assumptions!$H$7</f>
        <v>61.44882066666667</v>
      </c>
      <c r="AJ11" s="110">
        <f>AE11/AH11</f>
        <v>409.55332725615312</v>
      </c>
      <c r="AK11" s="109">
        <f>AJ11*0.0036</f>
        <v>1.4743919781221513</v>
      </c>
    </row>
    <row r="12" spans="2:37" s="87" customFormat="1">
      <c r="B12" s="162"/>
      <c r="C12" s="163"/>
      <c r="D12" s="163"/>
      <c r="E12" s="163"/>
      <c r="F12" s="164"/>
      <c r="G12" s="164"/>
      <c r="H12" s="164"/>
      <c r="I12" s="200"/>
      <c r="J12" s="200"/>
      <c r="K12" s="164"/>
      <c r="L12" s="84"/>
      <c r="M12" s="84"/>
      <c r="N12" s="215"/>
      <c r="R12" s="216"/>
      <c r="S12" s="217"/>
      <c r="T12" s="157"/>
      <c r="U12" s="84"/>
      <c r="V12" s="218"/>
      <c r="AA12" s="219"/>
      <c r="AB12" s="166"/>
      <c r="AC12" s="220"/>
      <c r="AE12" s="217"/>
      <c r="AF12" s="200"/>
      <c r="AG12" s="217"/>
      <c r="AH12" s="221"/>
      <c r="AI12" s="217"/>
      <c r="AJ12" s="217"/>
      <c r="AK12" s="200"/>
    </row>
    <row r="13" spans="2:37" s="87" customFormat="1">
      <c r="B13" s="162"/>
      <c r="C13" s="163"/>
      <c r="D13" s="163"/>
      <c r="E13" s="163"/>
      <c r="F13" s="164"/>
      <c r="G13" s="164"/>
      <c r="H13" s="164"/>
      <c r="I13" s="200"/>
      <c r="J13" s="200"/>
      <c r="K13" s="164"/>
      <c r="L13" s="84"/>
      <c r="M13" s="84"/>
      <c r="N13" s="215"/>
      <c r="R13" s="216"/>
      <c r="S13" s="217"/>
      <c r="T13" s="157"/>
      <c r="U13" s="84"/>
      <c r="V13" s="218"/>
      <c r="AA13" s="219"/>
      <c r="AB13" s="166"/>
      <c r="AC13" s="220"/>
      <c r="AE13" s="217"/>
      <c r="AF13" s="200"/>
      <c r="AG13" s="217"/>
      <c r="AH13" s="221"/>
      <c r="AI13" s="217"/>
      <c r="AJ13" s="217"/>
      <c r="AK13" s="200"/>
    </row>
    <row r="14" spans="2:37" s="18" customFormat="1">
      <c r="Q14" s="60"/>
    </row>
    <row r="15" spans="2:37" s="18" customFormat="1">
      <c r="Q15" s="60"/>
    </row>
    <row r="16" spans="2: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SUM(F7:F11)</f>
        <v>3.3079999999999998</v>
      </c>
      <c r="G21" s="18" t="s">
        <v>7215</v>
      </c>
      <c r="H21" s="137">
        <f>F21/H22</f>
        <v>0.22053333333333333</v>
      </c>
      <c r="J21" s="17"/>
      <c r="Q21" s="60"/>
    </row>
    <row r="22" spans="2:17" s="18" customFormat="1">
      <c r="E22" s="18" t="s">
        <v>7127</v>
      </c>
      <c r="G22" s="18" t="s">
        <v>7216</v>
      </c>
      <c r="H22" s="18">
        <f>MAX(E7:E16)-MIN(E7:E16)</f>
        <v>15</v>
      </c>
      <c r="J22" s="17"/>
      <c r="Q22" s="60"/>
    </row>
    <row r="23" spans="2:17" s="18" customFormat="1">
      <c r="J23" s="17"/>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ENCH_BEZNAU-1_00</v>
      </c>
      <c r="D27" s="227" t="str">
        <f>"Nuclear Power Plant: "&amp;Z7</f>
        <v>Nuclear Power Plant: BEZNAU-1</v>
      </c>
      <c r="E27" s="228" t="s">
        <v>1612</v>
      </c>
      <c r="F27" s="228" t="s">
        <v>1556</v>
      </c>
      <c r="G27" s="228" t="s">
        <v>1613</v>
      </c>
      <c r="H27" s="228"/>
      <c r="I27" s="228"/>
      <c r="J27" s="17"/>
      <c r="Q27" s="60"/>
    </row>
    <row r="28" spans="2:17" s="18" customFormat="1">
      <c r="B28" s="225"/>
      <c r="C28" s="225" t="str">
        <f>B8</f>
        <v>ENCH_BEZNAU-2_00</v>
      </c>
      <c r="D28" s="227" t="str">
        <f>"Nuclear Power Plant: "&amp;Z8</f>
        <v>Nuclear Power Plant: BEZNAU-2</v>
      </c>
      <c r="E28" s="228" t="s">
        <v>1612</v>
      </c>
      <c r="F28" s="228" t="s">
        <v>1556</v>
      </c>
      <c r="G28" s="228" t="s">
        <v>1613</v>
      </c>
      <c r="H28" s="228"/>
      <c r="I28" s="228"/>
      <c r="J28" s="17"/>
      <c r="Q28" s="60"/>
    </row>
    <row r="29" spans="2:17" s="18" customFormat="1">
      <c r="B29" s="225"/>
      <c r="C29" s="225" t="str">
        <f>B9</f>
        <v>ENCH_GOESGEN_00</v>
      </c>
      <c r="D29" s="227" t="str">
        <f>"Nuclear Power Plant: "&amp;Z9</f>
        <v>Nuclear Power Plant: GOESGEN</v>
      </c>
      <c r="E29" s="228" t="s">
        <v>1612</v>
      </c>
      <c r="F29" s="228" t="s">
        <v>1556</v>
      </c>
      <c r="G29" s="228" t="s">
        <v>1613</v>
      </c>
      <c r="H29" s="228"/>
      <c r="I29" s="228"/>
      <c r="J29" s="17"/>
      <c r="Q29" s="60"/>
    </row>
    <row r="30" spans="2:17" s="18" customFormat="1">
      <c r="B30" s="225"/>
      <c r="C30" s="225" t="str">
        <f>B10</f>
        <v>ENCH_LEIBSTADT_00</v>
      </c>
      <c r="D30" s="227" t="str">
        <f>"Nuclear Power Plant: "&amp;Z10</f>
        <v>Nuclear Power Plant: LEIBSTADT</v>
      </c>
      <c r="E30" s="228" t="s">
        <v>1612</v>
      </c>
      <c r="F30" s="228" t="s">
        <v>1556</v>
      </c>
      <c r="G30" s="228" t="s">
        <v>1613</v>
      </c>
      <c r="H30" s="228"/>
      <c r="I30" s="228"/>
      <c r="J30" s="17"/>
      <c r="Q30" s="60"/>
    </row>
    <row r="31" spans="2:17" s="18" customFormat="1">
      <c r="B31" s="225"/>
      <c r="C31" s="225" t="str">
        <f>B11</f>
        <v>ENCH_MUEHLEBERG_00</v>
      </c>
      <c r="D31" s="227" t="str">
        <f>"Nuclear Power Plant: "&amp;Z11</f>
        <v>Nuclear Power Plant: MUEHLEBERG</v>
      </c>
      <c r="E31" s="228" t="s">
        <v>1612</v>
      </c>
      <c r="F31" s="228" t="s">
        <v>1556</v>
      </c>
      <c r="G31" s="228" t="s">
        <v>1613</v>
      </c>
      <c r="H31" s="228"/>
      <c r="I31" s="228"/>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row r="452" spans="2:29" s="70" customFormat="1">
      <c r="B452" s="18"/>
      <c r="C452" s="18"/>
      <c r="D452" s="18"/>
      <c r="E452" s="18"/>
      <c r="J452" s="71"/>
      <c r="Q452" s="144"/>
      <c r="W452" s="18"/>
      <c r="X452" s="18"/>
      <c r="Y452" s="18"/>
      <c r="Z452" s="18"/>
      <c r="AC452" s="18"/>
    </row>
  </sheetData>
  <phoneticPr fontId="0" type="noConversion"/>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0"/>
  </sheetPr>
  <dimension ref="B1:AK445"/>
  <sheetViews>
    <sheetView topLeftCell="A16" zoomScale="85" zoomScaleNormal="85" zoomScalePageLayoutView="125" workbookViewId="0">
      <selection activeCell="G58" sqref="G58:G64"/>
    </sheetView>
  </sheetViews>
  <sheetFormatPr defaultColWidth="8.85546875" defaultRowHeight="12.75"/>
  <cols>
    <col min="1" max="1" width="3" style="19" customWidth="1"/>
    <col min="2" max="2" width="28.7109375" style="18" customWidth="1"/>
    <col min="3" max="3" width="20.42578125" style="18" customWidth="1"/>
    <col min="4" max="4" width="15.7109375" style="18" customWidth="1"/>
    <col min="5" max="5" width="13.2851562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7" style="19" bestFit="1" customWidth="1"/>
    <col min="14" max="15" width="8.85546875" style="19"/>
    <col min="16" max="16" width="10.42578125" style="19" customWidth="1"/>
    <col min="17" max="17" width="15.28515625" style="32" customWidth="1"/>
    <col min="18" max="19" width="10.28515625" style="19" customWidth="1"/>
    <col min="20" max="21" width="8.85546875" style="19"/>
    <col min="22" max="22" width="8.42578125" style="19" customWidth="1"/>
    <col min="23" max="23" width="13.28515625" style="18" customWidth="1"/>
    <col min="24" max="24" width="19.85546875" style="18" bestFit="1" customWidth="1"/>
    <col min="25" max="25" width="18" style="18" bestFit="1" customWidth="1"/>
    <col min="26" max="26" width="11.5703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1594</v>
      </c>
      <c r="C1" s="78"/>
      <c r="D1" s="78"/>
      <c r="E1" s="79" t="s">
        <v>1593</v>
      </c>
      <c r="F1" s="68" t="s">
        <v>7358</v>
      </c>
      <c r="G1" s="2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7340</v>
      </c>
      <c r="C7" s="56" t="s">
        <v>1720</v>
      </c>
      <c r="D7" s="56" t="s">
        <v>1562</v>
      </c>
      <c r="E7" s="56">
        <f>YEAR(AB7)</f>
        <v>1983</v>
      </c>
      <c r="F7" s="108">
        <f>'[1]GB-18A'!$AU$17/1000</f>
        <v>0.52</v>
      </c>
      <c r="G7" s="108">
        <f>'[1]GB-18A'!$AU$16/1000</f>
        <v>0.61499999999999999</v>
      </c>
      <c r="H7" s="198">
        <v>0.436</v>
      </c>
      <c r="I7" s="109">
        <f>'[1]GB-18A'!$AU$20/100</f>
        <v>0.60780000000000001</v>
      </c>
      <c r="J7" s="109">
        <f>'[1]GB-18A'!$AU$21/100</f>
        <v>0.20829999999999999</v>
      </c>
      <c r="K7" s="108">
        <f>F7</f>
        <v>0.52</v>
      </c>
      <c r="L7" s="95"/>
      <c r="M7" s="95"/>
      <c r="N7" s="111"/>
      <c r="O7" s="92"/>
      <c r="P7" s="92"/>
      <c r="Q7" s="92"/>
      <c r="R7" s="128">
        <f>YEAR(AC7)+5</f>
        <v>2018</v>
      </c>
      <c r="S7" s="128">
        <f>R7-E7</f>
        <v>35</v>
      </c>
      <c r="T7" s="112">
        <f>AK7</f>
        <v>0.67305599999999988</v>
      </c>
      <c r="U7" s="95">
        <v>1</v>
      </c>
      <c r="V7" s="113">
        <v>31.536000000000001</v>
      </c>
      <c r="X7" s="92" t="str">
        <f>'GB-18A'!$AU$11</f>
        <v xml:space="preserve">GCR  </v>
      </c>
      <c r="Y7" s="92" t="str">
        <f>'GB-18A'!$AU$12</f>
        <v>AGR</v>
      </c>
      <c r="Z7" s="92" t="str">
        <f>'GB-18A'!$AU$7</f>
        <v>DUNGENESS-B1</v>
      </c>
      <c r="AA7" s="95">
        <v>30</v>
      </c>
      <c r="AB7" s="114">
        <f>'GB-18A'!$AU$18</f>
        <v>30409</v>
      </c>
      <c r="AC7" s="115">
        <f t="shared" ref="AC7:AC31" si="0">DATE(YEAR(AB7)+AA7,MONTH(AB7),DAY(AB7))</f>
        <v>41367</v>
      </c>
      <c r="AD7" s="92" t="str">
        <f>'GB-18A'!$AU$19</f>
        <v>19000</v>
      </c>
      <c r="AE7" s="110">
        <f t="shared" ref="AE7:AE18" si="1">G7*J7*8760</f>
        <v>1122.1954199999998</v>
      </c>
      <c r="AF7" s="109">
        <f>'GB-18A'!$AU$16/'GB-18A'!$AU$13</f>
        <v>0.41</v>
      </c>
      <c r="AG7" s="110">
        <f t="shared" ref="AG7:AG28" si="2">AE7/AF7</f>
        <v>2737.0619999999994</v>
      </c>
      <c r="AH7" s="116">
        <f t="shared" ref="AH7:AH28" si="3">AG7/(AD7*24)*1000</f>
        <v>6.0023289473684205</v>
      </c>
      <c r="AI7" s="110">
        <f>AH7*Assumptions!$H$8</f>
        <v>24.009315789473682</v>
      </c>
      <c r="AJ7" s="110">
        <f t="shared" ref="AJ7:AJ28" si="4">AE7/AH7</f>
        <v>186.95999999999998</v>
      </c>
      <c r="AK7" s="109">
        <f t="shared" ref="AK7:AK28" si="5">AJ7*0.0036</f>
        <v>0.67305599999999988</v>
      </c>
    </row>
    <row r="8" spans="2:37" s="18" customFormat="1">
      <c r="B8" s="75" t="s">
        <v>7341</v>
      </c>
      <c r="C8" s="56" t="s">
        <v>1720</v>
      </c>
      <c r="D8" s="56" t="s">
        <v>1562</v>
      </c>
      <c r="E8" s="56">
        <f t="shared" ref="E8:E24" si="6">YEAR(AB8)</f>
        <v>1985</v>
      </c>
      <c r="F8" s="108">
        <f>'[1]GB-18B'!$AU$17/1000</f>
        <v>0.52</v>
      </c>
      <c r="G8" s="108">
        <f>'[1]GB-18B'!$AU$16/1000</f>
        <v>0.61499999999999999</v>
      </c>
      <c r="H8" s="198">
        <v>0.498</v>
      </c>
      <c r="I8" s="109">
        <f>'[1]GB-18B'!$AU$20/100</f>
        <v>0.5635</v>
      </c>
      <c r="J8" s="109">
        <f>'[1]GB-18B'!$AU$21/100</f>
        <v>0.60719999999999996</v>
      </c>
      <c r="K8" s="108">
        <f t="shared" ref="K8:K23" si="7">F8</f>
        <v>0.52</v>
      </c>
      <c r="L8" s="95"/>
      <c r="M8" s="95"/>
      <c r="N8" s="111"/>
      <c r="O8" s="92"/>
      <c r="P8" s="92"/>
      <c r="Q8" s="92"/>
      <c r="R8" s="128">
        <f>YEAR(AC8)+3</f>
        <v>2018</v>
      </c>
      <c r="S8" s="128">
        <f t="shared" ref="S8:S24" si="8">R8-E8</f>
        <v>33</v>
      </c>
      <c r="T8" s="112">
        <f t="shared" ref="T8:T24" si="9">AK8</f>
        <v>0.63763200000000009</v>
      </c>
      <c r="U8" s="95">
        <v>1</v>
      </c>
      <c r="V8" s="113">
        <v>31.536000000000001</v>
      </c>
      <c r="X8" s="92" t="str">
        <f>'GB-18B'!$AU$11</f>
        <v xml:space="preserve">GCR  </v>
      </c>
      <c r="Y8" s="92" t="str">
        <f>'GB-18B'!$AU$12</f>
        <v>AGR</v>
      </c>
      <c r="Z8" s="92" t="str">
        <f>'GB-18B'!$AU$7</f>
        <v>DUNGENESS-B2</v>
      </c>
      <c r="AA8" s="95">
        <v>30</v>
      </c>
      <c r="AB8" s="114">
        <f>'GB-18B'!$AU$18</f>
        <v>31410</v>
      </c>
      <c r="AC8" s="115">
        <f t="shared" si="0"/>
        <v>42367</v>
      </c>
      <c r="AD8" s="92" t="str">
        <f>'GB-18B'!$AU$19</f>
        <v>18000</v>
      </c>
      <c r="AE8" s="110">
        <f t="shared" si="1"/>
        <v>3271.22928</v>
      </c>
      <c r="AF8" s="109">
        <f>'GB-18B'!$AU$16/'GB-18B'!$AU$13</f>
        <v>0.41</v>
      </c>
      <c r="AG8" s="110">
        <f t="shared" si="2"/>
        <v>7978.6080000000002</v>
      </c>
      <c r="AH8" s="116">
        <f t="shared" si="3"/>
        <v>18.468999999999998</v>
      </c>
      <c r="AI8" s="110">
        <f>AH8*Assumptions!$H$8</f>
        <v>73.875999999999991</v>
      </c>
      <c r="AJ8" s="110">
        <f t="shared" si="4"/>
        <v>177.12000000000003</v>
      </c>
      <c r="AK8" s="109">
        <f t="shared" si="5"/>
        <v>0.63763200000000009</v>
      </c>
    </row>
    <row r="9" spans="2:37" s="18" customFormat="1">
      <c r="B9" s="75" t="s">
        <v>7342</v>
      </c>
      <c r="C9" s="56" t="s">
        <v>1720</v>
      </c>
      <c r="D9" s="56" t="s">
        <v>1562</v>
      </c>
      <c r="E9" s="56">
        <f t="shared" si="6"/>
        <v>1983</v>
      </c>
      <c r="F9" s="108">
        <f>'[1]GB-19A'!$AU$17/1000</f>
        <v>0.59499999999999997</v>
      </c>
      <c r="G9" s="108">
        <f>'[1]GB-19A'!$AU$16/1000</f>
        <v>0.65500000000000003</v>
      </c>
      <c r="H9" s="198">
        <v>0.68799999999999994</v>
      </c>
      <c r="I9" s="109">
        <f>'[1]GB-19A'!$AU$20/100</f>
        <v>0.43829999999999997</v>
      </c>
      <c r="J9" s="109">
        <f>'[1]GB-19A'!$AU$21/100</f>
        <v>0.84560000000000002</v>
      </c>
      <c r="K9" s="108">
        <f t="shared" si="7"/>
        <v>0.59499999999999997</v>
      </c>
      <c r="L9" s="95"/>
      <c r="M9" s="95"/>
      <c r="N9" s="111"/>
      <c r="O9" s="92"/>
      <c r="P9" s="92"/>
      <c r="Q9" s="92"/>
      <c r="R9" s="128">
        <f>YEAR(AC9)+6</f>
        <v>2019</v>
      </c>
      <c r="S9" s="128">
        <f t="shared" si="8"/>
        <v>36</v>
      </c>
      <c r="T9" s="112">
        <f t="shared" si="9"/>
        <v>0.90547199999999994</v>
      </c>
      <c r="U9" s="95">
        <v>1</v>
      </c>
      <c r="V9" s="113">
        <v>31.536000000000001</v>
      </c>
      <c r="X9" s="92" t="str">
        <f>'GB-19A'!$AU$11</f>
        <v xml:space="preserve">GCR  </v>
      </c>
      <c r="Y9" s="92" t="str">
        <f>'GB-19A'!$AU$12</f>
        <v>AGR</v>
      </c>
      <c r="Z9" s="92" t="str">
        <f>'GB-19A'!$AU$7</f>
        <v>HARTLEPOOL-A1</v>
      </c>
      <c r="AA9" s="95">
        <v>30</v>
      </c>
      <c r="AB9" s="114">
        <f>'GB-19A'!$AU$18</f>
        <v>30529</v>
      </c>
      <c r="AC9" s="115">
        <f t="shared" si="0"/>
        <v>41487</v>
      </c>
      <c r="AD9" s="92" t="str">
        <f>'GB-19A'!$AU$19</f>
        <v>24000</v>
      </c>
      <c r="AE9" s="110">
        <f t="shared" si="1"/>
        <v>4851.8836799999999</v>
      </c>
      <c r="AF9" s="109">
        <f>'GB-19A'!$AU$16/'GB-19A'!$AU$13</f>
        <v>0.43666666666666665</v>
      </c>
      <c r="AG9" s="110">
        <f t="shared" si="2"/>
        <v>11111.184000000001</v>
      </c>
      <c r="AH9" s="116">
        <f t="shared" si="3"/>
        <v>19.29025</v>
      </c>
      <c r="AI9" s="110">
        <f>AH9*Assumptions!$H$8</f>
        <v>77.161000000000001</v>
      </c>
      <c r="AJ9" s="110">
        <f t="shared" si="4"/>
        <v>251.51999999999998</v>
      </c>
      <c r="AK9" s="109">
        <f t="shared" si="5"/>
        <v>0.90547199999999994</v>
      </c>
    </row>
    <row r="10" spans="2:37" s="18" customFormat="1">
      <c r="B10" s="75" t="s">
        <v>7343</v>
      </c>
      <c r="C10" s="56" t="s">
        <v>1720</v>
      </c>
      <c r="D10" s="56" t="s">
        <v>1562</v>
      </c>
      <c r="E10" s="56">
        <f t="shared" si="6"/>
        <v>1984</v>
      </c>
      <c r="F10" s="202">
        <v>0.58499999999999996</v>
      </c>
      <c r="G10" s="108">
        <f>'[1]GB-19B'!$AU$16/1000</f>
        <v>0.65500000000000003</v>
      </c>
      <c r="H10" s="198">
        <v>0.71499999999999997</v>
      </c>
      <c r="I10" s="109">
        <f>'[1]GB-19B'!$AU$20/100</f>
        <v>0.68900000000000006</v>
      </c>
      <c r="J10" s="109">
        <f>'[1]GB-19B'!$AU$21/100</f>
        <v>0.71719999999999995</v>
      </c>
      <c r="K10" s="108">
        <f t="shared" si="7"/>
        <v>0.58499999999999996</v>
      </c>
      <c r="L10" s="95"/>
      <c r="M10" s="95"/>
      <c r="N10" s="111"/>
      <c r="O10" s="92"/>
      <c r="P10" s="92"/>
      <c r="Q10" s="92"/>
      <c r="R10" s="128">
        <f>YEAR(AC10)+5</f>
        <v>2019</v>
      </c>
      <c r="S10" s="128">
        <f t="shared" si="8"/>
        <v>35</v>
      </c>
      <c r="T10" s="112">
        <f t="shared" si="9"/>
        <v>0.90547199999999994</v>
      </c>
      <c r="U10" s="95">
        <v>1</v>
      </c>
      <c r="V10" s="113">
        <v>31.536000000000001</v>
      </c>
      <c r="X10" s="92" t="str">
        <f>'GB-19B'!$AU$11</f>
        <v xml:space="preserve">GCR  </v>
      </c>
      <c r="Y10" s="92" t="str">
        <f>'GB-19B'!$AU$12</f>
        <v>AGR</v>
      </c>
      <c r="Z10" s="92" t="str">
        <f>'GB-19B'!$AU$7</f>
        <v>HARTLEPOOL-A2</v>
      </c>
      <c r="AA10" s="95">
        <v>30</v>
      </c>
      <c r="AB10" s="114">
        <f>'GB-19B'!$AU$18</f>
        <v>30986</v>
      </c>
      <c r="AC10" s="115">
        <f t="shared" si="0"/>
        <v>41943</v>
      </c>
      <c r="AD10" s="92" t="str">
        <f>'GB-19B'!$AU$19</f>
        <v>24000</v>
      </c>
      <c r="AE10" s="110">
        <f t="shared" si="1"/>
        <v>4115.1501599999992</v>
      </c>
      <c r="AF10" s="109">
        <f>'GB-19B'!$AU$16/'GB-19B'!$AU$13</f>
        <v>0.43666666666666665</v>
      </c>
      <c r="AG10" s="110">
        <f t="shared" si="2"/>
        <v>9424.007999999998</v>
      </c>
      <c r="AH10" s="116">
        <f t="shared" si="3"/>
        <v>16.361124999999998</v>
      </c>
      <c r="AI10" s="110">
        <f>AH10*Assumptions!$H$8</f>
        <v>65.444499999999991</v>
      </c>
      <c r="AJ10" s="110">
        <f t="shared" si="4"/>
        <v>251.51999999999998</v>
      </c>
      <c r="AK10" s="109">
        <f t="shared" si="5"/>
        <v>0.90547199999999994</v>
      </c>
    </row>
    <row r="11" spans="2:37" s="18" customFormat="1">
      <c r="B11" s="75" t="s">
        <v>7344</v>
      </c>
      <c r="C11" s="56" t="s">
        <v>1720</v>
      </c>
      <c r="D11" s="56" t="s">
        <v>1562</v>
      </c>
      <c r="E11" s="56">
        <f t="shared" si="6"/>
        <v>1983</v>
      </c>
      <c r="F11" s="108">
        <f>'[1]GB-20A'!$AU$17/1000</f>
        <v>0.58499999999999996</v>
      </c>
      <c r="G11" s="108">
        <f>'[1]GB-20A'!$AU$16/1000</f>
        <v>0.625</v>
      </c>
      <c r="H11" s="198">
        <v>0.70900000000000007</v>
      </c>
      <c r="I11" s="109">
        <f>'[1]GB-20A'!$AU$20/100</f>
        <v>0.80069999999999997</v>
      </c>
      <c r="J11" s="109">
        <f>'[1]GB-20A'!$AU$21/100</f>
        <v>0.55159999999999998</v>
      </c>
      <c r="K11" s="108">
        <f t="shared" si="7"/>
        <v>0.58499999999999996</v>
      </c>
      <c r="L11" s="95"/>
      <c r="M11" s="95"/>
      <c r="N11" s="111"/>
      <c r="O11" s="92"/>
      <c r="P11" s="92"/>
      <c r="Q11" s="92"/>
      <c r="R11" s="128">
        <f>YEAR(AC11)+6</f>
        <v>2019</v>
      </c>
      <c r="S11" s="128">
        <f t="shared" si="8"/>
        <v>36</v>
      </c>
      <c r="T11" s="112">
        <f t="shared" si="9"/>
        <v>0.86399999999999999</v>
      </c>
      <c r="U11" s="95">
        <v>1</v>
      </c>
      <c r="V11" s="113">
        <v>31.536000000000001</v>
      </c>
      <c r="X11" s="92" t="str">
        <f>'GB-20A'!$AU$11</f>
        <v xml:space="preserve">GCR  </v>
      </c>
      <c r="Y11" s="92" t="str">
        <f>'GB-20A'!$AU$12</f>
        <v>AGR</v>
      </c>
      <c r="Z11" s="92" t="str">
        <f>'GB-20A'!$AU$7</f>
        <v>HEYSHAM-A1</v>
      </c>
      <c r="AA11" s="95">
        <v>30</v>
      </c>
      <c r="AB11" s="114">
        <f>'GB-20A'!$AU$18</f>
        <v>30506</v>
      </c>
      <c r="AC11" s="115">
        <f t="shared" si="0"/>
        <v>41464</v>
      </c>
      <c r="AD11" s="92" t="str">
        <f>'GB-20A'!$AU$19</f>
        <v>24000</v>
      </c>
      <c r="AE11" s="110">
        <f t="shared" si="1"/>
        <v>3020.01</v>
      </c>
      <c r="AF11" s="109">
        <f>'GB-20A'!$AU$16/'GB-20A'!$AU$13</f>
        <v>0.41666666666666669</v>
      </c>
      <c r="AG11" s="110">
        <f t="shared" si="2"/>
        <v>7248.0240000000003</v>
      </c>
      <c r="AH11" s="116">
        <f t="shared" si="3"/>
        <v>12.583375</v>
      </c>
      <c r="AI11" s="110">
        <f>AH11*Assumptions!$H$8</f>
        <v>50.333500000000001</v>
      </c>
      <c r="AJ11" s="110">
        <f t="shared" si="4"/>
        <v>240</v>
      </c>
      <c r="AK11" s="109">
        <f t="shared" si="5"/>
        <v>0.86399999999999999</v>
      </c>
    </row>
    <row r="12" spans="2:37" s="18" customFormat="1">
      <c r="B12" s="75" t="s">
        <v>7345</v>
      </c>
      <c r="C12" s="56" t="s">
        <v>1720</v>
      </c>
      <c r="D12" s="56" t="s">
        <v>1562</v>
      </c>
      <c r="E12" s="56">
        <f t="shared" si="6"/>
        <v>1984</v>
      </c>
      <c r="F12" s="108">
        <f>'[1]GB-20B'!$AU$17/1000</f>
        <v>0.57499999999999996</v>
      </c>
      <c r="G12" s="108">
        <f>'[1]GB-20B'!$AU$16/1000</f>
        <v>0.625</v>
      </c>
      <c r="H12" s="198">
        <v>0.68299999999999994</v>
      </c>
      <c r="I12" s="109">
        <f>'[1]GB-20B'!$AU$20/100</f>
        <v>0.4194</v>
      </c>
      <c r="J12" s="109">
        <f>'[1]GB-20B'!$AU$21/100</f>
        <v>0.48080000000000001</v>
      </c>
      <c r="K12" s="108">
        <f t="shared" si="7"/>
        <v>0.57499999999999996</v>
      </c>
      <c r="L12" s="95"/>
      <c r="M12" s="95"/>
      <c r="N12" s="111"/>
      <c r="O12" s="92"/>
      <c r="P12" s="92"/>
      <c r="Q12" s="92"/>
      <c r="R12" s="128">
        <f>YEAR(AC12)+5</f>
        <v>2019</v>
      </c>
      <c r="S12" s="128">
        <f t="shared" si="8"/>
        <v>35</v>
      </c>
      <c r="T12" s="112">
        <f t="shared" si="9"/>
        <v>0.8640000000000001</v>
      </c>
      <c r="U12" s="95">
        <v>1</v>
      </c>
      <c r="V12" s="113">
        <v>31.536000000000001</v>
      </c>
      <c r="X12" s="92" t="str">
        <f>'GB-20B'!$AU$11</f>
        <v xml:space="preserve">GCR  </v>
      </c>
      <c r="Y12" s="92" t="str">
        <f>'GB-20B'!$AU$12</f>
        <v>AGR</v>
      </c>
      <c r="Z12" s="92" t="str">
        <f>'GB-20B'!$AU$7</f>
        <v>HEYSHAM-A2</v>
      </c>
      <c r="AA12" s="95">
        <v>30</v>
      </c>
      <c r="AB12" s="114">
        <f>'GB-20B'!$AU$18</f>
        <v>30966</v>
      </c>
      <c r="AC12" s="115">
        <f t="shared" si="0"/>
        <v>41923</v>
      </c>
      <c r="AD12" s="92" t="str">
        <f>'GB-20B'!$AU$19</f>
        <v>24000</v>
      </c>
      <c r="AE12" s="110">
        <f t="shared" si="1"/>
        <v>2632.38</v>
      </c>
      <c r="AF12" s="109">
        <f>'GB-20B'!$AU$16/'GB-20B'!$AU$13</f>
        <v>0.41666666666666669</v>
      </c>
      <c r="AG12" s="110">
        <f t="shared" si="2"/>
        <v>6317.7119999999995</v>
      </c>
      <c r="AH12" s="116">
        <f t="shared" si="3"/>
        <v>10.968249999999999</v>
      </c>
      <c r="AI12" s="110">
        <f>AH12*Assumptions!$H$8</f>
        <v>43.872999999999998</v>
      </c>
      <c r="AJ12" s="110">
        <f t="shared" si="4"/>
        <v>240.00000000000003</v>
      </c>
      <c r="AK12" s="109">
        <f t="shared" si="5"/>
        <v>0.8640000000000001</v>
      </c>
    </row>
    <row r="13" spans="2:37" s="18" customFormat="1">
      <c r="B13" s="75" t="s">
        <v>7346</v>
      </c>
      <c r="C13" s="56" t="s">
        <v>1720</v>
      </c>
      <c r="D13" s="56" t="s">
        <v>1562</v>
      </c>
      <c r="E13" s="56">
        <f t="shared" si="6"/>
        <v>1988</v>
      </c>
      <c r="F13" s="197">
        <v>0.61</v>
      </c>
      <c r="G13" s="108">
        <f>'[1]GB-22A'!$AU$16/1000</f>
        <v>0.68</v>
      </c>
      <c r="H13" s="198">
        <v>0.77900000000000003</v>
      </c>
      <c r="I13" s="109">
        <f>'[1]GB-22A'!$AU$20/100</f>
        <v>0.77849999999999997</v>
      </c>
      <c r="J13" s="109">
        <f>'[1]GB-22A'!$AU$21/100</f>
        <v>0.92059999999999997</v>
      </c>
      <c r="K13" s="108">
        <f t="shared" si="7"/>
        <v>0.61</v>
      </c>
      <c r="L13" s="95"/>
      <c r="M13" s="95"/>
      <c r="N13" s="111"/>
      <c r="O13" s="92"/>
      <c r="P13" s="92"/>
      <c r="Q13" s="92"/>
      <c r="R13" s="128">
        <f>YEAR(AC13)+5</f>
        <v>2023</v>
      </c>
      <c r="S13" s="128">
        <f t="shared" si="8"/>
        <v>35</v>
      </c>
      <c r="T13" s="112">
        <f t="shared" si="9"/>
        <v>1.0234219354838709</v>
      </c>
      <c r="U13" s="95">
        <v>1</v>
      </c>
      <c r="V13" s="113">
        <v>31.536000000000001</v>
      </c>
      <c r="X13" s="92" t="str">
        <f>'GB-22A'!$AU$11</f>
        <v xml:space="preserve">GCR  </v>
      </c>
      <c r="Y13" s="92" t="str">
        <f>'GB-22A'!$AU$12</f>
        <v>AGR</v>
      </c>
      <c r="Z13" s="92" t="str">
        <f>'GB-22A'!$AU$7</f>
        <v>HEYSHAM-B1</v>
      </c>
      <c r="AA13" s="95">
        <v>30</v>
      </c>
      <c r="AB13" s="114">
        <f>'GB-22A'!$AU$18</f>
        <v>32336</v>
      </c>
      <c r="AC13" s="115">
        <f t="shared" si="0"/>
        <v>43293</v>
      </c>
      <c r="AD13" s="92" t="str">
        <f>'GB-22A'!$AU$19</f>
        <v>27000</v>
      </c>
      <c r="AE13" s="110">
        <f t="shared" si="1"/>
        <v>5483.8300799999997</v>
      </c>
      <c r="AF13" s="109">
        <f>'GB-22A'!$AU$16/'GB-22A'!$AU$13</f>
        <v>0.43870967741935485</v>
      </c>
      <c r="AG13" s="110">
        <f t="shared" si="2"/>
        <v>12499.906799999999</v>
      </c>
      <c r="AH13" s="116">
        <f t="shared" si="3"/>
        <v>19.289979629629627</v>
      </c>
      <c r="AI13" s="110">
        <f>AH13*Assumptions!$H$8</f>
        <v>77.159918518518509</v>
      </c>
      <c r="AJ13" s="110">
        <f t="shared" si="4"/>
        <v>284.28387096774196</v>
      </c>
      <c r="AK13" s="109">
        <f t="shared" si="5"/>
        <v>1.0234219354838709</v>
      </c>
    </row>
    <row r="14" spans="2:37" s="18" customFormat="1">
      <c r="B14" s="75" t="s">
        <v>7347</v>
      </c>
      <c r="C14" s="56" t="s">
        <v>1720</v>
      </c>
      <c r="D14" s="56" t="s">
        <v>1562</v>
      </c>
      <c r="E14" s="56">
        <f t="shared" si="6"/>
        <v>1988</v>
      </c>
      <c r="F14" s="202">
        <v>0.61</v>
      </c>
      <c r="G14" s="108">
        <f>'[1]GB-22B'!$AU$16/1000</f>
        <v>0.68</v>
      </c>
      <c r="H14" s="198">
        <v>0.753</v>
      </c>
      <c r="I14" s="109">
        <f>'[1]GB-22B'!$AU$20/100</f>
        <v>0.92359999999999998</v>
      </c>
      <c r="J14" s="109">
        <f>'[1]GB-22B'!$AU$21/100</f>
        <v>0.26469999999999999</v>
      </c>
      <c r="K14" s="108">
        <f t="shared" si="7"/>
        <v>0.61</v>
      </c>
      <c r="L14" s="95"/>
      <c r="M14" s="95"/>
      <c r="N14" s="111"/>
      <c r="O14" s="92"/>
      <c r="P14" s="92"/>
      <c r="Q14" s="92"/>
      <c r="R14" s="128">
        <f>YEAR(AC14)+5</f>
        <v>2023</v>
      </c>
      <c r="S14" s="128">
        <f t="shared" si="8"/>
        <v>35</v>
      </c>
      <c r="T14" s="112">
        <f t="shared" si="9"/>
        <v>1.0234219354838709</v>
      </c>
      <c r="U14" s="95">
        <v>1</v>
      </c>
      <c r="V14" s="113">
        <v>31.536000000000001</v>
      </c>
      <c r="X14" s="92" t="str">
        <f>'GB-22B'!$AU$11</f>
        <v xml:space="preserve">GCR  </v>
      </c>
      <c r="Y14" s="92" t="str">
        <f>'GB-22B'!$AU$12</f>
        <v>AGR</v>
      </c>
      <c r="Z14" s="92" t="str">
        <f>'GB-22B'!$AU$7</f>
        <v>HEYSHAM-B2</v>
      </c>
      <c r="AA14" s="95">
        <v>30</v>
      </c>
      <c r="AB14" s="114">
        <f>'GB-22B'!$AU$18</f>
        <v>32458</v>
      </c>
      <c r="AC14" s="115">
        <f t="shared" si="0"/>
        <v>43415</v>
      </c>
      <c r="AD14" s="92" t="str">
        <f>'GB-22B'!$AU$19</f>
        <v>27000</v>
      </c>
      <c r="AE14" s="110">
        <f t="shared" si="1"/>
        <v>1576.7649600000002</v>
      </c>
      <c r="AF14" s="109">
        <f>'GB-22B'!$AU$16/'GB-22B'!$AU$13</f>
        <v>0.43870967741935485</v>
      </c>
      <c r="AG14" s="110">
        <f t="shared" si="2"/>
        <v>3594.0966000000003</v>
      </c>
      <c r="AH14" s="116">
        <f t="shared" si="3"/>
        <v>5.5464453703703711</v>
      </c>
      <c r="AI14" s="110">
        <f>AH14*Assumptions!$H$8</f>
        <v>22.185781481481484</v>
      </c>
      <c r="AJ14" s="110">
        <f t="shared" si="4"/>
        <v>284.28387096774196</v>
      </c>
      <c r="AK14" s="109">
        <f t="shared" si="5"/>
        <v>1.0234219354838709</v>
      </c>
    </row>
    <row r="15" spans="2:37" s="18" customFormat="1">
      <c r="B15" s="75" t="s">
        <v>7348</v>
      </c>
      <c r="C15" s="56" t="s">
        <v>1720</v>
      </c>
      <c r="D15" s="56" t="s">
        <v>1562</v>
      </c>
      <c r="E15" s="56">
        <f t="shared" si="6"/>
        <v>1976</v>
      </c>
      <c r="F15" s="197">
        <f>'[1]GB-16A'!$AU$17/1000</f>
        <v>0.435</v>
      </c>
      <c r="G15" s="108">
        <f>'[1]GB-16A'!$AU$16/1000</f>
        <v>0.65500000000000003</v>
      </c>
      <c r="H15" s="198">
        <v>0.75900000000000001</v>
      </c>
      <c r="I15" s="109">
        <f>'[1]GB-16A'!$AU$20/100</f>
        <v>0.85719999999999996</v>
      </c>
      <c r="J15" s="109">
        <f>'[1]GB-16A'!$AU$21/100</f>
        <v>0.87769999999999992</v>
      </c>
      <c r="K15" s="108">
        <f t="shared" si="7"/>
        <v>0.435</v>
      </c>
      <c r="L15" s="95"/>
      <c r="M15" s="95"/>
      <c r="N15" s="111"/>
      <c r="O15" s="92"/>
      <c r="P15" s="92"/>
      <c r="Q15" s="92"/>
      <c r="R15" s="128">
        <f t="shared" ref="R15:R20" si="10">YEAR(AC15)+10</f>
        <v>2016</v>
      </c>
      <c r="S15" s="128">
        <f t="shared" si="8"/>
        <v>40</v>
      </c>
      <c r="T15" s="112">
        <f t="shared" si="9"/>
        <v>1.0227469879518072</v>
      </c>
      <c r="U15" s="95">
        <v>1</v>
      </c>
      <c r="V15" s="113">
        <v>31.536000000000001</v>
      </c>
      <c r="X15" s="92" t="str">
        <f>'GB-16A'!$AU$11</f>
        <v xml:space="preserve">GCR  </v>
      </c>
      <c r="Y15" s="92" t="str">
        <f>'GB-16A'!$AU$12</f>
        <v>AGR</v>
      </c>
      <c r="Z15" s="92" t="str">
        <f>'GB-16A'!$AU$7</f>
        <v>HINKLEY POINT-B1</v>
      </c>
      <c r="AA15" s="95">
        <v>30</v>
      </c>
      <c r="AB15" s="114">
        <f>'GB-16A'!$AU$18</f>
        <v>28063</v>
      </c>
      <c r="AC15" s="115">
        <f t="shared" si="0"/>
        <v>39020</v>
      </c>
      <c r="AD15" s="92" t="str">
        <f>'GB-16A'!$AU$19</f>
        <v>27000</v>
      </c>
      <c r="AE15" s="110">
        <f t="shared" si="1"/>
        <v>5036.0670599999994</v>
      </c>
      <c r="AF15" s="109">
        <f>'GB-16A'!$AU$16/'GB-16A'!$AU$13</f>
        <v>0.43842034805890229</v>
      </c>
      <c r="AG15" s="110">
        <f t="shared" si="2"/>
        <v>11486.846087999998</v>
      </c>
      <c r="AH15" s="116">
        <f t="shared" si="3"/>
        <v>17.72661433333333</v>
      </c>
      <c r="AI15" s="110">
        <f>AH15*Assumptions!$H$8</f>
        <v>70.906457333333321</v>
      </c>
      <c r="AJ15" s="110">
        <f t="shared" si="4"/>
        <v>284.09638554216866</v>
      </c>
      <c r="AK15" s="109">
        <f t="shared" si="5"/>
        <v>1.0227469879518072</v>
      </c>
    </row>
    <row r="16" spans="2:37" s="18" customFormat="1">
      <c r="B16" s="75" t="s">
        <v>7349</v>
      </c>
      <c r="C16" s="56" t="s">
        <v>1720</v>
      </c>
      <c r="D16" s="56" t="s">
        <v>1562</v>
      </c>
      <c r="E16" s="56">
        <f t="shared" si="6"/>
        <v>1976</v>
      </c>
      <c r="F16" s="197">
        <f>'[1]GB-16B'!$AU$17/1000</f>
        <v>0.435</v>
      </c>
      <c r="G16" s="108">
        <f>'[1]GB-16B'!$AU$16/1000</f>
        <v>0.65500000000000003</v>
      </c>
      <c r="H16" s="198">
        <v>0.74199999999999999</v>
      </c>
      <c r="I16" s="109">
        <f>'[1]GB-16B'!$AU$20/100</f>
        <v>0.62829999999999997</v>
      </c>
      <c r="J16" s="109">
        <f>'[1]GB-16B'!$AU$21/100</f>
        <v>0.86629999999999996</v>
      </c>
      <c r="K16" s="108">
        <f t="shared" si="7"/>
        <v>0.435</v>
      </c>
      <c r="L16" s="95"/>
      <c r="M16" s="95"/>
      <c r="N16" s="111"/>
      <c r="O16" s="92"/>
      <c r="P16" s="92"/>
      <c r="Q16" s="92"/>
      <c r="R16" s="128">
        <f t="shared" si="10"/>
        <v>2016</v>
      </c>
      <c r="S16" s="128">
        <f t="shared" si="8"/>
        <v>40</v>
      </c>
      <c r="T16" s="112">
        <f t="shared" si="9"/>
        <v>1.0227469879518072</v>
      </c>
      <c r="U16" s="95">
        <v>1</v>
      </c>
      <c r="V16" s="113">
        <v>31.536000000000001</v>
      </c>
      <c r="X16" s="92" t="str">
        <f>'GB-16B'!$AU$11</f>
        <v xml:space="preserve">GCR  </v>
      </c>
      <c r="Y16" s="92" t="str">
        <f>'GB-16B'!$AU$12</f>
        <v>AGR</v>
      </c>
      <c r="Z16" s="92" t="str">
        <f>'GB-16B'!$AU$7</f>
        <v>HINKLEY POINT-B2</v>
      </c>
      <c r="AA16" s="95">
        <v>30</v>
      </c>
      <c r="AB16" s="114">
        <f>'GB-16B'!$AU$18</f>
        <v>27795</v>
      </c>
      <c r="AC16" s="115">
        <f t="shared" si="0"/>
        <v>38753</v>
      </c>
      <c r="AD16" s="92" t="str">
        <f>'GB-16B'!$AU$19</f>
        <v>27000</v>
      </c>
      <c r="AE16" s="110">
        <f t="shared" si="1"/>
        <v>4970.6561399999991</v>
      </c>
      <c r="AF16" s="109">
        <f>'GB-16B'!$AU$16/'GB-16B'!$AU$13</f>
        <v>0.43842034805890229</v>
      </c>
      <c r="AG16" s="110">
        <f t="shared" si="2"/>
        <v>11337.649271999997</v>
      </c>
      <c r="AH16" s="116">
        <f t="shared" si="3"/>
        <v>17.49637233333333</v>
      </c>
      <c r="AI16" s="110">
        <f>AH16*Assumptions!$H$8</f>
        <v>69.985489333333319</v>
      </c>
      <c r="AJ16" s="110">
        <f t="shared" si="4"/>
        <v>284.09638554216866</v>
      </c>
      <c r="AK16" s="109">
        <f t="shared" si="5"/>
        <v>1.0227469879518072</v>
      </c>
    </row>
    <row r="17" spans="2:37" s="18" customFormat="1">
      <c r="B17" s="75" t="s">
        <v>7350</v>
      </c>
      <c r="C17" s="56" t="s">
        <v>1720</v>
      </c>
      <c r="D17" s="56" t="s">
        <v>1562</v>
      </c>
      <c r="E17" s="56">
        <f t="shared" si="6"/>
        <v>1976</v>
      </c>
      <c r="F17" s="197">
        <f>'[1]GB-17A'!$AU$17/1000</f>
        <v>0.46</v>
      </c>
      <c r="G17" s="108">
        <f>'[1]GB-17A'!$AU$16/1000</f>
        <v>0.64400000000000002</v>
      </c>
      <c r="H17" s="198">
        <v>0.71299999999999997</v>
      </c>
      <c r="I17" s="109">
        <f>'[1]GB-17A'!$AU$20/100</f>
        <v>0.78590000000000004</v>
      </c>
      <c r="J17" s="109">
        <f>'[1]GB-17A'!$AU$21/100</f>
        <v>0.96510000000000007</v>
      </c>
      <c r="K17" s="108">
        <f t="shared" si="7"/>
        <v>0.46</v>
      </c>
      <c r="L17" s="95"/>
      <c r="M17" s="95"/>
      <c r="N17" s="111"/>
      <c r="O17" s="92"/>
      <c r="P17" s="92"/>
      <c r="Q17" s="92"/>
      <c r="R17" s="128">
        <f t="shared" si="10"/>
        <v>2016</v>
      </c>
      <c r="S17" s="128">
        <f t="shared" si="8"/>
        <v>40</v>
      </c>
      <c r="T17" s="112">
        <f t="shared" si="9"/>
        <v>0.78106524064171123</v>
      </c>
      <c r="U17" s="95">
        <v>1</v>
      </c>
      <c r="V17" s="113">
        <v>31.536000000000001</v>
      </c>
      <c r="X17" s="92" t="str">
        <f>'GB-17A'!$AU$11</f>
        <v xml:space="preserve">GCR  </v>
      </c>
      <c r="Y17" s="92" t="str">
        <f>'GB-17A'!$AU$12</f>
        <v>AGR</v>
      </c>
      <c r="Z17" s="92" t="str">
        <f>'GB-17A'!$AU$7</f>
        <v>HUNTERSTON-B1</v>
      </c>
      <c r="AA17" s="95">
        <v>30</v>
      </c>
      <c r="AB17" s="114">
        <f>'GB-17A'!$AU$18</f>
        <v>27796</v>
      </c>
      <c r="AC17" s="115">
        <f t="shared" si="0"/>
        <v>38754</v>
      </c>
      <c r="AD17" s="92" t="str">
        <f>'GB-17A'!$AU$19</f>
        <v>21000</v>
      </c>
      <c r="AE17" s="110">
        <f t="shared" si="1"/>
        <v>5444.5537440000007</v>
      </c>
      <c r="AF17" s="109">
        <f>'GB-17A'!$AU$16/'GB-17A'!$AU$13</f>
        <v>0.43048128342245989</v>
      </c>
      <c r="AG17" s="110">
        <f t="shared" si="2"/>
        <v>12647.596896000001</v>
      </c>
      <c r="AH17" s="116">
        <f t="shared" si="3"/>
        <v>25.09443828571429</v>
      </c>
      <c r="AI17" s="110">
        <f>AH17*Assumptions!$H$8</f>
        <v>100.37775314285716</v>
      </c>
      <c r="AJ17" s="110">
        <f t="shared" si="4"/>
        <v>216.96256684491979</v>
      </c>
      <c r="AK17" s="109">
        <f t="shared" si="5"/>
        <v>0.78106524064171123</v>
      </c>
    </row>
    <row r="18" spans="2:37" s="18" customFormat="1">
      <c r="B18" s="75" t="s">
        <v>7351</v>
      </c>
      <c r="C18" s="56" t="s">
        <v>1720</v>
      </c>
      <c r="D18" s="56" t="s">
        <v>1562</v>
      </c>
      <c r="E18" s="56">
        <f t="shared" si="6"/>
        <v>1977</v>
      </c>
      <c r="F18" s="108">
        <f>'[1]GB-17B'!$AU$17/1000</f>
        <v>0.43</v>
      </c>
      <c r="G18" s="108">
        <f>'[1]GB-17B'!$AU$16/1000</f>
        <v>0.64400000000000002</v>
      </c>
      <c r="H18" s="198">
        <v>0.71599999999999997</v>
      </c>
      <c r="I18" s="109">
        <f>'[1]GB-17B'!$AU$20/100</f>
        <v>0.69709999999999994</v>
      </c>
      <c r="J18" s="109">
        <f>'[1]GB-17B'!$AU$21/100</f>
        <v>0.85450000000000004</v>
      </c>
      <c r="K18" s="108">
        <f t="shared" si="7"/>
        <v>0.43</v>
      </c>
      <c r="L18" s="95"/>
      <c r="M18" s="95"/>
      <c r="N18" s="111"/>
      <c r="O18" s="92"/>
      <c r="P18" s="92"/>
      <c r="Q18" s="92"/>
      <c r="R18" s="128">
        <f t="shared" si="10"/>
        <v>2017</v>
      </c>
      <c r="S18" s="128">
        <f t="shared" si="8"/>
        <v>40</v>
      </c>
      <c r="T18" s="112">
        <f t="shared" si="9"/>
        <v>0.78106524064171123</v>
      </c>
      <c r="U18" s="95">
        <v>1</v>
      </c>
      <c r="V18" s="113">
        <v>31.536000000000001</v>
      </c>
      <c r="X18" s="92" t="str">
        <f>'GB-17B'!$AU$11</f>
        <v xml:space="preserve">GCR  </v>
      </c>
      <c r="Y18" s="92" t="str">
        <f>'GB-17B'!$AU$12</f>
        <v>AGR</v>
      </c>
      <c r="Z18" s="92" t="str">
        <f>'GB-17B'!$AU$7</f>
        <v>HUNTERSTON-B2</v>
      </c>
      <c r="AA18" s="95">
        <v>30</v>
      </c>
      <c r="AB18" s="114">
        <f>'GB-17B'!$AU$18</f>
        <v>28215</v>
      </c>
      <c r="AC18" s="115">
        <f t="shared" si="0"/>
        <v>39172</v>
      </c>
      <c r="AD18" s="92" t="str">
        <f>'GB-17B'!$AU$19</f>
        <v>21000</v>
      </c>
      <c r="AE18" s="110">
        <f t="shared" si="1"/>
        <v>4820.6104800000003</v>
      </c>
      <c r="AF18" s="109">
        <f>'GB-17B'!$AU$16/'GB-17B'!$AU$13</f>
        <v>0.43048128342245989</v>
      </c>
      <c r="AG18" s="110">
        <f t="shared" si="2"/>
        <v>11198.188320000001</v>
      </c>
      <c r="AH18" s="116">
        <f t="shared" si="3"/>
        <v>22.21862761904762</v>
      </c>
      <c r="AI18" s="110">
        <f>AH18*Assumptions!$H$8</f>
        <v>88.87451047619048</v>
      </c>
      <c r="AJ18" s="110">
        <f t="shared" si="4"/>
        <v>216.96256684491979</v>
      </c>
      <c r="AK18" s="109">
        <f t="shared" si="5"/>
        <v>0.78106524064171123</v>
      </c>
    </row>
    <row r="19" spans="2:37" s="18" customFormat="1">
      <c r="B19" s="204" t="s">
        <v>7352</v>
      </c>
      <c r="C19" s="207" t="s">
        <v>1720</v>
      </c>
      <c r="D19" s="207" t="s">
        <v>1562</v>
      </c>
      <c r="E19" s="207">
        <f t="shared" si="6"/>
        <v>1967</v>
      </c>
      <c r="F19" s="206">
        <f>'[1]GB-11A'!$AU$17/1000</f>
        <v>0.217</v>
      </c>
      <c r="G19" s="206">
        <f>'[1]GB-11A'!$AU$16/1000</f>
        <v>0.23</v>
      </c>
      <c r="H19" s="205"/>
      <c r="I19" s="205">
        <f>'[1]GB-11A'!$AU$20/100</f>
        <v>0.39169999999999999</v>
      </c>
      <c r="J19" s="205">
        <f>'[1]GB-11A'!$AU$21/100</f>
        <v>0.90920000000000001</v>
      </c>
      <c r="K19" s="206">
        <f t="shared" si="7"/>
        <v>0.217</v>
      </c>
      <c r="L19" s="95"/>
      <c r="M19" s="95"/>
      <c r="N19" s="111"/>
      <c r="O19" s="92"/>
      <c r="P19" s="92"/>
      <c r="Q19" s="92"/>
      <c r="R19" s="208">
        <f t="shared" si="10"/>
        <v>2007</v>
      </c>
      <c r="S19" s="208">
        <f t="shared" si="8"/>
        <v>40</v>
      </c>
      <c r="T19" s="205">
        <f t="shared" si="9"/>
        <v>0.14781501369863012</v>
      </c>
      <c r="U19" s="209">
        <v>1</v>
      </c>
      <c r="V19" s="210">
        <v>31.536000000000001</v>
      </c>
      <c r="X19" s="209" t="str">
        <f>'[1]GB-11A'!$AU$11</f>
        <v xml:space="preserve">GCR  </v>
      </c>
      <c r="Y19" s="209" t="str">
        <f>'[1]GB-11A'!$AU$12</f>
        <v>MAGNOX</v>
      </c>
      <c r="Z19" s="209" t="str">
        <f>'[1]GB-11A'!$AU$7</f>
        <v>OLDBURY-A1</v>
      </c>
      <c r="AA19" s="209">
        <v>30</v>
      </c>
      <c r="AB19" s="211">
        <f>'[1]GB-11A'!$AU$18</f>
        <v>24783</v>
      </c>
      <c r="AC19" s="212">
        <f t="shared" si="0"/>
        <v>35741</v>
      </c>
      <c r="AD19" s="209" t="str">
        <f>'[1]GB-11A'!$AU$19</f>
        <v>5430</v>
      </c>
      <c r="AE19" s="213">
        <f>G19*I19*8760</f>
        <v>789.19716000000005</v>
      </c>
      <c r="AF19" s="205">
        <f>'[1]GB-11A'!$AU$16/'[1]GB-11A'!$AU$13</f>
        <v>0.31506849315068491</v>
      </c>
      <c r="AG19" s="213">
        <f t="shared" si="2"/>
        <v>2504.8431600000004</v>
      </c>
      <c r="AH19" s="214">
        <f t="shared" si="3"/>
        <v>19.220711786372011</v>
      </c>
      <c r="AI19" s="213">
        <f>AH19*[1]Assumptions!$H$8</f>
        <v>76.882847145488043</v>
      </c>
      <c r="AJ19" s="213">
        <f t="shared" si="4"/>
        <v>41.059726027397254</v>
      </c>
      <c r="AK19" s="205">
        <f t="shared" si="5"/>
        <v>0.14781501369863012</v>
      </c>
    </row>
    <row r="20" spans="2:37" s="18" customFormat="1">
      <c r="B20" s="75" t="s">
        <v>7354</v>
      </c>
      <c r="C20" s="56" t="s">
        <v>1720</v>
      </c>
      <c r="D20" s="56" t="s">
        <v>1562</v>
      </c>
      <c r="E20" s="56">
        <f t="shared" si="6"/>
        <v>1995</v>
      </c>
      <c r="F20" s="197">
        <f>'[1]GB-24'!$AU$17/1000</f>
        <v>1.1910000000000001</v>
      </c>
      <c r="G20" s="108">
        <f>'[1]GB-24'!$AU$16/1000</f>
        <v>1.25</v>
      </c>
      <c r="H20" s="198">
        <v>0.83700000000000008</v>
      </c>
      <c r="I20" s="109">
        <f>'[1]GB-24'!$AU$20/100</f>
        <v>0.83560000000000001</v>
      </c>
      <c r="J20" s="109">
        <f>'[1]GB-24'!$AU$21/100</f>
        <v>0.45880000000000004</v>
      </c>
      <c r="K20" s="108">
        <f t="shared" si="7"/>
        <v>1.1910000000000001</v>
      </c>
      <c r="L20" s="95"/>
      <c r="M20" s="95"/>
      <c r="N20" s="111"/>
      <c r="O20" s="92"/>
      <c r="P20" s="92"/>
      <c r="Q20" s="92"/>
      <c r="R20" s="128">
        <f t="shared" si="10"/>
        <v>2035</v>
      </c>
      <c r="S20" s="128">
        <f t="shared" si="8"/>
        <v>40</v>
      </c>
      <c r="T20" s="112">
        <f t="shared" si="9"/>
        <v>1.0405839416058393</v>
      </c>
      <c r="U20" s="95">
        <v>1</v>
      </c>
      <c r="V20" s="113">
        <v>31.536000000000001</v>
      </c>
      <c r="X20" s="92" t="str">
        <f>'GB-24'!$AU$11</f>
        <v xml:space="preserve">PWR  </v>
      </c>
      <c r="Y20" s="92" t="str">
        <f>'GB-24'!$AU$12</f>
        <v>SNUPPS</v>
      </c>
      <c r="Z20" s="92" t="str">
        <f>'GB-24'!$AU$7</f>
        <v>SIZEWELL-B</v>
      </c>
      <c r="AA20" s="95">
        <v>30</v>
      </c>
      <c r="AB20" s="114">
        <f>'GB-24'!$AU$18</f>
        <v>34744</v>
      </c>
      <c r="AC20" s="115">
        <f t="shared" si="0"/>
        <v>45702</v>
      </c>
      <c r="AD20" s="92" t="str">
        <f>'GB-24'!$AU$19</f>
        <v>33000</v>
      </c>
      <c r="AE20" s="110">
        <f>G20*J20*8760</f>
        <v>5023.8599999999997</v>
      </c>
      <c r="AF20" s="109">
        <f>'GB-24'!$AU$16/'GB-24'!$AU$13</f>
        <v>0.36496350364963503</v>
      </c>
      <c r="AG20" s="110">
        <f t="shared" si="2"/>
        <v>13765.376399999999</v>
      </c>
      <c r="AH20" s="116">
        <f t="shared" si="3"/>
        <v>17.380525757575757</v>
      </c>
      <c r="AI20" s="110">
        <f>AH20*Assumptions!$H$7</f>
        <v>139.04420606060606</v>
      </c>
      <c r="AJ20" s="110">
        <f t="shared" si="4"/>
        <v>289.05109489051091</v>
      </c>
      <c r="AK20" s="109">
        <f t="shared" si="5"/>
        <v>1.0405839416058393</v>
      </c>
    </row>
    <row r="21" spans="2:37" s="18" customFormat="1">
      <c r="B21" s="75" t="s">
        <v>7353</v>
      </c>
      <c r="C21" s="56" t="s">
        <v>1720</v>
      </c>
      <c r="D21" s="56" t="s">
        <v>1562</v>
      </c>
      <c r="E21" s="56">
        <f t="shared" si="6"/>
        <v>1988</v>
      </c>
      <c r="F21" s="202">
        <v>0.59499999999999997</v>
      </c>
      <c r="G21" s="108">
        <f>'[1]GB-23A'!$AU$16/1000</f>
        <v>0.68200000000000005</v>
      </c>
      <c r="H21" s="198">
        <v>0.755</v>
      </c>
      <c r="I21" s="109">
        <f>'[1]GB-23A'!$AU$20/100</f>
        <v>0.85260000000000002</v>
      </c>
      <c r="J21" s="109">
        <f>'[1]GB-23A'!$AU$21/100</f>
        <v>0.48810000000000003</v>
      </c>
      <c r="K21" s="108">
        <f t="shared" si="7"/>
        <v>0.59499999999999997</v>
      </c>
      <c r="L21" s="95"/>
      <c r="M21" s="95"/>
      <c r="N21" s="111"/>
      <c r="O21" s="92"/>
      <c r="P21" s="92"/>
      <c r="Q21" s="92"/>
      <c r="R21" s="128">
        <f>YEAR(AC21)+5</f>
        <v>2023</v>
      </c>
      <c r="S21" s="128">
        <f t="shared" si="8"/>
        <v>35</v>
      </c>
      <c r="T21" s="112">
        <f t="shared" si="9"/>
        <v>1.071029944547135</v>
      </c>
      <c r="U21" s="95">
        <v>1</v>
      </c>
      <c r="V21" s="113">
        <v>31.536000000000001</v>
      </c>
      <c r="X21" s="92" t="str">
        <f>'GB-23A'!$AU$11</f>
        <v xml:space="preserve">GCR  </v>
      </c>
      <c r="Y21" s="92" t="str">
        <f>'GB-23A'!$AU$12</f>
        <v>AGR</v>
      </c>
      <c r="Z21" s="92" t="str">
        <f>'GB-23A'!$AU$7</f>
        <v>TORNESS 1</v>
      </c>
      <c r="AA21" s="95">
        <v>30</v>
      </c>
      <c r="AB21" s="114">
        <f>'GB-23A'!$AU$18</f>
        <v>32288</v>
      </c>
      <c r="AC21" s="115">
        <f t="shared" si="0"/>
        <v>43245</v>
      </c>
      <c r="AD21" s="92" t="str">
        <f>'GB-23A'!$AU$19</f>
        <v>29500</v>
      </c>
      <c r="AE21" s="110">
        <f>G21*J21*8760</f>
        <v>2916.0655920000008</v>
      </c>
      <c r="AF21" s="109">
        <f>'GB-23A'!$AU$16/'GB-23A'!$AU$13</f>
        <v>0.42020948860135554</v>
      </c>
      <c r="AG21" s="110">
        <f t="shared" si="2"/>
        <v>6939.551988000002</v>
      </c>
      <c r="AH21" s="116">
        <f t="shared" si="3"/>
        <v>9.801627101694919</v>
      </c>
      <c r="AI21" s="110">
        <f>AH21*Assumptions!$H$8</f>
        <v>39.206508406779676</v>
      </c>
      <c r="AJ21" s="110">
        <f t="shared" si="4"/>
        <v>297.5083179297597</v>
      </c>
      <c r="AK21" s="109">
        <f t="shared" si="5"/>
        <v>1.071029944547135</v>
      </c>
    </row>
    <row r="22" spans="2:37" s="18" customFormat="1">
      <c r="B22" s="75" t="s">
        <v>7355</v>
      </c>
      <c r="C22" s="56" t="s">
        <v>1720</v>
      </c>
      <c r="D22" s="56" t="s">
        <v>1562</v>
      </c>
      <c r="E22" s="56">
        <f t="shared" si="6"/>
        <v>1989</v>
      </c>
      <c r="F22" s="202">
        <v>0.59499999999999997</v>
      </c>
      <c r="G22" s="108">
        <f>'[1]GB-23B'!$AU$16/1000</f>
        <v>0.68200000000000005</v>
      </c>
      <c r="H22" s="198">
        <v>0.75599999999999989</v>
      </c>
      <c r="I22" s="109">
        <f>'[1]GB-23B'!$AU$20/100</f>
        <v>0.88069999999999993</v>
      </c>
      <c r="J22" s="109">
        <f>'[1]GB-23B'!$AU$21/100</f>
        <v>0.85499999999999998</v>
      </c>
      <c r="K22" s="108">
        <f t="shared" si="7"/>
        <v>0.59499999999999997</v>
      </c>
      <c r="L22" s="95"/>
      <c r="M22" s="95"/>
      <c r="N22" s="111"/>
      <c r="O22" s="92"/>
      <c r="P22" s="92"/>
      <c r="Q22" s="92"/>
      <c r="R22" s="128">
        <f>YEAR(AC22)+5</f>
        <v>2024</v>
      </c>
      <c r="S22" s="128">
        <f t="shared" si="8"/>
        <v>35</v>
      </c>
      <c r="T22" s="112">
        <f>AK22</f>
        <v>1.0710299445471352</v>
      </c>
      <c r="U22" s="95">
        <v>1</v>
      </c>
      <c r="V22" s="113">
        <v>31.536000000000001</v>
      </c>
      <c r="X22" s="92" t="str">
        <f>'GB-23B'!$AU$11</f>
        <v xml:space="preserve">GCR  </v>
      </c>
      <c r="Y22" s="92" t="str">
        <f>'GB-23B'!$AU$12</f>
        <v>AGR</v>
      </c>
      <c r="Z22" s="92" t="str">
        <f>'GB-23B'!$AU$7</f>
        <v>TORNESS 2</v>
      </c>
      <c r="AA22" s="95">
        <v>30</v>
      </c>
      <c r="AB22" s="114">
        <f>'GB-23B'!$AU$18</f>
        <v>32542</v>
      </c>
      <c r="AC22" s="115">
        <f t="shared" si="0"/>
        <v>43499</v>
      </c>
      <c r="AD22" s="92" t="str">
        <f>'GB-23B'!$AU$19</f>
        <v>29500</v>
      </c>
      <c r="AE22" s="110">
        <f>G22*J22*8760</f>
        <v>5108.0436</v>
      </c>
      <c r="AF22" s="109">
        <f>'GB-23B'!$AU$16/'GB-23B'!$AU$13</f>
        <v>0.42020948860135554</v>
      </c>
      <c r="AG22" s="110">
        <f t="shared" si="2"/>
        <v>12155.945399999999</v>
      </c>
      <c r="AH22" s="116">
        <f t="shared" si="3"/>
        <v>17.169414406779659</v>
      </c>
      <c r="AI22" s="110">
        <f>AH22*Assumptions!$H$8</f>
        <v>68.677657627118634</v>
      </c>
      <c r="AJ22" s="110">
        <f t="shared" si="4"/>
        <v>297.50831792975976</v>
      </c>
      <c r="AK22" s="109">
        <f t="shared" si="5"/>
        <v>1.0710299445471352</v>
      </c>
    </row>
    <row r="23" spans="2:37" s="18" customFormat="1">
      <c r="B23" s="75" t="s">
        <v>7356</v>
      </c>
      <c r="C23" s="56" t="s">
        <v>1720</v>
      </c>
      <c r="D23" s="56" t="s">
        <v>1562</v>
      </c>
      <c r="E23" s="56">
        <f t="shared" si="6"/>
        <v>1971</v>
      </c>
      <c r="F23" s="108">
        <f>'[1]GB-13A'!$AU$17/1000</f>
        <v>0.49</v>
      </c>
      <c r="G23" s="108">
        <f>'[1]GB-13A'!$AU$16/1000</f>
        <v>0.54</v>
      </c>
      <c r="H23" s="198">
        <v>0.71</v>
      </c>
      <c r="I23" s="109">
        <f>'[1]GB-13A'!$AU$20/100</f>
        <v>0.69140000000000001</v>
      </c>
      <c r="J23" s="109">
        <f>'[1]GB-13A'!$AU$21/100</f>
        <v>0.81090000000000007</v>
      </c>
      <c r="K23" s="108">
        <f t="shared" si="7"/>
        <v>0.49</v>
      </c>
      <c r="L23" s="95"/>
      <c r="M23" s="95"/>
      <c r="N23" s="111"/>
      <c r="O23" s="92"/>
      <c r="P23" s="92"/>
      <c r="Q23" s="92"/>
      <c r="R23" s="128">
        <f>YEAR(AC23)+13</f>
        <v>2014</v>
      </c>
      <c r="S23" s="128">
        <f t="shared" si="8"/>
        <v>43</v>
      </c>
      <c r="T23" s="112">
        <f t="shared" si="9"/>
        <v>1.3122</v>
      </c>
      <c r="U23" s="95">
        <v>1</v>
      </c>
      <c r="V23" s="113">
        <v>31.536000000000001</v>
      </c>
      <c r="X23" s="92" t="str">
        <f>'GB-13A'!$AU$11</f>
        <v xml:space="preserve">GCR  </v>
      </c>
      <c r="Y23" s="92" t="str">
        <f>'GB-13A'!$AU$12</f>
        <v>MAGNOX</v>
      </c>
      <c r="Z23" s="92" t="str">
        <f>'GB-13A'!$AU$7</f>
        <v>WYLFA 1</v>
      </c>
      <c r="AA23" s="95">
        <v>30</v>
      </c>
      <c r="AB23" s="114">
        <f>'GB-13A'!$AU$18</f>
        <v>25957</v>
      </c>
      <c r="AC23" s="115">
        <f t="shared" si="0"/>
        <v>36915</v>
      </c>
      <c r="AD23" s="92" t="str">
        <f>'GB-13A'!$AU$19</f>
        <v>54000</v>
      </c>
      <c r="AE23" s="110">
        <f>G23*J23*8760</f>
        <v>3835.8813600000003</v>
      </c>
      <c r="AF23" s="109">
        <f>'GB-13A'!$AU$16/'GB-13A'!$AU$13</f>
        <v>0.28125</v>
      </c>
      <c r="AG23" s="110">
        <f t="shared" si="2"/>
        <v>13638.689280000001</v>
      </c>
      <c r="AH23" s="116">
        <f t="shared" si="3"/>
        <v>10.523680000000001</v>
      </c>
      <c r="AI23" s="110">
        <f>AH23*Assumptions!$H$8</f>
        <v>42.094720000000002</v>
      </c>
      <c r="AJ23" s="110">
        <f t="shared" si="4"/>
        <v>364.5</v>
      </c>
      <c r="AK23" s="109">
        <f t="shared" si="5"/>
        <v>1.3122</v>
      </c>
    </row>
    <row r="24" spans="2:37" s="18" customFormat="1">
      <c r="B24" s="204" t="s">
        <v>7357</v>
      </c>
      <c r="C24" s="207" t="s">
        <v>1720</v>
      </c>
      <c r="D24" s="207" t="s">
        <v>1562</v>
      </c>
      <c r="E24" s="207">
        <f t="shared" si="6"/>
        <v>1971</v>
      </c>
      <c r="F24" s="206">
        <f>'[1]GB-13B'!$AU$17/1000</f>
        <v>0.49</v>
      </c>
      <c r="G24" s="206">
        <f>'[1]GB-13B'!$AU$16/1000</f>
        <v>0.54</v>
      </c>
      <c r="H24" s="205"/>
      <c r="I24" s="205">
        <f>'[1]GB-13B'!$AU$20/100</f>
        <v>0.88109999999999999</v>
      </c>
      <c r="J24" s="205">
        <f>'[1]GB-13B'!$AU$21/100</f>
        <v>0.36920000000000003</v>
      </c>
      <c r="K24" s="206">
        <f>F24</f>
        <v>0.49</v>
      </c>
      <c r="L24" s="95"/>
      <c r="M24" s="95"/>
      <c r="N24" s="111"/>
      <c r="O24" s="92"/>
      <c r="P24" s="92"/>
      <c r="Q24" s="92"/>
      <c r="R24" s="208">
        <f>YEAR(AC24)+13</f>
        <v>2014</v>
      </c>
      <c r="S24" s="208">
        <f t="shared" si="8"/>
        <v>43</v>
      </c>
      <c r="T24" s="205">
        <f t="shared" si="9"/>
        <v>1.3122000000000003</v>
      </c>
      <c r="U24" s="209">
        <v>1</v>
      </c>
      <c r="V24" s="210">
        <v>31.536000000000001</v>
      </c>
      <c r="X24" s="209" t="str">
        <f>'[1]GB-13B'!$AU$11</f>
        <v xml:space="preserve">GCR  </v>
      </c>
      <c r="Y24" s="209" t="str">
        <f>'[1]GB-13B'!$AU$12</f>
        <v>MAGNOX</v>
      </c>
      <c r="Z24" s="209" t="str">
        <f>'[1]GB-13B'!$AU$7</f>
        <v>WYLFA 2</v>
      </c>
      <c r="AA24" s="209">
        <v>30</v>
      </c>
      <c r="AB24" s="211">
        <f>'[1]GB-13B'!$AU$18</f>
        <v>26135</v>
      </c>
      <c r="AC24" s="212">
        <f t="shared" si="0"/>
        <v>37093</v>
      </c>
      <c r="AD24" s="209" t="str">
        <f>'[1]GB-13B'!$AU$19</f>
        <v>54000</v>
      </c>
      <c r="AE24" s="213">
        <f>G24*I24*8760</f>
        <v>4167.9554400000006</v>
      </c>
      <c r="AF24" s="205">
        <f>'[1]GB-13B'!$AU$16/'[1]GB-13B'!$AU$13</f>
        <v>0.28125</v>
      </c>
      <c r="AG24" s="213">
        <f t="shared" si="2"/>
        <v>14819.397120000001</v>
      </c>
      <c r="AH24" s="214">
        <f t="shared" si="3"/>
        <v>11.43472</v>
      </c>
      <c r="AI24" s="213">
        <f>AH24*[1]Assumptions!$H$8</f>
        <v>45.738880000000002</v>
      </c>
      <c r="AJ24" s="213">
        <f t="shared" si="4"/>
        <v>364.50000000000006</v>
      </c>
      <c r="AK24" s="205">
        <f t="shared" si="5"/>
        <v>1.3122000000000003</v>
      </c>
    </row>
    <row r="25" spans="2:37" s="18" customFormat="1">
      <c r="B25" s="76" t="s">
        <v>1745</v>
      </c>
      <c r="C25" s="57" t="s">
        <v>1561</v>
      </c>
      <c r="D25" s="57" t="s">
        <v>1562</v>
      </c>
      <c r="E25" s="57">
        <v>2023</v>
      </c>
      <c r="F25" s="117">
        <f t="shared" ref="F25:F31" si="11">F24/G24*G25</f>
        <v>1.5153703703703703</v>
      </c>
      <c r="G25" s="117">
        <f>1670/1000</f>
        <v>1.67</v>
      </c>
      <c r="H25" s="118">
        <v>0.92</v>
      </c>
      <c r="I25" s="118">
        <v>0.92</v>
      </c>
      <c r="J25" s="121"/>
      <c r="K25" s="121"/>
      <c r="L25" s="83"/>
      <c r="M25" s="120">
        <f>F25</f>
        <v>1.5153703703703703</v>
      </c>
      <c r="N25" s="83">
        <f t="shared" ref="N25:N31" si="12">E25</f>
        <v>2023</v>
      </c>
      <c r="O25" s="83">
        <v>2023</v>
      </c>
      <c r="P25" s="85"/>
      <c r="Q25" s="85"/>
      <c r="R25" s="129">
        <f t="shared" ref="R25:R31" si="13">YEAR(AC25)+13</f>
        <v>2091</v>
      </c>
      <c r="S25" s="119">
        <f>R25-E25</f>
        <v>68</v>
      </c>
      <c r="T25" s="121">
        <f>T15</f>
        <v>1.0227469879518072</v>
      </c>
      <c r="U25" s="83">
        <v>1</v>
      </c>
      <c r="V25" s="122">
        <v>31.536000000000001</v>
      </c>
      <c r="X25" s="85" t="s">
        <v>2820</v>
      </c>
      <c r="Y25" s="85" t="s">
        <v>1564</v>
      </c>
      <c r="Z25" s="85" t="s">
        <v>1676</v>
      </c>
      <c r="AA25" s="83">
        <v>60</v>
      </c>
      <c r="AB25" s="123">
        <v>43101</v>
      </c>
      <c r="AC25" s="124">
        <f t="shared" si="0"/>
        <v>65016</v>
      </c>
      <c r="AD25" s="85"/>
      <c r="AE25" s="119">
        <f>G25*J25*8760</f>
        <v>0</v>
      </c>
      <c r="AF25" s="118">
        <f>'GB-13B'!$AU$16/'GB-13B'!$AU$13</f>
        <v>0.28125</v>
      </c>
      <c r="AG25" s="119">
        <f t="shared" si="2"/>
        <v>0</v>
      </c>
      <c r="AH25" s="125" t="e">
        <f>AG25/(AD25*24)*1000</f>
        <v>#DIV/0!</v>
      </c>
      <c r="AI25" s="119" t="e">
        <f>AH25*Assumptions!$H$7</f>
        <v>#DIV/0!</v>
      </c>
      <c r="AJ25" s="119" t="e">
        <f t="shared" si="4"/>
        <v>#DIV/0!</v>
      </c>
      <c r="AK25" s="118" t="e">
        <f t="shared" si="5"/>
        <v>#DIV/0!</v>
      </c>
    </row>
    <row r="26" spans="2:37" s="18" customFormat="1">
      <c r="B26" s="76" t="s">
        <v>1746</v>
      </c>
      <c r="C26" s="57" t="s">
        <v>1561</v>
      </c>
      <c r="D26" s="57" t="s">
        <v>1562</v>
      </c>
      <c r="E26" s="57">
        <v>2023</v>
      </c>
      <c r="F26" s="117">
        <f t="shared" si="11"/>
        <v>1.5153703703703703</v>
      </c>
      <c r="G26" s="117">
        <f>1670/1000</f>
        <v>1.67</v>
      </c>
      <c r="H26" s="118">
        <v>0.92</v>
      </c>
      <c r="I26" s="118">
        <v>0.92</v>
      </c>
      <c r="J26" s="121"/>
      <c r="K26" s="121"/>
      <c r="L26" s="83"/>
      <c r="M26" s="120">
        <f>F26</f>
        <v>1.5153703703703703</v>
      </c>
      <c r="N26" s="83">
        <f t="shared" si="12"/>
        <v>2023</v>
      </c>
      <c r="O26" s="83">
        <v>2023</v>
      </c>
      <c r="P26" s="85"/>
      <c r="Q26" s="85"/>
      <c r="R26" s="129">
        <f t="shared" si="13"/>
        <v>2092</v>
      </c>
      <c r="S26" s="85">
        <f t="shared" ref="S26:S31" si="14">R26-E26</f>
        <v>69</v>
      </c>
      <c r="T26" s="121">
        <f>T16</f>
        <v>1.0227469879518072</v>
      </c>
      <c r="U26" s="83">
        <v>1</v>
      </c>
      <c r="V26" s="122">
        <v>31.536000000000001</v>
      </c>
      <c r="X26" s="85" t="s">
        <v>2820</v>
      </c>
      <c r="Y26" s="85" t="s">
        <v>1564</v>
      </c>
      <c r="Z26" s="85" t="s">
        <v>1677</v>
      </c>
      <c r="AA26" s="83">
        <v>60</v>
      </c>
      <c r="AB26" s="123">
        <v>43466</v>
      </c>
      <c r="AC26" s="124">
        <f t="shared" si="0"/>
        <v>65381</v>
      </c>
      <c r="AD26" s="85"/>
      <c r="AE26" s="119">
        <f>G26*J26*8760</f>
        <v>0</v>
      </c>
      <c r="AF26" s="118">
        <f>'GB-13B'!$AU$16/'GB-13B'!$AU$13</f>
        <v>0.28125</v>
      </c>
      <c r="AG26" s="119">
        <f t="shared" si="2"/>
        <v>0</v>
      </c>
      <c r="AH26" s="125" t="e">
        <f t="shared" si="3"/>
        <v>#DIV/0!</v>
      </c>
      <c r="AI26" s="119" t="e">
        <f>AH26*Assumptions!$H$7</f>
        <v>#DIV/0!</v>
      </c>
      <c r="AJ26" s="119" t="e">
        <f t="shared" si="4"/>
        <v>#DIV/0!</v>
      </c>
      <c r="AK26" s="118" t="e">
        <f t="shared" si="5"/>
        <v>#DIV/0!</v>
      </c>
    </row>
    <row r="27" spans="2:37" s="18" customFormat="1">
      <c r="B27" s="76" t="s">
        <v>1747</v>
      </c>
      <c r="C27" s="57" t="s">
        <v>1561</v>
      </c>
      <c r="D27" s="57" t="s">
        <v>1562</v>
      </c>
      <c r="E27" s="57">
        <v>2023</v>
      </c>
      <c r="F27" s="117">
        <f t="shared" si="11"/>
        <v>1.5153703703703703</v>
      </c>
      <c r="G27" s="117">
        <f>1670/1000</f>
        <v>1.67</v>
      </c>
      <c r="H27" s="118">
        <v>0.92</v>
      </c>
      <c r="I27" s="118">
        <v>0.92</v>
      </c>
      <c r="J27" s="121"/>
      <c r="K27" s="121"/>
      <c r="L27" s="83"/>
      <c r="M27" s="120">
        <f>F27</f>
        <v>1.5153703703703703</v>
      </c>
      <c r="N27" s="83">
        <f t="shared" si="12"/>
        <v>2023</v>
      </c>
      <c r="O27" s="83">
        <v>2023</v>
      </c>
      <c r="P27" s="85"/>
      <c r="Q27" s="85"/>
      <c r="R27" s="129">
        <f t="shared" si="13"/>
        <v>2093</v>
      </c>
      <c r="S27" s="85">
        <f t="shared" si="14"/>
        <v>70</v>
      </c>
      <c r="T27" s="121">
        <v>0.94089599999999995</v>
      </c>
      <c r="U27" s="83">
        <v>1</v>
      </c>
      <c r="V27" s="122">
        <v>31.536000000000001</v>
      </c>
      <c r="X27" s="85" t="s">
        <v>2820</v>
      </c>
      <c r="Y27" s="85" t="s">
        <v>1564</v>
      </c>
      <c r="Z27" s="85" t="s">
        <v>1678</v>
      </c>
      <c r="AA27" s="83">
        <v>60</v>
      </c>
      <c r="AB27" s="123">
        <v>43831</v>
      </c>
      <c r="AC27" s="124">
        <f t="shared" si="0"/>
        <v>65746</v>
      </c>
      <c r="AD27" s="85"/>
      <c r="AE27" s="119">
        <f>G27*J27*8760</f>
        <v>0</v>
      </c>
      <c r="AF27" s="118">
        <f>'GB-13B'!$AU$16/'GB-13B'!$AU$13</f>
        <v>0.28125</v>
      </c>
      <c r="AG27" s="119">
        <f t="shared" si="2"/>
        <v>0</v>
      </c>
      <c r="AH27" s="125" t="e">
        <f t="shared" si="3"/>
        <v>#DIV/0!</v>
      </c>
      <c r="AI27" s="119" t="e">
        <f>AH27*Assumptions!$H$7</f>
        <v>#DIV/0!</v>
      </c>
      <c r="AJ27" s="119" t="e">
        <f t="shared" si="4"/>
        <v>#DIV/0!</v>
      </c>
      <c r="AK27" s="118" t="e">
        <f t="shared" si="5"/>
        <v>#DIV/0!</v>
      </c>
    </row>
    <row r="28" spans="2:37" s="18" customFormat="1">
      <c r="B28" s="76" t="s">
        <v>1748</v>
      </c>
      <c r="C28" s="57" t="s">
        <v>1561</v>
      </c>
      <c r="D28" s="57" t="s">
        <v>1562</v>
      </c>
      <c r="E28" s="57">
        <v>2023</v>
      </c>
      <c r="F28" s="117">
        <f t="shared" si="11"/>
        <v>1.5153703703703703</v>
      </c>
      <c r="G28" s="117">
        <f>1670/1000</f>
        <v>1.67</v>
      </c>
      <c r="H28" s="118">
        <v>0.92</v>
      </c>
      <c r="I28" s="118">
        <v>0.92</v>
      </c>
      <c r="J28" s="121"/>
      <c r="K28" s="121"/>
      <c r="L28" s="83"/>
      <c r="M28" s="120">
        <f>F28</f>
        <v>1.5153703703703703</v>
      </c>
      <c r="N28" s="83">
        <f t="shared" si="12"/>
        <v>2023</v>
      </c>
      <c r="O28" s="83">
        <v>2023</v>
      </c>
      <c r="P28" s="85"/>
      <c r="Q28" s="85"/>
      <c r="R28" s="129">
        <f t="shared" si="13"/>
        <v>2095</v>
      </c>
      <c r="S28" s="85">
        <f t="shared" si="14"/>
        <v>72</v>
      </c>
      <c r="T28" s="121">
        <f>T27</f>
        <v>0.94089599999999995</v>
      </c>
      <c r="U28" s="83">
        <v>1</v>
      </c>
      <c r="V28" s="122">
        <v>31.536000000000001</v>
      </c>
      <c r="X28" s="85" t="s">
        <v>2820</v>
      </c>
      <c r="Y28" s="85" t="s">
        <v>1564</v>
      </c>
      <c r="Z28" s="85" t="s">
        <v>1679</v>
      </c>
      <c r="AA28" s="83">
        <v>60</v>
      </c>
      <c r="AB28" s="123">
        <v>44562</v>
      </c>
      <c r="AC28" s="124">
        <f t="shared" si="0"/>
        <v>66477</v>
      </c>
      <c r="AD28" s="85"/>
      <c r="AE28" s="119">
        <f>G28*J28*8760</f>
        <v>0</v>
      </c>
      <c r="AF28" s="118">
        <f>'GB-13B'!$AU$16/'GB-13B'!$AU$13</f>
        <v>0.28125</v>
      </c>
      <c r="AG28" s="119">
        <f t="shared" si="2"/>
        <v>0</v>
      </c>
      <c r="AH28" s="125" t="e">
        <f t="shared" si="3"/>
        <v>#DIV/0!</v>
      </c>
      <c r="AI28" s="119" t="e">
        <f>AH28*Assumptions!$H$7</f>
        <v>#DIV/0!</v>
      </c>
      <c r="AJ28" s="119" t="e">
        <f t="shared" si="4"/>
        <v>#DIV/0!</v>
      </c>
      <c r="AK28" s="118" t="e">
        <f t="shared" si="5"/>
        <v>#DIV/0!</v>
      </c>
    </row>
    <row r="29" spans="2:37" s="18" customFormat="1">
      <c r="B29" s="76" t="s">
        <v>1749</v>
      </c>
      <c r="C29" s="57" t="s">
        <v>1561</v>
      </c>
      <c r="D29" s="57" t="s">
        <v>1562</v>
      </c>
      <c r="E29" s="57">
        <v>2023</v>
      </c>
      <c r="F29" s="117">
        <f t="shared" si="11"/>
        <v>3.1759259259259256</v>
      </c>
      <c r="G29" s="117">
        <v>3.5</v>
      </c>
      <c r="H29" s="118">
        <v>0.92</v>
      </c>
      <c r="I29" s="118">
        <v>0.92</v>
      </c>
      <c r="J29" s="121"/>
      <c r="K29" s="121"/>
      <c r="L29" s="117">
        <v>3.5</v>
      </c>
      <c r="M29" s="161"/>
      <c r="N29" s="83">
        <f t="shared" si="12"/>
        <v>2023</v>
      </c>
      <c r="O29" s="83"/>
      <c r="P29" s="85"/>
      <c r="Q29" s="85"/>
      <c r="R29" s="129">
        <f t="shared" si="13"/>
        <v>2095</v>
      </c>
      <c r="S29" s="119">
        <f t="shared" si="14"/>
        <v>72</v>
      </c>
      <c r="T29" s="121">
        <f>T30</f>
        <v>1.85328</v>
      </c>
      <c r="U29" s="83">
        <v>1</v>
      </c>
      <c r="V29" s="122">
        <v>31.536000000000001</v>
      </c>
      <c r="X29" s="85" t="s">
        <v>407</v>
      </c>
      <c r="Y29" s="85" t="s">
        <v>1564</v>
      </c>
      <c r="Z29" s="85" t="s">
        <v>1680</v>
      </c>
      <c r="AA29" s="83">
        <v>60</v>
      </c>
      <c r="AB29" s="123">
        <v>44562</v>
      </c>
      <c r="AC29" s="124">
        <f t="shared" si="0"/>
        <v>66477</v>
      </c>
      <c r="AD29" s="85"/>
      <c r="AE29" s="119">
        <f>G29*J29*8760</f>
        <v>0</v>
      </c>
      <c r="AF29" s="118"/>
      <c r="AG29" s="119"/>
      <c r="AH29" s="125"/>
      <c r="AI29" s="119"/>
      <c r="AJ29" s="119"/>
      <c r="AK29" s="118"/>
    </row>
    <row r="30" spans="2:37" s="18" customFormat="1">
      <c r="B30" s="76" t="s">
        <v>1750</v>
      </c>
      <c r="C30" s="57" t="s">
        <v>1561</v>
      </c>
      <c r="D30" s="57" t="s">
        <v>1562</v>
      </c>
      <c r="E30" s="57">
        <v>2023</v>
      </c>
      <c r="F30" s="117">
        <f t="shared" si="11"/>
        <v>4.5370370370370363</v>
      </c>
      <c r="G30" s="117">
        <v>5</v>
      </c>
      <c r="H30" s="118">
        <v>0.92</v>
      </c>
      <c r="I30" s="118">
        <v>0.92</v>
      </c>
      <c r="J30" s="121"/>
      <c r="K30" s="121"/>
      <c r="L30" s="117">
        <v>5</v>
      </c>
      <c r="M30" s="130"/>
      <c r="N30" s="83">
        <f t="shared" si="12"/>
        <v>2023</v>
      </c>
      <c r="O30" s="83"/>
      <c r="P30" s="85"/>
      <c r="Q30" s="85"/>
      <c r="R30" s="129">
        <f t="shared" si="13"/>
        <v>2093</v>
      </c>
      <c r="S30" s="119">
        <f t="shared" si="14"/>
        <v>70</v>
      </c>
      <c r="T30" s="121">
        <f>T31</f>
        <v>1.85328</v>
      </c>
      <c r="U30" s="83">
        <v>1</v>
      </c>
      <c r="V30" s="122">
        <v>31.536000000000001</v>
      </c>
      <c r="X30" s="85" t="s">
        <v>2820</v>
      </c>
      <c r="Y30" s="85" t="s">
        <v>1564</v>
      </c>
      <c r="Z30" s="85" t="s">
        <v>1681</v>
      </c>
      <c r="AA30" s="83">
        <v>60</v>
      </c>
      <c r="AB30" s="123">
        <v>43831</v>
      </c>
      <c r="AC30" s="124">
        <f t="shared" si="0"/>
        <v>65746</v>
      </c>
      <c r="AD30" s="85"/>
      <c r="AE30" s="119"/>
      <c r="AF30" s="118"/>
      <c r="AG30" s="119"/>
      <c r="AH30" s="125"/>
      <c r="AI30" s="119"/>
      <c r="AJ30" s="119"/>
      <c r="AK30" s="118"/>
    </row>
    <row r="31" spans="2:37" s="18" customFormat="1">
      <c r="B31" s="76" t="s">
        <v>1751</v>
      </c>
      <c r="C31" s="57" t="s">
        <v>1561</v>
      </c>
      <c r="D31" s="57" t="s">
        <v>1562</v>
      </c>
      <c r="E31" s="57">
        <f>YEAR(AB31)</f>
        <v>2023</v>
      </c>
      <c r="F31" s="117">
        <f t="shared" si="11"/>
        <v>3.2666666666666662</v>
      </c>
      <c r="G31" s="117">
        <v>3.6</v>
      </c>
      <c r="H31" s="118">
        <v>0.92</v>
      </c>
      <c r="I31" s="118">
        <v>0.92</v>
      </c>
      <c r="J31" s="121"/>
      <c r="K31" s="121"/>
      <c r="L31" s="117">
        <v>3.6</v>
      </c>
      <c r="M31" s="130"/>
      <c r="N31" s="83">
        <f t="shared" si="12"/>
        <v>2023</v>
      </c>
      <c r="O31" s="83"/>
      <c r="P31" s="85"/>
      <c r="Q31" s="85"/>
      <c r="R31" s="129">
        <f t="shared" si="13"/>
        <v>2096</v>
      </c>
      <c r="S31" s="119">
        <f t="shared" si="14"/>
        <v>73</v>
      </c>
      <c r="T31" s="121">
        <v>1.85328</v>
      </c>
      <c r="U31" s="83">
        <v>1</v>
      </c>
      <c r="V31" s="122">
        <v>31.536000000000001</v>
      </c>
      <c r="X31" s="85" t="s">
        <v>1652</v>
      </c>
      <c r="Y31" s="85" t="s">
        <v>1652</v>
      </c>
      <c r="Z31" s="85" t="s">
        <v>1682</v>
      </c>
      <c r="AA31" s="83">
        <v>60</v>
      </c>
      <c r="AB31" s="123">
        <v>44927</v>
      </c>
      <c r="AC31" s="124">
        <f t="shared" si="0"/>
        <v>66842</v>
      </c>
      <c r="AD31" s="85"/>
      <c r="AE31" s="119"/>
      <c r="AF31" s="118"/>
      <c r="AG31" s="119"/>
      <c r="AH31" s="125"/>
      <c r="AI31" s="119"/>
      <c r="AJ31" s="119"/>
      <c r="AK31" s="118"/>
    </row>
    <row r="32" spans="2:37" s="18" customFormat="1">
      <c r="J32" s="17"/>
      <c r="Q32" s="60"/>
      <c r="R32" s="17"/>
      <c r="S32" s="17"/>
    </row>
    <row r="33" spans="2:19" s="18" customFormat="1">
      <c r="J33" s="17"/>
      <c r="Q33" s="60"/>
      <c r="R33" s="17"/>
      <c r="S33" s="17"/>
    </row>
    <row r="34" spans="2:19" s="18" customFormat="1">
      <c r="E34" s="18" t="s">
        <v>7128</v>
      </c>
      <c r="F34" s="160">
        <f>SUM(F7:F24)</f>
        <v>9.9379999999999988</v>
      </c>
      <c r="G34" s="18" t="s">
        <v>7215</v>
      </c>
      <c r="H34" s="137">
        <f>F34/H35</f>
        <v>0.35492857142857137</v>
      </c>
      <c r="J34" s="17"/>
      <c r="Q34" s="60"/>
    </row>
    <row r="35" spans="2:19" s="18" customFormat="1">
      <c r="E35" s="18" t="s">
        <v>7127</v>
      </c>
      <c r="F35" s="160">
        <f>SUM(F25:F31)</f>
        <v>17.04111111111111</v>
      </c>
      <c r="G35" s="18" t="s">
        <v>7216</v>
      </c>
      <c r="H35" s="18">
        <f>MAX(E7:E24)-MIN(E7:E24)</f>
        <v>28</v>
      </c>
      <c r="J35" s="17"/>
      <c r="Q35" s="60"/>
    </row>
    <row r="36" spans="2:19" s="18" customFormat="1">
      <c r="J36" s="17"/>
      <c r="K36" s="87"/>
      <c r="Q36" s="60"/>
    </row>
    <row r="37" spans="2:19" s="18" customFormat="1">
      <c r="J37" s="17"/>
      <c r="K37" s="156"/>
      <c r="Q37" s="60"/>
    </row>
    <row r="38" spans="2:19" s="18" customFormat="1">
      <c r="B38" s="224" t="s">
        <v>1603</v>
      </c>
      <c r="C38" s="224"/>
      <c r="D38" s="225"/>
      <c r="E38" s="225"/>
      <c r="F38" s="225"/>
      <c r="G38" s="225"/>
      <c r="H38" s="225"/>
      <c r="I38" s="225"/>
      <c r="J38" s="17"/>
      <c r="K38" s="156"/>
      <c r="Q38" s="60"/>
    </row>
    <row r="39" spans="2:19" s="18" customFormat="1" ht="13.5" thickBot="1">
      <c r="B39" s="226" t="s">
        <v>1604</v>
      </c>
      <c r="C39" s="226" t="s">
        <v>1540</v>
      </c>
      <c r="D39" s="226" t="s">
        <v>1605</v>
      </c>
      <c r="E39" s="226" t="s">
        <v>1606</v>
      </c>
      <c r="F39" s="226" t="s">
        <v>1607</v>
      </c>
      <c r="G39" s="226" t="s">
        <v>1608</v>
      </c>
      <c r="H39" s="226" t="s">
        <v>1609</v>
      </c>
      <c r="I39" s="226" t="s">
        <v>1610</v>
      </c>
      <c r="J39" s="17"/>
      <c r="K39" s="87"/>
      <c r="Q39" s="60"/>
    </row>
    <row r="40" spans="2:19" s="18" customFormat="1">
      <c r="B40" s="225" t="s">
        <v>1611</v>
      </c>
      <c r="C40" s="225" t="str">
        <f>B7</f>
        <v>ENUK_DUNGENESS-B1_00</v>
      </c>
      <c r="D40" s="227" t="str">
        <f>"Nuclear Power Plant: "&amp;Z7</f>
        <v>Nuclear Power Plant: DUNGENESS-B1</v>
      </c>
      <c r="E40" s="228" t="s">
        <v>1612</v>
      </c>
      <c r="F40" s="228" t="s">
        <v>1556</v>
      </c>
      <c r="G40" s="228" t="s">
        <v>1613</v>
      </c>
      <c r="H40" s="228"/>
      <c r="I40" s="228"/>
      <c r="J40" s="17"/>
      <c r="Q40" s="60"/>
    </row>
    <row r="41" spans="2:19" s="18" customFormat="1">
      <c r="B41" s="225"/>
      <c r="C41" s="225" t="str">
        <f t="shared" ref="C41:C57" si="15">B8</f>
        <v>ENUK_DUNGENESS-B2_00</v>
      </c>
      <c r="D41" s="227" t="str">
        <f t="shared" ref="D41:D57" si="16">"Nuclear Power Plant: "&amp;Z8</f>
        <v>Nuclear Power Plant: DUNGENESS-B2</v>
      </c>
      <c r="E41" s="228" t="s">
        <v>1612</v>
      </c>
      <c r="F41" s="228" t="s">
        <v>1556</v>
      </c>
      <c r="G41" s="228" t="s">
        <v>1613</v>
      </c>
      <c r="H41" s="228"/>
      <c r="I41" s="228"/>
      <c r="J41" s="17"/>
      <c r="Q41" s="60"/>
    </row>
    <row r="42" spans="2:19" s="18" customFormat="1">
      <c r="B42" s="225"/>
      <c r="C42" s="225" t="str">
        <f t="shared" si="15"/>
        <v>ENUK_HARTLEPOOL-A1_00</v>
      </c>
      <c r="D42" s="227" t="str">
        <f t="shared" si="16"/>
        <v>Nuclear Power Plant: HARTLEPOOL-A1</v>
      </c>
      <c r="E42" s="228" t="s">
        <v>1612</v>
      </c>
      <c r="F42" s="228" t="s">
        <v>1556</v>
      </c>
      <c r="G42" s="228" t="s">
        <v>1613</v>
      </c>
      <c r="H42" s="228"/>
      <c r="I42" s="228"/>
      <c r="J42" s="17"/>
      <c r="Q42" s="60"/>
    </row>
    <row r="43" spans="2:19" s="18" customFormat="1">
      <c r="B43" s="225"/>
      <c r="C43" s="225" t="str">
        <f t="shared" si="15"/>
        <v>ENUK_HARTLEPOOL-A2_00</v>
      </c>
      <c r="D43" s="227" t="str">
        <f t="shared" si="16"/>
        <v>Nuclear Power Plant: HARTLEPOOL-A2</v>
      </c>
      <c r="E43" s="228" t="s">
        <v>1612</v>
      </c>
      <c r="F43" s="228" t="s">
        <v>1556</v>
      </c>
      <c r="G43" s="228" t="s">
        <v>1613</v>
      </c>
      <c r="H43" s="228"/>
      <c r="I43" s="228"/>
      <c r="J43" s="17"/>
      <c r="Q43" s="60"/>
    </row>
    <row r="44" spans="2:19" s="18" customFormat="1">
      <c r="B44" s="225"/>
      <c r="C44" s="225" t="str">
        <f t="shared" si="15"/>
        <v>ENUK_HEYSHAM-A1_00</v>
      </c>
      <c r="D44" s="227" t="str">
        <f t="shared" si="16"/>
        <v>Nuclear Power Plant: HEYSHAM-A1</v>
      </c>
      <c r="E44" s="228" t="s">
        <v>1612</v>
      </c>
      <c r="F44" s="228" t="s">
        <v>1556</v>
      </c>
      <c r="G44" s="228" t="s">
        <v>1613</v>
      </c>
      <c r="H44" s="228"/>
      <c r="I44" s="228"/>
      <c r="J44" s="17"/>
      <c r="Q44" s="60"/>
    </row>
    <row r="45" spans="2:19" s="18" customFormat="1">
      <c r="B45" s="225"/>
      <c r="C45" s="225" t="str">
        <f t="shared" si="15"/>
        <v>ENUK_HEYSHAM-A2_00</v>
      </c>
      <c r="D45" s="227" t="str">
        <f t="shared" si="16"/>
        <v>Nuclear Power Plant: HEYSHAM-A2</v>
      </c>
      <c r="E45" s="228" t="s">
        <v>1612</v>
      </c>
      <c r="F45" s="228" t="s">
        <v>1556</v>
      </c>
      <c r="G45" s="228" t="s">
        <v>1613</v>
      </c>
      <c r="H45" s="228"/>
      <c r="I45" s="228"/>
      <c r="J45" s="17"/>
      <c r="Q45" s="60"/>
    </row>
    <row r="46" spans="2:19" s="18" customFormat="1">
      <c r="B46" s="225"/>
      <c r="C46" s="225" t="str">
        <f t="shared" si="15"/>
        <v>ENUK_HEYSHAM-B1_00</v>
      </c>
      <c r="D46" s="227" t="str">
        <f t="shared" si="16"/>
        <v>Nuclear Power Plant: HEYSHAM-B1</v>
      </c>
      <c r="E46" s="228" t="s">
        <v>1612</v>
      </c>
      <c r="F46" s="228" t="s">
        <v>1556</v>
      </c>
      <c r="G46" s="228" t="s">
        <v>1613</v>
      </c>
      <c r="H46" s="228"/>
      <c r="I46" s="228"/>
      <c r="J46" s="17"/>
      <c r="Q46" s="60"/>
    </row>
    <row r="47" spans="2:19" s="18" customFormat="1">
      <c r="B47" s="225"/>
      <c r="C47" s="225" t="str">
        <f t="shared" si="15"/>
        <v>ENUK_HEYSHAM-B2_00</v>
      </c>
      <c r="D47" s="227" t="str">
        <f t="shared" si="16"/>
        <v>Nuclear Power Plant: HEYSHAM-B2</v>
      </c>
      <c r="E47" s="228" t="s">
        <v>1612</v>
      </c>
      <c r="F47" s="228" t="s">
        <v>1556</v>
      </c>
      <c r="G47" s="228" t="s">
        <v>1613</v>
      </c>
      <c r="H47" s="228"/>
      <c r="I47" s="228"/>
      <c r="J47" s="17"/>
      <c r="Q47" s="60"/>
    </row>
    <row r="48" spans="2:19" s="18" customFormat="1">
      <c r="B48" s="225"/>
      <c r="C48" s="225" t="str">
        <f t="shared" si="15"/>
        <v>ENUK_HINKLEYPOINT-B1_00</v>
      </c>
      <c r="D48" s="227" t="str">
        <f t="shared" si="16"/>
        <v>Nuclear Power Plant: HINKLEY POINT-B1</v>
      </c>
      <c r="E48" s="228" t="s">
        <v>1612</v>
      </c>
      <c r="F48" s="228" t="s">
        <v>1556</v>
      </c>
      <c r="G48" s="228" t="s">
        <v>1613</v>
      </c>
      <c r="H48" s="228"/>
      <c r="I48" s="228"/>
      <c r="J48" s="17"/>
      <c r="Q48" s="60"/>
    </row>
    <row r="49" spans="2:17" s="18" customFormat="1">
      <c r="B49" s="225"/>
      <c r="C49" s="225" t="str">
        <f t="shared" si="15"/>
        <v>ENUK_HINKLEYPOINT-B2_00</v>
      </c>
      <c r="D49" s="227" t="str">
        <f t="shared" si="16"/>
        <v>Nuclear Power Plant: HINKLEY POINT-B2</v>
      </c>
      <c r="E49" s="228" t="s">
        <v>1612</v>
      </c>
      <c r="F49" s="228" t="s">
        <v>1556</v>
      </c>
      <c r="G49" s="228" t="s">
        <v>1613</v>
      </c>
      <c r="H49" s="228"/>
      <c r="I49" s="228"/>
      <c r="J49" s="17"/>
      <c r="Q49" s="60"/>
    </row>
    <row r="50" spans="2:17" s="18" customFormat="1">
      <c r="B50" s="225"/>
      <c r="C50" s="225" t="str">
        <f t="shared" si="15"/>
        <v>ENUK_HUNTERSTON-B1_00</v>
      </c>
      <c r="D50" s="227" t="str">
        <f t="shared" si="16"/>
        <v>Nuclear Power Plant: HUNTERSTON-B1</v>
      </c>
      <c r="E50" s="228" t="s">
        <v>1612</v>
      </c>
      <c r="F50" s="228" t="s">
        <v>1556</v>
      </c>
      <c r="G50" s="228" t="s">
        <v>1613</v>
      </c>
      <c r="H50" s="228"/>
      <c r="I50" s="228"/>
      <c r="J50" s="17"/>
      <c r="Q50" s="60"/>
    </row>
    <row r="51" spans="2:17" s="18" customFormat="1">
      <c r="B51" s="225"/>
      <c r="C51" s="225" t="str">
        <f t="shared" si="15"/>
        <v>ENUK_HUNTERSTON-B2_00</v>
      </c>
      <c r="D51" s="227" t="str">
        <f t="shared" si="16"/>
        <v>Nuclear Power Plant: HUNTERSTON-B2</v>
      </c>
      <c r="E51" s="228" t="s">
        <v>1612</v>
      </c>
      <c r="F51" s="228" t="s">
        <v>1556</v>
      </c>
      <c r="G51" s="228" t="s">
        <v>1613</v>
      </c>
      <c r="H51" s="228"/>
      <c r="I51" s="228"/>
      <c r="J51" s="17"/>
      <c r="Q51" s="60"/>
    </row>
    <row r="52" spans="2:17" s="18" customFormat="1">
      <c r="B52" s="225"/>
      <c r="C52" s="225" t="str">
        <f t="shared" si="15"/>
        <v>ENUK_OLDBURY-A1_00</v>
      </c>
      <c r="D52" s="227" t="str">
        <f t="shared" si="16"/>
        <v>Nuclear Power Plant: OLDBURY-A1</v>
      </c>
      <c r="E52" s="228" t="s">
        <v>1612</v>
      </c>
      <c r="F52" s="228" t="s">
        <v>1556</v>
      </c>
      <c r="G52" s="228" t="s">
        <v>1613</v>
      </c>
      <c r="H52" s="228"/>
      <c r="I52" s="228"/>
      <c r="J52" s="17"/>
      <c r="Q52" s="60"/>
    </row>
    <row r="53" spans="2:17" s="18" customFormat="1">
      <c r="B53" s="225"/>
      <c r="C53" s="225" t="str">
        <f t="shared" si="15"/>
        <v>ENUK_SIZEWELL-Bv_00</v>
      </c>
      <c r="D53" s="227" t="str">
        <f t="shared" si="16"/>
        <v>Nuclear Power Plant: SIZEWELL-B</v>
      </c>
      <c r="E53" s="228" t="s">
        <v>1612</v>
      </c>
      <c r="F53" s="228" t="s">
        <v>1556</v>
      </c>
      <c r="G53" s="228" t="s">
        <v>1613</v>
      </c>
      <c r="H53" s="228"/>
      <c r="I53" s="228"/>
      <c r="J53" s="17"/>
      <c r="Q53" s="60"/>
    </row>
    <row r="54" spans="2:17" s="18" customFormat="1">
      <c r="B54" s="225"/>
      <c r="C54" s="225" t="str">
        <f t="shared" si="15"/>
        <v>ENUK_TORNESS1_00</v>
      </c>
      <c r="D54" s="227" t="str">
        <f t="shared" si="16"/>
        <v>Nuclear Power Plant: TORNESS 1</v>
      </c>
      <c r="E54" s="228" t="s">
        <v>1612</v>
      </c>
      <c r="F54" s="228" t="s">
        <v>1556</v>
      </c>
      <c r="G54" s="228" t="s">
        <v>1613</v>
      </c>
      <c r="H54" s="228"/>
      <c r="I54" s="228"/>
      <c r="J54" s="17"/>
      <c r="Q54" s="60"/>
    </row>
    <row r="55" spans="2:17" s="18" customFormat="1">
      <c r="B55" s="225"/>
      <c r="C55" s="225" t="str">
        <f t="shared" si="15"/>
        <v>ENUK_TORNESS2_00</v>
      </c>
      <c r="D55" s="227" t="str">
        <f t="shared" si="16"/>
        <v>Nuclear Power Plant: TORNESS 2</v>
      </c>
      <c r="E55" s="228" t="s">
        <v>1612</v>
      </c>
      <c r="F55" s="228" t="s">
        <v>1556</v>
      </c>
      <c r="G55" s="228" t="s">
        <v>1613</v>
      </c>
      <c r="H55" s="228"/>
      <c r="I55" s="228"/>
      <c r="J55" s="17"/>
      <c r="Q55" s="60"/>
    </row>
    <row r="56" spans="2:17" s="18" customFormat="1">
      <c r="B56" s="225"/>
      <c r="C56" s="225" t="str">
        <f t="shared" si="15"/>
        <v>ENUK_WYLFA1_00</v>
      </c>
      <c r="D56" s="227" t="str">
        <f t="shared" si="16"/>
        <v>Nuclear Power Plant: WYLFA 1</v>
      </c>
      <c r="E56" s="228" t="s">
        <v>1612</v>
      </c>
      <c r="F56" s="228" t="s">
        <v>1556</v>
      </c>
      <c r="G56" s="228" t="s">
        <v>1613</v>
      </c>
      <c r="H56" s="228"/>
      <c r="I56" s="228"/>
      <c r="J56" s="17"/>
      <c r="Q56" s="60"/>
    </row>
    <row r="57" spans="2:17" s="18" customFormat="1">
      <c r="B57" s="225"/>
      <c r="C57" s="225" t="str">
        <f t="shared" si="15"/>
        <v>ENUK_WYLFA2_00</v>
      </c>
      <c r="D57" s="227" t="str">
        <f t="shared" si="16"/>
        <v>Nuclear Power Plant: WYLFA 2</v>
      </c>
      <c r="E57" s="228" t="s">
        <v>1612</v>
      </c>
      <c r="F57" s="228" t="s">
        <v>1556</v>
      </c>
      <c r="G57" s="228" t="s">
        <v>1613</v>
      </c>
      <c r="H57" s="228"/>
      <c r="I57" s="228"/>
      <c r="J57" s="17"/>
      <c r="Q57" s="60"/>
    </row>
    <row r="58" spans="2:17" s="18" customFormat="1">
      <c r="B58" s="225"/>
      <c r="C58" s="225" t="str">
        <f t="shared" ref="C58:C64" si="17">B25</f>
        <v>ENUK_HINKLEYPOINT-C1</v>
      </c>
      <c r="D58" s="227" t="str">
        <f t="shared" ref="D58:D64" si="18">"Nuclear Power Plant: "&amp;Z25</f>
        <v>Nuclear Power Plant: HINKLEY POINT-C1</v>
      </c>
      <c r="E58" s="228" t="s">
        <v>1612</v>
      </c>
      <c r="F58" s="228" t="s">
        <v>1556</v>
      </c>
      <c r="G58" s="228" t="s">
        <v>7378</v>
      </c>
      <c r="H58" s="228"/>
      <c r="I58" s="228"/>
      <c r="J58" s="17"/>
      <c r="Q58" s="60"/>
    </row>
    <row r="59" spans="2:17" s="18" customFormat="1">
      <c r="B59" s="225"/>
      <c r="C59" s="225" t="str">
        <f t="shared" si="17"/>
        <v>ENUK_HINKLEYPOINT-C2</v>
      </c>
      <c r="D59" s="227" t="str">
        <f t="shared" si="18"/>
        <v>Nuclear Power Plant: HINKLEY POINT-C2</v>
      </c>
      <c r="E59" s="228" t="s">
        <v>1612</v>
      </c>
      <c r="F59" s="228" t="s">
        <v>1556</v>
      </c>
      <c r="G59" s="228" t="s">
        <v>7378</v>
      </c>
      <c r="H59" s="228"/>
      <c r="I59" s="228"/>
      <c r="J59" s="17"/>
      <c r="Q59" s="60"/>
    </row>
    <row r="60" spans="2:17" s="18" customFormat="1">
      <c r="B60" s="225"/>
      <c r="C60" s="225" t="str">
        <f t="shared" si="17"/>
        <v>ENUK_SIZEWELL-C1</v>
      </c>
      <c r="D60" s="227" t="str">
        <f t="shared" si="18"/>
        <v>Nuclear Power Plant: SIZEWELL-C1</v>
      </c>
      <c r="E60" s="228" t="s">
        <v>1612</v>
      </c>
      <c r="F60" s="228" t="s">
        <v>1556</v>
      </c>
      <c r="G60" s="228" t="s">
        <v>7378</v>
      </c>
      <c r="H60" s="225"/>
      <c r="I60" s="225"/>
      <c r="J60" s="17"/>
      <c r="Q60" s="60"/>
    </row>
    <row r="61" spans="2:17" s="18" customFormat="1">
      <c r="B61" s="225"/>
      <c r="C61" s="225" t="str">
        <f t="shared" si="17"/>
        <v>ENUK_SIZEWELL-C2</v>
      </c>
      <c r="D61" s="227" t="str">
        <f t="shared" si="18"/>
        <v>Nuclear Power Plant: SIZEWELL-C2</v>
      </c>
      <c r="E61" s="228" t="s">
        <v>1612</v>
      </c>
      <c r="F61" s="228" t="s">
        <v>1556</v>
      </c>
      <c r="G61" s="228" t="s">
        <v>7378</v>
      </c>
      <c r="H61" s="225"/>
      <c r="I61" s="225"/>
      <c r="J61" s="17"/>
      <c r="Q61" s="60"/>
    </row>
    <row r="62" spans="2:17" s="18" customFormat="1">
      <c r="B62" s="225"/>
      <c r="C62" s="225" t="str">
        <f t="shared" si="17"/>
        <v>ENUK_OLDBURY-B</v>
      </c>
      <c r="D62" s="227" t="str">
        <f t="shared" si="18"/>
        <v>Nuclear Power Plant: OLDBURY-B</v>
      </c>
      <c r="E62" s="228" t="s">
        <v>1612</v>
      </c>
      <c r="F62" s="228" t="s">
        <v>1556</v>
      </c>
      <c r="G62" s="228" t="s">
        <v>7378</v>
      </c>
      <c r="H62" s="225"/>
      <c r="I62" s="225"/>
      <c r="J62" s="17"/>
      <c r="Q62" s="60"/>
    </row>
    <row r="63" spans="2:17" s="18" customFormat="1">
      <c r="B63" s="225"/>
      <c r="C63" s="225" t="str">
        <f t="shared" si="17"/>
        <v>ENUK_WYLFA-B</v>
      </c>
      <c r="D63" s="227" t="str">
        <f t="shared" si="18"/>
        <v>Nuclear Power Plant: WYLFA-B</v>
      </c>
      <c r="E63" s="228" t="s">
        <v>1612</v>
      </c>
      <c r="F63" s="228" t="s">
        <v>1556</v>
      </c>
      <c r="G63" s="228" t="s">
        <v>7378</v>
      </c>
      <c r="H63" s="225"/>
      <c r="I63" s="225"/>
      <c r="J63" s="17"/>
      <c r="Q63" s="60"/>
    </row>
    <row r="64" spans="2:17" s="18" customFormat="1">
      <c r="B64" s="225"/>
      <c r="C64" s="225" t="str">
        <f t="shared" si="17"/>
        <v>ENUK_MOORSIDE</v>
      </c>
      <c r="D64" s="227" t="str">
        <f t="shared" si="18"/>
        <v>Nuclear Power Plant: MOORSIDE</v>
      </c>
      <c r="E64" s="228" t="s">
        <v>1612</v>
      </c>
      <c r="F64" s="228" t="s">
        <v>1556</v>
      </c>
      <c r="G64" s="228" t="s">
        <v>7378</v>
      </c>
      <c r="H64" s="225"/>
      <c r="I64" s="225"/>
      <c r="J64" s="17"/>
      <c r="Q64" s="60"/>
    </row>
    <row r="65" spans="5:17" s="18" customFormat="1">
      <c r="J65" s="17"/>
      <c r="Q65" s="60"/>
    </row>
    <row r="66" spans="5:17" s="18" customFormat="1">
      <c r="J66" s="17"/>
      <c r="Q66" s="60"/>
    </row>
    <row r="67" spans="5:17" s="18" customFormat="1">
      <c r="J67" s="17"/>
      <c r="Q67" s="60"/>
    </row>
    <row r="68" spans="5:17" s="18" customFormat="1">
      <c r="E68" s="18" t="s">
        <v>7373</v>
      </c>
      <c r="J68" s="17"/>
      <c r="Q68" s="60"/>
    </row>
    <row r="69" spans="5:17" s="18" customFormat="1">
      <c r="E69" s="57">
        <v>2018</v>
      </c>
      <c r="J69" s="17"/>
      <c r="Q69" s="60"/>
    </row>
    <row r="70" spans="5:17" s="18" customFormat="1">
      <c r="E70" s="57">
        <v>2019</v>
      </c>
      <c r="J70" s="17"/>
      <c r="Q70" s="60"/>
    </row>
    <row r="71" spans="5:17" s="18" customFormat="1">
      <c r="E71" s="57">
        <v>2020</v>
      </c>
      <c r="J71" s="17"/>
      <c r="Q71" s="60"/>
    </row>
    <row r="72" spans="5:17" s="18" customFormat="1">
      <c r="E72" s="57">
        <v>2022</v>
      </c>
      <c r="J72" s="17"/>
      <c r="Q72" s="60"/>
    </row>
    <row r="73" spans="5:17" s="18" customFormat="1">
      <c r="E73" s="57">
        <v>2022</v>
      </c>
      <c r="J73" s="17"/>
      <c r="Q73" s="60"/>
    </row>
    <row r="74" spans="5:17" s="18" customFormat="1">
      <c r="E74" s="57">
        <v>2020</v>
      </c>
      <c r="J74" s="17"/>
      <c r="Q74" s="60"/>
    </row>
    <row r="75" spans="5:17" s="18" customFormat="1">
      <c r="E75" s="57">
        <v>2023</v>
      </c>
      <c r="J75" s="17"/>
      <c r="Q75" s="60"/>
    </row>
    <row r="76" spans="5:17" s="18" customFormat="1">
      <c r="J76" s="17"/>
      <c r="Q76" s="60"/>
    </row>
    <row r="77" spans="5:17" s="18" customFormat="1">
      <c r="J77" s="17"/>
      <c r="Q77" s="60"/>
    </row>
    <row r="78" spans="5:17" s="18" customFormat="1">
      <c r="J78" s="17"/>
      <c r="Q78" s="60"/>
    </row>
    <row r="79" spans="5:17" s="18" customFormat="1">
      <c r="J79" s="17"/>
      <c r="Q79" s="60"/>
    </row>
    <row r="80" spans="5: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70" customFormat="1">
      <c r="B438" s="18"/>
      <c r="C438" s="18"/>
      <c r="D438" s="18"/>
      <c r="E438" s="18"/>
      <c r="J438" s="71"/>
      <c r="Q438" s="144"/>
      <c r="W438" s="18"/>
      <c r="X438" s="18"/>
      <c r="Y438" s="18"/>
      <c r="Z438" s="18"/>
      <c r="AC438" s="18"/>
    </row>
    <row r="439" spans="2:29" s="70" customFormat="1">
      <c r="B439" s="18"/>
      <c r="C439" s="18"/>
      <c r="D439" s="18"/>
      <c r="E439" s="18"/>
      <c r="J439" s="71"/>
      <c r="Q439" s="144"/>
      <c r="W439" s="18"/>
      <c r="X439" s="18"/>
      <c r="Y439" s="18"/>
      <c r="Z439" s="18"/>
      <c r="AC439" s="18"/>
    </row>
    <row r="440" spans="2:29" s="70" customFormat="1">
      <c r="B440" s="18"/>
      <c r="C440" s="18"/>
      <c r="D440" s="18"/>
      <c r="E440" s="18"/>
      <c r="J440" s="71"/>
      <c r="Q440" s="144"/>
      <c r="W440" s="18"/>
      <c r="X440" s="18"/>
      <c r="Y440" s="18"/>
      <c r="Z440" s="18"/>
      <c r="AC440" s="18"/>
    </row>
    <row r="441" spans="2:29" s="70" customFormat="1">
      <c r="B441" s="18"/>
      <c r="C441" s="18"/>
      <c r="D441" s="18"/>
      <c r="E441" s="18"/>
      <c r="J441" s="71"/>
      <c r="Q441" s="144"/>
      <c r="W441" s="18"/>
      <c r="X441" s="18"/>
      <c r="Y441" s="18"/>
      <c r="Z441" s="18"/>
      <c r="AC441" s="18"/>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sheetData>
  <phoneticPr fontId="13" type="noConversion"/>
  <pageMargins left="0.7" right="0.7" top="0.75" bottom="0.75" header="0.3" footer="0.3"/>
  <pageSetup paperSize="9" orientation="portrait" horizontalDpi="4294967292" verticalDpi="4294967292" r:id="rId1"/>
  <ignoredErrors>
    <ignoredError sqref="AI20" formula="1"/>
  </ignoredError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0" tint="-0.34998626667073579"/>
  </sheetPr>
  <dimension ref="B1:AJ450"/>
  <sheetViews>
    <sheetView zoomScale="85" zoomScaleNormal="85" workbookViewId="0">
      <selection activeCell="G27" sqref="G27:G30"/>
    </sheetView>
  </sheetViews>
  <sheetFormatPr defaultColWidth="8.85546875" defaultRowHeight="12.75"/>
  <cols>
    <col min="1" max="1" width="3" style="19" customWidth="1"/>
    <col min="2" max="2" width="28.7109375" style="18" customWidth="1"/>
    <col min="3" max="3" width="15.7109375" style="18" customWidth="1"/>
    <col min="4" max="4" width="14" style="18" customWidth="1"/>
    <col min="5" max="5" width="19.42578125" style="18" bestFit="1" customWidth="1"/>
    <col min="6" max="6" width="13.7109375" style="19" customWidth="1"/>
    <col min="7" max="7" width="14.140625" style="19" customWidth="1"/>
    <col min="8" max="8" width="11.7109375" style="19" bestFit="1" customWidth="1"/>
    <col min="9" max="9" width="11.140625" style="19" customWidth="1"/>
    <col min="10" max="10" width="12.7109375" style="19" bestFit="1" customWidth="1"/>
    <col min="11" max="11" width="14.7109375" style="19" bestFit="1" customWidth="1"/>
    <col min="12" max="12" width="14.85546875" style="19" customWidth="1"/>
    <col min="13" max="13" width="17.28515625" style="19" bestFit="1" customWidth="1"/>
    <col min="14" max="15" width="8.85546875" style="19"/>
    <col min="16" max="16" width="10.42578125" style="19" customWidth="1"/>
    <col min="17" max="17" width="15.28515625" style="32" customWidth="1"/>
    <col min="18" max="19" width="9.42578125" style="19" customWidth="1"/>
    <col min="20" max="20" width="5.7109375" style="19" bestFit="1" customWidth="1"/>
    <col min="21" max="21" width="20" style="19" customWidth="1"/>
    <col min="22" max="22" width="8.42578125" style="19" customWidth="1"/>
    <col min="23" max="23" width="13.28515625" style="18" customWidth="1"/>
    <col min="24" max="24" width="19.85546875" style="18" bestFit="1" customWidth="1"/>
    <col min="25" max="25" width="13.28515625" style="18" bestFit="1" customWidth="1"/>
    <col min="26" max="26" width="13.42578125" style="18"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6">
      <c r="B1" s="72" t="s">
        <v>1704</v>
      </c>
      <c r="C1" s="78"/>
      <c r="D1" s="78"/>
      <c r="E1" s="79" t="s">
        <v>1702</v>
      </c>
      <c r="F1" s="68" t="s">
        <v>1691</v>
      </c>
      <c r="G1" s="69"/>
      <c r="I1" s="151" t="s">
        <v>1707</v>
      </c>
    </row>
    <row r="3" spans="2:36" ht="25.5">
      <c r="F3" s="47" t="s">
        <v>1598</v>
      </c>
      <c r="G3" s="47" t="s">
        <v>1597</v>
      </c>
      <c r="H3" s="27" t="s">
        <v>1521</v>
      </c>
      <c r="I3" s="27" t="s">
        <v>1522</v>
      </c>
      <c r="J3" s="27"/>
      <c r="M3" s="29"/>
      <c r="N3" s="29"/>
      <c r="Q3" s="47" t="s">
        <v>1529</v>
      </c>
      <c r="T3" s="28"/>
      <c r="U3" s="28"/>
      <c r="W3" s="17" t="s">
        <v>1524</v>
      </c>
      <c r="X3" s="18" t="s">
        <v>5722</v>
      </c>
      <c r="Y3" s="17" t="s">
        <v>1525</v>
      </c>
      <c r="Z3" s="60" t="s">
        <v>1693</v>
      </c>
      <c r="AA3" s="19" t="s">
        <v>1527</v>
      </c>
      <c r="AB3" s="19" t="s">
        <v>1528</v>
      </c>
      <c r="AC3" s="18" t="s">
        <v>1526</v>
      </c>
      <c r="AD3" s="27" t="s">
        <v>1599</v>
      </c>
      <c r="AE3" s="27" t="s">
        <v>1530</v>
      </c>
      <c r="AF3" s="47" t="s">
        <v>1600</v>
      </c>
      <c r="AG3" s="47" t="s">
        <v>1601</v>
      </c>
      <c r="AH3" s="19" t="s">
        <v>1531</v>
      </c>
      <c r="AI3" s="47" t="s">
        <v>1602</v>
      </c>
      <c r="AJ3" s="47" t="s">
        <v>1602</v>
      </c>
    </row>
    <row r="4" spans="2:36">
      <c r="E4" s="77" t="s">
        <v>1694</v>
      </c>
      <c r="F4" s="27"/>
      <c r="G4" s="27"/>
      <c r="M4" s="30"/>
      <c r="N4" s="30"/>
      <c r="T4" s="30"/>
      <c r="U4" s="30"/>
      <c r="AA4" s="30"/>
      <c r="AB4" s="30"/>
      <c r="AC4" s="18" t="s">
        <v>1532</v>
      </c>
      <c r="AD4" s="19" t="s">
        <v>1533</v>
      </c>
      <c r="AE4" s="19" t="s">
        <v>1534</v>
      </c>
      <c r="AF4" s="19" t="s">
        <v>1535</v>
      </c>
      <c r="AG4" s="30" t="s">
        <v>1536</v>
      </c>
      <c r="AH4" s="30" t="s">
        <v>1537</v>
      </c>
      <c r="AI4" s="19" t="s">
        <v>1538</v>
      </c>
      <c r="AJ4" s="19" t="s">
        <v>1539</v>
      </c>
    </row>
    <row r="5" spans="2:36">
      <c r="B5" s="33" t="s">
        <v>1540</v>
      </c>
      <c r="C5" s="33" t="s">
        <v>1541</v>
      </c>
      <c r="D5" s="33" t="s">
        <v>1542</v>
      </c>
      <c r="E5" s="33" t="s">
        <v>1543</v>
      </c>
      <c r="F5" s="32" t="s">
        <v>1544</v>
      </c>
      <c r="G5" s="32" t="s">
        <v>1544</v>
      </c>
      <c r="H5" s="31" t="s">
        <v>1545</v>
      </c>
      <c r="I5" s="31" t="s">
        <v>1546</v>
      </c>
      <c r="J5" s="31" t="s">
        <v>1719</v>
      </c>
      <c r="K5" s="31" t="s">
        <v>7126</v>
      </c>
      <c r="L5" s="31" t="s">
        <v>1552</v>
      </c>
      <c r="M5" s="31" t="s">
        <v>7124</v>
      </c>
      <c r="N5" s="31" t="s">
        <v>7125</v>
      </c>
      <c r="O5" s="31" t="s">
        <v>1548</v>
      </c>
      <c r="P5" s="31" t="s">
        <v>1551</v>
      </c>
      <c r="Q5" s="29" t="s">
        <v>1544</v>
      </c>
      <c r="R5" s="33" t="s">
        <v>1554</v>
      </c>
      <c r="S5" s="33" t="s">
        <v>1696</v>
      </c>
      <c r="T5" s="31" t="s">
        <v>1549</v>
      </c>
      <c r="U5" s="31" t="s">
        <v>1550</v>
      </c>
      <c r="W5" s="87"/>
      <c r="AA5" s="30"/>
      <c r="AB5" s="30"/>
      <c r="AH5" s="30"/>
    </row>
    <row r="6" spans="2:36">
      <c r="B6" s="73"/>
      <c r="C6" s="80" t="s">
        <v>1555</v>
      </c>
      <c r="D6" s="73"/>
      <c r="E6" s="73"/>
      <c r="F6" s="34" t="s">
        <v>1556</v>
      </c>
      <c r="G6" s="34" t="s">
        <v>1556</v>
      </c>
      <c r="H6" s="34"/>
      <c r="I6" s="34"/>
      <c r="J6" s="34" t="s">
        <v>1556</v>
      </c>
      <c r="K6" s="34" t="s">
        <v>1556</v>
      </c>
      <c r="L6" s="34" t="s">
        <v>1556</v>
      </c>
      <c r="M6" s="34"/>
      <c r="N6" s="34" t="s">
        <v>1557</v>
      </c>
      <c r="O6" s="34" t="s">
        <v>1558</v>
      </c>
      <c r="P6" s="34" t="s">
        <v>1557</v>
      </c>
      <c r="Q6" s="34"/>
      <c r="R6" s="34" t="s">
        <v>1692</v>
      </c>
      <c r="S6" s="34" t="s">
        <v>1534</v>
      </c>
      <c r="T6" s="34"/>
      <c r="U6" s="34" t="s">
        <v>1559</v>
      </c>
      <c r="W6" s="87"/>
      <c r="Y6" s="89"/>
      <c r="AA6" s="30"/>
      <c r="AB6" s="30"/>
      <c r="AH6" s="30"/>
    </row>
    <row r="7" spans="2:36" s="18" customFormat="1">
      <c r="B7" s="76" t="s">
        <v>1752</v>
      </c>
      <c r="C7" s="57" t="s">
        <v>1561</v>
      </c>
      <c r="D7" s="57" t="s">
        <v>1562</v>
      </c>
      <c r="E7" s="57">
        <f>YEAR(AA7)</f>
        <v>2020</v>
      </c>
      <c r="F7" s="120">
        <f>K7</f>
        <v>1.65</v>
      </c>
      <c r="G7" s="120"/>
      <c r="H7" s="118">
        <v>0.92</v>
      </c>
      <c r="I7" s="120"/>
      <c r="J7" s="120"/>
      <c r="K7" s="120">
        <v>1.65</v>
      </c>
      <c r="L7" s="130"/>
      <c r="M7" s="83">
        <f>E7</f>
        <v>2020</v>
      </c>
      <c r="N7" s="83"/>
      <c r="O7" s="85"/>
      <c r="P7" s="85"/>
      <c r="Q7" s="138">
        <f>YEAR(AB7)</f>
        <v>2070</v>
      </c>
      <c r="R7" s="119">
        <f>Q7-E7</f>
        <v>50</v>
      </c>
      <c r="S7" s="121">
        <v>1.85328</v>
      </c>
      <c r="T7" s="138">
        <v>1</v>
      </c>
      <c r="U7" s="122">
        <v>31.536000000000001</v>
      </c>
      <c r="W7" s="83" t="s">
        <v>2820</v>
      </c>
      <c r="X7" s="83" t="s">
        <v>1564</v>
      </c>
      <c r="Y7" s="83" t="s">
        <v>1712</v>
      </c>
      <c r="Z7" s="83">
        <v>50</v>
      </c>
      <c r="AA7" s="123">
        <v>43831</v>
      </c>
      <c r="AB7" s="124">
        <f>DATE(YEAR(AA7)+Z7,MONTH(AA7),DAY(AA7))</f>
        <v>62094</v>
      </c>
      <c r="AC7" s="85"/>
      <c r="AD7" s="119"/>
      <c r="AE7" s="118"/>
      <c r="AF7" s="119"/>
      <c r="AG7" s="125"/>
      <c r="AH7" s="119"/>
      <c r="AI7" s="119"/>
      <c r="AJ7" s="118"/>
    </row>
    <row r="8" spans="2:36" s="18" customFormat="1">
      <c r="B8" s="76" t="s">
        <v>1753</v>
      </c>
      <c r="C8" s="57" t="s">
        <v>1561</v>
      </c>
      <c r="D8" s="57" t="s">
        <v>1562</v>
      </c>
      <c r="E8" s="57">
        <f>YEAR(AA8)</f>
        <v>2020</v>
      </c>
      <c r="F8" s="120">
        <f>K8</f>
        <v>1.65</v>
      </c>
      <c r="G8" s="120"/>
      <c r="H8" s="118">
        <v>0.92</v>
      </c>
      <c r="I8" s="120"/>
      <c r="J8" s="120"/>
      <c r="K8" s="120">
        <v>1.65</v>
      </c>
      <c r="L8" s="120"/>
      <c r="M8" s="83">
        <f>E8</f>
        <v>2020</v>
      </c>
      <c r="N8" s="83"/>
      <c r="O8" s="85"/>
      <c r="P8" s="85"/>
      <c r="Q8" s="138">
        <f>YEAR(AB8)</f>
        <v>2070</v>
      </c>
      <c r="R8" s="119">
        <f>Q8-E8</f>
        <v>50</v>
      </c>
      <c r="S8" s="121">
        <f>S7</f>
        <v>1.85328</v>
      </c>
      <c r="T8" s="138">
        <v>1</v>
      </c>
      <c r="U8" s="122">
        <v>31.536000000000001</v>
      </c>
      <c r="W8" s="83" t="s">
        <v>2820</v>
      </c>
      <c r="X8" s="83" t="s">
        <v>1564</v>
      </c>
      <c r="Y8" s="83" t="s">
        <v>1713</v>
      </c>
      <c r="Z8" s="83">
        <v>50</v>
      </c>
      <c r="AA8" s="123">
        <v>43832</v>
      </c>
      <c r="AB8" s="124">
        <f>DATE(YEAR(AA8)+Z8,MONTH(AA8),DAY(AA8))</f>
        <v>62095</v>
      </c>
      <c r="AC8" s="83"/>
      <c r="AD8" s="119"/>
      <c r="AE8" s="118"/>
      <c r="AF8" s="119"/>
      <c r="AG8" s="125"/>
      <c r="AH8" s="119"/>
      <c r="AI8" s="119"/>
      <c r="AJ8" s="118"/>
    </row>
    <row r="9" spans="2:36" s="18" customFormat="1">
      <c r="B9" s="76" t="s">
        <v>1754</v>
      </c>
      <c r="C9" s="57" t="s">
        <v>1561</v>
      </c>
      <c r="D9" s="57" t="s">
        <v>1562</v>
      </c>
      <c r="E9" s="57">
        <f>YEAR(AA9)</f>
        <v>2020</v>
      </c>
      <c r="F9" s="120">
        <f>K9</f>
        <v>1.65</v>
      </c>
      <c r="G9" s="120"/>
      <c r="H9" s="118">
        <v>0.92</v>
      </c>
      <c r="I9" s="120"/>
      <c r="J9" s="120"/>
      <c r="K9" s="120">
        <v>1.65</v>
      </c>
      <c r="L9" s="120"/>
      <c r="M9" s="83">
        <f>E9</f>
        <v>2020</v>
      </c>
      <c r="N9" s="83"/>
      <c r="O9" s="85"/>
      <c r="P9" s="85"/>
      <c r="Q9" s="138">
        <f>YEAR(AB9)</f>
        <v>2070</v>
      </c>
      <c r="R9" s="119">
        <f>Q9-E9</f>
        <v>50</v>
      </c>
      <c r="S9" s="121">
        <f>S8</f>
        <v>1.85328</v>
      </c>
      <c r="T9" s="138">
        <v>1</v>
      </c>
      <c r="U9" s="122">
        <v>31.536000000000001</v>
      </c>
      <c r="W9" s="83" t="s">
        <v>2820</v>
      </c>
      <c r="X9" s="83" t="s">
        <v>1564</v>
      </c>
      <c r="Y9" s="83" t="s">
        <v>1714</v>
      </c>
      <c r="Z9" s="83">
        <v>50</v>
      </c>
      <c r="AA9" s="123">
        <v>43833</v>
      </c>
      <c r="AB9" s="124">
        <f>DATE(YEAR(AA9)+Z9,MONTH(AA9),DAY(AA9))</f>
        <v>62096</v>
      </c>
      <c r="AC9" s="83"/>
      <c r="AD9" s="119"/>
      <c r="AE9" s="118"/>
      <c r="AF9" s="119"/>
      <c r="AG9" s="125"/>
      <c r="AH9" s="119"/>
      <c r="AI9" s="119"/>
      <c r="AJ9" s="118"/>
    </row>
    <row r="10" spans="2:36" s="18" customFormat="1">
      <c r="B10" s="76" t="s">
        <v>1755</v>
      </c>
      <c r="C10" s="57" t="s">
        <v>1561</v>
      </c>
      <c r="D10" s="57" t="s">
        <v>1562</v>
      </c>
      <c r="E10" s="57">
        <f>YEAR(AA10)</f>
        <v>2020</v>
      </c>
      <c r="F10" s="120">
        <f>K10</f>
        <v>1.65</v>
      </c>
      <c r="G10" s="83"/>
      <c r="H10" s="118">
        <v>0.92</v>
      </c>
      <c r="I10" s="83"/>
      <c r="J10" s="83"/>
      <c r="K10" s="120">
        <v>1.65</v>
      </c>
      <c r="L10" s="83"/>
      <c r="M10" s="83">
        <f>E10</f>
        <v>2020</v>
      </c>
      <c r="N10" s="83"/>
      <c r="O10" s="83"/>
      <c r="P10" s="83"/>
      <c r="Q10" s="138">
        <f>YEAR(AB10)</f>
        <v>2070</v>
      </c>
      <c r="R10" s="119">
        <f>Q10-E10</f>
        <v>50</v>
      </c>
      <c r="S10" s="121">
        <f>S9</f>
        <v>1.85328</v>
      </c>
      <c r="T10" s="138">
        <v>1</v>
      </c>
      <c r="U10" s="122">
        <v>31.536000000000001</v>
      </c>
      <c r="W10" s="83" t="s">
        <v>2820</v>
      </c>
      <c r="X10" s="83" t="s">
        <v>1564</v>
      </c>
      <c r="Y10" s="83" t="s">
        <v>1715</v>
      </c>
      <c r="Z10" s="83">
        <v>50</v>
      </c>
      <c r="AA10" s="123">
        <v>43834</v>
      </c>
      <c r="AB10" s="124">
        <f>DATE(YEAR(AA10)+Z10,MONTH(AA10),DAY(AA10))</f>
        <v>62097</v>
      </c>
      <c r="AC10" s="85"/>
      <c r="AD10" s="119"/>
      <c r="AE10" s="118"/>
      <c r="AF10" s="119"/>
      <c r="AG10" s="125"/>
      <c r="AH10" s="119"/>
      <c r="AI10" s="119"/>
      <c r="AJ10" s="118"/>
    </row>
    <row r="11" spans="2:36" s="18" customFormat="1">
      <c r="M11" s="87"/>
      <c r="N11" s="87"/>
      <c r="O11" s="87"/>
      <c r="P11" s="87"/>
      <c r="Q11" s="84"/>
      <c r="R11" s="87"/>
      <c r="S11" s="157"/>
      <c r="T11" s="87"/>
    </row>
    <row r="12" spans="2:36" s="18" customFormat="1">
      <c r="M12" s="87"/>
      <c r="N12" s="87"/>
      <c r="O12" s="87"/>
      <c r="P12" s="87"/>
      <c r="Q12" s="84"/>
      <c r="R12" s="87"/>
      <c r="S12" s="157"/>
      <c r="T12" s="87"/>
    </row>
    <row r="13" spans="2:36" s="18" customFormat="1">
      <c r="M13" s="87"/>
      <c r="N13" s="87"/>
      <c r="O13" s="87"/>
      <c r="P13" s="87"/>
      <c r="Q13" s="84"/>
      <c r="R13" s="87"/>
      <c r="S13" s="157"/>
      <c r="T13" s="87"/>
    </row>
    <row r="14" spans="2:36" s="18" customFormat="1">
      <c r="M14" s="87"/>
      <c r="N14" s="87"/>
      <c r="O14" s="87"/>
      <c r="P14" s="87"/>
      <c r="Q14" s="84"/>
      <c r="R14" s="87"/>
      <c r="S14" s="157"/>
      <c r="T14" s="87"/>
    </row>
    <row r="15" spans="2:36" s="18" customFormat="1">
      <c r="M15" s="87"/>
      <c r="N15" s="87"/>
      <c r="O15" s="87"/>
      <c r="P15" s="87"/>
      <c r="Q15" s="84"/>
      <c r="R15" s="87"/>
      <c r="S15" s="157"/>
      <c r="T15" s="87"/>
    </row>
    <row r="16" spans="2:36" s="18" customFormat="1">
      <c r="M16" s="87"/>
      <c r="N16" s="87"/>
      <c r="O16" s="87"/>
      <c r="P16" s="87"/>
      <c r="Q16" s="84"/>
      <c r="R16" s="87"/>
      <c r="S16" s="157"/>
      <c r="T16" s="87"/>
    </row>
    <row r="17" spans="2:20" s="18" customFormat="1">
      <c r="M17" s="87"/>
      <c r="N17" s="87"/>
      <c r="O17" s="87"/>
      <c r="P17" s="87"/>
      <c r="Q17" s="84"/>
      <c r="R17" s="87"/>
      <c r="S17" s="157"/>
      <c r="T17" s="87"/>
    </row>
    <row r="18" spans="2:20" s="18" customFormat="1">
      <c r="M18" s="87"/>
      <c r="N18" s="87"/>
      <c r="O18" s="87"/>
      <c r="P18" s="87"/>
      <c r="Q18" s="84"/>
      <c r="R18" s="87"/>
      <c r="S18" s="157"/>
      <c r="T18" s="87"/>
    </row>
    <row r="19" spans="2:20" s="18" customFormat="1">
      <c r="M19" s="87"/>
      <c r="N19" s="87"/>
      <c r="O19" s="87"/>
      <c r="P19" s="87"/>
      <c r="Q19" s="84"/>
      <c r="R19" s="87"/>
      <c r="S19" s="157"/>
      <c r="T19" s="87"/>
    </row>
    <row r="20" spans="2:20" s="18" customFormat="1">
      <c r="M20" s="87"/>
      <c r="N20" s="87"/>
      <c r="O20" s="87"/>
      <c r="P20" s="87"/>
      <c r="Q20" s="84"/>
      <c r="R20" s="87"/>
      <c r="S20" s="157"/>
      <c r="T20" s="87"/>
    </row>
    <row r="21" spans="2:20" s="18" customFormat="1">
      <c r="E21" s="18" t="s">
        <v>7128</v>
      </c>
      <c r="F21" s="160">
        <v>0</v>
      </c>
      <c r="M21" s="87"/>
      <c r="N21" s="87"/>
      <c r="O21" s="87"/>
      <c r="P21" s="87"/>
      <c r="Q21" s="84"/>
      <c r="R21" s="87"/>
      <c r="S21" s="87"/>
      <c r="T21" s="87"/>
    </row>
    <row r="22" spans="2:20" s="18" customFormat="1">
      <c r="E22" s="18" t="s">
        <v>7127</v>
      </c>
      <c r="F22" s="160">
        <f>SUM(F4:F10)</f>
        <v>6.6</v>
      </c>
      <c r="M22" s="87"/>
      <c r="N22" s="87"/>
      <c r="O22" s="87"/>
      <c r="P22" s="87"/>
      <c r="Q22" s="84"/>
      <c r="R22" s="87"/>
      <c r="S22" s="87"/>
      <c r="T22" s="87"/>
    </row>
    <row r="23" spans="2:20" s="18" customFormat="1">
      <c r="M23" s="87"/>
      <c r="N23" s="87"/>
      <c r="O23" s="87"/>
      <c r="P23" s="87"/>
      <c r="Q23" s="84"/>
      <c r="R23" s="87"/>
      <c r="S23" s="87"/>
      <c r="T23" s="87"/>
    </row>
    <row r="24" spans="2:20" s="18" customFormat="1">
      <c r="M24" s="158"/>
      <c r="N24" s="87"/>
      <c r="O24" s="87"/>
      <c r="P24" s="87"/>
      <c r="Q24" s="84"/>
      <c r="R24" s="87"/>
      <c r="S24" s="87"/>
      <c r="T24" s="87"/>
    </row>
    <row r="25" spans="2:20" s="18" customFormat="1">
      <c r="B25" s="224" t="s">
        <v>1603</v>
      </c>
      <c r="C25" s="224"/>
      <c r="D25" s="225"/>
      <c r="E25" s="225"/>
      <c r="F25" s="225"/>
      <c r="G25" s="225"/>
      <c r="H25" s="225"/>
      <c r="I25" s="225"/>
      <c r="M25" s="87"/>
      <c r="N25" s="87"/>
      <c r="O25" s="87"/>
      <c r="P25" s="87"/>
      <c r="Q25" s="84"/>
      <c r="R25" s="87"/>
      <c r="S25" s="87"/>
      <c r="T25" s="87"/>
    </row>
    <row r="26" spans="2:20" s="18" customFormat="1" ht="13.5" thickBot="1">
      <c r="B26" s="226" t="s">
        <v>1604</v>
      </c>
      <c r="C26" s="226" t="s">
        <v>1540</v>
      </c>
      <c r="D26" s="226" t="s">
        <v>1605</v>
      </c>
      <c r="E26" s="226" t="s">
        <v>1606</v>
      </c>
      <c r="F26" s="226" t="s">
        <v>1607</v>
      </c>
      <c r="G26" s="226" t="s">
        <v>1608</v>
      </c>
      <c r="H26" s="226" t="s">
        <v>1609</v>
      </c>
      <c r="I26" s="226" t="s">
        <v>1610</v>
      </c>
      <c r="M26" s="87"/>
      <c r="N26" s="87"/>
      <c r="O26" s="87"/>
      <c r="P26" s="87"/>
      <c r="Q26" s="84"/>
      <c r="R26" s="87"/>
      <c r="S26" s="87"/>
      <c r="T26" s="87"/>
    </row>
    <row r="27" spans="2:20" s="18" customFormat="1">
      <c r="B27" s="225" t="s">
        <v>1611</v>
      </c>
      <c r="C27" s="225" t="str">
        <f>B7</f>
        <v>ENIT_ITALY-1</v>
      </c>
      <c r="D27" s="227" t="str">
        <f>"Nuclear Power Plant: "&amp;Y7</f>
        <v>Nuclear Power Plant: ITALY-1</v>
      </c>
      <c r="E27" s="228" t="s">
        <v>1612</v>
      </c>
      <c r="F27" s="228" t="s">
        <v>1556</v>
      </c>
      <c r="G27" s="228" t="s">
        <v>7378</v>
      </c>
      <c r="H27" s="225"/>
      <c r="I27" s="228"/>
      <c r="M27" s="87"/>
      <c r="N27" s="87"/>
      <c r="O27" s="87"/>
      <c r="P27" s="87"/>
      <c r="Q27" s="84"/>
      <c r="R27" s="87"/>
      <c r="S27" s="87"/>
      <c r="T27" s="87"/>
    </row>
    <row r="28" spans="2:20" s="18" customFormat="1">
      <c r="B28" s="225"/>
      <c r="C28" s="225" t="str">
        <f>B8</f>
        <v>ENIT_ITALY-2</v>
      </c>
      <c r="D28" s="227" t="str">
        <f>"Nuclear Power Plant: "&amp;Y8</f>
        <v>Nuclear Power Plant: ITALY-2</v>
      </c>
      <c r="E28" s="228" t="s">
        <v>1612</v>
      </c>
      <c r="F28" s="228" t="s">
        <v>1556</v>
      </c>
      <c r="G28" s="228" t="s">
        <v>7378</v>
      </c>
      <c r="H28" s="225"/>
      <c r="I28" s="228"/>
      <c r="Q28" s="60"/>
    </row>
    <row r="29" spans="2:20" s="18" customFormat="1">
      <c r="B29" s="225"/>
      <c r="C29" s="225" t="str">
        <f>B9</f>
        <v>ENIT_ITALY-3</v>
      </c>
      <c r="D29" s="227" t="str">
        <f>"Nuclear Power Plant: "&amp;Y9</f>
        <v>Nuclear Power Plant: ITALY-3</v>
      </c>
      <c r="E29" s="228" t="s">
        <v>1612</v>
      </c>
      <c r="F29" s="228" t="s">
        <v>1556</v>
      </c>
      <c r="G29" s="228" t="s">
        <v>7378</v>
      </c>
      <c r="H29" s="225"/>
      <c r="I29" s="225"/>
      <c r="Q29" s="60"/>
    </row>
    <row r="30" spans="2:20" s="18" customFormat="1">
      <c r="B30" s="225"/>
      <c r="C30" s="225" t="str">
        <f>B10</f>
        <v>ENIT_ITALY-4</v>
      </c>
      <c r="D30" s="227" t="str">
        <f>"Nuclear Power Plant: "&amp;Y10</f>
        <v>Nuclear Power Plant: ITALY-4</v>
      </c>
      <c r="E30" s="228" t="s">
        <v>1612</v>
      </c>
      <c r="F30" s="228" t="s">
        <v>1556</v>
      </c>
      <c r="G30" s="228" t="s">
        <v>7378</v>
      </c>
      <c r="H30" s="225"/>
      <c r="I30" s="225"/>
      <c r="Q30" s="60"/>
    </row>
    <row r="31" spans="2:20" s="18" customFormat="1">
      <c r="Q31" s="60"/>
    </row>
    <row r="32" spans="2:20" s="18" customFormat="1">
      <c r="Q32" s="60"/>
    </row>
    <row r="33" spans="17:17" s="18" customFormat="1">
      <c r="Q33" s="60"/>
    </row>
    <row r="34" spans="17:17" s="18" customFormat="1">
      <c r="Q34" s="60"/>
    </row>
    <row r="35" spans="17:17" s="18" customFormat="1">
      <c r="Q35" s="60"/>
    </row>
    <row r="36" spans="17:17" s="18" customFormat="1">
      <c r="Q36" s="60"/>
    </row>
    <row r="37" spans="17:17" s="18" customFormat="1">
      <c r="Q37" s="60"/>
    </row>
    <row r="38" spans="17:17" s="18" customFormat="1">
      <c r="Q38" s="60"/>
    </row>
    <row r="39" spans="17:17" s="18" customFormat="1">
      <c r="Q39" s="60"/>
    </row>
    <row r="40" spans="17:17" s="18" customFormat="1">
      <c r="Q40" s="60"/>
    </row>
    <row r="41" spans="17:17" s="18" customFormat="1">
      <c r="Q41" s="60"/>
    </row>
    <row r="42" spans="17:17" s="18" customFormat="1">
      <c r="Q42" s="60"/>
    </row>
    <row r="43" spans="17:17" s="18" customFormat="1">
      <c r="Q43" s="60"/>
    </row>
    <row r="44" spans="17:17" s="18" customFormat="1">
      <c r="Q44" s="60"/>
    </row>
    <row r="45" spans="17:17" s="18" customFormat="1">
      <c r="Q45" s="60"/>
    </row>
    <row r="46" spans="17:17" s="18" customFormat="1">
      <c r="Q46" s="60"/>
    </row>
    <row r="47" spans="17:17" s="18" customFormat="1">
      <c r="Q47" s="60"/>
    </row>
    <row r="48" spans="17: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F440" s="70"/>
      <c r="G440" s="70"/>
      <c r="H440" s="70"/>
      <c r="Q440" s="60"/>
    </row>
    <row r="441" spans="2:29" s="18" customFormat="1">
      <c r="F441" s="70"/>
      <c r="G441" s="70"/>
      <c r="H441" s="70"/>
      <c r="Q441" s="60"/>
    </row>
    <row r="442" spans="2:29" s="18" customFormat="1">
      <c r="F442" s="70"/>
      <c r="G442" s="70"/>
      <c r="H442" s="70"/>
      <c r="Q442" s="60"/>
    </row>
    <row r="443" spans="2:29" s="70" customFormat="1">
      <c r="B443" s="18"/>
      <c r="C443" s="18"/>
      <c r="D443" s="18"/>
      <c r="E443" s="18"/>
      <c r="Q443" s="144"/>
      <c r="W443" s="18"/>
      <c r="X443" s="18"/>
      <c r="Y443" s="18"/>
      <c r="Z443" s="18"/>
      <c r="AC443" s="18"/>
    </row>
    <row r="444" spans="2:29" s="70" customFormat="1">
      <c r="B444" s="18"/>
      <c r="C444" s="18"/>
      <c r="D444" s="18"/>
      <c r="E444" s="18"/>
      <c r="Q444" s="144"/>
      <c r="W444" s="18"/>
      <c r="X444" s="18"/>
      <c r="Y444" s="18"/>
      <c r="Z444" s="18"/>
      <c r="AC444" s="18"/>
    </row>
    <row r="445" spans="2:29" s="70" customFormat="1">
      <c r="B445" s="18"/>
      <c r="C445" s="18"/>
      <c r="D445" s="18"/>
      <c r="E445" s="18"/>
      <c r="Q445" s="144"/>
      <c r="W445" s="18"/>
      <c r="X445" s="18"/>
      <c r="Y445" s="18"/>
      <c r="Z445" s="18"/>
      <c r="AC445" s="18"/>
    </row>
    <row r="446" spans="2:29" s="70" customFormat="1">
      <c r="B446" s="18"/>
      <c r="C446" s="18"/>
      <c r="D446" s="18"/>
      <c r="E446" s="18"/>
      <c r="Q446" s="144"/>
      <c r="W446" s="18"/>
      <c r="X446" s="18"/>
      <c r="Y446" s="18"/>
      <c r="Z446" s="18"/>
      <c r="AC446" s="18"/>
    </row>
    <row r="447" spans="2:29" s="70" customFormat="1">
      <c r="B447" s="18"/>
      <c r="C447" s="18"/>
      <c r="D447" s="18"/>
      <c r="E447" s="18"/>
      <c r="Q447" s="144"/>
      <c r="W447" s="18"/>
      <c r="X447" s="18"/>
      <c r="Y447" s="18"/>
      <c r="Z447" s="18"/>
      <c r="AC447" s="18"/>
    </row>
    <row r="448" spans="2:29" s="70" customFormat="1">
      <c r="B448" s="18"/>
      <c r="C448" s="18"/>
      <c r="D448" s="18"/>
      <c r="E448" s="18"/>
      <c r="F448" s="19"/>
      <c r="G448" s="19"/>
      <c r="H448" s="19"/>
      <c r="Q448" s="144"/>
      <c r="W448" s="18"/>
      <c r="X448" s="18"/>
      <c r="Y448" s="18"/>
      <c r="Z448" s="18"/>
      <c r="AC448" s="18"/>
    </row>
    <row r="449" spans="2:29" s="70" customFormat="1">
      <c r="B449" s="18"/>
      <c r="C449" s="18"/>
      <c r="D449" s="18"/>
      <c r="E449" s="18"/>
      <c r="F449" s="19"/>
      <c r="G449" s="19"/>
      <c r="H449" s="19"/>
      <c r="Q449" s="144"/>
      <c r="W449" s="18"/>
      <c r="X449" s="18"/>
      <c r="Y449" s="18"/>
      <c r="Z449" s="18"/>
      <c r="AC449" s="18"/>
    </row>
    <row r="450" spans="2:29" s="70" customFormat="1">
      <c r="B450" s="18"/>
      <c r="C450" s="18"/>
      <c r="D450" s="18"/>
      <c r="E450" s="18"/>
      <c r="F450" s="19"/>
      <c r="G450" s="19"/>
      <c r="H450" s="19"/>
      <c r="Q450" s="144"/>
      <c r="W450" s="18"/>
      <c r="X450" s="18"/>
      <c r="Y450" s="18"/>
      <c r="Z450" s="18"/>
      <c r="AC450" s="18"/>
    </row>
  </sheetData>
  <phoneticPr fontId="0" type="noConversion"/>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0" tint="-0.34998626667073579"/>
  </sheetPr>
  <dimension ref="B1:AJ451"/>
  <sheetViews>
    <sheetView zoomScale="85" zoomScaleNormal="85" workbookViewId="0">
      <selection activeCell="G30" sqref="G30"/>
    </sheetView>
  </sheetViews>
  <sheetFormatPr defaultColWidth="8.85546875" defaultRowHeight="12.75"/>
  <cols>
    <col min="1" max="1" width="3" style="19" customWidth="1"/>
    <col min="2" max="2" width="28.7109375" style="18" customWidth="1"/>
    <col min="3" max="3" width="15.7109375" style="18" customWidth="1"/>
    <col min="4" max="4" width="14" style="18" customWidth="1"/>
    <col min="5" max="5" width="19.42578125" style="18" bestFit="1" customWidth="1"/>
    <col min="6" max="6" width="13.7109375" style="19" customWidth="1"/>
    <col min="7" max="7" width="14.140625" style="19" customWidth="1"/>
    <col min="8" max="8" width="11.7109375" style="19" bestFit="1" customWidth="1"/>
    <col min="9" max="9" width="11.140625" style="19" customWidth="1"/>
    <col min="10" max="10" width="12.7109375" style="19" bestFit="1" customWidth="1"/>
    <col min="11" max="11" width="14.7109375" style="19" bestFit="1" customWidth="1"/>
    <col min="12" max="12" width="14.85546875" style="19" customWidth="1"/>
    <col min="13" max="13" width="17.28515625" style="19" bestFit="1" customWidth="1"/>
    <col min="14" max="15" width="8.85546875" style="19"/>
    <col min="16" max="16" width="10.42578125" style="19" customWidth="1"/>
    <col min="17" max="17" width="15.28515625" style="32" customWidth="1"/>
    <col min="18" max="19" width="9.42578125" style="19" customWidth="1"/>
    <col min="20" max="20" width="5.7109375" style="19" bestFit="1" customWidth="1"/>
    <col min="21" max="21" width="20" style="19" customWidth="1"/>
    <col min="22" max="22" width="8.42578125" style="19" customWidth="1"/>
    <col min="23" max="23" width="13.28515625" style="18" customWidth="1"/>
    <col min="24" max="24" width="19.85546875" style="18" bestFit="1" customWidth="1"/>
    <col min="25" max="25" width="13.28515625" style="18" bestFit="1" customWidth="1"/>
    <col min="26" max="26" width="13.42578125" style="18"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6">
      <c r="B1" s="72" t="s">
        <v>1699</v>
      </c>
      <c r="C1" s="78"/>
      <c r="D1" s="78"/>
      <c r="E1" s="79" t="s">
        <v>1700</v>
      </c>
      <c r="F1" s="68" t="s">
        <v>1691</v>
      </c>
      <c r="G1" s="69"/>
      <c r="H1" s="151" t="s">
        <v>1707</v>
      </c>
    </row>
    <row r="3" spans="2:36" ht="25.5">
      <c r="F3" s="47" t="s">
        <v>1598</v>
      </c>
      <c r="G3" s="47" t="s">
        <v>1597</v>
      </c>
      <c r="H3" s="27" t="s">
        <v>1521</v>
      </c>
      <c r="I3" s="27" t="s">
        <v>1522</v>
      </c>
      <c r="J3" s="27"/>
      <c r="M3" s="29"/>
      <c r="N3" s="29"/>
      <c r="Q3" s="47" t="s">
        <v>1529</v>
      </c>
      <c r="T3" s="28"/>
      <c r="U3" s="28"/>
      <c r="W3" s="17" t="s">
        <v>1524</v>
      </c>
      <c r="X3" s="18" t="s">
        <v>5722</v>
      </c>
      <c r="Y3" s="17" t="s">
        <v>1525</v>
      </c>
      <c r="Z3" s="60" t="s">
        <v>1693</v>
      </c>
      <c r="AA3" s="19" t="s">
        <v>1527</v>
      </c>
      <c r="AB3" s="19" t="s">
        <v>1528</v>
      </c>
      <c r="AC3" s="18" t="s">
        <v>1526</v>
      </c>
      <c r="AD3" s="27" t="s">
        <v>1599</v>
      </c>
      <c r="AE3" s="27" t="s">
        <v>1530</v>
      </c>
      <c r="AF3" s="47" t="s">
        <v>1600</v>
      </c>
      <c r="AG3" s="47" t="s">
        <v>1601</v>
      </c>
      <c r="AH3" s="19" t="s">
        <v>1531</v>
      </c>
      <c r="AI3" s="47" t="s">
        <v>1602</v>
      </c>
      <c r="AJ3" s="47" t="s">
        <v>1602</v>
      </c>
    </row>
    <row r="4" spans="2:36">
      <c r="E4" s="77" t="s">
        <v>1694</v>
      </c>
      <c r="F4" s="27"/>
      <c r="G4" s="27"/>
      <c r="M4" s="30"/>
      <c r="N4" s="30"/>
      <c r="T4" s="30"/>
      <c r="U4" s="30"/>
      <c r="AA4" s="30"/>
      <c r="AB4" s="30"/>
      <c r="AC4" s="18" t="s">
        <v>1532</v>
      </c>
      <c r="AD4" s="19" t="s">
        <v>1533</v>
      </c>
      <c r="AE4" s="19" t="s">
        <v>1534</v>
      </c>
      <c r="AF4" s="19" t="s">
        <v>1535</v>
      </c>
      <c r="AG4" s="30" t="s">
        <v>1536</v>
      </c>
      <c r="AH4" s="30" t="s">
        <v>1537</v>
      </c>
      <c r="AI4" s="19" t="s">
        <v>1538</v>
      </c>
      <c r="AJ4" s="19" t="s">
        <v>1539</v>
      </c>
    </row>
    <row r="5" spans="2:36">
      <c r="B5" s="33" t="s">
        <v>1540</v>
      </c>
      <c r="C5" s="33" t="s">
        <v>1541</v>
      </c>
      <c r="D5" s="33" t="s">
        <v>1542</v>
      </c>
      <c r="E5" s="33" t="s">
        <v>1543</v>
      </c>
      <c r="F5" s="32" t="s">
        <v>1544</v>
      </c>
      <c r="G5" s="32" t="s">
        <v>1544</v>
      </c>
      <c r="H5" s="31" t="s">
        <v>1545</v>
      </c>
      <c r="I5" s="31" t="s">
        <v>1546</v>
      </c>
      <c r="J5" s="31" t="s">
        <v>1719</v>
      </c>
      <c r="K5" s="31" t="s">
        <v>7126</v>
      </c>
      <c r="L5" s="31" t="s">
        <v>1552</v>
      </c>
      <c r="M5" s="31" t="s">
        <v>7124</v>
      </c>
      <c r="N5" s="31" t="s">
        <v>7125</v>
      </c>
      <c r="O5" s="31" t="s">
        <v>1548</v>
      </c>
      <c r="P5" s="31" t="s">
        <v>1551</v>
      </c>
      <c r="Q5" s="29" t="s">
        <v>1544</v>
      </c>
      <c r="R5" s="33" t="s">
        <v>1554</v>
      </c>
      <c r="S5" s="33" t="s">
        <v>1696</v>
      </c>
      <c r="T5" s="31" t="s">
        <v>1549</v>
      </c>
      <c r="U5" s="31" t="s">
        <v>1550</v>
      </c>
      <c r="W5" s="87"/>
      <c r="AA5" s="30"/>
      <c r="AB5" s="30"/>
      <c r="AH5" s="30"/>
    </row>
    <row r="6" spans="2:36">
      <c r="B6" s="73"/>
      <c r="C6" s="80" t="s">
        <v>1555</v>
      </c>
      <c r="D6" s="73"/>
      <c r="E6" s="73"/>
      <c r="F6" s="34" t="s">
        <v>1556</v>
      </c>
      <c r="G6" s="34" t="s">
        <v>1556</v>
      </c>
      <c r="H6" s="34"/>
      <c r="I6" s="34"/>
      <c r="J6" s="34" t="s">
        <v>1556</v>
      </c>
      <c r="K6" s="34" t="s">
        <v>1556</v>
      </c>
      <c r="L6" s="34" t="s">
        <v>1556</v>
      </c>
      <c r="M6" s="34"/>
      <c r="N6" s="34" t="s">
        <v>1557</v>
      </c>
      <c r="O6" s="34" t="s">
        <v>1558</v>
      </c>
      <c r="P6" s="34" t="s">
        <v>1557</v>
      </c>
      <c r="Q6" s="34"/>
      <c r="R6" s="34" t="s">
        <v>1692</v>
      </c>
      <c r="S6" s="34" t="s">
        <v>1534</v>
      </c>
      <c r="T6" s="34"/>
      <c r="U6" s="34" t="s">
        <v>1559</v>
      </c>
      <c r="W6" s="87"/>
      <c r="Y6" s="89"/>
      <c r="AA6" s="30"/>
      <c r="AB6" s="30"/>
      <c r="AH6" s="30"/>
    </row>
    <row r="7" spans="2:36" s="18" customFormat="1">
      <c r="B7" s="74" t="s">
        <v>1756</v>
      </c>
      <c r="C7" s="61" t="s">
        <v>1561</v>
      </c>
      <c r="D7" s="61" t="s">
        <v>1562</v>
      </c>
      <c r="E7" s="81">
        <f>YEAR(AA7)</f>
        <v>1983</v>
      </c>
      <c r="F7" s="98">
        <v>1.1850000000000001</v>
      </c>
      <c r="G7" s="98">
        <v>1.3</v>
      </c>
      <c r="H7" s="99">
        <v>0.9194</v>
      </c>
      <c r="I7" s="100">
        <v>0.75419999999999998</v>
      </c>
      <c r="J7" s="101">
        <f>F7</f>
        <v>1.1850000000000001</v>
      </c>
      <c r="K7" s="91"/>
      <c r="L7" s="103"/>
      <c r="M7" s="103"/>
      <c r="N7" s="90"/>
      <c r="O7" s="90"/>
      <c r="P7" s="90"/>
      <c r="Q7" s="102">
        <f>YEAR(AB7)-9</f>
        <v>2004</v>
      </c>
      <c r="R7" s="94">
        <f>Q7-E7</f>
        <v>21</v>
      </c>
      <c r="S7" s="99">
        <v>0.66</v>
      </c>
      <c r="T7" s="94">
        <v>1</v>
      </c>
      <c r="U7" s="104">
        <v>31.536000000000001</v>
      </c>
      <c r="W7" s="91" t="s">
        <v>1619</v>
      </c>
      <c r="X7" s="91"/>
      <c r="Y7" s="91" t="s">
        <v>1718</v>
      </c>
      <c r="Z7" s="91">
        <v>30</v>
      </c>
      <c r="AA7" s="105">
        <v>30651</v>
      </c>
      <c r="AB7" s="106">
        <f>DATE(YEAR(AA7)+Z7,MONTH(AA7),DAY(AA7))</f>
        <v>41609</v>
      </c>
      <c r="AC7" s="90"/>
      <c r="AD7" s="102"/>
      <c r="AE7" s="99"/>
      <c r="AF7" s="102"/>
      <c r="AG7" s="107"/>
      <c r="AH7" s="102"/>
      <c r="AI7" s="102"/>
      <c r="AJ7" s="99"/>
    </row>
    <row r="8" spans="2:36" s="18" customFormat="1">
      <c r="B8" s="74" t="s">
        <v>1757</v>
      </c>
      <c r="C8" s="61" t="s">
        <v>1561</v>
      </c>
      <c r="D8" s="61" t="s">
        <v>1562</v>
      </c>
      <c r="E8" s="81">
        <f>YEAR(AA8)</f>
        <v>1987</v>
      </c>
      <c r="F8" s="98">
        <v>1.1850000000000001</v>
      </c>
      <c r="G8" s="98">
        <v>1.3</v>
      </c>
      <c r="H8" s="99">
        <v>0.9194</v>
      </c>
      <c r="I8" s="100">
        <v>0.75419999999999998</v>
      </c>
      <c r="J8" s="101">
        <f>F8</f>
        <v>1.1850000000000001</v>
      </c>
      <c r="K8" s="91"/>
      <c r="L8" s="103"/>
      <c r="M8" s="103"/>
      <c r="N8" s="90"/>
      <c r="O8" s="90"/>
      <c r="P8" s="90"/>
      <c r="Q8" s="102">
        <f>YEAR(AB8)-8</f>
        <v>2009</v>
      </c>
      <c r="R8" s="94">
        <f>Q8-E8</f>
        <v>22</v>
      </c>
      <c r="S8" s="99">
        <v>0.66</v>
      </c>
      <c r="T8" s="94">
        <v>1</v>
      </c>
      <c r="U8" s="104">
        <v>31.536000000000001</v>
      </c>
      <c r="W8" s="91" t="s">
        <v>1619</v>
      </c>
      <c r="X8" s="91"/>
      <c r="Y8" s="91" t="s">
        <v>1701</v>
      </c>
      <c r="Z8" s="91">
        <v>30</v>
      </c>
      <c r="AA8" s="105">
        <v>31990</v>
      </c>
      <c r="AB8" s="106">
        <f>DATE(YEAR(AA8)+Z8,MONTH(AA8),DAY(AA8))</f>
        <v>42948</v>
      </c>
      <c r="AC8" s="90"/>
      <c r="AD8" s="102"/>
      <c r="AE8" s="99"/>
      <c r="AF8" s="102"/>
      <c r="AG8" s="107"/>
      <c r="AH8" s="102"/>
      <c r="AI8" s="102"/>
      <c r="AJ8" s="99"/>
    </row>
    <row r="9" spans="2:36" s="18" customFormat="1">
      <c r="B9" s="76" t="s">
        <v>1758</v>
      </c>
      <c r="C9" s="57" t="s">
        <v>1561</v>
      </c>
      <c r="D9" s="57" t="s">
        <v>1562</v>
      </c>
      <c r="E9" s="57">
        <f>YEAR(AA9)</f>
        <v>2020</v>
      </c>
      <c r="F9" s="120">
        <f>K9</f>
        <v>1.35</v>
      </c>
      <c r="G9" s="120"/>
      <c r="H9" s="118">
        <v>0.92</v>
      </c>
      <c r="I9" s="121"/>
      <c r="J9" s="120"/>
      <c r="K9" s="120">
        <v>1.35</v>
      </c>
      <c r="L9" s="130"/>
      <c r="M9" s="83">
        <f>E9</f>
        <v>2020</v>
      </c>
      <c r="N9" s="83"/>
      <c r="O9" s="85"/>
      <c r="P9" s="85"/>
      <c r="Q9" s="138">
        <f>R9-E9</f>
        <v>-1970</v>
      </c>
      <c r="R9" s="119">
        <v>50</v>
      </c>
      <c r="S9" s="121">
        <v>1.85328</v>
      </c>
      <c r="T9" s="138">
        <v>1</v>
      </c>
      <c r="U9" s="122">
        <v>31.536000000000001</v>
      </c>
      <c r="W9" s="83" t="s">
        <v>1716</v>
      </c>
      <c r="X9" s="83" t="s">
        <v>1652</v>
      </c>
      <c r="Y9" s="83" t="s">
        <v>1717</v>
      </c>
      <c r="Z9" s="83">
        <v>50</v>
      </c>
      <c r="AA9" s="123">
        <v>43831</v>
      </c>
      <c r="AB9" s="124">
        <f>DATE(YEAR(AA9)+Z9,MONTH(AA9),DAY(AA9))</f>
        <v>62094</v>
      </c>
      <c r="AC9" s="85"/>
      <c r="AD9" s="119"/>
      <c r="AE9" s="118"/>
      <c r="AF9" s="119"/>
      <c r="AG9" s="125"/>
      <c r="AH9" s="119"/>
      <c r="AI9" s="119"/>
      <c r="AJ9" s="118"/>
    </row>
    <row r="10" spans="2:36" s="18" customFormat="1">
      <c r="Q10" s="60"/>
      <c r="R10" s="229"/>
    </row>
    <row r="11" spans="2:36" s="18" customFormat="1">
      <c r="Q11" s="60"/>
    </row>
    <row r="12" spans="2:36" s="18" customFormat="1">
      <c r="Q12" s="60"/>
    </row>
    <row r="13" spans="2:36" s="18" customFormat="1">
      <c r="Q13" s="60"/>
    </row>
    <row r="14" spans="2:36" s="18" customFormat="1">
      <c r="Q14" s="60"/>
    </row>
    <row r="15" spans="2:36" s="18" customFormat="1">
      <c r="Q15" s="60"/>
    </row>
    <row r="16" spans="2:36"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SUM(F7:F8)</f>
        <v>2.37</v>
      </c>
      <c r="Q21" s="60"/>
    </row>
    <row r="22" spans="2:17" s="18" customFormat="1">
      <c r="E22" s="18" t="s">
        <v>7127</v>
      </c>
      <c r="F22" s="160">
        <f>F9</f>
        <v>1.35</v>
      </c>
      <c r="Q22" s="60"/>
    </row>
    <row r="23" spans="2:17" s="18" customFormat="1">
      <c r="Q23" s="84"/>
    </row>
    <row r="24" spans="2:17" s="18" customFormat="1">
      <c r="Q24" s="84"/>
    </row>
    <row r="25" spans="2:17" s="18" customFormat="1">
      <c r="B25" s="224" t="s">
        <v>1603</v>
      </c>
      <c r="C25" s="224"/>
      <c r="D25" s="225"/>
      <c r="E25" s="225"/>
      <c r="F25" s="225"/>
      <c r="G25" s="225"/>
      <c r="H25" s="225"/>
      <c r="I25" s="225"/>
      <c r="Q25" s="159"/>
    </row>
    <row r="26" spans="2:17" s="18" customFormat="1" ht="13.5" thickBot="1">
      <c r="B26" s="226" t="s">
        <v>1604</v>
      </c>
      <c r="C26" s="226" t="s">
        <v>1540</v>
      </c>
      <c r="D26" s="226" t="s">
        <v>1605</v>
      </c>
      <c r="E26" s="226" t="s">
        <v>1606</v>
      </c>
      <c r="F26" s="226" t="s">
        <v>1607</v>
      </c>
      <c r="G26" s="226" t="s">
        <v>1608</v>
      </c>
      <c r="H26" s="226" t="s">
        <v>1609</v>
      </c>
      <c r="I26" s="226" t="s">
        <v>1610</v>
      </c>
      <c r="Q26" s="84"/>
    </row>
    <row r="27" spans="2:17" s="18" customFormat="1">
      <c r="B27" s="225" t="s">
        <v>1611</v>
      </c>
      <c r="C27" s="225" t="str">
        <f>B7</f>
        <v>ENLT_IGNALINA-1</v>
      </c>
      <c r="D27" s="227" t="str">
        <f>"Nuclear Power Plant: "&amp;Y7</f>
        <v>Nuclear Power Plant: IGNALINA-1</v>
      </c>
      <c r="E27" s="228" t="s">
        <v>1612</v>
      </c>
      <c r="F27" s="228" t="s">
        <v>1556</v>
      </c>
      <c r="G27" s="228" t="s">
        <v>1613</v>
      </c>
      <c r="H27" s="228"/>
      <c r="I27" s="228"/>
      <c r="Q27" s="87"/>
    </row>
    <row r="28" spans="2:17" s="18" customFormat="1">
      <c r="B28" s="225"/>
      <c r="C28" s="225" t="str">
        <f>B8</f>
        <v>ENLT_IGNALINA-2</v>
      </c>
      <c r="D28" s="227" t="str">
        <f>"Nuclear Power Plant: "&amp;Y8</f>
        <v>Nuclear Power Plant: IGNALINA-2</v>
      </c>
      <c r="E28" s="228" t="s">
        <v>1612</v>
      </c>
      <c r="F28" s="228" t="s">
        <v>1556</v>
      </c>
      <c r="G28" s="228" t="s">
        <v>1613</v>
      </c>
      <c r="H28" s="228"/>
      <c r="I28" s="228"/>
      <c r="Q28" s="87"/>
    </row>
    <row r="29" spans="2:17" s="18" customFormat="1">
      <c r="B29" s="225"/>
      <c r="C29" s="225" t="str">
        <f>B9</f>
        <v>ENLT_VISAGINAS-1</v>
      </c>
      <c r="D29" s="227" t="str">
        <f>"Nuclear Power Plant: "&amp;Y9</f>
        <v>Nuclear Power Plant: VISAGINAS-1</v>
      </c>
      <c r="E29" s="228" t="s">
        <v>1612</v>
      </c>
      <c r="F29" s="228" t="s">
        <v>1556</v>
      </c>
      <c r="G29" s="228" t="s">
        <v>7378</v>
      </c>
      <c r="H29" s="228"/>
      <c r="I29" s="228"/>
    </row>
    <row r="30" spans="2:17" s="18" customFormat="1">
      <c r="Q30" s="60"/>
    </row>
    <row r="31" spans="2:17" s="18" customFormat="1">
      <c r="Q31" s="60"/>
    </row>
    <row r="32" spans="2:17" s="18" customFormat="1">
      <c r="Q32" s="60"/>
    </row>
    <row r="33" spans="17:17" s="18" customFormat="1">
      <c r="Q33" s="60"/>
    </row>
    <row r="34" spans="17:17" s="18" customFormat="1">
      <c r="Q34" s="60"/>
    </row>
    <row r="35" spans="17:17" s="18" customFormat="1">
      <c r="Q35" s="60"/>
    </row>
    <row r="36" spans="17:17" s="18" customFormat="1">
      <c r="Q36" s="60"/>
    </row>
    <row r="37" spans="17:17" s="18" customFormat="1">
      <c r="Q37" s="60"/>
    </row>
    <row r="38" spans="17:17" s="18" customFormat="1">
      <c r="Q38" s="60"/>
    </row>
    <row r="39" spans="17:17" s="18" customFormat="1">
      <c r="Q39" s="60"/>
    </row>
    <row r="40" spans="17:17" s="18" customFormat="1">
      <c r="Q40" s="60"/>
    </row>
    <row r="41" spans="17:17" s="18" customFormat="1">
      <c r="Q41" s="60"/>
    </row>
    <row r="42" spans="17:17" s="18" customFormat="1">
      <c r="Q42" s="60"/>
    </row>
    <row r="43" spans="17:17" s="18" customFormat="1">
      <c r="Q43" s="60"/>
    </row>
    <row r="44" spans="17:17" s="18" customFormat="1">
      <c r="Q44" s="60"/>
    </row>
    <row r="45" spans="17:17" s="18" customFormat="1">
      <c r="Q45" s="60"/>
    </row>
    <row r="46" spans="17:17" s="18" customFormat="1">
      <c r="Q46" s="60"/>
    </row>
    <row r="47" spans="17:17" s="18" customFormat="1">
      <c r="Q47" s="60"/>
    </row>
    <row r="48" spans="17: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Q440" s="60"/>
    </row>
    <row r="441" spans="2:29" s="18" customFormat="1">
      <c r="Q441" s="60"/>
    </row>
    <row r="442" spans="2:29" s="18" customFormat="1">
      <c r="Q442" s="60"/>
    </row>
    <row r="443" spans="2:29" s="18" customFormat="1">
      <c r="Q443" s="60"/>
    </row>
    <row r="444" spans="2:29" s="70" customFormat="1">
      <c r="B444" s="18"/>
      <c r="C444" s="18"/>
      <c r="D444" s="18"/>
      <c r="E444" s="18"/>
      <c r="Q444" s="144"/>
      <c r="W444" s="18"/>
      <c r="X444" s="18"/>
      <c r="Y444" s="18"/>
      <c r="Z444" s="18"/>
      <c r="AC444" s="18"/>
    </row>
    <row r="445" spans="2:29" s="70" customFormat="1">
      <c r="B445" s="18"/>
      <c r="C445" s="18"/>
      <c r="D445" s="18"/>
      <c r="E445" s="18"/>
      <c r="Q445" s="144"/>
      <c r="W445" s="18"/>
      <c r="X445" s="18"/>
      <c r="Y445" s="18"/>
      <c r="Z445" s="18"/>
      <c r="AC445" s="18"/>
    </row>
    <row r="446" spans="2:29" s="70" customFormat="1">
      <c r="B446" s="18"/>
      <c r="C446" s="18"/>
      <c r="D446" s="18"/>
      <c r="E446" s="18"/>
      <c r="Q446" s="144"/>
      <c r="W446" s="18"/>
      <c r="X446" s="18"/>
      <c r="Y446" s="18"/>
      <c r="Z446" s="18"/>
      <c r="AC446" s="18"/>
    </row>
    <row r="447" spans="2:29" s="70" customFormat="1">
      <c r="B447" s="18"/>
      <c r="C447" s="18"/>
      <c r="D447" s="18"/>
      <c r="E447" s="18"/>
      <c r="Q447" s="144"/>
      <c r="W447" s="18"/>
      <c r="X447" s="18"/>
      <c r="Y447" s="18"/>
      <c r="Z447" s="18"/>
      <c r="AC447" s="18"/>
    </row>
    <row r="448" spans="2:29" s="70" customFormat="1">
      <c r="B448" s="18"/>
      <c r="C448" s="18"/>
      <c r="D448" s="18"/>
      <c r="E448" s="18"/>
      <c r="Q448" s="144"/>
      <c r="W448" s="18"/>
      <c r="X448" s="18"/>
      <c r="Y448" s="18"/>
      <c r="Z448" s="18"/>
      <c r="AC448" s="18"/>
    </row>
    <row r="449" spans="2:29" s="70" customFormat="1">
      <c r="B449" s="18"/>
      <c r="C449" s="18"/>
      <c r="D449" s="18"/>
      <c r="E449" s="18"/>
      <c r="Q449" s="144"/>
      <c r="W449" s="18"/>
      <c r="X449" s="18"/>
      <c r="Y449" s="18"/>
      <c r="Z449" s="18"/>
      <c r="AC449" s="18"/>
    </row>
    <row r="450" spans="2:29" s="70" customFormat="1">
      <c r="B450" s="18"/>
      <c r="C450" s="18"/>
      <c r="D450" s="18"/>
      <c r="E450" s="18"/>
      <c r="Q450" s="144"/>
      <c r="W450" s="18"/>
      <c r="X450" s="18"/>
      <c r="Y450" s="18"/>
      <c r="Z450" s="18"/>
      <c r="AC450" s="18"/>
    </row>
    <row r="451" spans="2:29" s="70" customFormat="1">
      <c r="B451" s="18"/>
      <c r="C451" s="18"/>
      <c r="D451" s="18"/>
      <c r="E451" s="18"/>
      <c r="Q451" s="144"/>
      <c r="W451" s="18"/>
      <c r="X451" s="18"/>
      <c r="Y451" s="18"/>
      <c r="Z451" s="18"/>
      <c r="AC451" s="18"/>
    </row>
  </sheetData>
  <phoneticPr fontId="0" type="noConversion"/>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0" tint="-0.34998626667073579"/>
  </sheetPr>
  <dimension ref="B1:AJ450"/>
  <sheetViews>
    <sheetView zoomScale="85" zoomScaleNormal="85" workbookViewId="0">
      <selection activeCell="G33" sqref="G33"/>
    </sheetView>
  </sheetViews>
  <sheetFormatPr defaultColWidth="8.85546875" defaultRowHeight="12.75"/>
  <cols>
    <col min="1" max="1" width="3" style="19" customWidth="1"/>
    <col min="2" max="2" width="28.7109375" style="18" customWidth="1"/>
    <col min="3" max="3" width="15.7109375" style="18" customWidth="1"/>
    <col min="4" max="4" width="14" style="18" customWidth="1"/>
    <col min="5" max="5" width="19.42578125" style="18" bestFit="1" customWidth="1"/>
    <col min="6" max="6" width="13.7109375" style="19" customWidth="1"/>
    <col min="7" max="7" width="14.140625" style="19" customWidth="1"/>
    <col min="8" max="8" width="11.7109375" style="19" bestFit="1" customWidth="1"/>
    <col min="9" max="9" width="11.140625" style="19" customWidth="1"/>
    <col min="10" max="10" width="12.85546875" style="19" bestFit="1" customWidth="1"/>
    <col min="11" max="11" width="14.7109375" style="19" bestFit="1" customWidth="1"/>
    <col min="12" max="12" width="14.85546875" style="19" customWidth="1"/>
    <col min="13" max="13" width="17.28515625" style="19" bestFit="1" customWidth="1"/>
    <col min="14" max="15" width="8.85546875" style="19"/>
    <col min="16" max="16" width="10.42578125" style="19" customWidth="1"/>
    <col min="17" max="17" width="15.28515625" style="32" customWidth="1"/>
    <col min="18" max="19" width="9.42578125" style="19" customWidth="1"/>
    <col min="20" max="20" width="5.7109375" style="19" bestFit="1" customWidth="1"/>
    <col min="21" max="21" width="20" style="19" customWidth="1"/>
    <col min="22" max="22" width="8.42578125" style="19" customWidth="1"/>
    <col min="23" max="23" width="13.28515625" style="18" customWidth="1"/>
    <col min="24" max="24" width="19.85546875" style="18" bestFit="1" customWidth="1"/>
    <col min="25" max="25" width="13.28515625" style="18" bestFit="1" customWidth="1"/>
    <col min="26" max="26" width="13.42578125" style="18"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6">
      <c r="B1" s="72" t="s">
        <v>1708</v>
      </c>
      <c r="C1" s="78"/>
      <c r="D1" s="78"/>
      <c r="E1" s="79" t="s">
        <v>1709</v>
      </c>
      <c r="F1" s="68" t="s">
        <v>1691</v>
      </c>
      <c r="G1" s="69"/>
      <c r="H1" s="151" t="s">
        <v>1707</v>
      </c>
    </row>
    <row r="3" spans="2:36" ht="25.5">
      <c r="F3" s="47" t="s">
        <v>1598</v>
      </c>
      <c r="G3" s="47" t="s">
        <v>1597</v>
      </c>
      <c r="H3" s="27" t="s">
        <v>1521</v>
      </c>
      <c r="I3" s="27" t="s">
        <v>1522</v>
      </c>
      <c r="J3" s="27"/>
      <c r="M3" s="29"/>
      <c r="N3" s="29"/>
      <c r="Q3" s="47" t="s">
        <v>1529</v>
      </c>
      <c r="T3" s="28"/>
      <c r="U3" s="28"/>
      <c r="W3" s="17" t="s">
        <v>1524</v>
      </c>
      <c r="X3" s="18" t="s">
        <v>5722</v>
      </c>
      <c r="Y3" s="17" t="s">
        <v>1525</v>
      </c>
      <c r="Z3" s="60" t="s">
        <v>1693</v>
      </c>
      <c r="AA3" s="19" t="s">
        <v>1527</v>
      </c>
      <c r="AB3" s="19" t="s">
        <v>1528</v>
      </c>
      <c r="AC3" s="18" t="s">
        <v>1526</v>
      </c>
      <c r="AD3" s="27" t="s">
        <v>1599</v>
      </c>
      <c r="AE3" s="27" t="s">
        <v>1530</v>
      </c>
      <c r="AF3" s="47" t="s">
        <v>1600</v>
      </c>
      <c r="AG3" s="47" t="s">
        <v>1601</v>
      </c>
      <c r="AH3" s="19" t="s">
        <v>1531</v>
      </c>
      <c r="AI3" s="47" t="s">
        <v>1602</v>
      </c>
      <c r="AJ3" s="47" t="s">
        <v>1602</v>
      </c>
    </row>
    <row r="4" spans="2:36">
      <c r="E4" s="77" t="s">
        <v>1694</v>
      </c>
      <c r="F4" s="27"/>
      <c r="G4" s="27"/>
      <c r="M4" s="30"/>
      <c r="N4" s="30"/>
      <c r="T4" s="30"/>
      <c r="U4" s="30"/>
      <c r="AA4" s="30"/>
      <c r="AB4" s="30"/>
      <c r="AC4" s="18" t="s">
        <v>1532</v>
      </c>
      <c r="AD4" s="19" t="s">
        <v>1533</v>
      </c>
      <c r="AE4" s="19" t="s">
        <v>1534</v>
      </c>
      <c r="AF4" s="19" t="s">
        <v>1535</v>
      </c>
      <c r="AG4" s="30" t="s">
        <v>1536</v>
      </c>
      <c r="AH4" s="30" t="s">
        <v>1537</v>
      </c>
      <c r="AI4" s="19" t="s">
        <v>1538</v>
      </c>
      <c r="AJ4" s="19" t="s">
        <v>1539</v>
      </c>
    </row>
    <row r="5" spans="2:36">
      <c r="B5" s="33" t="s">
        <v>1540</v>
      </c>
      <c r="C5" s="33" t="s">
        <v>1541</v>
      </c>
      <c r="D5" s="33" t="s">
        <v>1542</v>
      </c>
      <c r="E5" s="33" t="s">
        <v>1543</v>
      </c>
      <c r="F5" s="32" t="s">
        <v>1544</v>
      </c>
      <c r="G5" s="32" t="s">
        <v>1544</v>
      </c>
      <c r="H5" s="31" t="s">
        <v>1545</v>
      </c>
      <c r="I5" s="31" t="s">
        <v>1546</v>
      </c>
      <c r="J5" s="31" t="s">
        <v>1719</v>
      </c>
      <c r="K5" s="31" t="s">
        <v>7126</v>
      </c>
      <c r="L5" s="31" t="s">
        <v>1552</v>
      </c>
      <c r="M5" s="31" t="s">
        <v>7124</v>
      </c>
      <c r="N5" s="31" t="s">
        <v>7125</v>
      </c>
      <c r="O5" s="31" t="s">
        <v>1548</v>
      </c>
      <c r="P5" s="31" t="s">
        <v>1551</v>
      </c>
      <c r="Q5" s="29" t="s">
        <v>1544</v>
      </c>
      <c r="R5" s="33" t="s">
        <v>1554</v>
      </c>
      <c r="S5" s="33" t="s">
        <v>1696</v>
      </c>
      <c r="T5" s="31" t="s">
        <v>1549</v>
      </c>
      <c r="U5" s="31" t="s">
        <v>1550</v>
      </c>
      <c r="W5" s="87"/>
      <c r="AA5" s="30"/>
      <c r="AB5" s="30"/>
      <c r="AH5" s="30"/>
    </row>
    <row r="6" spans="2:36">
      <c r="B6" s="73"/>
      <c r="C6" s="80" t="s">
        <v>1555</v>
      </c>
      <c r="D6" s="73"/>
      <c r="E6" s="73"/>
      <c r="F6" s="34" t="s">
        <v>1556</v>
      </c>
      <c r="G6" s="34" t="s">
        <v>1556</v>
      </c>
      <c r="H6" s="34"/>
      <c r="I6" s="34"/>
      <c r="J6" s="34" t="s">
        <v>1556</v>
      </c>
      <c r="K6" s="34" t="s">
        <v>1556</v>
      </c>
      <c r="L6" s="34" t="s">
        <v>1556</v>
      </c>
      <c r="M6" s="34"/>
      <c r="N6" s="34" t="s">
        <v>1557</v>
      </c>
      <c r="O6" s="34" t="s">
        <v>1558</v>
      </c>
      <c r="P6" s="34" t="s">
        <v>1557</v>
      </c>
      <c r="Q6" s="34"/>
      <c r="R6" s="34" t="s">
        <v>1692</v>
      </c>
      <c r="S6" s="34" t="s">
        <v>1534</v>
      </c>
      <c r="T6" s="34"/>
      <c r="U6" s="34" t="s">
        <v>1559</v>
      </c>
      <c r="W6" s="87"/>
      <c r="Y6" s="89"/>
      <c r="AA6" s="30"/>
      <c r="AB6" s="30"/>
      <c r="AH6" s="30"/>
    </row>
    <row r="7" spans="2:36" s="18" customFormat="1">
      <c r="B7" s="76" t="s">
        <v>1759</v>
      </c>
      <c r="C7" s="57" t="s">
        <v>1561</v>
      </c>
      <c r="D7" s="57" t="s">
        <v>1562</v>
      </c>
      <c r="E7" s="82">
        <f>YEAR(AA7)</f>
        <v>2020</v>
      </c>
      <c r="F7" s="120">
        <f>K7</f>
        <v>3</v>
      </c>
      <c r="G7" s="120"/>
      <c r="H7" s="118">
        <v>0.92</v>
      </c>
      <c r="I7" s="121"/>
      <c r="J7" s="120"/>
      <c r="K7" s="120">
        <v>3</v>
      </c>
      <c r="L7" s="130"/>
      <c r="M7" s="83">
        <f>E7</f>
        <v>2020</v>
      </c>
      <c r="N7" s="83"/>
      <c r="O7" s="85"/>
      <c r="P7" s="85"/>
      <c r="Q7" s="138">
        <f>YEAR(AB7)</f>
        <v>2070</v>
      </c>
      <c r="R7" s="119">
        <f>Q7-E7</f>
        <v>50</v>
      </c>
      <c r="S7" s="121">
        <f>ELC_LT!S9</f>
        <v>1.85328</v>
      </c>
      <c r="T7" s="138">
        <v>1</v>
      </c>
      <c r="U7" s="122">
        <v>31.536000000000001</v>
      </c>
      <c r="W7" s="83" t="s">
        <v>2820</v>
      </c>
      <c r="X7" s="83" t="s">
        <v>1564</v>
      </c>
      <c r="Y7" s="83" t="s">
        <v>1710</v>
      </c>
      <c r="Z7" s="83">
        <v>50</v>
      </c>
      <c r="AA7" s="123">
        <v>43831</v>
      </c>
      <c r="AB7" s="124">
        <f>DATE(YEAR(AA7)+Z7,MONTH(AA7),DAY(AA7))</f>
        <v>62094</v>
      </c>
      <c r="AC7" s="85"/>
      <c r="AD7" s="119"/>
      <c r="AE7" s="118"/>
      <c r="AF7" s="119"/>
      <c r="AG7" s="125"/>
      <c r="AH7" s="119"/>
      <c r="AI7" s="119"/>
      <c r="AJ7" s="118"/>
    </row>
    <row r="8" spans="2:36" s="18" customFormat="1">
      <c r="B8" s="76" t="s">
        <v>1760</v>
      </c>
      <c r="C8" s="57" t="s">
        <v>1561</v>
      </c>
      <c r="D8" s="57" t="s">
        <v>1562</v>
      </c>
      <c r="E8" s="82">
        <f>YEAR(AA8)</f>
        <v>2020</v>
      </c>
      <c r="F8" s="120">
        <f>K8</f>
        <v>3</v>
      </c>
      <c r="G8" s="120"/>
      <c r="H8" s="118">
        <v>0.92</v>
      </c>
      <c r="I8" s="121"/>
      <c r="J8" s="120"/>
      <c r="K8" s="120">
        <v>3</v>
      </c>
      <c r="L8" s="130"/>
      <c r="M8" s="83">
        <f>E8</f>
        <v>2020</v>
      </c>
      <c r="N8" s="83"/>
      <c r="O8" s="85"/>
      <c r="P8" s="85"/>
      <c r="Q8" s="138">
        <f>YEAR(AB8)</f>
        <v>2070</v>
      </c>
      <c r="R8" s="119">
        <f>Q8-E8</f>
        <v>50</v>
      </c>
      <c r="S8" s="121">
        <f>S7</f>
        <v>1.85328</v>
      </c>
      <c r="T8" s="138">
        <v>1</v>
      </c>
      <c r="U8" s="122">
        <v>31.536000000000001</v>
      </c>
      <c r="W8" s="83" t="s">
        <v>2820</v>
      </c>
      <c r="X8" s="83" t="s">
        <v>1564</v>
      </c>
      <c r="Y8" s="83" t="s">
        <v>1711</v>
      </c>
      <c r="Z8" s="83">
        <v>50</v>
      </c>
      <c r="AA8" s="123">
        <v>43831</v>
      </c>
      <c r="AB8" s="124">
        <f>DATE(YEAR(AA8)+Z8,MONTH(AA8),DAY(AA8))</f>
        <v>62094</v>
      </c>
      <c r="AC8" s="85"/>
      <c r="AD8" s="119"/>
      <c r="AE8" s="118"/>
      <c r="AF8" s="119"/>
      <c r="AG8" s="125"/>
      <c r="AH8" s="119"/>
      <c r="AI8" s="119"/>
      <c r="AJ8" s="118"/>
    </row>
    <row r="9" spans="2:36" s="18" customFormat="1">
      <c r="Q9" s="60"/>
    </row>
    <row r="10" spans="2:36" s="18" customFormat="1">
      <c r="Q10" s="60"/>
    </row>
    <row r="11" spans="2:36" s="18" customFormat="1">
      <c r="Q11" s="60"/>
    </row>
    <row r="12" spans="2:36" s="18" customFormat="1">
      <c r="Q12" s="60"/>
    </row>
    <row r="13" spans="2:36" s="18" customFormat="1">
      <c r="Q13" s="60"/>
    </row>
    <row r="14" spans="2:36" s="18" customFormat="1">
      <c r="Q14" s="60"/>
    </row>
    <row r="15" spans="2:36" s="18" customFormat="1">
      <c r="Q15" s="60"/>
    </row>
    <row r="16" spans="2:36"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v>0</v>
      </c>
      <c r="Q21" s="60"/>
    </row>
    <row r="22" spans="2:17" s="18" customFormat="1">
      <c r="E22" s="18" t="s">
        <v>7127</v>
      </c>
      <c r="F22" s="160">
        <f>SUM(F7:F8)</f>
        <v>6</v>
      </c>
      <c r="Q22" s="60"/>
    </row>
    <row r="23" spans="2:17" s="18" customFormat="1">
      <c r="Q23" s="60"/>
    </row>
    <row r="24" spans="2:17" s="18" customFormat="1">
      <c r="Q24" s="60"/>
    </row>
    <row r="25" spans="2:17" s="18" customFormat="1">
      <c r="B25" s="224" t="s">
        <v>1603</v>
      </c>
      <c r="C25" s="224"/>
      <c r="D25" s="225"/>
      <c r="E25" s="225"/>
      <c r="F25" s="225"/>
      <c r="G25" s="225"/>
      <c r="H25" s="225"/>
      <c r="I25" s="225"/>
      <c r="Q25" s="60"/>
    </row>
    <row r="26" spans="2:17" s="18" customFormat="1" ht="13.5" thickBot="1">
      <c r="B26" s="226" t="s">
        <v>1604</v>
      </c>
      <c r="C26" s="226" t="s">
        <v>1540</v>
      </c>
      <c r="D26" s="226" t="s">
        <v>1605</v>
      </c>
      <c r="E26" s="226" t="s">
        <v>1606</v>
      </c>
      <c r="F26" s="226" t="s">
        <v>1607</v>
      </c>
      <c r="G26" s="226" t="s">
        <v>1608</v>
      </c>
      <c r="H26" s="226" t="s">
        <v>1609</v>
      </c>
      <c r="I26" s="226" t="s">
        <v>1610</v>
      </c>
      <c r="Q26" s="60"/>
    </row>
    <row r="27" spans="2:17" s="18" customFormat="1">
      <c r="B27" s="225" t="s">
        <v>1611</v>
      </c>
      <c r="C27" s="225" t="str">
        <f>B7</f>
        <v>ENPL_POLAND-1</v>
      </c>
      <c r="D27" s="227" t="str">
        <f>"Nuclear Power Plant: "&amp;Y9</f>
        <v xml:space="preserve">Nuclear Power Plant: </v>
      </c>
      <c r="E27" s="228" t="s">
        <v>1612</v>
      </c>
      <c r="F27" s="228" t="s">
        <v>1556</v>
      </c>
      <c r="G27" s="228" t="s">
        <v>7378</v>
      </c>
      <c r="H27" s="228"/>
      <c r="I27" s="228"/>
      <c r="Q27" s="60"/>
    </row>
    <row r="28" spans="2:17" s="18" customFormat="1">
      <c r="B28" s="225"/>
      <c r="C28" s="225" t="str">
        <f>B8</f>
        <v>ENPL_POLAND-2</v>
      </c>
      <c r="D28" s="227" t="str">
        <f>"Nuclear Power Plant: "&amp;Y9</f>
        <v xml:space="preserve">Nuclear Power Plant: </v>
      </c>
      <c r="E28" s="228" t="s">
        <v>1612</v>
      </c>
      <c r="F28" s="228" t="s">
        <v>1556</v>
      </c>
      <c r="G28" s="228" t="s">
        <v>7378</v>
      </c>
      <c r="H28" s="228"/>
      <c r="I28" s="228"/>
      <c r="Q28" s="60"/>
    </row>
    <row r="29" spans="2:17" s="18" customFormat="1">
      <c r="Q29" s="60"/>
    </row>
    <row r="30" spans="2:17" s="18" customFormat="1">
      <c r="Q30" s="60"/>
    </row>
    <row r="31" spans="2:17" s="18" customFormat="1">
      <c r="Q31" s="60"/>
    </row>
    <row r="32" spans="2:17" s="18" customFormat="1">
      <c r="Q32" s="60"/>
    </row>
    <row r="33" spans="17:17" s="18" customFormat="1">
      <c r="Q33" s="60"/>
    </row>
    <row r="34" spans="17:17" s="18" customFormat="1">
      <c r="Q34" s="60"/>
    </row>
    <row r="35" spans="17:17" s="18" customFormat="1">
      <c r="Q35" s="60"/>
    </row>
    <row r="36" spans="17:17" s="18" customFormat="1">
      <c r="Q36" s="60"/>
    </row>
    <row r="37" spans="17:17" s="18" customFormat="1">
      <c r="Q37" s="60"/>
    </row>
    <row r="38" spans="17:17" s="18" customFormat="1">
      <c r="Q38" s="60"/>
    </row>
    <row r="39" spans="17:17" s="18" customFormat="1">
      <c r="Q39" s="60"/>
    </row>
    <row r="40" spans="17:17" s="18" customFormat="1">
      <c r="Q40" s="60"/>
    </row>
    <row r="41" spans="17:17" s="18" customFormat="1">
      <c r="Q41" s="60"/>
    </row>
    <row r="42" spans="17:17" s="18" customFormat="1">
      <c r="Q42" s="60"/>
    </row>
    <row r="43" spans="17:17" s="18" customFormat="1">
      <c r="Q43" s="60"/>
    </row>
    <row r="44" spans="17:17" s="18" customFormat="1">
      <c r="Q44" s="60"/>
    </row>
    <row r="45" spans="17:17" s="18" customFormat="1">
      <c r="Q45" s="60"/>
    </row>
    <row r="46" spans="17:17" s="18" customFormat="1">
      <c r="Q46" s="60"/>
    </row>
    <row r="47" spans="17:17" s="18" customFormat="1">
      <c r="Q47" s="60"/>
    </row>
    <row r="48" spans="17: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Q440" s="60"/>
    </row>
    <row r="441" spans="2:29" s="18" customFormat="1">
      <c r="Q441" s="60"/>
    </row>
    <row r="442" spans="2:29" s="18" customFormat="1">
      <c r="Q442" s="60"/>
    </row>
    <row r="443" spans="2:29" s="70" customFormat="1">
      <c r="B443" s="18"/>
      <c r="C443" s="18"/>
      <c r="D443" s="18"/>
      <c r="E443" s="18"/>
      <c r="Q443" s="144"/>
      <c r="W443" s="18"/>
      <c r="X443" s="18"/>
      <c r="Y443" s="18"/>
      <c r="Z443" s="18"/>
      <c r="AC443" s="18"/>
    </row>
    <row r="444" spans="2:29" s="70" customFormat="1">
      <c r="B444" s="18"/>
      <c r="C444" s="18"/>
      <c r="D444" s="18"/>
      <c r="E444" s="18"/>
      <c r="Q444" s="144"/>
      <c r="W444" s="18"/>
      <c r="X444" s="18"/>
      <c r="Y444" s="18"/>
      <c r="Z444" s="18"/>
      <c r="AC444" s="18"/>
    </row>
    <row r="445" spans="2:29" s="70" customFormat="1">
      <c r="B445" s="18"/>
      <c r="C445" s="18"/>
      <c r="D445" s="18"/>
      <c r="E445" s="18"/>
      <c r="Q445" s="144"/>
      <c r="W445" s="18"/>
      <c r="X445" s="18"/>
      <c r="Y445" s="18"/>
      <c r="Z445" s="18"/>
      <c r="AC445" s="18"/>
    </row>
    <row r="446" spans="2:29" s="70" customFormat="1">
      <c r="B446" s="18"/>
      <c r="C446" s="18"/>
      <c r="D446" s="18"/>
      <c r="E446" s="18"/>
      <c r="Q446" s="144"/>
      <c r="W446" s="18"/>
      <c r="X446" s="18"/>
      <c r="Y446" s="18"/>
      <c r="Z446" s="18"/>
      <c r="AC446" s="18"/>
    </row>
    <row r="447" spans="2:29" s="70" customFormat="1">
      <c r="B447" s="18"/>
      <c r="C447" s="18"/>
      <c r="D447" s="18"/>
      <c r="E447" s="18"/>
      <c r="Q447" s="144"/>
      <c r="W447" s="18"/>
      <c r="X447" s="18"/>
      <c r="Y447" s="18"/>
      <c r="Z447" s="18"/>
      <c r="AC447" s="18"/>
    </row>
    <row r="448" spans="2:29" s="70" customFormat="1">
      <c r="B448" s="18"/>
      <c r="C448" s="18"/>
      <c r="D448" s="18"/>
      <c r="E448" s="18"/>
      <c r="Q448" s="144"/>
      <c r="W448" s="18"/>
      <c r="X448" s="18"/>
      <c r="Y448" s="18"/>
      <c r="Z448" s="18"/>
      <c r="AC448" s="18"/>
    </row>
    <row r="449" spans="2:29" s="70" customFormat="1">
      <c r="B449" s="18"/>
      <c r="C449" s="18"/>
      <c r="D449" s="18"/>
      <c r="E449" s="18"/>
      <c r="Q449" s="144"/>
      <c r="W449" s="18"/>
      <c r="X449" s="18"/>
      <c r="Y449" s="18"/>
      <c r="Z449" s="18"/>
      <c r="AC449" s="18"/>
    </row>
    <row r="450" spans="2:29" s="70" customFormat="1">
      <c r="B450" s="18"/>
      <c r="C450" s="18"/>
      <c r="D450" s="18"/>
      <c r="E450" s="18"/>
      <c r="Q450" s="144"/>
      <c r="W450" s="18"/>
      <c r="X450" s="18"/>
      <c r="Y450" s="18"/>
      <c r="Z450" s="18"/>
      <c r="AC450" s="18"/>
    </row>
  </sheetData>
  <phoneticPr fontId="0" type="noConversion"/>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indexed="43"/>
  </sheetPr>
  <dimension ref="A1:AU76"/>
  <sheetViews>
    <sheetView zoomScale="85" zoomScaleNormal="85" zoomScalePageLayoutView="125" workbookViewId="0">
      <selection activeCell="AT33" sqref="AT33"/>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6116</v>
      </c>
      <c r="E7" s="269"/>
      <c r="F7" s="269"/>
      <c r="G7" s="269"/>
      <c r="H7" s="269"/>
      <c r="I7" s="269" t="s">
        <v>6117</v>
      </c>
      <c r="J7" s="269"/>
      <c r="K7" s="269"/>
      <c r="L7" s="269"/>
      <c r="M7" s="269"/>
      <c r="N7" s="269"/>
      <c r="O7" s="269"/>
      <c r="P7" s="269"/>
      <c r="Q7" s="269"/>
      <c r="R7" s="269"/>
      <c r="S7" s="269"/>
      <c r="T7" s="269"/>
      <c r="U7" s="269"/>
      <c r="V7" s="269"/>
      <c r="W7" s="269"/>
      <c r="X7" s="269"/>
      <c r="Y7" s="270" t="s">
        <v>6118</v>
      </c>
      <c r="Z7" s="270"/>
      <c r="AA7" s="270"/>
      <c r="AB7" s="270"/>
      <c r="AC7" s="270"/>
      <c r="AD7" s="270"/>
      <c r="AE7" s="270"/>
      <c r="AF7" s="270"/>
      <c r="AG7" s="270"/>
      <c r="AH7" s="270"/>
      <c r="AI7" s="270"/>
      <c r="AJ7" s="270"/>
      <c r="AK7" s="270"/>
      <c r="AL7" s="270"/>
      <c r="AM7" s="270"/>
      <c r="AN7" s="270"/>
      <c r="AO7" s="2"/>
      <c r="AP7" s="2"/>
      <c r="AQ7" s="7"/>
      <c r="AT7" s="22" t="s">
        <v>1518</v>
      </c>
      <c r="AU7" s="36" t="str">
        <f>I7</f>
        <v>KOZLODUY-5</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6119</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6120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3" t="str">
        <f>J16</f>
        <v xml:space="preserve">PWR  </v>
      </c>
    </row>
    <row r="12" spans="1:47" ht="11.45" customHeight="1">
      <c r="A12" s="6"/>
      <c r="B12" s="1"/>
      <c r="C12" s="2"/>
      <c r="D12" s="247" t="s">
        <v>5714</v>
      </c>
      <c r="E12" s="247"/>
      <c r="F12" s="247"/>
      <c r="G12" s="247"/>
      <c r="H12" s="247" t="s">
        <v>5709</v>
      </c>
      <c r="I12" s="247"/>
      <c r="J12" s="247" t="s">
        <v>406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3" t="str">
        <f>J17</f>
        <v>VVER V-320</v>
      </c>
    </row>
    <row r="13" spans="1:47" ht="10.35" customHeight="1">
      <c r="A13" s="6"/>
      <c r="B13" s="1"/>
      <c r="C13" s="2"/>
      <c r="D13" s="247" t="s">
        <v>5716</v>
      </c>
      <c r="E13" s="247"/>
      <c r="F13" s="247"/>
      <c r="G13" s="247"/>
      <c r="H13" s="247" t="s">
        <v>5709</v>
      </c>
      <c r="I13" s="247"/>
      <c r="J13" s="247" t="s">
        <v>406</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3000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192" t="str">
        <f>D19 &amp; " [MWe]"</f>
        <v>Latest gross electrical power [MWe]</v>
      </c>
      <c r="AU16" s="193">
        <f>N19</f>
        <v>1000</v>
      </c>
    </row>
    <row r="17" spans="1:47" ht="11.45" customHeight="1" thickBot="1">
      <c r="A17" s="6"/>
      <c r="B17" s="1"/>
      <c r="C17" s="1"/>
      <c r="D17" s="248" t="s">
        <v>5722</v>
      </c>
      <c r="E17" s="248"/>
      <c r="F17" s="248"/>
      <c r="G17" s="248"/>
      <c r="H17" s="247" t="s">
        <v>5709</v>
      </c>
      <c r="I17" s="247"/>
      <c r="J17" s="248" t="s">
        <v>6121</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192" t="str">
        <f>D21 &amp; " [MWe]"</f>
        <v>Latest reference unit power (net) [MWe]</v>
      </c>
      <c r="AU17" s="193">
        <f>N21</f>
        <v>953</v>
      </c>
    </row>
    <row r="18" spans="1:47" ht="13.5" thickBot="1">
      <c r="A18" s="6"/>
      <c r="B18" s="1"/>
      <c r="C18" s="1"/>
      <c r="D18" s="248" t="s">
        <v>185</v>
      </c>
      <c r="E18" s="248"/>
      <c r="F18" s="248"/>
      <c r="G18" s="248"/>
      <c r="H18" s="248"/>
      <c r="I18" s="248"/>
      <c r="J18" s="248"/>
      <c r="K18" s="248"/>
      <c r="L18" s="248"/>
      <c r="M18" s="8" t="s">
        <v>5709</v>
      </c>
      <c r="N18" s="264">
        <v>3000</v>
      </c>
      <c r="O18" s="264"/>
      <c r="P18" s="264"/>
      <c r="Q18" s="248" t="s">
        <v>186</v>
      </c>
      <c r="R18" s="248"/>
      <c r="S18" s="248"/>
      <c r="T18" s="2"/>
      <c r="U18" s="2"/>
      <c r="V18" s="252" t="s">
        <v>187</v>
      </c>
      <c r="W18" s="252"/>
      <c r="X18" s="252"/>
      <c r="Y18" s="252"/>
      <c r="Z18" s="252"/>
      <c r="AA18" s="252"/>
      <c r="AB18" s="252"/>
      <c r="AC18" s="247" t="s">
        <v>5709</v>
      </c>
      <c r="AD18" s="247"/>
      <c r="AE18" s="248" t="s">
        <v>6122</v>
      </c>
      <c r="AF18" s="248"/>
      <c r="AG18" s="248"/>
      <c r="AH18" s="248"/>
      <c r="AI18" s="248"/>
      <c r="AJ18" s="248"/>
      <c r="AK18" s="248"/>
      <c r="AL18" s="2"/>
      <c r="AM18" s="1"/>
      <c r="AN18" s="2"/>
      <c r="AO18" s="1"/>
      <c r="AP18" s="2"/>
      <c r="AQ18" s="7"/>
      <c r="AT18" s="194" t="str">
        <f>D26</f>
        <v>Grid Date</v>
      </c>
      <c r="AU18" s="194">
        <f>N26</f>
        <v>32110</v>
      </c>
    </row>
    <row r="19" spans="1:47" ht="13.5" thickBot="1">
      <c r="A19" s="6"/>
      <c r="B19" s="1"/>
      <c r="C19" s="1"/>
      <c r="D19" s="248" t="s">
        <v>189</v>
      </c>
      <c r="E19" s="248"/>
      <c r="F19" s="248"/>
      <c r="G19" s="248"/>
      <c r="H19" s="248"/>
      <c r="I19" s="248"/>
      <c r="J19" s="248"/>
      <c r="K19" s="248"/>
      <c r="L19" s="248"/>
      <c r="M19" s="8" t="s">
        <v>5709</v>
      </c>
      <c r="N19" s="264">
        <v>1000</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195" t="str">
        <f>V21</f>
        <v>Average discharge burnup  [MWd/t]</v>
      </c>
      <c r="AU19" s="195" t="str">
        <f>AE21</f>
        <v>27000</v>
      </c>
    </row>
    <row r="20" spans="1:47" ht="13.5" thickBot="1">
      <c r="A20" s="6"/>
      <c r="B20" s="1"/>
      <c r="C20" s="1"/>
      <c r="D20" s="248" t="s">
        <v>193</v>
      </c>
      <c r="E20" s="248"/>
      <c r="F20" s="248"/>
      <c r="G20" s="248"/>
      <c r="H20" s="248"/>
      <c r="I20" s="248"/>
      <c r="J20" s="248"/>
      <c r="K20" s="248"/>
      <c r="L20" s="248"/>
      <c r="M20" s="8" t="s">
        <v>5709</v>
      </c>
      <c r="N20" s="264">
        <v>953</v>
      </c>
      <c r="O20" s="264"/>
      <c r="P20" s="264"/>
      <c r="Q20" s="248" t="s">
        <v>190</v>
      </c>
      <c r="R20" s="248"/>
      <c r="S20" s="248"/>
      <c r="T20" s="2"/>
      <c r="U20" s="2"/>
      <c r="V20" s="252" t="s">
        <v>194</v>
      </c>
      <c r="W20" s="252"/>
      <c r="X20" s="252"/>
      <c r="Y20" s="252"/>
      <c r="Z20" s="252"/>
      <c r="AA20" s="252"/>
      <c r="AB20" s="252"/>
      <c r="AC20" s="247" t="s">
        <v>5709</v>
      </c>
      <c r="AD20" s="247"/>
      <c r="AE20" s="248" t="s">
        <v>6123</v>
      </c>
      <c r="AF20" s="248"/>
      <c r="AG20" s="248"/>
      <c r="AH20" s="248"/>
      <c r="AI20" s="248"/>
      <c r="AJ20" s="248"/>
      <c r="AK20" s="248"/>
      <c r="AL20" s="2"/>
      <c r="AM20" s="1"/>
      <c r="AN20" s="2"/>
      <c r="AO20" s="1"/>
      <c r="AP20" s="2"/>
      <c r="AQ20" s="7"/>
      <c r="AT20" s="195" t="str">
        <f>D58 &amp; R51</f>
        <v>LF [%]2005</v>
      </c>
      <c r="AU20" s="195">
        <f>R58</f>
        <v>66.040000000000006</v>
      </c>
    </row>
    <row r="21" spans="1:47" ht="13.5" thickBot="1">
      <c r="A21" s="6"/>
      <c r="B21" s="1"/>
      <c r="C21" s="1"/>
      <c r="D21" s="248" t="s">
        <v>196</v>
      </c>
      <c r="E21" s="248"/>
      <c r="F21" s="248"/>
      <c r="G21" s="248"/>
      <c r="H21" s="248"/>
      <c r="I21" s="248"/>
      <c r="J21" s="248"/>
      <c r="K21" s="248"/>
      <c r="L21" s="248"/>
      <c r="M21" s="8" t="s">
        <v>5709</v>
      </c>
      <c r="N21" s="264">
        <v>953</v>
      </c>
      <c r="O21" s="264"/>
      <c r="P21" s="264"/>
      <c r="Q21" s="248" t="s">
        <v>190</v>
      </c>
      <c r="R21" s="248"/>
      <c r="S21" s="248"/>
      <c r="T21" s="2"/>
      <c r="U21" s="2"/>
      <c r="V21" s="252" t="s">
        <v>197</v>
      </c>
      <c r="W21" s="252"/>
      <c r="X21" s="252"/>
      <c r="Y21" s="252"/>
      <c r="Z21" s="252"/>
      <c r="AA21" s="252"/>
      <c r="AB21" s="252"/>
      <c r="AC21" s="247" t="s">
        <v>5709</v>
      </c>
      <c r="AD21" s="247"/>
      <c r="AE21" s="248" t="s">
        <v>6124</v>
      </c>
      <c r="AF21" s="248"/>
      <c r="AG21" s="248"/>
      <c r="AH21" s="248"/>
      <c r="AI21" s="248"/>
      <c r="AJ21" s="248"/>
      <c r="AK21" s="248"/>
      <c r="AL21" s="2"/>
      <c r="AM21" s="1"/>
      <c r="AN21" s="2"/>
      <c r="AO21" s="1"/>
      <c r="AP21" s="2"/>
      <c r="AQ21" s="7"/>
      <c r="AT21" s="195" t="str">
        <f>D58&amp;AG51</f>
        <v>LF [%]2010</v>
      </c>
      <c r="AU21" s="195">
        <f>AG58</f>
        <v>87.37</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6125</v>
      </c>
      <c r="AF22" s="248"/>
      <c r="AG22" s="248"/>
      <c r="AH22" s="248"/>
      <c r="AI22" s="248"/>
      <c r="AJ22" s="248"/>
      <c r="AK22" s="248"/>
      <c r="AL22" s="2"/>
      <c r="AM22" s="1"/>
      <c r="AN22" s="2"/>
      <c r="AO22" s="1"/>
      <c r="AP22" s="2"/>
      <c r="AQ22" s="7"/>
      <c r="AT22" s="196" t="s">
        <v>7214</v>
      </c>
      <c r="AU22" s="196">
        <v>69.5</v>
      </c>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6126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29411</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6127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32110</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6128</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32500</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6130</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6132</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6133</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6134</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421</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227</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6135</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416</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6136</v>
      </c>
      <c r="G52" s="238"/>
      <c r="H52" s="238"/>
      <c r="I52" s="238"/>
      <c r="J52" s="238"/>
      <c r="K52" s="10" t="s">
        <v>6137</v>
      </c>
      <c r="L52" s="238">
        <v>5596.69</v>
      </c>
      <c r="M52" s="238"/>
      <c r="N52" s="238"/>
      <c r="O52" s="238" t="s">
        <v>6138</v>
      </c>
      <c r="P52" s="238"/>
      <c r="Q52" s="238"/>
      <c r="R52" s="238">
        <v>5513.48</v>
      </c>
      <c r="S52" s="238"/>
      <c r="T52" s="238"/>
      <c r="U52" s="238"/>
      <c r="V52" s="238"/>
      <c r="W52" s="238"/>
      <c r="X52" s="238" t="s">
        <v>6139</v>
      </c>
      <c r="Y52" s="238"/>
      <c r="Z52" s="10" t="s">
        <v>6140</v>
      </c>
      <c r="AA52" s="10" t="s">
        <v>6141</v>
      </c>
      <c r="AB52" s="238" t="s">
        <v>6142</v>
      </c>
      <c r="AC52" s="238"/>
      <c r="AD52" s="238"/>
      <c r="AE52" s="238"/>
      <c r="AF52" s="238"/>
      <c r="AG52" s="10" t="s">
        <v>6143</v>
      </c>
      <c r="AH52" s="237" t="s">
        <v>6144</v>
      </c>
      <c r="AI52" s="237"/>
      <c r="AJ52" s="237"/>
      <c r="AK52" s="237"/>
      <c r="AL52" s="237"/>
      <c r="AM52" s="2"/>
      <c r="AN52" s="2"/>
      <c r="AO52" s="2"/>
      <c r="AP52" s="2"/>
      <c r="AQ52" s="7"/>
    </row>
    <row r="53" spans="1:43" ht="13.5" thickBot="1">
      <c r="A53" s="6"/>
      <c r="B53" s="2"/>
      <c r="C53" s="2"/>
      <c r="D53" s="244" t="s">
        <v>261</v>
      </c>
      <c r="E53" s="244"/>
      <c r="F53" s="238" t="s">
        <v>6145</v>
      </c>
      <c r="G53" s="238"/>
      <c r="H53" s="238"/>
      <c r="I53" s="238"/>
      <c r="J53" s="238"/>
      <c r="K53" s="10" t="s">
        <v>6146</v>
      </c>
      <c r="L53" s="238" t="s">
        <v>6147</v>
      </c>
      <c r="M53" s="238"/>
      <c r="N53" s="238"/>
      <c r="O53" s="238" t="s">
        <v>6148</v>
      </c>
      <c r="P53" s="238"/>
      <c r="Q53" s="238"/>
      <c r="R53" s="238" t="s">
        <v>6149</v>
      </c>
      <c r="S53" s="238"/>
      <c r="T53" s="238"/>
      <c r="U53" s="238"/>
      <c r="V53" s="238"/>
      <c r="W53" s="238"/>
      <c r="X53" s="238" t="s">
        <v>6150</v>
      </c>
      <c r="Y53" s="238"/>
      <c r="Z53" s="10" t="s">
        <v>6151</v>
      </c>
      <c r="AA53" s="10" t="s">
        <v>6152</v>
      </c>
      <c r="AB53" s="238" t="s">
        <v>6153</v>
      </c>
      <c r="AC53" s="238"/>
      <c r="AD53" s="238"/>
      <c r="AE53" s="238"/>
      <c r="AF53" s="238"/>
      <c r="AG53" s="10" t="s">
        <v>6154</v>
      </c>
      <c r="AH53" s="237" t="s">
        <v>6155</v>
      </c>
      <c r="AI53" s="237"/>
      <c r="AJ53" s="237"/>
      <c r="AK53" s="237"/>
      <c r="AL53" s="237"/>
      <c r="AM53" s="2"/>
      <c r="AN53" s="2"/>
      <c r="AO53" s="2"/>
      <c r="AP53" s="2"/>
      <c r="AQ53" s="7"/>
    </row>
    <row r="54" spans="1:43" ht="13.5" thickBot="1">
      <c r="A54" s="6"/>
      <c r="B54" s="2"/>
      <c r="C54" s="2"/>
      <c r="D54" s="244" t="s">
        <v>273</v>
      </c>
      <c r="E54" s="244"/>
      <c r="F54" s="238" t="s">
        <v>6156</v>
      </c>
      <c r="G54" s="238"/>
      <c r="H54" s="238"/>
      <c r="I54" s="238"/>
      <c r="J54" s="238"/>
      <c r="K54" s="10" t="s">
        <v>6157</v>
      </c>
      <c r="L54" s="238" t="s">
        <v>6158</v>
      </c>
      <c r="M54" s="238"/>
      <c r="N54" s="238"/>
      <c r="O54" s="238" t="s">
        <v>6159</v>
      </c>
      <c r="P54" s="238"/>
      <c r="Q54" s="238"/>
      <c r="R54" s="238" t="s">
        <v>6160</v>
      </c>
      <c r="S54" s="238"/>
      <c r="T54" s="238"/>
      <c r="U54" s="238"/>
      <c r="V54" s="238"/>
      <c r="W54" s="238"/>
      <c r="X54" s="238" t="s">
        <v>6161</v>
      </c>
      <c r="Y54" s="238"/>
      <c r="Z54" s="10" t="s">
        <v>6162</v>
      </c>
      <c r="AA54" s="10" t="s">
        <v>6163</v>
      </c>
      <c r="AB54" s="238" t="s">
        <v>6164</v>
      </c>
      <c r="AC54" s="238"/>
      <c r="AD54" s="238"/>
      <c r="AE54" s="238"/>
      <c r="AF54" s="238"/>
      <c r="AG54" s="10" t="s">
        <v>6165</v>
      </c>
      <c r="AH54" s="237" t="s">
        <v>6166</v>
      </c>
      <c r="AI54" s="237"/>
      <c r="AJ54" s="237"/>
      <c r="AK54" s="237"/>
      <c r="AL54" s="237"/>
      <c r="AM54" s="2"/>
      <c r="AN54" s="2"/>
      <c r="AO54" s="2"/>
      <c r="AP54" s="2"/>
      <c r="AQ54" s="7"/>
    </row>
    <row r="55" spans="1:43" ht="13.5" thickBot="1">
      <c r="A55" s="6"/>
      <c r="B55" s="2"/>
      <c r="C55" s="2"/>
      <c r="D55" s="244" t="s">
        <v>285</v>
      </c>
      <c r="E55" s="244"/>
      <c r="F55" s="238" t="s">
        <v>6167</v>
      </c>
      <c r="G55" s="238"/>
      <c r="H55" s="238"/>
      <c r="I55" s="238"/>
      <c r="J55" s="238"/>
      <c r="K55" s="10" t="s">
        <v>6168</v>
      </c>
      <c r="L55" s="238" t="s">
        <v>6147</v>
      </c>
      <c r="M55" s="238"/>
      <c r="N55" s="238"/>
      <c r="O55" s="238" t="s">
        <v>6169</v>
      </c>
      <c r="P55" s="238"/>
      <c r="Q55" s="238"/>
      <c r="R55" s="238" t="s">
        <v>6149</v>
      </c>
      <c r="S55" s="238"/>
      <c r="T55" s="238"/>
      <c r="U55" s="238"/>
      <c r="V55" s="238"/>
      <c r="W55" s="238"/>
      <c r="X55" s="238" t="s">
        <v>6170</v>
      </c>
      <c r="Y55" s="238"/>
      <c r="Z55" s="10" t="s">
        <v>6171</v>
      </c>
      <c r="AA55" s="10" t="s">
        <v>6172</v>
      </c>
      <c r="AB55" s="238" t="s">
        <v>6173</v>
      </c>
      <c r="AC55" s="238"/>
      <c r="AD55" s="238"/>
      <c r="AE55" s="238"/>
      <c r="AF55" s="238"/>
      <c r="AG55" s="10" t="s">
        <v>6174</v>
      </c>
      <c r="AH55" s="237" t="s">
        <v>6175</v>
      </c>
      <c r="AI55" s="237"/>
      <c r="AJ55" s="237"/>
      <c r="AK55" s="237"/>
      <c r="AL55" s="237"/>
      <c r="AM55" s="2"/>
      <c r="AN55" s="2"/>
      <c r="AO55" s="2"/>
      <c r="AP55" s="2"/>
      <c r="AQ55" s="7"/>
    </row>
    <row r="56" spans="1:43" ht="13.5" thickBot="1">
      <c r="A56" s="6"/>
      <c r="B56" s="2"/>
      <c r="C56" s="2"/>
      <c r="D56" s="244" t="s">
        <v>295</v>
      </c>
      <c r="E56" s="244"/>
      <c r="F56" s="238" t="s">
        <v>6176</v>
      </c>
      <c r="G56" s="238"/>
      <c r="H56" s="238"/>
      <c r="I56" s="238"/>
      <c r="J56" s="238"/>
      <c r="K56" s="10" t="s">
        <v>377</v>
      </c>
      <c r="L56" s="238" t="s">
        <v>6087</v>
      </c>
      <c r="M56" s="238"/>
      <c r="N56" s="238"/>
      <c r="O56" s="238" t="s">
        <v>6177</v>
      </c>
      <c r="P56" s="238"/>
      <c r="Q56" s="238"/>
      <c r="R56" s="238" t="s">
        <v>6085</v>
      </c>
      <c r="S56" s="238"/>
      <c r="T56" s="238"/>
      <c r="U56" s="238"/>
      <c r="V56" s="238"/>
      <c r="W56" s="238"/>
      <c r="X56" s="238" t="s">
        <v>6178</v>
      </c>
      <c r="Y56" s="238"/>
      <c r="Z56" s="10" t="s">
        <v>6179</v>
      </c>
      <c r="AA56" s="10" t="s">
        <v>6087</v>
      </c>
      <c r="AB56" s="238" t="s">
        <v>375</v>
      </c>
      <c r="AC56" s="238"/>
      <c r="AD56" s="238"/>
      <c r="AE56" s="238"/>
      <c r="AF56" s="238"/>
      <c r="AG56" s="10" t="s">
        <v>6180</v>
      </c>
      <c r="AH56" s="237" t="s">
        <v>6181</v>
      </c>
      <c r="AI56" s="237"/>
      <c r="AJ56" s="237"/>
      <c r="AK56" s="237"/>
      <c r="AL56" s="237"/>
      <c r="AM56" s="2"/>
      <c r="AN56" s="2"/>
      <c r="AO56" s="2"/>
      <c r="AP56" s="2"/>
      <c r="AQ56" s="7"/>
    </row>
    <row r="57" spans="1:43" ht="13.5" thickBot="1">
      <c r="A57" s="6"/>
      <c r="B57" s="2"/>
      <c r="C57" s="2"/>
      <c r="D57" s="244" t="s">
        <v>307</v>
      </c>
      <c r="E57" s="244"/>
      <c r="F57" s="238" t="s">
        <v>6182</v>
      </c>
      <c r="G57" s="238"/>
      <c r="H57" s="238"/>
      <c r="I57" s="238"/>
      <c r="J57" s="238"/>
      <c r="K57" s="10" t="s">
        <v>6183</v>
      </c>
      <c r="L57" s="238" t="s">
        <v>6184</v>
      </c>
      <c r="M57" s="238"/>
      <c r="N57" s="238"/>
      <c r="O57" s="238" t="s">
        <v>6185</v>
      </c>
      <c r="P57" s="238"/>
      <c r="Q57" s="238"/>
      <c r="R57" s="238" t="s">
        <v>6186</v>
      </c>
      <c r="S57" s="238"/>
      <c r="T57" s="238"/>
      <c r="U57" s="238"/>
      <c r="V57" s="238"/>
      <c r="W57" s="238"/>
      <c r="X57" s="238" t="s">
        <v>6187</v>
      </c>
      <c r="Y57" s="238"/>
      <c r="Z57" s="10" t="s">
        <v>6188</v>
      </c>
      <c r="AA57" s="10" t="s">
        <v>6189</v>
      </c>
      <c r="AB57" s="238" t="s">
        <v>6190</v>
      </c>
      <c r="AC57" s="238"/>
      <c r="AD57" s="238"/>
      <c r="AE57" s="238"/>
      <c r="AF57" s="238"/>
      <c r="AG57" s="10" t="s">
        <v>6191</v>
      </c>
      <c r="AH57" s="237" t="s">
        <v>6192</v>
      </c>
      <c r="AI57" s="237"/>
      <c r="AJ57" s="237"/>
      <c r="AK57" s="237"/>
      <c r="AL57" s="237"/>
      <c r="AM57" s="2"/>
      <c r="AN57" s="2"/>
      <c r="AO57" s="2"/>
      <c r="AP57" s="2"/>
      <c r="AQ57" s="7"/>
    </row>
    <row r="58" spans="1:43" ht="13.5" thickBot="1">
      <c r="A58" s="6"/>
      <c r="B58" s="2"/>
      <c r="C58" s="2"/>
      <c r="D58" s="244" t="s">
        <v>319</v>
      </c>
      <c r="E58" s="244"/>
      <c r="F58" s="237" t="s">
        <v>6193</v>
      </c>
      <c r="G58" s="237"/>
      <c r="H58" s="237"/>
      <c r="I58" s="237"/>
      <c r="J58" s="237"/>
      <c r="K58" s="11" t="s">
        <v>6194</v>
      </c>
      <c r="L58" s="237" t="s">
        <v>6195</v>
      </c>
      <c r="M58" s="237"/>
      <c r="N58" s="237"/>
      <c r="O58" s="237" t="s">
        <v>6196</v>
      </c>
      <c r="P58" s="237"/>
      <c r="Q58" s="237"/>
      <c r="R58" s="243">
        <v>66.040000000000006</v>
      </c>
      <c r="S58" s="243"/>
      <c r="T58" s="243"/>
      <c r="U58" s="243"/>
      <c r="V58" s="243"/>
      <c r="W58" s="243"/>
      <c r="X58" s="237" t="s">
        <v>6197</v>
      </c>
      <c r="Y58" s="237"/>
      <c r="Z58" s="11" t="s">
        <v>6198</v>
      </c>
      <c r="AA58" s="11" t="s">
        <v>6199</v>
      </c>
      <c r="AB58" s="237" t="s">
        <v>6200</v>
      </c>
      <c r="AC58" s="237"/>
      <c r="AD58" s="237"/>
      <c r="AE58" s="237"/>
      <c r="AF58" s="237"/>
      <c r="AG58" s="11">
        <v>87.37</v>
      </c>
      <c r="AH58" s="237" t="s">
        <v>6202</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row r="76" spans="4:4">
      <c r="D76" s="17"/>
    </row>
  </sheetData>
  <mergeCells count="207">
    <mergeCell ref="D12:G12"/>
    <mergeCell ref="H12:I12"/>
    <mergeCell ref="J12:AC12"/>
    <mergeCell ref="D13:G14"/>
    <mergeCell ref="H13:I14"/>
    <mergeCell ref="J13:AC14"/>
    <mergeCell ref="D8:G9"/>
    <mergeCell ref="H8:I9"/>
    <mergeCell ref="J8:AC9"/>
    <mergeCell ref="AF9:AH13"/>
    <mergeCell ref="D10:G10"/>
    <mergeCell ref="H10:I10"/>
    <mergeCell ref="J10:AC10"/>
    <mergeCell ref="D11:G11"/>
    <mergeCell ref="H11:I11"/>
    <mergeCell ref="J11:AC11"/>
    <mergeCell ref="A2:AP2"/>
    <mergeCell ref="A4:AP4"/>
    <mergeCell ref="D7:H7"/>
    <mergeCell ref="I7:X7"/>
    <mergeCell ref="Y7:AN7"/>
    <mergeCell ref="AC17:AD17"/>
    <mergeCell ref="AE17:AK17"/>
    <mergeCell ref="D16:G16"/>
    <mergeCell ref="H16:I16"/>
    <mergeCell ref="D17:G17"/>
    <mergeCell ref="H17:I17"/>
    <mergeCell ref="J17:S17"/>
    <mergeCell ref="V17:AB17"/>
    <mergeCell ref="AC15:AD15"/>
    <mergeCell ref="AE15:AK15"/>
    <mergeCell ref="AC16:AD16"/>
    <mergeCell ref="AE16:AK16"/>
    <mergeCell ref="J16:S16"/>
    <mergeCell ref="V16:AB16"/>
    <mergeCell ref="D15:S15"/>
    <mergeCell ref="V15:AB15"/>
    <mergeCell ref="D18:L18"/>
    <mergeCell ref="N18:P18"/>
    <mergeCell ref="Q18:S18"/>
    <mergeCell ref="V18:AB18"/>
    <mergeCell ref="V21:AB21"/>
    <mergeCell ref="Q20:S20"/>
    <mergeCell ref="V20:AB20"/>
    <mergeCell ref="D19:L19"/>
    <mergeCell ref="N19:P19"/>
    <mergeCell ref="Q19:S19"/>
    <mergeCell ref="V19:AB19"/>
    <mergeCell ref="D20:L20"/>
    <mergeCell ref="N20:P20"/>
    <mergeCell ref="D21:L21"/>
    <mergeCell ref="N21:P21"/>
    <mergeCell ref="V23:AB24"/>
    <mergeCell ref="AC23:AD24"/>
    <mergeCell ref="AE23:AK24"/>
    <mergeCell ref="Q21:S21"/>
    <mergeCell ref="AE18:AK18"/>
    <mergeCell ref="AC19:AD19"/>
    <mergeCell ref="AE19:AK19"/>
    <mergeCell ref="AC20:AD20"/>
    <mergeCell ref="AE20:AK20"/>
    <mergeCell ref="AC18:AD18"/>
    <mergeCell ref="V25:AB26"/>
    <mergeCell ref="AC25:AD26"/>
    <mergeCell ref="N24:P25"/>
    <mergeCell ref="Q24:S25"/>
    <mergeCell ref="AC21:AD21"/>
    <mergeCell ref="AE21:AK21"/>
    <mergeCell ref="Q22:S23"/>
    <mergeCell ref="V22:AB22"/>
    <mergeCell ref="AC22:AD22"/>
    <mergeCell ref="AE22:AK22"/>
    <mergeCell ref="D24:L25"/>
    <mergeCell ref="M24:M25"/>
    <mergeCell ref="D22:D23"/>
    <mergeCell ref="E22:L23"/>
    <mergeCell ref="M22:M23"/>
    <mergeCell ref="N22:P23"/>
    <mergeCell ref="Q33:S34"/>
    <mergeCell ref="V29:AB31"/>
    <mergeCell ref="AE25:AK26"/>
    <mergeCell ref="D26:L27"/>
    <mergeCell ref="M26:M27"/>
    <mergeCell ref="N26:P27"/>
    <mergeCell ref="Q26:S27"/>
    <mergeCell ref="V27:AB28"/>
    <mergeCell ref="AC27:AD28"/>
    <mergeCell ref="AE27:AK28"/>
    <mergeCell ref="AE29:AK31"/>
    <mergeCell ref="M33:P34"/>
    <mergeCell ref="D39:R48"/>
    <mergeCell ref="V40:AB40"/>
    <mergeCell ref="V38:AB39"/>
    <mergeCell ref="AC38:AD39"/>
    <mergeCell ref="D28:L29"/>
    <mergeCell ref="M28:M29"/>
    <mergeCell ref="N28:P29"/>
    <mergeCell ref="Q28:S29"/>
    <mergeCell ref="AE34:AK36"/>
    <mergeCell ref="V37:AB37"/>
    <mergeCell ref="AC29:AD31"/>
    <mergeCell ref="AE38:AK39"/>
    <mergeCell ref="D31:S32"/>
    <mergeCell ref="V32:AB33"/>
    <mergeCell ref="AC32:AD33"/>
    <mergeCell ref="AE32:AK33"/>
    <mergeCell ref="D33:F34"/>
    <mergeCell ref="G33:L34"/>
    <mergeCell ref="V47:AB47"/>
    <mergeCell ref="AC47:AD47"/>
    <mergeCell ref="AE47:AK47"/>
    <mergeCell ref="V45:AB45"/>
    <mergeCell ref="AC45:AD45"/>
    <mergeCell ref="AE45:AK45"/>
    <mergeCell ref="AE43:AK43"/>
    <mergeCell ref="AE42:AK42"/>
    <mergeCell ref="D36:R38"/>
    <mergeCell ref="V46:AB46"/>
    <mergeCell ref="AC46:AD46"/>
    <mergeCell ref="AE46:AK46"/>
    <mergeCell ref="AC37:AD37"/>
    <mergeCell ref="AE37:AK37"/>
    <mergeCell ref="V34:AB36"/>
    <mergeCell ref="AC34:AD36"/>
    <mergeCell ref="V41:AB41"/>
    <mergeCell ref="V44:AB44"/>
    <mergeCell ref="AC44:AD44"/>
    <mergeCell ref="AE44:AK44"/>
    <mergeCell ref="AC41:AD41"/>
    <mergeCell ref="AE41:AK41"/>
    <mergeCell ref="V42:AB42"/>
    <mergeCell ref="AC42:AD42"/>
    <mergeCell ref="V43:AB43"/>
    <mergeCell ref="AC43:AD43"/>
    <mergeCell ref="AC40:AD40"/>
    <mergeCell ref="AE40:AK40"/>
    <mergeCell ref="D49:O50"/>
    <mergeCell ref="W50:AJ50"/>
    <mergeCell ref="D51:E51"/>
    <mergeCell ref="F51:J51"/>
    <mergeCell ref="L51:N51"/>
    <mergeCell ref="O51:Q51"/>
    <mergeCell ref="R51:W51"/>
    <mergeCell ref="X51:Y51"/>
    <mergeCell ref="AB51:AF51"/>
    <mergeCell ref="AH51:AL51"/>
    <mergeCell ref="D52:E52"/>
    <mergeCell ref="F52:J52"/>
    <mergeCell ref="L52:N52"/>
    <mergeCell ref="O52:Q52"/>
    <mergeCell ref="R52:W52"/>
    <mergeCell ref="X52:Y52"/>
    <mergeCell ref="AB52:AF52"/>
    <mergeCell ref="AH52:AL52"/>
    <mergeCell ref="D54:E54"/>
    <mergeCell ref="AH53:AL53"/>
    <mergeCell ref="D53:E53"/>
    <mergeCell ref="F53:J53"/>
    <mergeCell ref="L53:N53"/>
    <mergeCell ref="O53:Q53"/>
    <mergeCell ref="X53:Y53"/>
    <mergeCell ref="AB53:AF53"/>
    <mergeCell ref="O54:Q54"/>
    <mergeCell ref="R54:W54"/>
    <mergeCell ref="X54:Y54"/>
    <mergeCell ref="AB54:AF54"/>
    <mergeCell ref="F54:J54"/>
    <mergeCell ref="L54:N54"/>
    <mergeCell ref="AH54:AL54"/>
    <mergeCell ref="AB55:AF55"/>
    <mergeCell ref="AH55:AL55"/>
    <mergeCell ref="AH57:AL57"/>
    <mergeCell ref="R56:W56"/>
    <mergeCell ref="X56:Y56"/>
    <mergeCell ref="AB56:AF56"/>
    <mergeCell ref="AH56:AL56"/>
    <mergeCell ref="X57:Y57"/>
    <mergeCell ref="L57:N57"/>
    <mergeCell ref="O57:Q57"/>
    <mergeCell ref="D56:E56"/>
    <mergeCell ref="R53:W53"/>
    <mergeCell ref="R55:W55"/>
    <mergeCell ref="X55:Y55"/>
    <mergeCell ref="D55:E55"/>
    <mergeCell ref="F55:J55"/>
    <mergeCell ref="L55:N55"/>
    <mergeCell ref="O55:Q55"/>
    <mergeCell ref="X58:Y58"/>
    <mergeCell ref="AB58:AF58"/>
    <mergeCell ref="F58:J58"/>
    <mergeCell ref="AH58:AL58"/>
    <mergeCell ref="D58:E58"/>
    <mergeCell ref="F56:J56"/>
    <mergeCell ref="L56:N56"/>
    <mergeCell ref="O56:Q56"/>
    <mergeCell ref="D57:E57"/>
    <mergeCell ref="F57:J57"/>
    <mergeCell ref="L58:N58"/>
    <mergeCell ref="O58:Q58"/>
    <mergeCell ref="R57:W57"/>
    <mergeCell ref="AB57:AF57"/>
    <mergeCell ref="D64:AJ64"/>
    <mergeCell ref="D61:R61"/>
    <mergeCell ref="U61:AI61"/>
    <mergeCell ref="D62:R62"/>
    <mergeCell ref="U62:AI62"/>
    <mergeCell ref="R58:W58"/>
  </mergeCells>
  <phoneticPr fontId="13" type="noConversion"/>
  <pageMargins left="0.75" right="0.75" top="1" bottom="1" header="0.5" footer="0.5"/>
  <pageSetup paperSize="9" orientation="portrait"/>
  <headerFooter alignWithMargins="0"/>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tabColor indexed="43"/>
  </sheetPr>
  <dimension ref="A1:AU64"/>
  <sheetViews>
    <sheetView topLeftCell="E1" workbookViewId="0">
      <selection activeCell="AT29" sqref="AT29"/>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6203</v>
      </c>
      <c r="E7" s="269"/>
      <c r="F7" s="269"/>
      <c r="G7" s="269"/>
      <c r="H7" s="269"/>
      <c r="I7" s="269" t="s">
        <v>6204</v>
      </c>
      <c r="J7" s="269"/>
      <c r="K7" s="269"/>
      <c r="L7" s="269"/>
      <c r="M7" s="269"/>
      <c r="N7" s="269"/>
      <c r="O7" s="269"/>
      <c r="P7" s="269"/>
      <c r="Q7" s="269"/>
      <c r="R7" s="269"/>
      <c r="S7" s="269"/>
      <c r="T7" s="269"/>
      <c r="U7" s="269"/>
      <c r="V7" s="269"/>
      <c r="W7" s="269"/>
      <c r="X7" s="269"/>
      <c r="Y7" s="270" t="s">
        <v>6118</v>
      </c>
      <c r="Z7" s="270"/>
      <c r="AA7" s="270"/>
      <c r="AB7" s="270"/>
      <c r="AC7" s="270"/>
      <c r="AD7" s="270"/>
      <c r="AE7" s="270"/>
      <c r="AF7" s="270"/>
      <c r="AG7" s="270"/>
      <c r="AH7" s="270"/>
      <c r="AI7" s="270"/>
      <c r="AJ7" s="270"/>
      <c r="AK7" s="270"/>
      <c r="AL7" s="270"/>
      <c r="AM7" s="270"/>
      <c r="AN7" s="270"/>
      <c r="AO7" s="2"/>
      <c r="AP7" s="2"/>
      <c r="AQ7" s="7"/>
      <c r="AT7" s="22" t="s">
        <v>1518</v>
      </c>
      <c r="AU7" s="35" t="str">
        <f>I7</f>
        <v>KOZLODUY-6</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6119</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6120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406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V-320</v>
      </c>
    </row>
    <row r="13" spans="1:47" ht="10.35" customHeight="1">
      <c r="A13" s="6"/>
      <c r="B13" s="1"/>
      <c r="C13" s="2"/>
      <c r="D13" s="247" t="s">
        <v>5716</v>
      </c>
      <c r="E13" s="247"/>
      <c r="F13" s="247"/>
      <c r="G13" s="247"/>
      <c r="H13" s="247" t="s">
        <v>5709</v>
      </c>
      <c r="I13" s="247"/>
      <c r="J13" s="247" t="s">
        <v>406</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3000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192" t="str">
        <f>D19 &amp; " [MWe]"</f>
        <v>Latest gross electrical power [MWe]</v>
      </c>
      <c r="AU16" s="193">
        <f>N19</f>
        <v>1000</v>
      </c>
    </row>
    <row r="17" spans="1:47" ht="11.45" customHeight="1" thickBot="1">
      <c r="A17" s="6"/>
      <c r="B17" s="1"/>
      <c r="C17" s="1"/>
      <c r="D17" s="248" t="s">
        <v>5722</v>
      </c>
      <c r="E17" s="248"/>
      <c r="F17" s="248"/>
      <c r="G17" s="248"/>
      <c r="H17" s="247" t="s">
        <v>5709</v>
      </c>
      <c r="I17" s="247"/>
      <c r="J17" s="248" t="s">
        <v>6121</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192" t="str">
        <f>D21 &amp; " [MWe]"</f>
        <v>Latest reference unit power (net) [MWe]</v>
      </c>
      <c r="AU17" s="193">
        <f>N21</f>
        <v>953</v>
      </c>
    </row>
    <row r="18" spans="1:47" ht="13.5" thickBot="1">
      <c r="A18" s="6"/>
      <c r="B18" s="1"/>
      <c r="C18" s="1"/>
      <c r="D18" s="248" t="s">
        <v>185</v>
      </c>
      <c r="E18" s="248"/>
      <c r="F18" s="248"/>
      <c r="G18" s="248"/>
      <c r="H18" s="248"/>
      <c r="I18" s="248"/>
      <c r="J18" s="248"/>
      <c r="K18" s="248"/>
      <c r="L18" s="248"/>
      <c r="M18" s="8" t="s">
        <v>5709</v>
      </c>
      <c r="N18" s="264">
        <v>3000</v>
      </c>
      <c r="O18" s="264"/>
      <c r="P18" s="264"/>
      <c r="Q18" s="248" t="s">
        <v>186</v>
      </c>
      <c r="R18" s="248"/>
      <c r="S18" s="248"/>
      <c r="T18" s="2"/>
      <c r="U18" s="2"/>
      <c r="V18" s="252" t="s">
        <v>187</v>
      </c>
      <c r="W18" s="252"/>
      <c r="X18" s="252"/>
      <c r="Y18" s="252"/>
      <c r="Z18" s="252"/>
      <c r="AA18" s="252"/>
      <c r="AB18" s="252"/>
      <c r="AC18" s="247" t="s">
        <v>5709</v>
      </c>
      <c r="AD18" s="247"/>
      <c r="AE18" s="248" t="s">
        <v>6122</v>
      </c>
      <c r="AF18" s="248"/>
      <c r="AG18" s="248"/>
      <c r="AH18" s="248"/>
      <c r="AI18" s="248"/>
      <c r="AJ18" s="248"/>
      <c r="AK18" s="248"/>
      <c r="AL18" s="2"/>
      <c r="AM18" s="1"/>
      <c r="AN18" s="2"/>
      <c r="AO18" s="1"/>
      <c r="AP18" s="2"/>
      <c r="AQ18" s="7"/>
      <c r="AT18" s="194" t="str">
        <f>D26</f>
        <v>Grid Date</v>
      </c>
      <c r="AU18" s="194">
        <f>N26</f>
        <v>33452</v>
      </c>
    </row>
    <row r="19" spans="1:47" ht="13.5" thickBot="1">
      <c r="A19" s="6"/>
      <c r="B19" s="1"/>
      <c r="C19" s="1"/>
      <c r="D19" s="248" t="s">
        <v>189</v>
      </c>
      <c r="E19" s="248"/>
      <c r="F19" s="248"/>
      <c r="G19" s="248"/>
      <c r="H19" s="248"/>
      <c r="I19" s="248"/>
      <c r="J19" s="248"/>
      <c r="K19" s="248"/>
      <c r="L19" s="248"/>
      <c r="M19" s="8" t="s">
        <v>5709</v>
      </c>
      <c r="N19" s="264">
        <v>1000</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195" t="str">
        <f>V21</f>
        <v>Average discharge burnup  [MWd/t]</v>
      </c>
      <c r="AU19" s="195" t="str">
        <f>AE21</f>
        <v>27000</v>
      </c>
    </row>
    <row r="20" spans="1:47" ht="13.5" thickBot="1">
      <c r="A20" s="6"/>
      <c r="B20" s="1"/>
      <c r="C20" s="1"/>
      <c r="D20" s="248" t="s">
        <v>193</v>
      </c>
      <c r="E20" s="248"/>
      <c r="F20" s="248"/>
      <c r="G20" s="248"/>
      <c r="H20" s="248"/>
      <c r="I20" s="248"/>
      <c r="J20" s="248"/>
      <c r="K20" s="248"/>
      <c r="L20" s="248"/>
      <c r="M20" s="8" t="s">
        <v>5709</v>
      </c>
      <c r="N20" s="264">
        <v>953</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195" t="str">
        <f>D58 &amp; R51</f>
        <v>LF [%]2005</v>
      </c>
      <c r="AU20" s="195">
        <f>R58</f>
        <v>73.67</v>
      </c>
    </row>
    <row r="21" spans="1:47" ht="13.5" thickBot="1">
      <c r="A21" s="6"/>
      <c r="B21" s="1"/>
      <c r="C21" s="1"/>
      <c r="D21" s="248" t="s">
        <v>196</v>
      </c>
      <c r="E21" s="248"/>
      <c r="F21" s="248"/>
      <c r="G21" s="248"/>
      <c r="H21" s="248"/>
      <c r="I21" s="248"/>
      <c r="J21" s="248"/>
      <c r="K21" s="248"/>
      <c r="L21" s="248"/>
      <c r="M21" s="8" t="s">
        <v>5709</v>
      </c>
      <c r="N21" s="264">
        <v>953</v>
      </c>
      <c r="O21" s="264"/>
      <c r="P21" s="264"/>
      <c r="Q21" s="248" t="s">
        <v>190</v>
      </c>
      <c r="R21" s="248"/>
      <c r="S21" s="248"/>
      <c r="T21" s="2"/>
      <c r="U21" s="2"/>
      <c r="V21" s="252" t="s">
        <v>197</v>
      </c>
      <c r="W21" s="252"/>
      <c r="X21" s="252"/>
      <c r="Y21" s="252"/>
      <c r="Z21" s="252"/>
      <c r="AA21" s="252"/>
      <c r="AB21" s="252"/>
      <c r="AC21" s="247" t="s">
        <v>5709</v>
      </c>
      <c r="AD21" s="247"/>
      <c r="AE21" s="248" t="s">
        <v>6124</v>
      </c>
      <c r="AF21" s="248"/>
      <c r="AG21" s="248"/>
      <c r="AH21" s="248"/>
      <c r="AI21" s="248"/>
      <c r="AJ21" s="248"/>
      <c r="AK21" s="248"/>
      <c r="AL21" s="2"/>
      <c r="AM21" s="1"/>
      <c r="AN21" s="2"/>
      <c r="AO21" s="1"/>
      <c r="AP21" s="2"/>
      <c r="AQ21" s="7"/>
      <c r="AT21" s="195" t="str">
        <f>D58&amp;AG51</f>
        <v>LF [%]2010</v>
      </c>
      <c r="AU21" s="195">
        <f>AG58</f>
        <v>83.17</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6125</v>
      </c>
      <c r="AF22" s="248"/>
      <c r="AG22" s="248"/>
      <c r="AH22" s="248"/>
      <c r="AI22" s="248"/>
      <c r="AJ22" s="248"/>
      <c r="AK22" s="248"/>
      <c r="AL22" s="2"/>
      <c r="AM22" s="1"/>
      <c r="AN22" s="2"/>
      <c r="AO22" s="1"/>
      <c r="AP22" s="2"/>
      <c r="AQ22" s="7"/>
      <c r="AT22" s="196" t="s">
        <v>7214</v>
      </c>
      <c r="AU22" s="196">
        <v>76.2</v>
      </c>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6126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30042</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6127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33452</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6128</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34333</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6205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6130</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6132</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6133</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6134</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421</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227</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6135</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416</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6206</v>
      </c>
      <c r="G52" s="238"/>
      <c r="H52" s="238"/>
      <c r="I52" s="238"/>
      <c r="J52" s="238"/>
      <c r="K52" s="10" t="s">
        <v>6207</v>
      </c>
      <c r="L52" s="238" t="s">
        <v>6208</v>
      </c>
      <c r="M52" s="238"/>
      <c r="N52" s="238"/>
      <c r="O52" s="238" t="s">
        <v>6209</v>
      </c>
      <c r="P52" s="238"/>
      <c r="Q52" s="238"/>
      <c r="R52" s="238">
        <v>6149.97</v>
      </c>
      <c r="S52" s="238"/>
      <c r="T52" s="238"/>
      <c r="U52" s="238"/>
      <c r="V52" s="238"/>
      <c r="W52" s="238"/>
      <c r="X52" s="238" t="s">
        <v>6210</v>
      </c>
      <c r="Y52" s="238"/>
      <c r="Z52" s="10" t="s">
        <v>6211</v>
      </c>
      <c r="AA52" s="10" t="s">
        <v>6212</v>
      </c>
      <c r="AB52" s="238" t="s">
        <v>6213</v>
      </c>
      <c r="AC52" s="238"/>
      <c r="AD52" s="238"/>
      <c r="AE52" s="238"/>
      <c r="AF52" s="238"/>
      <c r="AG52" s="10" t="s">
        <v>6214</v>
      </c>
      <c r="AH52" s="237" t="s">
        <v>6215</v>
      </c>
      <c r="AI52" s="237"/>
      <c r="AJ52" s="237"/>
      <c r="AK52" s="237"/>
      <c r="AL52" s="237"/>
      <c r="AM52" s="2"/>
      <c r="AN52" s="2"/>
      <c r="AO52" s="2"/>
      <c r="AP52" s="2"/>
      <c r="AQ52" s="7"/>
    </row>
    <row r="53" spans="1:43" ht="13.5" thickBot="1">
      <c r="A53" s="6"/>
      <c r="B53" s="2"/>
      <c r="C53" s="2"/>
      <c r="D53" s="244" t="s">
        <v>261</v>
      </c>
      <c r="E53" s="244"/>
      <c r="F53" s="238" t="s">
        <v>6216</v>
      </c>
      <c r="G53" s="238"/>
      <c r="H53" s="238"/>
      <c r="I53" s="238"/>
      <c r="J53" s="238"/>
      <c r="K53" s="10" t="s">
        <v>6217</v>
      </c>
      <c r="L53" s="238" t="s">
        <v>6218</v>
      </c>
      <c r="M53" s="238"/>
      <c r="N53" s="238"/>
      <c r="O53" s="238" t="s">
        <v>6219</v>
      </c>
      <c r="P53" s="238"/>
      <c r="Q53" s="238"/>
      <c r="R53" s="238" t="s">
        <v>6220</v>
      </c>
      <c r="S53" s="238"/>
      <c r="T53" s="238"/>
      <c r="U53" s="238"/>
      <c r="V53" s="238"/>
      <c r="W53" s="238"/>
      <c r="X53" s="238" t="s">
        <v>6221</v>
      </c>
      <c r="Y53" s="238"/>
      <c r="Z53" s="10" t="s">
        <v>6222</v>
      </c>
      <c r="AA53" s="10" t="s">
        <v>6223</v>
      </c>
      <c r="AB53" s="238" t="s">
        <v>6224</v>
      </c>
      <c r="AC53" s="238"/>
      <c r="AD53" s="238"/>
      <c r="AE53" s="238"/>
      <c r="AF53" s="238"/>
      <c r="AG53" s="10" t="s">
        <v>6225</v>
      </c>
      <c r="AH53" s="237" t="s">
        <v>6226</v>
      </c>
      <c r="AI53" s="237"/>
      <c r="AJ53" s="237"/>
      <c r="AK53" s="237"/>
      <c r="AL53" s="237"/>
      <c r="AM53" s="2"/>
      <c r="AN53" s="2"/>
      <c r="AO53" s="2"/>
      <c r="AP53" s="2"/>
      <c r="AQ53" s="7"/>
    </row>
    <row r="54" spans="1:43" ht="13.5" thickBot="1">
      <c r="A54" s="6"/>
      <c r="B54" s="2"/>
      <c r="C54" s="2"/>
      <c r="D54" s="244" t="s">
        <v>273</v>
      </c>
      <c r="E54" s="244"/>
      <c r="F54" s="238" t="s">
        <v>6227</v>
      </c>
      <c r="G54" s="238"/>
      <c r="H54" s="238"/>
      <c r="I54" s="238"/>
      <c r="J54" s="238"/>
      <c r="K54" s="10" t="s">
        <v>6228</v>
      </c>
      <c r="L54" s="238" t="s">
        <v>6229</v>
      </c>
      <c r="M54" s="238"/>
      <c r="N54" s="238"/>
      <c r="O54" s="238" t="s">
        <v>6230</v>
      </c>
      <c r="P54" s="238"/>
      <c r="Q54" s="238"/>
      <c r="R54" s="238" t="s">
        <v>6231</v>
      </c>
      <c r="S54" s="238"/>
      <c r="T54" s="238"/>
      <c r="U54" s="238"/>
      <c r="V54" s="238"/>
      <c r="W54" s="238"/>
      <c r="X54" s="238" t="s">
        <v>6232</v>
      </c>
      <c r="Y54" s="238"/>
      <c r="Z54" s="10" t="s">
        <v>6233</v>
      </c>
      <c r="AA54" s="10" t="s">
        <v>6234</v>
      </c>
      <c r="AB54" s="238" t="s">
        <v>6235</v>
      </c>
      <c r="AC54" s="238"/>
      <c r="AD54" s="238"/>
      <c r="AE54" s="238"/>
      <c r="AF54" s="238"/>
      <c r="AG54" s="10" t="s">
        <v>6236</v>
      </c>
      <c r="AH54" s="237" t="s">
        <v>6237</v>
      </c>
      <c r="AI54" s="237"/>
      <c r="AJ54" s="237"/>
      <c r="AK54" s="237"/>
      <c r="AL54" s="237"/>
      <c r="AM54" s="2"/>
      <c r="AN54" s="2"/>
      <c r="AO54" s="2"/>
      <c r="AP54" s="2"/>
      <c r="AQ54" s="7"/>
    </row>
    <row r="55" spans="1:43" ht="13.5" thickBot="1">
      <c r="A55" s="6"/>
      <c r="B55" s="2"/>
      <c r="C55" s="2"/>
      <c r="D55" s="244" t="s">
        <v>285</v>
      </c>
      <c r="E55" s="244"/>
      <c r="F55" s="238" t="s">
        <v>6238</v>
      </c>
      <c r="G55" s="238"/>
      <c r="H55" s="238"/>
      <c r="I55" s="238"/>
      <c r="J55" s="238"/>
      <c r="K55" s="10" t="s">
        <v>6217</v>
      </c>
      <c r="L55" s="238" t="s">
        <v>6218</v>
      </c>
      <c r="M55" s="238"/>
      <c r="N55" s="238"/>
      <c r="O55" s="238" t="s">
        <v>6219</v>
      </c>
      <c r="P55" s="238"/>
      <c r="Q55" s="238"/>
      <c r="R55" s="238" t="s">
        <v>6221</v>
      </c>
      <c r="S55" s="238"/>
      <c r="T55" s="238"/>
      <c r="U55" s="238"/>
      <c r="V55" s="238"/>
      <c r="W55" s="238"/>
      <c r="X55" s="238" t="s">
        <v>6239</v>
      </c>
      <c r="Y55" s="238"/>
      <c r="Z55" s="10" t="s">
        <v>6240</v>
      </c>
      <c r="AA55" s="10" t="s">
        <v>6241</v>
      </c>
      <c r="AB55" s="238" t="s">
        <v>6023</v>
      </c>
      <c r="AC55" s="238"/>
      <c r="AD55" s="238"/>
      <c r="AE55" s="238"/>
      <c r="AF55" s="238"/>
      <c r="AG55" s="10" t="s">
        <v>6242</v>
      </c>
      <c r="AH55" s="237" t="s">
        <v>6243</v>
      </c>
      <c r="AI55" s="237"/>
      <c r="AJ55" s="237"/>
      <c r="AK55" s="237"/>
      <c r="AL55" s="237"/>
      <c r="AM55" s="2"/>
      <c r="AN55" s="2"/>
      <c r="AO55" s="2"/>
      <c r="AP55" s="2"/>
      <c r="AQ55" s="7"/>
    </row>
    <row r="56" spans="1:43" ht="13.5" thickBot="1">
      <c r="A56" s="6"/>
      <c r="B56" s="2"/>
      <c r="C56" s="2"/>
      <c r="D56" s="244" t="s">
        <v>295</v>
      </c>
      <c r="E56" s="244"/>
      <c r="F56" s="238" t="s">
        <v>375</v>
      </c>
      <c r="G56" s="238"/>
      <c r="H56" s="238"/>
      <c r="I56" s="238"/>
      <c r="J56" s="238"/>
      <c r="K56" s="10" t="s">
        <v>378</v>
      </c>
      <c r="L56" s="238" t="s">
        <v>6010</v>
      </c>
      <c r="M56" s="238"/>
      <c r="N56" s="238"/>
      <c r="O56" s="238" t="s">
        <v>6087</v>
      </c>
      <c r="P56" s="238"/>
      <c r="Q56" s="238"/>
      <c r="R56" s="238" t="s">
        <v>6244</v>
      </c>
      <c r="S56" s="238"/>
      <c r="T56" s="238"/>
      <c r="U56" s="238"/>
      <c r="V56" s="238"/>
      <c r="W56" s="238"/>
      <c r="X56" s="238" t="s">
        <v>6245</v>
      </c>
      <c r="Y56" s="238"/>
      <c r="Z56" s="10" t="s">
        <v>6246</v>
      </c>
      <c r="AA56" s="10" t="s">
        <v>6087</v>
      </c>
      <c r="AB56" s="238" t="s">
        <v>6083</v>
      </c>
      <c r="AC56" s="238"/>
      <c r="AD56" s="238"/>
      <c r="AE56" s="238"/>
      <c r="AF56" s="238"/>
      <c r="AG56" s="10" t="s">
        <v>6247</v>
      </c>
      <c r="AH56" s="237" t="s">
        <v>6248</v>
      </c>
      <c r="AI56" s="237"/>
      <c r="AJ56" s="237"/>
      <c r="AK56" s="237"/>
      <c r="AL56" s="237"/>
      <c r="AM56" s="2"/>
      <c r="AN56" s="2"/>
      <c r="AO56" s="2"/>
      <c r="AP56" s="2"/>
      <c r="AQ56" s="7"/>
    </row>
    <row r="57" spans="1:43" ht="13.5" thickBot="1">
      <c r="A57" s="6"/>
      <c r="B57" s="2"/>
      <c r="C57" s="2"/>
      <c r="D57" s="244" t="s">
        <v>307</v>
      </c>
      <c r="E57" s="244"/>
      <c r="F57" s="238" t="s">
        <v>6249</v>
      </c>
      <c r="G57" s="238"/>
      <c r="H57" s="238"/>
      <c r="I57" s="238"/>
      <c r="J57" s="238"/>
      <c r="K57" s="10" t="s">
        <v>6250</v>
      </c>
      <c r="L57" s="238" t="s">
        <v>6251</v>
      </c>
      <c r="M57" s="238"/>
      <c r="N57" s="238"/>
      <c r="O57" s="238" t="s">
        <v>6252</v>
      </c>
      <c r="P57" s="238"/>
      <c r="Q57" s="238"/>
      <c r="R57" s="238" t="s">
        <v>6253</v>
      </c>
      <c r="S57" s="238"/>
      <c r="T57" s="238"/>
      <c r="U57" s="238"/>
      <c r="V57" s="238"/>
      <c r="W57" s="238"/>
      <c r="X57" s="238" t="s">
        <v>6254</v>
      </c>
      <c r="Y57" s="238"/>
      <c r="Z57" s="10" t="s">
        <v>6255</v>
      </c>
      <c r="AA57" s="10" t="s">
        <v>6256</v>
      </c>
      <c r="AB57" s="238" t="s">
        <v>6257</v>
      </c>
      <c r="AC57" s="238"/>
      <c r="AD57" s="238"/>
      <c r="AE57" s="238"/>
      <c r="AF57" s="238"/>
      <c r="AG57" s="10" t="s">
        <v>6258</v>
      </c>
      <c r="AH57" s="237" t="s">
        <v>6259</v>
      </c>
      <c r="AI57" s="237"/>
      <c r="AJ57" s="237"/>
      <c r="AK57" s="237"/>
      <c r="AL57" s="237"/>
      <c r="AM57" s="2"/>
      <c r="AN57" s="2"/>
      <c r="AO57" s="2"/>
      <c r="AP57" s="2"/>
      <c r="AQ57" s="7"/>
    </row>
    <row r="58" spans="1:43" ht="13.5" thickBot="1">
      <c r="A58" s="6"/>
      <c r="B58" s="2"/>
      <c r="C58" s="2"/>
      <c r="D58" s="244" t="s">
        <v>319</v>
      </c>
      <c r="E58" s="244"/>
      <c r="F58" s="237" t="s">
        <v>6260</v>
      </c>
      <c r="G58" s="237"/>
      <c r="H58" s="237"/>
      <c r="I58" s="237"/>
      <c r="J58" s="237"/>
      <c r="K58" s="11" t="s">
        <v>6261</v>
      </c>
      <c r="L58" s="237" t="s">
        <v>6262</v>
      </c>
      <c r="M58" s="237"/>
      <c r="N58" s="237"/>
      <c r="O58" s="237" t="s">
        <v>6263</v>
      </c>
      <c r="P58" s="237"/>
      <c r="Q58" s="237"/>
      <c r="R58" s="237">
        <v>73.67</v>
      </c>
      <c r="S58" s="237"/>
      <c r="T58" s="237"/>
      <c r="U58" s="237"/>
      <c r="V58" s="237"/>
      <c r="W58" s="237"/>
      <c r="X58" s="237" t="s">
        <v>6264</v>
      </c>
      <c r="Y58" s="237"/>
      <c r="Z58" s="11" t="s">
        <v>6265</v>
      </c>
      <c r="AA58" s="11" t="s">
        <v>6266</v>
      </c>
      <c r="AB58" s="237" t="s">
        <v>6267</v>
      </c>
      <c r="AC58" s="237"/>
      <c r="AD58" s="237"/>
      <c r="AE58" s="237"/>
      <c r="AF58" s="237"/>
      <c r="AG58" s="11">
        <v>83.17</v>
      </c>
      <c r="AH58" s="237" t="s">
        <v>6269</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indexed="47"/>
  </sheetPr>
  <dimension ref="A1:AU63"/>
  <sheetViews>
    <sheetView workbookViewId="0">
      <selection activeCell="AU17" sqref="AU17"/>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3.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6270</v>
      </c>
      <c r="E7" s="269"/>
      <c r="F7" s="269"/>
      <c r="G7" s="269"/>
      <c r="H7" s="269" t="s">
        <v>6271</v>
      </c>
      <c r="I7" s="269"/>
      <c r="J7" s="269"/>
      <c r="K7" s="269"/>
      <c r="L7" s="269"/>
      <c r="M7" s="269"/>
      <c r="N7" s="269"/>
      <c r="O7" s="269"/>
      <c r="P7" s="269"/>
      <c r="Q7" s="269"/>
      <c r="R7" s="269"/>
      <c r="S7" s="269"/>
      <c r="T7" s="269"/>
      <c r="U7" s="269"/>
      <c r="V7" s="269"/>
      <c r="W7" s="269"/>
      <c r="X7" s="270" t="s">
        <v>6272</v>
      </c>
      <c r="Y7" s="270"/>
      <c r="Z7" s="270"/>
      <c r="AA7" s="270"/>
      <c r="AB7" s="270"/>
      <c r="AC7" s="270"/>
      <c r="AD7" s="270"/>
      <c r="AE7" s="270"/>
      <c r="AF7" s="270"/>
      <c r="AG7" s="270"/>
      <c r="AH7" s="270"/>
      <c r="AI7" s="270"/>
      <c r="AJ7" s="270"/>
      <c r="AK7" s="270"/>
      <c r="AL7" s="270"/>
      <c r="AM7" s="270"/>
      <c r="AN7" s="2"/>
      <c r="AO7" s="2"/>
      <c r="AP7" s="7"/>
      <c r="AT7" s="22" t="s">
        <v>1518</v>
      </c>
      <c r="AU7" s="35" t="str">
        <f>H7</f>
        <v>DUKOVANY-1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6273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6273</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6274</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6274</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1375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456</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427</v>
      </c>
    </row>
    <row r="18" spans="1:47" ht="13.5" thickBot="1">
      <c r="A18" s="6"/>
      <c r="B18" s="1"/>
      <c r="C18" s="1"/>
      <c r="D18" s="248" t="s">
        <v>185</v>
      </c>
      <c r="E18" s="248"/>
      <c r="F18" s="248"/>
      <c r="G18" s="248"/>
      <c r="H18" s="248"/>
      <c r="I18" s="248"/>
      <c r="J18" s="248"/>
      <c r="K18" s="248"/>
      <c r="L18" s="8" t="s">
        <v>5709</v>
      </c>
      <c r="M18" s="264">
        <v>1375</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31102</v>
      </c>
    </row>
    <row r="19" spans="1:47" ht="13.5" thickBot="1">
      <c r="A19" s="6"/>
      <c r="B19" s="1"/>
      <c r="C19" s="1"/>
      <c r="D19" s="248" t="s">
        <v>189</v>
      </c>
      <c r="E19" s="248"/>
      <c r="F19" s="248"/>
      <c r="G19" s="248"/>
      <c r="H19" s="248"/>
      <c r="I19" s="248"/>
      <c r="J19" s="248"/>
      <c r="K19" s="248"/>
      <c r="L19" s="8" t="s">
        <v>5709</v>
      </c>
      <c r="M19" s="264">
        <v>456</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44000</v>
      </c>
    </row>
    <row r="20" spans="1:47" ht="13.5" thickBot="1">
      <c r="A20" s="6"/>
      <c r="B20" s="1"/>
      <c r="C20" s="1"/>
      <c r="D20" s="248" t="s">
        <v>193</v>
      </c>
      <c r="E20" s="248"/>
      <c r="F20" s="248"/>
      <c r="G20" s="248"/>
      <c r="H20" s="248"/>
      <c r="I20" s="248"/>
      <c r="J20" s="248"/>
      <c r="K20" s="248"/>
      <c r="L20" s="8" t="s">
        <v>5709</v>
      </c>
      <c r="M20" s="264">
        <v>420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92.12</v>
      </c>
    </row>
    <row r="21" spans="1:47" ht="13.5" thickBot="1">
      <c r="A21" s="6"/>
      <c r="B21" s="1"/>
      <c r="C21" s="1"/>
      <c r="D21" s="248" t="s">
        <v>196</v>
      </c>
      <c r="E21" s="248"/>
      <c r="F21" s="248"/>
      <c r="G21" s="248"/>
      <c r="H21" s="248"/>
      <c r="I21" s="248"/>
      <c r="J21" s="248"/>
      <c r="K21" s="248"/>
      <c r="L21" s="8" t="s">
        <v>5709</v>
      </c>
      <c r="M21" s="264">
        <v>427</v>
      </c>
      <c r="N21" s="264"/>
      <c r="O21" s="264"/>
      <c r="P21" s="248" t="s">
        <v>190</v>
      </c>
      <c r="Q21" s="248"/>
      <c r="R21" s="248"/>
      <c r="S21" s="2"/>
      <c r="T21" s="2"/>
      <c r="U21" s="252" t="s">
        <v>197</v>
      </c>
      <c r="V21" s="252"/>
      <c r="W21" s="252"/>
      <c r="X21" s="252"/>
      <c r="Y21" s="252"/>
      <c r="Z21" s="252"/>
      <c r="AA21" s="252"/>
      <c r="AB21" s="247" t="s">
        <v>5709</v>
      </c>
      <c r="AC21" s="247"/>
      <c r="AD21" s="248" t="s">
        <v>6275</v>
      </c>
      <c r="AE21" s="248"/>
      <c r="AF21" s="248"/>
      <c r="AG21" s="248"/>
      <c r="AH21" s="248"/>
      <c r="AI21" s="248"/>
      <c r="AJ21" s="248"/>
      <c r="AK21" s="2"/>
      <c r="AL21" s="1"/>
      <c r="AM21" s="2"/>
      <c r="AN21" s="1"/>
      <c r="AO21" s="2"/>
      <c r="AP21" s="7"/>
      <c r="AT21" s="23" t="str">
        <f>D57&amp;AF50</f>
        <v>LF [%]2010</v>
      </c>
      <c r="AU21" s="23">
        <f>AF57</f>
        <v>95.54</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6276</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28856</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6277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31102</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6278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31170</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6279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6280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6281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6282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6283</v>
      </c>
      <c r="G51" s="238"/>
      <c r="H51" s="238"/>
      <c r="I51" s="238"/>
      <c r="J51" s="10" t="s">
        <v>6284</v>
      </c>
      <c r="K51" s="238" t="s">
        <v>6285</v>
      </c>
      <c r="L51" s="238"/>
      <c r="M51" s="238"/>
      <c r="N51" s="238" t="s">
        <v>6286</v>
      </c>
      <c r="O51" s="238"/>
      <c r="P51" s="238"/>
      <c r="Q51" s="238" t="s">
        <v>6287</v>
      </c>
      <c r="R51" s="238"/>
      <c r="S51" s="238"/>
      <c r="T51" s="238"/>
      <c r="U51" s="238"/>
      <c r="V51" s="238"/>
      <c r="W51" s="238" t="s">
        <v>6288</v>
      </c>
      <c r="X51" s="238"/>
      <c r="Y51" s="10" t="s">
        <v>6289</v>
      </c>
      <c r="Z51" s="10" t="s">
        <v>6290</v>
      </c>
      <c r="AA51" s="238" t="s">
        <v>6291</v>
      </c>
      <c r="AB51" s="238"/>
      <c r="AC51" s="238"/>
      <c r="AD51" s="238"/>
      <c r="AE51" s="238"/>
      <c r="AF51" s="10" t="s">
        <v>6292</v>
      </c>
      <c r="AG51" s="237" t="s">
        <v>6293</v>
      </c>
      <c r="AH51" s="237"/>
      <c r="AI51" s="237"/>
      <c r="AJ51" s="237"/>
      <c r="AK51" s="237"/>
      <c r="AL51" s="2"/>
      <c r="AM51" s="2"/>
      <c r="AN51" s="2"/>
      <c r="AO51" s="2"/>
      <c r="AP51" s="7"/>
    </row>
    <row r="52" spans="1:42" ht="13.5" thickBot="1">
      <c r="A52" s="6"/>
      <c r="B52" s="2"/>
      <c r="C52" s="2"/>
      <c r="D52" s="244" t="s">
        <v>261</v>
      </c>
      <c r="E52" s="244"/>
      <c r="F52" s="238" t="s">
        <v>6294</v>
      </c>
      <c r="G52" s="238"/>
      <c r="H52" s="238"/>
      <c r="I52" s="238"/>
      <c r="J52" s="10" t="s">
        <v>6295</v>
      </c>
      <c r="K52" s="238" t="s">
        <v>6296</v>
      </c>
      <c r="L52" s="238"/>
      <c r="M52" s="238"/>
      <c r="N52" s="238" t="s">
        <v>6297</v>
      </c>
      <c r="O52" s="238"/>
      <c r="P52" s="238"/>
      <c r="Q52" s="238" t="s">
        <v>6298</v>
      </c>
      <c r="R52" s="238"/>
      <c r="S52" s="238"/>
      <c r="T52" s="238"/>
      <c r="U52" s="238"/>
      <c r="V52" s="238"/>
      <c r="W52" s="238" t="s">
        <v>6299</v>
      </c>
      <c r="X52" s="238"/>
      <c r="Y52" s="10" t="s">
        <v>6300</v>
      </c>
      <c r="Z52" s="10" t="s">
        <v>6301</v>
      </c>
      <c r="AA52" s="238" t="s">
        <v>6302</v>
      </c>
      <c r="AB52" s="238"/>
      <c r="AC52" s="238"/>
      <c r="AD52" s="238"/>
      <c r="AE52" s="238"/>
      <c r="AF52" s="10" t="s">
        <v>6303</v>
      </c>
      <c r="AG52" s="237" t="s">
        <v>6304</v>
      </c>
      <c r="AH52" s="237"/>
      <c r="AI52" s="237"/>
      <c r="AJ52" s="237"/>
      <c r="AK52" s="237"/>
      <c r="AL52" s="2"/>
      <c r="AM52" s="2"/>
      <c r="AN52" s="2"/>
      <c r="AO52" s="2"/>
      <c r="AP52" s="7"/>
    </row>
    <row r="53" spans="1:42" ht="13.5" thickBot="1">
      <c r="A53" s="6"/>
      <c r="B53" s="2"/>
      <c r="C53" s="2"/>
      <c r="D53" s="244" t="s">
        <v>273</v>
      </c>
      <c r="E53" s="244"/>
      <c r="F53" s="238" t="s">
        <v>6305</v>
      </c>
      <c r="G53" s="238"/>
      <c r="H53" s="238"/>
      <c r="I53" s="238"/>
      <c r="J53" s="10" t="s">
        <v>6306</v>
      </c>
      <c r="K53" s="238" t="s">
        <v>6307</v>
      </c>
      <c r="L53" s="238"/>
      <c r="M53" s="238"/>
      <c r="N53" s="238" t="s">
        <v>6308</v>
      </c>
      <c r="O53" s="238"/>
      <c r="P53" s="238"/>
      <c r="Q53" s="238" t="s">
        <v>6309</v>
      </c>
      <c r="R53" s="238"/>
      <c r="S53" s="238"/>
      <c r="T53" s="238"/>
      <c r="U53" s="238"/>
      <c r="V53" s="238"/>
      <c r="W53" s="238" t="s">
        <v>6310</v>
      </c>
      <c r="X53" s="238"/>
      <c r="Y53" s="10" t="s">
        <v>6311</v>
      </c>
      <c r="Z53" s="10" t="s">
        <v>6312</v>
      </c>
      <c r="AA53" s="238" t="s">
        <v>6312</v>
      </c>
      <c r="AB53" s="238"/>
      <c r="AC53" s="238"/>
      <c r="AD53" s="238"/>
      <c r="AE53" s="238"/>
      <c r="AF53" s="10" t="s">
        <v>6313</v>
      </c>
      <c r="AG53" s="237" t="s">
        <v>6314</v>
      </c>
      <c r="AH53" s="237"/>
      <c r="AI53" s="237"/>
      <c r="AJ53" s="237"/>
      <c r="AK53" s="237"/>
      <c r="AL53" s="2"/>
      <c r="AM53" s="2"/>
      <c r="AN53" s="2"/>
      <c r="AO53" s="2"/>
      <c r="AP53" s="7"/>
    </row>
    <row r="54" spans="1:42" ht="13.5" thickBot="1">
      <c r="A54" s="6"/>
      <c r="B54" s="2"/>
      <c r="C54" s="2"/>
      <c r="D54" s="244" t="s">
        <v>285</v>
      </c>
      <c r="E54" s="244"/>
      <c r="F54" s="238" t="s">
        <v>6315</v>
      </c>
      <c r="G54" s="238"/>
      <c r="H54" s="238"/>
      <c r="I54" s="238"/>
      <c r="J54" s="10" t="s">
        <v>6316</v>
      </c>
      <c r="K54" s="238" t="s">
        <v>6317</v>
      </c>
      <c r="L54" s="238"/>
      <c r="M54" s="238"/>
      <c r="N54" s="238" t="s">
        <v>6318</v>
      </c>
      <c r="O54" s="238"/>
      <c r="P54" s="238"/>
      <c r="Q54" s="238" t="s">
        <v>6319</v>
      </c>
      <c r="R54" s="238"/>
      <c r="S54" s="238"/>
      <c r="T54" s="238"/>
      <c r="U54" s="238"/>
      <c r="V54" s="238"/>
      <c r="W54" s="238" t="s">
        <v>6320</v>
      </c>
      <c r="X54" s="238"/>
      <c r="Y54" s="10" t="s">
        <v>6321</v>
      </c>
      <c r="Z54" s="10" t="s">
        <v>6322</v>
      </c>
      <c r="AA54" s="238" t="s">
        <v>6323</v>
      </c>
      <c r="AB54" s="238"/>
      <c r="AC54" s="238"/>
      <c r="AD54" s="238"/>
      <c r="AE54" s="238"/>
      <c r="AF54" s="10" t="s">
        <v>6017</v>
      </c>
      <c r="AG54" s="237" t="s">
        <v>6324</v>
      </c>
      <c r="AH54" s="237"/>
      <c r="AI54" s="237"/>
      <c r="AJ54" s="237"/>
      <c r="AK54" s="237"/>
      <c r="AL54" s="2"/>
      <c r="AM54" s="2"/>
      <c r="AN54" s="2"/>
      <c r="AO54" s="2"/>
      <c r="AP54" s="7"/>
    </row>
    <row r="55" spans="1:42" ht="13.5" thickBot="1">
      <c r="A55" s="6"/>
      <c r="B55" s="2"/>
      <c r="C55" s="2"/>
      <c r="D55" s="244" t="s">
        <v>295</v>
      </c>
      <c r="E55" s="244"/>
      <c r="F55" s="238" t="s">
        <v>6325</v>
      </c>
      <c r="G55" s="238"/>
      <c r="H55" s="238"/>
      <c r="I55" s="238"/>
      <c r="J55" s="10" t="s">
        <v>6326</v>
      </c>
      <c r="K55" s="238" t="s">
        <v>6245</v>
      </c>
      <c r="L55" s="238"/>
      <c r="M55" s="238"/>
      <c r="N55" s="238" t="s">
        <v>375</v>
      </c>
      <c r="O55" s="238"/>
      <c r="P55" s="238"/>
      <c r="Q55" s="238" t="s">
        <v>6087</v>
      </c>
      <c r="R55" s="238"/>
      <c r="S55" s="238"/>
      <c r="T55" s="238"/>
      <c r="U55" s="238"/>
      <c r="V55" s="238"/>
      <c r="W55" s="238" t="s">
        <v>375</v>
      </c>
      <c r="X55" s="238"/>
      <c r="Y55" s="10" t="s">
        <v>299</v>
      </c>
      <c r="Z55" s="10" t="s">
        <v>6327</v>
      </c>
      <c r="AA55" s="238" t="s">
        <v>6328</v>
      </c>
      <c r="AB55" s="238"/>
      <c r="AC55" s="238"/>
      <c r="AD55" s="238"/>
      <c r="AE55" s="238"/>
      <c r="AF55" s="10" t="s">
        <v>6245</v>
      </c>
      <c r="AG55" s="237" t="s">
        <v>6329</v>
      </c>
      <c r="AH55" s="237"/>
      <c r="AI55" s="237"/>
      <c r="AJ55" s="237"/>
      <c r="AK55" s="237"/>
      <c r="AL55" s="2"/>
      <c r="AM55" s="2"/>
      <c r="AN55" s="2"/>
      <c r="AO55" s="2"/>
      <c r="AP55" s="7"/>
    </row>
    <row r="56" spans="1:42" ht="13.5" thickBot="1">
      <c r="A56" s="6"/>
      <c r="B56" s="2"/>
      <c r="C56" s="2"/>
      <c r="D56" s="244" t="s">
        <v>307</v>
      </c>
      <c r="E56" s="244"/>
      <c r="F56" s="238" t="s">
        <v>6330</v>
      </c>
      <c r="G56" s="238"/>
      <c r="H56" s="238"/>
      <c r="I56" s="238"/>
      <c r="J56" s="10" t="s">
        <v>6331</v>
      </c>
      <c r="K56" s="238" t="s">
        <v>6317</v>
      </c>
      <c r="L56" s="238"/>
      <c r="M56" s="238"/>
      <c r="N56" s="238" t="s">
        <v>6332</v>
      </c>
      <c r="O56" s="238"/>
      <c r="P56" s="238"/>
      <c r="Q56" s="238" t="s">
        <v>6333</v>
      </c>
      <c r="R56" s="238"/>
      <c r="S56" s="238"/>
      <c r="T56" s="238"/>
      <c r="U56" s="238"/>
      <c r="V56" s="238"/>
      <c r="W56" s="238" t="s">
        <v>6334</v>
      </c>
      <c r="X56" s="238"/>
      <c r="Y56" s="10" t="s">
        <v>6335</v>
      </c>
      <c r="Z56" s="10" t="s">
        <v>6336</v>
      </c>
      <c r="AA56" s="238" t="s">
        <v>6337</v>
      </c>
      <c r="AB56" s="238"/>
      <c r="AC56" s="238"/>
      <c r="AD56" s="238"/>
      <c r="AE56" s="238"/>
      <c r="AF56" s="10" t="s">
        <v>6338</v>
      </c>
      <c r="AG56" s="237" t="s">
        <v>6339</v>
      </c>
      <c r="AH56" s="237"/>
      <c r="AI56" s="237"/>
      <c r="AJ56" s="237"/>
      <c r="AK56" s="237"/>
      <c r="AL56" s="2"/>
      <c r="AM56" s="2"/>
      <c r="AN56" s="2"/>
      <c r="AO56" s="2"/>
      <c r="AP56" s="7"/>
    </row>
    <row r="57" spans="1:42" ht="13.5" thickBot="1">
      <c r="A57" s="6"/>
      <c r="B57" s="2"/>
      <c r="C57" s="2"/>
      <c r="D57" s="244" t="s">
        <v>319</v>
      </c>
      <c r="E57" s="244"/>
      <c r="F57" s="237" t="s">
        <v>402</v>
      </c>
      <c r="G57" s="237"/>
      <c r="H57" s="237"/>
      <c r="I57" s="237"/>
      <c r="J57" s="11" t="s">
        <v>6340</v>
      </c>
      <c r="K57" s="237" t="s">
        <v>6341</v>
      </c>
      <c r="L57" s="237"/>
      <c r="M57" s="237"/>
      <c r="N57" s="237" t="s">
        <v>6342</v>
      </c>
      <c r="O57" s="237"/>
      <c r="P57" s="237"/>
      <c r="Q57" s="237">
        <v>92.12</v>
      </c>
      <c r="R57" s="237"/>
      <c r="S57" s="237"/>
      <c r="T57" s="237"/>
      <c r="U57" s="237"/>
      <c r="V57" s="237"/>
      <c r="W57" s="237" t="s">
        <v>6344</v>
      </c>
      <c r="X57" s="237"/>
      <c r="Y57" s="11" t="s">
        <v>6345</v>
      </c>
      <c r="Z57" s="11" t="s">
        <v>6346</v>
      </c>
      <c r="AA57" s="237" t="s">
        <v>6347</v>
      </c>
      <c r="AB57" s="237"/>
      <c r="AC57" s="237"/>
      <c r="AD57" s="237"/>
      <c r="AE57" s="237"/>
      <c r="AF57" s="11">
        <v>95.54</v>
      </c>
      <c r="AG57" s="237" t="s">
        <v>6349</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indexed="47"/>
  </sheetPr>
  <dimension ref="A1:AU63"/>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3.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6350</v>
      </c>
      <c r="E7" s="269"/>
      <c r="F7" s="269"/>
      <c r="G7" s="269"/>
      <c r="H7" s="269" t="s">
        <v>6351</v>
      </c>
      <c r="I7" s="269"/>
      <c r="J7" s="269"/>
      <c r="K7" s="269"/>
      <c r="L7" s="269"/>
      <c r="M7" s="269"/>
      <c r="N7" s="269"/>
      <c r="O7" s="269"/>
      <c r="P7" s="269"/>
      <c r="Q7" s="269"/>
      <c r="R7" s="269"/>
      <c r="S7" s="269"/>
      <c r="T7" s="269"/>
      <c r="U7" s="269"/>
      <c r="V7" s="269"/>
      <c r="W7" s="269"/>
      <c r="X7" s="270" t="s">
        <v>6272</v>
      </c>
      <c r="Y7" s="270"/>
      <c r="Z7" s="270"/>
      <c r="AA7" s="270"/>
      <c r="AB7" s="270"/>
      <c r="AC7" s="270"/>
      <c r="AD7" s="270"/>
      <c r="AE7" s="270"/>
      <c r="AF7" s="270"/>
      <c r="AG7" s="270"/>
      <c r="AH7" s="270"/>
      <c r="AI7" s="270"/>
      <c r="AJ7" s="270"/>
      <c r="AK7" s="270"/>
      <c r="AL7" s="270"/>
      <c r="AM7" s="270"/>
      <c r="AN7" s="2"/>
      <c r="AO7" s="2"/>
      <c r="AP7" s="7"/>
      <c r="AT7" s="22" t="s">
        <v>1518</v>
      </c>
      <c r="AU7" s="35" t="str">
        <f>H7</f>
        <v>DUKOVANY-2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6273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6273</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6274</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6274</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1375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456</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427</v>
      </c>
    </row>
    <row r="18" spans="1:47" ht="13.5" thickBot="1">
      <c r="A18" s="6"/>
      <c r="B18" s="1"/>
      <c r="C18" s="1"/>
      <c r="D18" s="248" t="s">
        <v>185</v>
      </c>
      <c r="E18" s="248"/>
      <c r="F18" s="248"/>
      <c r="G18" s="248"/>
      <c r="H18" s="248"/>
      <c r="I18" s="248"/>
      <c r="J18" s="248"/>
      <c r="K18" s="248"/>
      <c r="L18" s="8" t="s">
        <v>5709</v>
      </c>
      <c r="M18" s="264">
        <v>1375</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31442</v>
      </c>
    </row>
    <row r="19" spans="1:47" ht="13.5" thickBot="1">
      <c r="A19" s="6"/>
      <c r="B19" s="1"/>
      <c r="C19" s="1"/>
      <c r="D19" s="248" t="s">
        <v>189</v>
      </c>
      <c r="E19" s="248"/>
      <c r="F19" s="248"/>
      <c r="G19" s="248"/>
      <c r="H19" s="248"/>
      <c r="I19" s="248"/>
      <c r="J19" s="248"/>
      <c r="K19" s="248"/>
      <c r="L19" s="8" t="s">
        <v>5709</v>
      </c>
      <c r="M19" s="264">
        <v>456</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44000</v>
      </c>
    </row>
    <row r="20" spans="1:47" ht="13.5" thickBot="1">
      <c r="A20" s="6"/>
      <c r="B20" s="1"/>
      <c r="C20" s="1"/>
      <c r="D20" s="248" t="s">
        <v>193</v>
      </c>
      <c r="E20" s="248"/>
      <c r="F20" s="248"/>
      <c r="G20" s="248"/>
      <c r="H20" s="248"/>
      <c r="I20" s="248"/>
      <c r="J20" s="248"/>
      <c r="K20" s="248"/>
      <c r="L20" s="8" t="s">
        <v>5709</v>
      </c>
      <c r="M20" s="264">
        <v>420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91.8</v>
      </c>
    </row>
    <row r="21" spans="1:47" ht="13.5" thickBot="1">
      <c r="A21" s="6"/>
      <c r="B21" s="1"/>
      <c r="C21" s="1"/>
      <c r="D21" s="248" t="s">
        <v>196</v>
      </c>
      <c r="E21" s="248"/>
      <c r="F21" s="248"/>
      <c r="G21" s="248"/>
      <c r="H21" s="248"/>
      <c r="I21" s="248"/>
      <c r="J21" s="248"/>
      <c r="K21" s="248"/>
      <c r="L21" s="8" t="s">
        <v>5709</v>
      </c>
      <c r="M21" s="264">
        <v>427</v>
      </c>
      <c r="N21" s="264"/>
      <c r="O21" s="264"/>
      <c r="P21" s="248" t="s">
        <v>190</v>
      </c>
      <c r="Q21" s="248"/>
      <c r="R21" s="248"/>
      <c r="S21" s="2"/>
      <c r="T21" s="2"/>
      <c r="U21" s="252" t="s">
        <v>197</v>
      </c>
      <c r="V21" s="252"/>
      <c r="W21" s="252"/>
      <c r="X21" s="252"/>
      <c r="Y21" s="252"/>
      <c r="Z21" s="252"/>
      <c r="AA21" s="252"/>
      <c r="AB21" s="247" t="s">
        <v>5709</v>
      </c>
      <c r="AC21" s="247"/>
      <c r="AD21" s="248" t="s">
        <v>6275</v>
      </c>
      <c r="AE21" s="248"/>
      <c r="AF21" s="248"/>
      <c r="AG21" s="248"/>
      <c r="AH21" s="248"/>
      <c r="AI21" s="248"/>
      <c r="AJ21" s="248"/>
      <c r="AK21" s="2"/>
      <c r="AL21" s="1"/>
      <c r="AM21" s="2"/>
      <c r="AN21" s="1"/>
      <c r="AO21" s="2"/>
      <c r="AP21" s="7"/>
      <c r="AT21" s="23" t="str">
        <f>D57&amp;AF50</f>
        <v>LF [%]2010</v>
      </c>
      <c r="AU21" s="23">
        <f>AF57</f>
        <v>94.53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6276</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28856</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6277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31442</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6278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31492</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6279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6280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6281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6282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6352</v>
      </c>
      <c r="G51" s="238"/>
      <c r="H51" s="238"/>
      <c r="I51" s="238"/>
      <c r="J51" s="10" t="s">
        <v>6353</v>
      </c>
      <c r="K51" s="238" t="s">
        <v>6354</v>
      </c>
      <c r="L51" s="238"/>
      <c r="M51" s="238"/>
      <c r="N51" s="238" t="s">
        <v>6355</v>
      </c>
      <c r="O51" s="238"/>
      <c r="P51" s="238"/>
      <c r="Q51" s="238" t="s">
        <v>6356</v>
      </c>
      <c r="R51" s="238"/>
      <c r="S51" s="238"/>
      <c r="T51" s="238"/>
      <c r="U51" s="238"/>
      <c r="V51" s="238"/>
      <c r="W51" s="238" t="s">
        <v>6357</v>
      </c>
      <c r="X51" s="238"/>
      <c r="Y51" s="10" t="s">
        <v>6358</v>
      </c>
      <c r="Z51" s="10" t="s">
        <v>6359</v>
      </c>
      <c r="AA51" s="238" t="s">
        <v>6360</v>
      </c>
      <c r="AB51" s="238"/>
      <c r="AC51" s="238"/>
      <c r="AD51" s="238"/>
      <c r="AE51" s="238"/>
      <c r="AF51" s="10" t="s">
        <v>6361</v>
      </c>
      <c r="AG51" s="237" t="s">
        <v>6362</v>
      </c>
      <c r="AH51" s="237"/>
      <c r="AI51" s="237"/>
      <c r="AJ51" s="237"/>
      <c r="AK51" s="237"/>
      <c r="AL51" s="2"/>
      <c r="AM51" s="2"/>
      <c r="AN51" s="2"/>
      <c r="AO51" s="2"/>
      <c r="AP51" s="7"/>
    </row>
    <row r="52" spans="1:42" ht="13.5" thickBot="1">
      <c r="A52" s="6"/>
      <c r="B52" s="2"/>
      <c r="C52" s="2"/>
      <c r="D52" s="244" t="s">
        <v>261</v>
      </c>
      <c r="E52" s="244"/>
      <c r="F52" s="238" t="s">
        <v>6363</v>
      </c>
      <c r="G52" s="238"/>
      <c r="H52" s="238"/>
      <c r="I52" s="238"/>
      <c r="J52" s="10" t="s">
        <v>6364</v>
      </c>
      <c r="K52" s="238" t="s">
        <v>6365</v>
      </c>
      <c r="L52" s="238"/>
      <c r="M52" s="238"/>
      <c r="N52" s="238" t="s">
        <v>6366</v>
      </c>
      <c r="O52" s="238"/>
      <c r="P52" s="238"/>
      <c r="Q52" s="238" t="s">
        <v>6367</v>
      </c>
      <c r="R52" s="238"/>
      <c r="S52" s="238"/>
      <c r="T52" s="238"/>
      <c r="U52" s="238"/>
      <c r="V52" s="238"/>
      <c r="W52" s="238" t="s">
        <v>6368</v>
      </c>
      <c r="X52" s="238"/>
      <c r="Y52" s="10" t="s">
        <v>6369</v>
      </c>
      <c r="Z52" s="10" t="s">
        <v>6370</v>
      </c>
      <c r="AA52" s="238" t="s">
        <v>6371</v>
      </c>
      <c r="AB52" s="238"/>
      <c r="AC52" s="238"/>
      <c r="AD52" s="238"/>
      <c r="AE52" s="238"/>
      <c r="AF52" s="10" t="s">
        <v>6372</v>
      </c>
      <c r="AG52" s="237" t="s">
        <v>6373</v>
      </c>
      <c r="AH52" s="237"/>
      <c r="AI52" s="237"/>
      <c r="AJ52" s="237"/>
      <c r="AK52" s="237"/>
      <c r="AL52" s="2"/>
      <c r="AM52" s="2"/>
      <c r="AN52" s="2"/>
      <c r="AO52" s="2"/>
      <c r="AP52" s="7"/>
    </row>
    <row r="53" spans="1:42" ht="13.5" thickBot="1">
      <c r="A53" s="6"/>
      <c r="B53" s="2"/>
      <c r="C53" s="2"/>
      <c r="D53" s="244" t="s">
        <v>273</v>
      </c>
      <c r="E53" s="244"/>
      <c r="F53" s="238" t="s">
        <v>6374</v>
      </c>
      <c r="G53" s="238"/>
      <c r="H53" s="238"/>
      <c r="I53" s="238"/>
      <c r="J53" s="10" t="s">
        <v>6375</v>
      </c>
      <c r="K53" s="238" t="s">
        <v>6376</v>
      </c>
      <c r="L53" s="238"/>
      <c r="M53" s="238"/>
      <c r="N53" s="238" t="s">
        <v>6377</v>
      </c>
      <c r="O53" s="238"/>
      <c r="P53" s="238"/>
      <c r="Q53" s="238" t="s">
        <v>6378</v>
      </c>
      <c r="R53" s="238"/>
      <c r="S53" s="238"/>
      <c r="T53" s="238"/>
      <c r="U53" s="238"/>
      <c r="V53" s="238"/>
      <c r="W53" s="238" t="s">
        <v>6379</v>
      </c>
      <c r="X53" s="238"/>
      <c r="Y53" s="10" t="s">
        <v>6380</v>
      </c>
      <c r="Z53" s="10" t="s">
        <v>6381</v>
      </c>
      <c r="AA53" s="238" t="s">
        <v>6382</v>
      </c>
      <c r="AB53" s="238"/>
      <c r="AC53" s="238"/>
      <c r="AD53" s="238"/>
      <c r="AE53" s="238"/>
      <c r="AF53" s="10" t="s">
        <v>6383</v>
      </c>
      <c r="AG53" s="237" t="s">
        <v>6384</v>
      </c>
      <c r="AH53" s="237"/>
      <c r="AI53" s="237"/>
      <c r="AJ53" s="237"/>
      <c r="AK53" s="237"/>
      <c r="AL53" s="2"/>
      <c r="AM53" s="2"/>
      <c r="AN53" s="2"/>
      <c r="AO53" s="2"/>
      <c r="AP53" s="7"/>
    </row>
    <row r="54" spans="1:42" ht="13.5" thickBot="1">
      <c r="A54" s="6"/>
      <c r="B54" s="2"/>
      <c r="C54" s="2"/>
      <c r="D54" s="244" t="s">
        <v>285</v>
      </c>
      <c r="E54" s="244"/>
      <c r="F54" s="238" t="s">
        <v>6385</v>
      </c>
      <c r="G54" s="238"/>
      <c r="H54" s="238"/>
      <c r="I54" s="238"/>
      <c r="J54" s="10" t="s">
        <v>6173</v>
      </c>
      <c r="K54" s="238" t="s">
        <v>6386</v>
      </c>
      <c r="L54" s="238"/>
      <c r="M54" s="238"/>
      <c r="N54" s="238" t="s">
        <v>6324</v>
      </c>
      <c r="O54" s="238"/>
      <c r="P54" s="238"/>
      <c r="Q54" s="238" t="s">
        <v>6387</v>
      </c>
      <c r="R54" s="238"/>
      <c r="S54" s="238"/>
      <c r="T54" s="238"/>
      <c r="U54" s="238"/>
      <c r="V54" s="238"/>
      <c r="W54" s="238" t="s">
        <v>6388</v>
      </c>
      <c r="X54" s="238"/>
      <c r="Y54" s="10" t="s">
        <v>6389</v>
      </c>
      <c r="Z54" s="10" t="s">
        <v>6390</v>
      </c>
      <c r="AA54" s="238" t="s">
        <v>6391</v>
      </c>
      <c r="AB54" s="238"/>
      <c r="AC54" s="238"/>
      <c r="AD54" s="238"/>
      <c r="AE54" s="238"/>
      <c r="AF54" s="10" t="s">
        <v>6095</v>
      </c>
      <c r="AG54" s="237" t="s">
        <v>6392</v>
      </c>
      <c r="AH54" s="237"/>
      <c r="AI54" s="237"/>
      <c r="AJ54" s="237"/>
      <c r="AK54" s="237"/>
      <c r="AL54" s="2"/>
      <c r="AM54" s="2"/>
      <c r="AN54" s="2"/>
      <c r="AO54" s="2"/>
      <c r="AP54" s="7"/>
    </row>
    <row r="55" spans="1:42" ht="13.5" thickBot="1">
      <c r="A55" s="6"/>
      <c r="B55" s="2"/>
      <c r="C55" s="2"/>
      <c r="D55" s="244" t="s">
        <v>295</v>
      </c>
      <c r="E55" s="244"/>
      <c r="F55" s="238" t="s">
        <v>6393</v>
      </c>
      <c r="G55" s="238"/>
      <c r="H55" s="238"/>
      <c r="I55" s="238"/>
      <c r="J55" s="10" t="s">
        <v>6394</v>
      </c>
      <c r="K55" s="238" t="s">
        <v>302</v>
      </c>
      <c r="L55" s="238"/>
      <c r="M55" s="238"/>
      <c r="N55" s="238" t="s">
        <v>6395</v>
      </c>
      <c r="O55" s="238"/>
      <c r="P55" s="238"/>
      <c r="Q55" s="238" t="s">
        <v>6328</v>
      </c>
      <c r="R55" s="238"/>
      <c r="S55" s="238"/>
      <c r="T55" s="238"/>
      <c r="U55" s="238"/>
      <c r="V55" s="238"/>
      <c r="W55" s="238" t="s">
        <v>6396</v>
      </c>
      <c r="X55" s="238"/>
      <c r="Y55" s="10" t="s">
        <v>6245</v>
      </c>
      <c r="Z55" s="10" t="s">
        <v>6328</v>
      </c>
      <c r="AA55" s="238" t="s">
        <v>6397</v>
      </c>
      <c r="AB55" s="238"/>
      <c r="AC55" s="238"/>
      <c r="AD55" s="238"/>
      <c r="AE55" s="238"/>
      <c r="AF55" s="10" t="s">
        <v>6087</v>
      </c>
      <c r="AG55" s="237" t="s">
        <v>6082</v>
      </c>
      <c r="AH55" s="237"/>
      <c r="AI55" s="237"/>
      <c r="AJ55" s="237"/>
      <c r="AK55" s="237"/>
      <c r="AL55" s="2"/>
      <c r="AM55" s="2"/>
      <c r="AN55" s="2"/>
      <c r="AO55" s="2"/>
      <c r="AP55" s="7"/>
    </row>
    <row r="56" spans="1:42" ht="13.5" thickBot="1">
      <c r="A56" s="6"/>
      <c r="B56" s="2"/>
      <c r="C56" s="2"/>
      <c r="D56" s="244" t="s">
        <v>307</v>
      </c>
      <c r="E56" s="244"/>
      <c r="F56" s="238" t="s">
        <v>6398</v>
      </c>
      <c r="G56" s="238"/>
      <c r="H56" s="238"/>
      <c r="I56" s="238"/>
      <c r="J56" s="10" t="s">
        <v>6399</v>
      </c>
      <c r="K56" s="238" t="s">
        <v>6400</v>
      </c>
      <c r="L56" s="238"/>
      <c r="M56" s="238"/>
      <c r="N56" s="238" t="s">
        <v>6401</v>
      </c>
      <c r="O56" s="238"/>
      <c r="P56" s="238"/>
      <c r="Q56" s="238" t="s">
        <v>6402</v>
      </c>
      <c r="R56" s="238"/>
      <c r="S56" s="238"/>
      <c r="T56" s="238"/>
      <c r="U56" s="238"/>
      <c r="V56" s="238"/>
      <c r="W56" s="238" t="s">
        <v>6403</v>
      </c>
      <c r="X56" s="238"/>
      <c r="Y56" s="10" t="s">
        <v>6404</v>
      </c>
      <c r="Z56" s="10" t="s">
        <v>6405</v>
      </c>
      <c r="AA56" s="238" t="s">
        <v>6406</v>
      </c>
      <c r="AB56" s="238"/>
      <c r="AC56" s="238"/>
      <c r="AD56" s="238"/>
      <c r="AE56" s="238"/>
      <c r="AF56" s="10" t="s">
        <v>6407</v>
      </c>
      <c r="AG56" s="237" t="s">
        <v>438</v>
      </c>
      <c r="AH56" s="237"/>
      <c r="AI56" s="237"/>
      <c r="AJ56" s="237"/>
      <c r="AK56" s="237"/>
      <c r="AL56" s="2"/>
      <c r="AM56" s="2"/>
      <c r="AN56" s="2"/>
      <c r="AO56" s="2"/>
      <c r="AP56" s="7"/>
    </row>
    <row r="57" spans="1:42" ht="13.5" thickBot="1">
      <c r="A57" s="6"/>
      <c r="B57" s="2"/>
      <c r="C57" s="2"/>
      <c r="D57" s="244" t="s">
        <v>319</v>
      </c>
      <c r="E57" s="244"/>
      <c r="F57" s="237" t="s">
        <v>6408</v>
      </c>
      <c r="G57" s="237"/>
      <c r="H57" s="237"/>
      <c r="I57" s="237"/>
      <c r="J57" s="11" t="s">
        <v>6409</v>
      </c>
      <c r="K57" s="237" t="s">
        <v>6369</v>
      </c>
      <c r="L57" s="237"/>
      <c r="M57" s="237"/>
      <c r="N57" s="237" t="s">
        <v>6410</v>
      </c>
      <c r="O57" s="237"/>
      <c r="P57" s="237"/>
      <c r="Q57" s="237">
        <v>91.8</v>
      </c>
      <c r="R57" s="237"/>
      <c r="S57" s="237"/>
      <c r="T57" s="237"/>
      <c r="U57" s="237"/>
      <c r="V57" s="237"/>
      <c r="W57" s="237" t="s">
        <v>6411</v>
      </c>
      <c r="X57" s="237"/>
      <c r="Y57" s="11" t="s">
        <v>6412</v>
      </c>
      <c r="Z57" s="11" t="s">
        <v>6413</v>
      </c>
      <c r="AA57" s="237" t="s">
        <v>6414</v>
      </c>
      <c r="AB57" s="237"/>
      <c r="AC57" s="237"/>
      <c r="AD57" s="237"/>
      <c r="AE57" s="237"/>
      <c r="AF57" s="11">
        <v>94.53</v>
      </c>
      <c r="AG57" s="237" t="s">
        <v>6415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indexed="47"/>
  </sheetPr>
  <dimension ref="A1:AU63"/>
  <sheetViews>
    <sheetView topLeftCell="E1" workbookViewId="0">
      <selection activeCell="AU16" sqref="AU16"/>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3.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6416</v>
      </c>
      <c r="E7" s="269"/>
      <c r="F7" s="269"/>
      <c r="G7" s="269"/>
      <c r="H7" s="269" t="s">
        <v>6417</v>
      </c>
      <c r="I7" s="269"/>
      <c r="J7" s="269"/>
      <c r="K7" s="269"/>
      <c r="L7" s="269"/>
      <c r="M7" s="269"/>
      <c r="N7" s="269"/>
      <c r="O7" s="269"/>
      <c r="P7" s="269"/>
      <c r="Q7" s="269"/>
      <c r="R7" s="269"/>
      <c r="S7" s="269"/>
      <c r="T7" s="269"/>
      <c r="U7" s="269"/>
      <c r="V7" s="269"/>
      <c r="W7" s="269"/>
      <c r="X7" s="270" t="s">
        <v>6272</v>
      </c>
      <c r="Y7" s="270"/>
      <c r="Z7" s="270"/>
      <c r="AA7" s="270"/>
      <c r="AB7" s="270"/>
      <c r="AC7" s="270"/>
      <c r="AD7" s="270"/>
      <c r="AE7" s="270"/>
      <c r="AF7" s="270"/>
      <c r="AG7" s="270"/>
      <c r="AH7" s="270"/>
      <c r="AI7" s="270"/>
      <c r="AJ7" s="270"/>
      <c r="AK7" s="270"/>
      <c r="AL7" s="270"/>
      <c r="AM7" s="270"/>
      <c r="AN7" s="2"/>
      <c r="AO7" s="2"/>
      <c r="AP7" s="7"/>
      <c r="AT7" s="22" t="s">
        <v>1518</v>
      </c>
      <c r="AU7" s="35" t="str">
        <f>H7</f>
        <v>DUKOVANY-3</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6273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6273</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6274</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6274</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1444</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c r="AU14" s="1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c r="AU15" s="1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498</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471</v>
      </c>
    </row>
    <row r="18" spans="1:47" ht="13.5" thickBot="1">
      <c r="A18" s="6"/>
      <c r="B18" s="1"/>
      <c r="C18" s="1"/>
      <c r="D18" s="248" t="s">
        <v>185</v>
      </c>
      <c r="E18" s="248"/>
      <c r="F18" s="248"/>
      <c r="G18" s="248"/>
      <c r="H18" s="248"/>
      <c r="I18" s="248"/>
      <c r="J18" s="248"/>
      <c r="K18" s="248"/>
      <c r="L18" s="8" t="s">
        <v>5709</v>
      </c>
      <c r="M18" s="264">
        <v>1444</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31730</v>
      </c>
    </row>
    <row r="19" spans="1:47" ht="13.5" thickBot="1">
      <c r="A19" s="6"/>
      <c r="B19" s="1"/>
      <c r="C19" s="1"/>
      <c r="D19" s="248" t="s">
        <v>189</v>
      </c>
      <c r="E19" s="248"/>
      <c r="F19" s="248"/>
      <c r="G19" s="248"/>
      <c r="H19" s="248"/>
      <c r="I19" s="248"/>
      <c r="J19" s="248"/>
      <c r="K19" s="248"/>
      <c r="L19" s="8" t="s">
        <v>5709</v>
      </c>
      <c r="M19" s="264">
        <v>498</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44000</v>
      </c>
    </row>
    <row r="20" spans="1:47" ht="13.5" thickBot="1">
      <c r="A20" s="6"/>
      <c r="B20" s="1"/>
      <c r="C20" s="1"/>
      <c r="D20" s="248" t="s">
        <v>193</v>
      </c>
      <c r="E20" s="248"/>
      <c r="F20" s="248"/>
      <c r="G20" s="248"/>
      <c r="H20" s="248"/>
      <c r="I20" s="248"/>
      <c r="J20" s="248"/>
      <c r="K20" s="248"/>
      <c r="L20" s="8" t="s">
        <v>5709</v>
      </c>
      <c r="M20" s="264">
        <v>420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2" t="str">
        <f>D57 &amp; Q50</f>
        <v>LF [%]2005</v>
      </c>
      <c r="AU20" s="26">
        <f>Q57</f>
        <v>80.19</v>
      </c>
    </row>
    <row r="21" spans="1:47" ht="13.5" thickBot="1">
      <c r="A21" s="6"/>
      <c r="B21" s="1"/>
      <c r="C21" s="1"/>
      <c r="D21" s="248" t="s">
        <v>196</v>
      </c>
      <c r="E21" s="248"/>
      <c r="F21" s="248"/>
      <c r="G21" s="248"/>
      <c r="H21" s="248"/>
      <c r="I21" s="248"/>
      <c r="J21" s="248"/>
      <c r="K21" s="248"/>
      <c r="L21" s="8" t="s">
        <v>5709</v>
      </c>
      <c r="M21" s="264">
        <v>471</v>
      </c>
      <c r="N21" s="264"/>
      <c r="O21" s="264"/>
      <c r="P21" s="248" t="s">
        <v>190</v>
      </c>
      <c r="Q21" s="248"/>
      <c r="R21" s="248"/>
      <c r="S21" s="2"/>
      <c r="T21" s="2"/>
      <c r="U21" s="252" t="s">
        <v>197</v>
      </c>
      <c r="V21" s="252"/>
      <c r="W21" s="252"/>
      <c r="X21" s="252"/>
      <c r="Y21" s="252"/>
      <c r="Z21" s="252"/>
      <c r="AA21" s="252"/>
      <c r="AB21" s="247" t="s">
        <v>5709</v>
      </c>
      <c r="AC21" s="247"/>
      <c r="AD21" s="248" t="s">
        <v>6275</v>
      </c>
      <c r="AE21" s="248"/>
      <c r="AF21" s="248"/>
      <c r="AG21" s="248"/>
      <c r="AH21" s="248"/>
      <c r="AI21" s="248"/>
      <c r="AJ21" s="248"/>
      <c r="AK21" s="2"/>
      <c r="AL21" s="1"/>
      <c r="AM21" s="2"/>
      <c r="AN21" s="1"/>
      <c r="AO21" s="2"/>
      <c r="AP21" s="7"/>
      <c r="AT21" s="22" t="str">
        <f>D57&amp;AF50</f>
        <v>LF [%]2010</v>
      </c>
      <c r="AU21" s="26">
        <f>AF57</f>
        <v>79.58</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c r="AU22" s="1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6276</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28915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6277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31730</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6278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31766</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6279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6280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6281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6282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6418</v>
      </c>
      <c r="G51" s="238"/>
      <c r="H51" s="238"/>
      <c r="I51" s="238"/>
      <c r="J51" s="10" t="s">
        <v>6419</v>
      </c>
      <c r="K51" s="238" t="s">
        <v>6420</v>
      </c>
      <c r="L51" s="238"/>
      <c r="M51" s="238"/>
      <c r="N51" s="238" t="s">
        <v>6421</v>
      </c>
      <c r="O51" s="238"/>
      <c r="P51" s="238"/>
      <c r="Q51" s="238" t="s">
        <v>6422</v>
      </c>
      <c r="R51" s="238"/>
      <c r="S51" s="238"/>
      <c r="T51" s="238"/>
      <c r="U51" s="238"/>
      <c r="V51" s="238"/>
      <c r="W51" s="238" t="s">
        <v>6423</v>
      </c>
      <c r="X51" s="238"/>
      <c r="Y51" s="10" t="s">
        <v>6424</v>
      </c>
      <c r="Z51" s="10" t="s">
        <v>6425</v>
      </c>
      <c r="AA51" s="238" t="s">
        <v>6426</v>
      </c>
      <c r="AB51" s="238"/>
      <c r="AC51" s="238"/>
      <c r="AD51" s="238"/>
      <c r="AE51" s="238"/>
      <c r="AF51" s="10" t="s">
        <v>6427</v>
      </c>
      <c r="AG51" s="237" t="s">
        <v>6428</v>
      </c>
      <c r="AH51" s="237"/>
      <c r="AI51" s="237"/>
      <c r="AJ51" s="237"/>
      <c r="AK51" s="237"/>
      <c r="AL51" s="2"/>
      <c r="AM51" s="2"/>
      <c r="AN51" s="2"/>
      <c r="AO51" s="2"/>
      <c r="AP51" s="7"/>
    </row>
    <row r="52" spans="1:42" ht="13.5" thickBot="1">
      <c r="A52" s="6"/>
      <c r="B52" s="2"/>
      <c r="C52" s="2"/>
      <c r="D52" s="244" t="s">
        <v>261</v>
      </c>
      <c r="E52" s="244"/>
      <c r="F52" s="238" t="s">
        <v>6429</v>
      </c>
      <c r="G52" s="238"/>
      <c r="H52" s="238"/>
      <c r="I52" s="238"/>
      <c r="J52" s="10" t="s">
        <v>6430</v>
      </c>
      <c r="K52" s="238" t="s">
        <v>6431</v>
      </c>
      <c r="L52" s="238"/>
      <c r="M52" s="238"/>
      <c r="N52" s="238" t="s">
        <v>6432</v>
      </c>
      <c r="O52" s="238"/>
      <c r="P52" s="238"/>
      <c r="Q52" s="238" t="s">
        <v>6433</v>
      </c>
      <c r="R52" s="238"/>
      <c r="S52" s="238"/>
      <c r="T52" s="238"/>
      <c r="U52" s="238"/>
      <c r="V52" s="238"/>
      <c r="W52" s="238" t="s">
        <v>6434</v>
      </c>
      <c r="X52" s="238"/>
      <c r="Y52" s="10" t="s">
        <v>6435</v>
      </c>
      <c r="Z52" s="10" t="s">
        <v>6391</v>
      </c>
      <c r="AA52" s="238" t="s">
        <v>6436</v>
      </c>
      <c r="AB52" s="238"/>
      <c r="AC52" s="238"/>
      <c r="AD52" s="238"/>
      <c r="AE52" s="238"/>
      <c r="AF52" s="10" t="s">
        <v>6437</v>
      </c>
      <c r="AG52" s="237" t="s">
        <v>6438</v>
      </c>
      <c r="AH52" s="237"/>
      <c r="AI52" s="237"/>
      <c r="AJ52" s="237"/>
      <c r="AK52" s="237"/>
      <c r="AL52" s="2"/>
      <c r="AM52" s="2"/>
      <c r="AN52" s="2"/>
      <c r="AO52" s="2"/>
      <c r="AP52" s="7"/>
    </row>
    <row r="53" spans="1:42" ht="13.5" thickBot="1">
      <c r="A53" s="6"/>
      <c r="B53" s="2"/>
      <c r="C53" s="2"/>
      <c r="D53" s="244" t="s">
        <v>273</v>
      </c>
      <c r="E53" s="244"/>
      <c r="F53" s="238" t="s">
        <v>6439</v>
      </c>
      <c r="G53" s="238"/>
      <c r="H53" s="238"/>
      <c r="I53" s="238"/>
      <c r="J53" s="10" t="s">
        <v>6440</v>
      </c>
      <c r="K53" s="238" t="s">
        <v>6441</v>
      </c>
      <c r="L53" s="238"/>
      <c r="M53" s="238"/>
      <c r="N53" s="238" t="s">
        <v>6442</v>
      </c>
      <c r="O53" s="238"/>
      <c r="P53" s="238"/>
      <c r="Q53" s="238" t="s">
        <v>6443</v>
      </c>
      <c r="R53" s="238"/>
      <c r="S53" s="238"/>
      <c r="T53" s="238"/>
      <c r="U53" s="238"/>
      <c r="V53" s="238"/>
      <c r="W53" s="238" t="s">
        <v>6310</v>
      </c>
      <c r="X53" s="238"/>
      <c r="Y53" s="10" t="s">
        <v>6444</v>
      </c>
      <c r="Z53" s="10" t="s">
        <v>446</v>
      </c>
      <c r="AA53" s="238" t="s">
        <v>6445</v>
      </c>
      <c r="AB53" s="238"/>
      <c r="AC53" s="238"/>
      <c r="AD53" s="238"/>
      <c r="AE53" s="238"/>
      <c r="AF53" s="10" t="s">
        <v>6446</v>
      </c>
      <c r="AG53" s="237" t="s">
        <v>6447</v>
      </c>
      <c r="AH53" s="237"/>
      <c r="AI53" s="237"/>
      <c r="AJ53" s="237"/>
      <c r="AK53" s="237"/>
      <c r="AL53" s="2"/>
      <c r="AM53" s="2"/>
      <c r="AN53" s="2"/>
      <c r="AO53" s="2"/>
      <c r="AP53" s="7"/>
    </row>
    <row r="54" spans="1:42" ht="13.5" thickBot="1">
      <c r="A54" s="6"/>
      <c r="B54" s="2"/>
      <c r="C54" s="2"/>
      <c r="D54" s="244" t="s">
        <v>285</v>
      </c>
      <c r="E54" s="244"/>
      <c r="F54" s="238" t="s">
        <v>6448</v>
      </c>
      <c r="G54" s="238"/>
      <c r="H54" s="238"/>
      <c r="I54" s="238"/>
      <c r="J54" s="10" t="s">
        <v>6449</v>
      </c>
      <c r="K54" s="238" t="s">
        <v>6450</v>
      </c>
      <c r="L54" s="238"/>
      <c r="M54" s="238"/>
      <c r="N54" s="238" t="s">
        <v>6451</v>
      </c>
      <c r="O54" s="238"/>
      <c r="P54" s="238"/>
      <c r="Q54" s="238" t="s">
        <v>6452</v>
      </c>
      <c r="R54" s="238"/>
      <c r="S54" s="238"/>
      <c r="T54" s="238"/>
      <c r="U54" s="238"/>
      <c r="V54" s="238"/>
      <c r="W54" s="238" t="s">
        <v>6453</v>
      </c>
      <c r="X54" s="238"/>
      <c r="Y54" s="10" t="s">
        <v>353</v>
      </c>
      <c r="Z54" s="10" t="s">
        <v>6454</v>
      </c>
      <c r="AA54" s="238" t="s">
        <v>6455</v>
      </c>
      <c r="AB54" s="238"/>
      <c r="AC54" s="238"/>
      <c r="AD54" s="238"/>
      <c r="AE54" s="238"/>
      <c r="AF54" s="10" t="s">
        <v>6188</v>
      </c>
      <c r="AG54" s="237" t="s">
        <v>6456</v>
      </c>
      <c r="AH54" s="237"/>
      <c r="AI54" s="237"/>
      <c r="AJ54" s="237"/>
      <c r="AK54" s="237"/>
      <c r="AL54" s="2"/>
      <c r="AM54" s="2"/>
      <c r="AN54" s="2"/>
      <c r="AO54" s="2"/>
      <c r="AP54" s="7"/>
    </row>
    <row r="55" spans="1:42" ht="13.5" thickBot="1">
      <c r="A55" s="6"/>
      <c r="B55" s="2"/>
      <c r="C55" s="2"/>
      <c r="D55" s="244" t="s">
        <v>295</v>
      </c>
      <c r="E55" s="244"/>
      <c r="F55" s="238" t="s">
        <v>6245</v>
      </c>
      <c r="G55" s="238"/>
      <c r="H55" s="238"/>
      <c r="I55" s="238"/>
      <c r="J55" s="10" t="s">
        <v>6087</v>
      </c>
      <c r="K55" s="238" t="s">
        <v>378</v>
      </c>
      <c r="L55" s="238"/>
      <c r="M55" s="238"/>
      <c r="N55" s="238" t="s">
        <v>6177</v>
      </c>
      <c r="O55" s="238"/>
      <c r="P55" s="238"/>
      <c r="Q55" s="238" t="s">
        <v>6457</v>
      </c>
      <c r="R55" s="238"/>
      <c r="S55" s="238"/>
      <c r="T55" s="238"/>
      <c r="U55" s="238"/>
      <c r="V55" s="238"/>
      <c r="W55" s="238" t="s">
        <v>6397</v>
      </c>
      <c r="X55" s="238"/>
      <c r="Y55" s="10" t="s">
        <v>6328</v>
      </c>
      <c r="Z55" s="10" t="s">
        <v>6086</v>
      </c>
      <c r="AA55" s="238" t="s">
        <v>6458</v>
      </c>
      <c r="AB55" s="238"/>
      <c r="AC55" s="238"/>
      <c r="AD55" s="238"/>
      <c r="AE55" s="238"/>
      <c r="AF55" s="10" t="s">
        <v>6459</v>
      </c>
      <c r="AG55" s="237" t="s">
        <v>6460</v>
      </c>
      <c r="AH55" s="237"/>
      <c r="AI55" s="237"/>
      <c r="AJ55" s="237"/>
      <c r="AK55" s="237"/>
      <c r="AL55" s="2"/>
      <c r="AM55" s="2"/>
      <c r="AN55" s="2"/>
      <c r="AO55" s="2"/>
      <c r="AP55" s="7"/>
    </row>
    <row r="56" spans="1:42" ht="13.5" thickBot="1">
      <c r="A56" s="6"/>
      <c r="B56" s="2"/>
      <c r="C56" s="2"/>
      <c r="D56" s="244" t="s">
        <v>307</v>
      </c>
      <c r="E56" s="244"/>
      <c r="F56" s="238" t="s">
        <v>6461</v>
      </c>
      <c r="G56" s="238"/>
      <c r="H56" s="238"/>
      <c r="I56" s="238"/>
      <c r="J56" s="10" t="s">
        <v>6462</v>
      </c>
      <c r="K56" s="238" t="s">
        <v>6315</v>
      </c>
      <c r="L56" s="238"/>
      <c r="M56" s="238"/>
      <c r="N56" s="238" t="s">
        <v>6315</v>
      </c>
      <c r="O56" s="238"/>
      <c r="P56" s="238"/>
      <c r="Q56" s="238" t="s">
        <v>6463</v>
      </c>
      <c r="R56" s="238"/>
      <c r="S56" s="238"/>
      <c r="T56" s="238"/>
      <c r="U56" s="238"/>
      <c r="V56" s="238"/>
      <c r="W56" s="238" t="s">
        <v>6464</v>
      </c>
      <c r="X56" s="238"/>
      <c r="Y56" s="10" t="s">
        <v>6336</v>
      </c>
      <c r="Z56" s="10" t="s">
        <v>6407</v>
      </c>
      <c r="AA56" s="238" t="s">
        <v>6465</v>
      </c>
      <c r="AB56" s="238"/>
      <c r="AC56" s="238"/>
      <c r="AD56" s="238"/>
      <c r="AE56" s="238"/>
      <c r="AF56" s="10" t="s">
        <v>6466</v>
      </c>
      <c r="AG56" s="237" t="s">
        <v>6467</v>
      </c>
      <c r="AH56" s="237"/>
      <c r="AI56" s="237"/>
      <c r="AJ56" s="237"/>
      <c r="AK56" s="237"/>
      <c r="AL56" s="2"/>
      <c r="AM56" s="2"/>
      <c r="AN56" s="2"/>
      <c r="AO56" s="2"/>
      <c r="AP56" s="7"/>
    </row>
    <row r="57" spans="1:42" ht="13.5" thickBot="1">
      <c r="A57" s="6"/>
      <c r="B57" s="2"/>
      <c r="C57" s="2"/>
      <c r="D57" s="244" t="s">
        <v>319</v>
      </c>
      <c r="E57" s="244"/>
      <c r="F57" s="237" t="s">
        <v>6468</v>
      </c>
      <c r="G57" s="237"/>
      <c r="H57" s="237"/>
      <c r="I57" s="237"/>
      <c r="J57" s="11" t="s">
        <v>6469</v>
      </c>
      <c r="K57" s="237" t="s">
        <v>6389</v>
      </c>
      <c r="L57" s="237"/>
      <c r="M57" s="237"/>
      <c r="N57" s="237" t="s">
        <v>6470</v>
      </c>
      <c r="O57" s="237"/>
      <c r="P57" s="237"/>
      <c r="Q57" s="237">
        <v>80.19</v>
      </c>
      <c r="R57" s="237"/>
      <c r="S57" s="237"/>
      <c r="T57" s="237"/>
      <c r="U57" s="237"/>
      <c r="V57" s="237"/>
      <c r="W57" s="237" t="s">
        <v>6472</v>
      </c>
      <c r="X57" s="237"/>
      <c r="Y57" s="11" t="s">
        <v>6473</v>
      </c>
      <c r="Z57" s="11" t="s">
        <v>6474</v>
      </c>
      <c r="AA57" s="237" t="s">
        <v>6475</v>
      </c>
      <c r="AB57" s="237"/>
      <c r="AC57" s="237"/>
      <c r="AD57" s="237"/>
      <c r="AE57" s="237"/>
      <c r="AF57" s="11">
        <v>79.58</v>
      </c>
      <c r="AG57" s="237" t="s">
        <v>6477</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indexed="47"/>
  </sheetPr>
  <dimension ref="A1:AU63"/>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3.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6478</v>
      </c>
      <c r="E7" s="269"/>
      <c r="F7" s="269"/>
      <c r="G7" s="269"/>
      <c r="H7" s="269" t="s">
        <v>6479</v>
      </c>
      <c r="I7" s="269"/>
      <c r="J7" s="269"/>
      <c r="K7" s="269"/>
      <c r="L7" s="269"/>
      <c r="M7" s="269"/>
      <c r="N7" s="269"/>
      <c r="O7" s="269"/>
      <c r="P7" s="269"/>
      <c r="Q7" s="269"/>
      <c r="R7" s="269"/>
      <c r="S7" s="269"/>
      <c r="T7" s="269"/>
      <c r="U7" s="269"/>
      <c r="V7" s="269"/>
      <c r="W7" s="269"/>
      <c r="X7" s="270" t="s">
        <v>6272</v>
      </c>
      <c r="Y7" s="270"/>
      <c r="Z7" s="270"/>
      <c r="AA7" s="270"/>
      <c r="AB7" s="270"/>
      <c r="AC7" s="270"/>
      <c r="AD7" s="270"/>
      <c r="AE7" s="270"/>
      <c r="AF7" s="270"/>
      <c r="AG7" s="270"/>
      <c r="AH7" s="270"/>
      <c r="AI7" s="270"/>
      <c r="AJ7" s="270"/>
      <c r="AK7" s="270"/>
      <c r="AL7" s="270"/>
      <c r="AM7" s="270"/>
      <c r="AN7" s="2"/>
      <c r="AO7" s="2"/>
      <c r="AP7" s="7"/>
      <c r="AT7" s="22" t="s">
        <v>1518</v>
      </c>
      <c r="AU7" s="35" t="str">
        <f>H7</f>
        <v>DUKOVANY-4</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6273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6273</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6274</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6274</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1375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456</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427</v>
      </c>
    </row>
    <row r="18" spans="1:47" ht="13.5" thickBot="1">
      <c r="A18" s="6"/>
      <c r="B18" s="1"/>
      <c r="C18" s="1"/>
      <c r="D18" s="248" t="s">
        <v>185</v>
      </c>
      <c r="E18" s="248"/>
      <c r="F18" s="248"/>
      <c r="G18" s="248"/>
      <c r="H18" s="248"/>
      <c r="I18" s="248"/>
      <c r="J18" s="248"/>
      <c r="K18" s="248"/>
      <c r="L18" s="8" t="s">
        <v>5709</v>
      </c>
      <c r="M18" s="264">
        <v>1375</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31939</v>
      </c>
    </row>
    <row r="19" spans="1:47" ht="13.5" thickBot="1">
      <c r="A19" s="6"/>
      <c r="B19" s="1"/>
      <c r="C19" s="1"/>
      <c r="D19" s="248" t="s">
        <v>189</v>
      </c>
      <c r="E19" s="248"/>
      <c r="F19" s="248"/>
      <c r="G19" s="248"/>
      <c r="H19" s="248"/>
      <c r="I19" s="248"/>
      <c r="J19" s="248"/>
      <c r="K19" s="248"/>
      <c r="L19" s="8" t="s">
        <v>5709</v>
      </c>
      <c r="M19" s="264">
        <v>456</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44000</v>
      </c>
    </row>
    <row r="20" spans="1:47" ht="13.5" thickBot="1">
      <c r="A20" s="6"/>
      <c r="B20" s="1"/>
      <c r="C20" s="1"/>
      <c r="D20" s="248" t="s">
        <v>193</v>
      </c>
      <c r="E20" s="248"/>
      <c r="F20" s="248"/>
      <c r="G20" s="248"/>
      <c r="H20" s="248"/>
      <c r="I20" s="248"/>
      <c r="J20" s="248"/>
      <c r="K20" s="248"/>
      <c r="L20" s="8" t="s">
        <v>5709</v>
      </c>
      <c r="M20" s="264">
        <v>420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90.52</v>
      </c>
    </row>
    <row r="21" spans="1:47" ht="13.5" thickBot="1">
      <c r="A21" s="6"/>
      <c r="B21" s="1"/>
      <c r="C21" s="1"/>
      <c r="D21" s="248" t="s">
        <v>196</v>
      </c>
      <c r="E21" s="248"/>
      <c r="F21" s="248"/>
      <c r="G21" s="248"/>
      <c r="H21" s="248"/>
      <c r="I21" s="248"/>
      <c r="J21" s="248"/>
      <c r="K21" s="248"/>
      <c r="L21" s="8" t="s">
        <v>5709</v>
      </c>
      <c r="M21" s="264">
        <v>427</v>
      </c>
      <c r="N21" s="264"/>
      <c r="O21" s="264"/>
      <c r="P21" s="248" t="s">
        <v>190</v>
      </c>
      <c r="Q21" s="248"/>
      <c r="R21" s="248"/>
      <c r="S21" s="2"/>
      <c r="T21" s="2"/>
      <c r="U21" s="252" t="s">
        <v>197</v>
      </c>
      <c r="V21" s="252"/>
      <c r="W21" s="252"/>
      <c r="X21" s="252"/>
      <c r="Y21" s="252"/>
      <c r="Z21" s="252"/>
      <c r="AA21" s="252"/>
      <c r="AB21" s="247" t="s">
        <v>5709</v>
      </c>
      <c r="AC21" s="247"/>
      <c r="AD21" s="248" t="s">
        <v>6275</v>
      </c>
      <c r="AE21" s="248"/>
      <c r="AF21" s="248"/>
      <c r="AG21" s="248"/>
      <c r="AH21" s="248"/>
      <c r="AI21" s="248"/>
      <c r="AJ21" s="248"/>
      <c r="AK21" s="2"/>
      <c r="AL21" s="1"/>
      <c r="AM21" s="2"/>
      <c r="AN21" s="1"/>
      <c r="AO21" s="2"/>
      <c r="AP21" s="7"/>
      <c r="AT21" s="23" t="str">
        <f>D57&amp;AF50</f>
        <v>LF [%]2010</v>
      </c>
      <c r="AU21" s="23">
        <f>AF57</f>
        <v>77.400000000000006</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6276</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28915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6277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31939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6278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31977</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6279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6280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6281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6282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6480</v>
      </c>
      <c r="G51" s="238"/>
      <c r="H51" s="238"/>
      <c r="I51" s="238"/>
      <c r="J51" s="10" t="s">
        <v>6481</v>
      </c>
      <c r="K51" s="238" t="s">
        <v>6482</v>
      </c>
      <c r="L51" s="238"/>
      <c r="M51" s="238"/>
      <c r="N51" s="238" t="s">
        <v>6483</v>
      </c>
      <c r="O51" s="238"/>
      <c r="P51" s="238"/>
      <c r="Q51" s="238" t="s">
        <v>6484</v>
      </c>
      <c r="R51" s="238"/>
      <c r="S51" s="238"/>
      <c r="T51" s="238"/>
      <c r="U51" s="238"/>
      <c r="V51" s="238"/>
      <c r="W51" s="238" t="s">
        <v>6485</v>
      </c>
      <c r="X51" s="238"/>
      <c r="Y51" s="10" t="s">
        <v>6486</v>
      </c>
      <c r="Z51" s="10" t="s">
        <v>6487</v>
      </c>
      <c r="AA51" s="238" t="s">
        <v>6488</v>
      </c>
      <c r="AB51" s="238"/>
      <c r="AC51" s="238"/>
      <c r="AD51" s="238"/>
      <c r="AE51" s="238"/>
      <c r="AF51" s="10" t="s">
        <v>6489</v>
      </c>
      <c r="AG51" s="237" t="s">
        <v>6490</v>
      </c>
      <c r="AH51" s="237"/>
      <c r="AI51" s="237"/>
      <c r="AJ51" s="237"/>
      <c r="AK51" s="237"/>
      <c r="AL51" s="2"/>
      <c r="AM51" s="2"/>
      <c r="AN51" s="2"/>
      <c r="AO51" s="2"/>
      <c r="AP51" s="7"/>
    </row>
    <row r="52" spans="1:42" ht="13.5" thickBot="1">
      <c r="A52" s="6"/>
      <c r="B52" s="2"/>
      <c r="C52" s="2"/>
      <c r="D52" s="244" t="s">
        <v>261</v>
      </c>
      <c r="E52" s="244"/>
      <c r="F52" s="238" t="s">
        <v>6491</v>
      </c>
      <c r="G52" s="238"/>
      <c r="H52" s="238"/>
      <c r="I52" s="238"/>
      <c r="J52" s="10" t="s">
        <v>6492</v>
      </c>
      <c r="K52" s="238" t="s">
        <v>6493</v>
      </c>
      <c r="L52" s="238"/>
      <c r="M52" s="238"/>
      <c r="N52" s="238" t="s">
        <v>6494</v>
      </c>
      <c r="O52" s="238"/>
      <c r="P52" s="238"/>
      <c r="Q52" s="238" t="s">
        <v>6495</v>
      </c>
      <c r="R52" s="238"/>
      <c r="S52" s="238"/>
      <c r="T52" s="238"/>
      <c r="U52" s="238"/>
      <c r="V52" s="238"/>
      <c r="W52" s="238" t="s">
        <v>6385</v>
      </c>
      <c r="X52" s="238"/>
      <c r="Y52" s="10" t="s">
        <v>6496</v>
      </c>
      <c r="Z52" s="10" t="s">
        <v>6497</v>
      </c>
      <c r="AA52" s="238" t="s">
        <v>6498</v>
      </c>
      <c r="AB52" s="238"/>
      <c r="AC52" s="238"/>
      <c r="AD52" s="238"/>
      <c r="AE52" s="238"/>
      <c r="AF52" s="10" t="s">
        <v>6499</v>
      </c>
      <c r="AG52" s="237" t="s">
        <v>6500</v>
      </c>
      <c r="AH52" s="237"/>
      <c r="AI52" s="237"/>
      <c r="AJ52" s="237"/>
      <c r="AK52" s="237"/>
      <c r="AL52" s="2"/>
      <c r="AM52" s="2"/>
      <c r="AN52" s="2"/>
      <c r="AO52" s="2"/>
      <c r="AP52" s="7"/>
    </row>
    <row r="53" spans="1:42" ht="13.5" thickBot="1">
      <c r="A53" s="6"/>
      <c r="B53" s="2"/>
      <c r="C53" s="2"/>
      <c r="D53" s="244" t="s">
        <v>273</v>
      </c>
      <c r="E53" s="244"/>
      <c r="F53" s="238" t="s">
        <v>6501</v>
      </c>
      <c r="G53" s="238"/>
      <c r="H53" s="238"/>
      <c r="I53" s="238"/>
      <c r="J53" s="10" t="s">
        <v>6502</v>
      </c>
      <c r="K53" s="238" t="s">
        <v>6503</v>
      </c>
      <c r="L53" s="238"/>
      <c r="M53" s="238"/>
      <c r="N53" s="238" t="s">
        <v>6504</v>
      </c>
      <c r="O53" s="238"/>
      <c r="P53" s="238"/>
      <c r="Q53" s="238" t="s">
        <v>6505</v>
      </c>
      <c r="R53" s="238"/>
      <c r="S53" s="238"/>
      <c r="T53" s="238"/>
      <c r="U53" s="238"/>
      <c r="V53" s="238"/>
      <c r="W53" s="238" t="s">
        <v>6506</v>
      </c>
      <c r="X53" s="238"/>
      <c r="Y53" s="10" t="s">
        <v>6507</v>
      </c>
      <c r="Z53" s="10" t="s">
        <v>6508</v>
      </c>
      <c r="AA53" s="238" t="s">
        <v>6509</v>
      </c>
      <c r="AB53" s="238"/>
      <c r="AC53" s="238"/>
      <c r="AD53" s="238"/>
      <c r="AE53" s="238"/>
      <c r="AF53" s="10" t="s">
        <v>6510</v>
      </c>
      <c r="AG53" s="237" t="s">
        <v>6511</v>
      </c>
      <c r="AH53" s="237"/>
      <c r="AI53" s="237"/>
      <c r="AJ53" s="237"/>
      <c r="AK53" s="237"/>
      <c r="AL53" s="2"/>
      <c r="AM53" s="2"/>
      <c r="AN53" s="2"/>
      <c r="AO53" s="2"/>
      <c r="AP53" s="7"/>
    </row>
    <row r="54" spans="1:42" ht="13.5" thickBot="1">
      <c r="A54" s="6"/>
      <c r="B54" s="2"/>
      <c r="C54" s="2"/>
      <c r="D54" s="244" t="s">
        <v>285</v>
      </c>
      <c r="E54" s="244"/>
      <c r="F54" s="238" t="s">
        <v>6512</v>
      </c>
      <c r="G54" s="238"/>
      <c r="H54" s="238"/>
      <c r="I54" s="238"/>
      <c r="J54" s="10" t="s">
        <v>6513</v>
      </c>
      <c r="K54" s="238" t="s">
        <v>6514</v>
      </c>
      <c r="L54" s="238"/>
      <c r="M54" s="238"/>
      <c r="N54" s="238" t="s">
        <v>6515</v>
      </c>
      <c r="O54" s="238"/>
      <c r="P54" s="238"/>
      <c r="Q54" s="238" t="s">
        <v>6451</v>
      </c>
      <c r="R54" s="238"/>
      <c r="S54" s="238"/>
      <c r="T54" s="238"/>
      <c r="U54" s="238"/>
      <c r="V54" s="238"/>
      <c r="W54" s="238" t="s">
        <v>6516</v>
      </c>
      <c r="X54" s="238"/>
      <c r="Y54" s="10" t="s">
        <v>6517</v>
      </c>
      <c r="Z54" s="10" t="s">
        <v>6412</v>
      </c>
      <c r="AA54" s="238" t="s">
        <v>6518</v>
      </c>
      <c r="AB54" s="238"/>
      <c r="AC54" s="238"/>
      <c r="AD54" s="238"/>
      <c r="AE54" s="238"/>
      <c r="AF54" s="10" t="s">
        <v>6253</v>
      </c>
      <c r="AG54" s="237" t="s">
        <v>6519</v>
      </c>
      <c r="AH54" s="237"/>
      <c r="AI54" s="237"/>
      <c r="AJ54" s="237"/>
      <c r="AK54" s="237"/>
      <c r="AL54" s="2"/>
      <c r="AM54" s="2"/>
      <c r="AN54" s="2"/>
      <c r="AO54" s="2"/>
      <c r="AP54" s="7"/>
    </row>
    <row r="55" spans="1:42" ht="13.5" thickBot="1">
      <c r="A55" s="6"/>
      <c r="B55" s="2"/>
      <c r="C55" s="2"/>
      <c r="D55" s="244" t="s">
        <v>295</v>
      </c>
      <c r="E55" s="244"/>
      <c r="F55" s="238" t="s">
        <v>6011</v>
      </c>
      <c r="G55" s="238"/>
      <c r="H55" s="238"/>
      <c r="I55" s="238"/>
      <c r="J55" s="10" t="s">
        <v>380</v>
      </c>
      <c r="K55" s="238" t="s">
        <v>6086</v>
      </c>
      <c r="L55" s="238"/>
      <c r="M55" s="238"/>
      <c r="N55" s="238" t="s">
        <v>6245</v>
      </c>
      <c r="O55" s="238"/>
      <c r="P55" s="238"/>
      <c r="Q55" s="238" t="s">
        <v>6176</v>
      </c>
      <c r="R55" s="238"/>
      <c r="S55" s="238"/>
      <c r="T55" s="238"/>
      <c r="U55" s="238"/>
      <c r="V55" s="238"/>
      <c r="W55" s="238" t="s">
        <v>6010</v>
      </c>
      <c r="X55" s="238"/>
      <c r="Y55" s="10" t="s">
        <v>6520</v>
      </c>
      <c r="Z55" s="10" t="s">
        <v>6521</v>
      </c>
      <c r="AA55" s="238" t="s">
        <v>6522</v>
      </c>
      <c r="AB55" s="238"/>
      <c r="AC55" s="238"/>
      <c r="AD55" s="238"/>
      <c r="AE55" s="238"/>
      <c r="AF55" s="10" t="s">
        <v>6013</v>
      </c>
      <c r="AG55" s="237" t="s">
        <v>6523</v>
      </c>
      <c r="AH55" s="237"/>
      <c r="AI55" s="237"/>
      <c r="AJ55" s="237"/>
      <c r="AK55" s="237"/>
      <c r="AL55" s="2"/>
      <c r="AM55" s="2"/>
      <c r="AN55" s="2"/>
      <c r="AO55" s="2"/>
      <c r="AP55" s="7"/>
    </row>
    <row r="56" spans="1:42" ht="13.5" thickBot="1">
      <c r="A56" s="6"/>
      <c r="B56" s="2"/>
      <c r="C56" s="2"/>
      <c r="D56" s="244" t="s">
        <v>307</v>
      </c>
      <c r="E56" s="244"/>
      <c r="F56" s="238" t="s">
        <v>6524</v>
      </c>
      <c r="G56" s="238"/>
      <c r="H56" s="238"/>
      <c r="I56" s="238"/>
      <c r="J56" s="10" t="s">
        <v>6525</v>
      </c>
      <c r="K56" s="238" t="s">
        <v>6526</v>
      </c>
      <c r="L56" s="238"/>
      <c r="M56" s="238"/>
      <c r="N56" s="238" t="s">
        <v>5998</v>
      </c>
      <c r="O56" s="238"/>
      <c r="P56" s="238"/>
      <c r="Q56" s="238" t="s">
        <v>6527</v>
      </c>
      <c r="R56" s="238"/>
      <c r="S56" s="238"/>
      <c r="T56" s="238"/>
      <c r="U56" s="238"/>
      <c r="V56" s="238"/>
      <c r="W56" s="238" t="s">
        <v>6528</v>
      </c>
      <c r="X56" s="238"/>
      <c r="Y56" s="10" t="s">
        <v>6529</v>
      </c>
      <c r="Z56" s="10" t="s">
        <v>6530</v>
      </c>
      <c r="AA56" s="238" t="s">
        <v>6531</v>
      </c>
      <c r="AB56" s="238"/>
      <c r="AC56" s="238"/>
      <c r="AD56" s="238"/>
      <c r="AE56" s="238"/>
      <c r="AF56" s="10" t="s">
        <v>6532</v>
      </c>
      <c r="AG56" s="237" t="s">
        <v>6533</v>
      </c>
      <c r="AH56" s="237"/>
      <c r="AI56" s="237"/>
      <c r="AJ56" s="237"/>
      <c r="AK56" s="237"/>
      <c r="AL56" s="2"/>
      <c r="AM56" s="2"/>
      <c r="AN56" s="2"/>
      <c r="AO56" s="2"/>
      <c r="AP56" s="7"/>
    </row>
    <row r="57" spans="1:42" ht="13.5" thickBot="1">
      <c r="A57" s="6"/>
      <c r="B57" s="2"/>
      <c r="C57" s="2"/>
      <c r="D57" s="244" t="s">
        <v>319</v>
      </c>
      <c r="E57" s="244"/>
      <c r="F57" s="237" t="s">
        <v>6451</v>
      </c>
      <c r="G57" s="237"/>
      <c r="H57" s="237"/>
      <c r="I57" s="237"/>
      <c r="J57" s="11" t="s">
        <v>6534</v>
      </c>
      <c r="K57" s="237" t="s">
        <v>6535</v>
      </c>
      <c r="L57" s="237"/>
      <c r="M57" s="237"/>
      <c r="N57" s="237" t="s">
        <v>6536</v>
      </c>
      <c r="O57" s="237"/>
      <c r="P57" s="237"/>
      <c r="Q57" s="237">
        <v>90.52</v>
      </c>
      <c r="R57" s="237"/>
      <c r="S57" s="237"/>
      <c r="T57" s="237"/>
      <c r="U57" s="237"/>
      <c r="V57" s="237"/>
      <c r="W57" s="237" t="s">
        <v>6538</v>
      </c>
      <c r="X57" s="237"/>
      <c r="Y57" s="11" t="s">
        <v>6539</v>
      </c>
      <c r="Z57" s="11" t="s">
        <v>6540</v>
      </c>
      <c r="AA57" s="237" t="s">
        <v>6317</v>
      </c>
      <c r="AB57" s="237"/>
      <c r="AC57" s="237"/>
      <c r="AD57" s="237"/>
      <c r="AE57" s="237"/>
      <c r="AF57" s="11">
        <v>77.400000000000006</v>
      </c>
      <c r="AG57" s="237" t="s">
        <v>6542</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indexed="47"/>
  </sheetPr>
  <dimension ref="A1:AU64"/>
  <sheetViews>
    <sheetView topLeftCell="B1" workbookViewId="0">
      <selection activeCell="N20" sqref="N20:P20"/>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6543</v>
      </c>
      <c r="E7" s="269"/>
      <c r="F7" s="269"/>
      <c r="G7" s="269"/>
      <c r="H7" s="269"/>
      <c r="I7" s="269" t="s">
        <v>6544</v>
      </c>
      <c r="J7" s="269"/>
      <c r="K7" s="269"/>
      <c r="L7" s="269"/>
      <c r="M7" s="269"/>
      <c r="N7" s="269"/>
      <c r="O7" s="269"/>
      <c r="P7" s="269"/>
      <c r="Q7" s="269"/>
      <c r="R7" s="269"/>
      <c r="S7" s="269"/>
      <c r="T7" s="269"/>
      <c r="U7" s="269"/>
      <c r="V7" s="269"/>
      <c r="W7" s="269"/>
      <c r="X7" s="269"/>
      <c r="Y7" s="270" t="s">
        <v>6272</v>
      </c>
      <c r="Z7" s="270"/>
      <c r="AA7" s="270"/>
      <c r="AB7" s="270"/>
      <c r="AC7" s="270"/>
      <c r="AD7" s="270"/>
      <c r="AE7" s="270"/>
      <c r="AF7" s="270"/>
      <c r="AG7" s="270"/>
      <c r="AH7" s="270"/>
      <c r="AI7" s="270"/>
      <c r="AJ7" s="270"/>
      <c r="AK7" s="270"/>
      <c r="AL7" s="270"/>
      <c r="AM7" s="270"/>
      <c r="AN7" s="270"/>
      <c r="AO7" s="2"/>
      <c r="AP7" s="2"/>
      <c r="AQ7" s="7"/>
      <c r="AT7" s="22" t="s">
        <v>1518</v>
      </c>
      <c r="AU7" s="35" t="str">
        <f>I7</f>
        <v>TEMELIN-1</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6273</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6273</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6274</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V-320</v>
      </c>
    </row>
    <row r="13" spans="1:47" ht="10.35" customHeight="1">
      <c r="A13" s="6"/>
      <c r="B13" s="1"/>
      <c r="C13" s="2"/>
      <c r="D13" s="247" t="s">
        <v>5716</v>
      </c>
      <c r="E13" s="247"/>
      <c r="F13" s="247"/>
      <c r="G13" s="247"/>
      <c r="H13" s="247" t="s">
        <v>5709</v>
      </c>
      <c r="I13" s="247"/>
      <c r="J13" s="247" t="s">
        <v>6274</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3000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1013</v>
      </c>
    </row>
    <row r="17" spans="1:47" ht="11.45" customHeight="1" thickBot="1">
      <c r="A17" s="6"/>
      <c r="B17" s="1"/>
      <c r="C17" s="1"/>
      <c r="D17" s="248" t="s">
        <v>5722</v>
      </c>
      <c r="E17" s="248"/>
      <c r="F17" s="248"/>
      <c r="G17" s="248"/>
      <c r="H17" s="247" t="s">
        <v>5709</v>
      </c>
      <c r="I17" s="247"/>
      <c r="J17" s="248" t="s">
        <v>6121</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963</v>
      </c>
    </row>
    <row r="18" spans="1:47" ht="13.5" thickBot="1">
      <c r="A18" s="6"/>
      <c r="B18" s="1"/>
      <c r="C18" s="1"/>
      <c r="D18" s="248" t="s">
        <v>185</v>
      </c>
      <c r="E18" s="248"/>
      <c r="F18" s="248"/>
      <c r="G18" s="248"/>
      <c r="H18" s="248"/>
      <c r="I18" s="248"/>
      <c r="J18" s="248"/>
      <c r="K18" s="248"/>
      <c r="L18" s="248"/>
      <c r="M18" s="8" t="s">
        <v>5709</v>
      </c>
      <c r="N18" s="264">
        <v>3000</v>
      </c>
      <c r="O18" s="264"/>
      <c r="P18" s="264"/>
      <c r="Q18" s="248" t="s">
        <v>186</v>
      </c>
      <c r="R18" s="248"/>
      <c r="S18" s="248"/>
      <c r="T18" s="2"/>
      <c r="U18" s="2"/>
      <c r="V18" s="252" t="s">
        <v>187</v>
      </c>
      <c r="W18" s="252"/>
      <c r="X18" s="252"/>
      <c r="Y18" s="252"/>
      <c r="Z18" s="252"/>
      <c r="AA18" s="252"/>
      <c r="AB18" s="252"/>
      <c r="AC18" s="247" t="s">
        <v>5709</v>
      </c>
      <c r="AD18" s="247"/>
      <c r="AE18" s="248" t="s">
        <v>6122</v>
      </c>
      <c r="AF18" s="248"/>
      <c r="AG18" s="248"/>
      <c r="AH18" s="248"/>
      <c r="AI18" s="248"/>
      <c r="AJ18" s="248"/>
      <c r="AK18" s="248"/>
      <c r="AL18" s="2"/>
      <c r="AM18" s="1"/>
      <c r="AN18" s="2"/>
      <c r="AO18" s="1"/>
      <c r="AP18" s="2"/>
      <c r="AQ18" s="7"/>
      <c r="AT18" s="25" t="str">
        <f>D26</f>
        <v>Grid Date</v>
      </c>
      <c r="AU18" s="25">
        <f>N26</f>
        <v>36881</v>
      </c>
    </row>
    <row r="19" spans="1:47" ht="13.5" thickBot="1">
      <c r="A19" s="6"/>
      <c r="B19" s="1"/>
      <c r="C19" s="1"/>
      <c r="D19" s="248" t="s">
        <v>189</v>
      </c>
      <c r="E19" s="248"/>
      <c r="F19" s="248"/>
      <c r="G19" s="248"/>
      <c r="H19" s="248"/>
      <c r="I19" s="248"/>
      <c r="J19" s="248"/>
      <c r="K19" s="248"/>
      <c r="L19" s="248"/>
      <c r="M19" s="8" t="s">
        <v>5709</v>
      </c>
      <c r="N19" s="264">
        <v>1013</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45000</v>
      </c>
    </row>
    <row r="20" spans="1:47" ht="13.5" thickBot="1">
      <c r="A20" s="6"/>
      <c r="B20" s="1"/>
      <c r="C20" s="1"/>
      <c r="D20" s="248" t="s">
        <v>193</v>
      </c>
      <c r="E20" s="248"/>
      <c r="F20" s="248"/>
      <c r="G20" s="248"/>
      <c r="H20" s="248"/>
      <c r="I20" s="248"/>
      <c r="J20" s="248"/>
      <c r="K20" s="248"/>
      <c r="L20" s="248"/>
      <c r="M20" s="8" t="s">
        <v>5709</v>
      </c>
      <c r="N20" s="264">
        <v>912</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f>R58</f>
        <v>66.349999999999994</v>
      </c>
    </row>
    <row r="21" spans="1:47" ht="13.5" thickBot="1">
      <c r="A21" s="6"/>
      <c r="B21" s="1"/>
      <c r="C21" s="1"/>
      <c r="D21" s="248" t="s">
        <v>196</v>
      </c>
      <c r="E21" s="248"/>
      <c r="F21" s="248"/>
      <c r="G21" s="248"/>
      <c r="H21" s="248"/>
      <c r="I21" s="248"/>
      <c r="J21" s="248"/>
      <c r="K21" s="248"/>
      <c r="L21" s="248"/>
      <c r="M21" s="8" t="s">
        <v>5709</v>
      </c>
      <c r="N21" s="264">
        <v>963</v>
      </c>
      <c r="O21" s="264"/>
      <c r="P21" s="264"/>
      <c r="Q21" s="248" t="s">
        <v>190</v>
      </c>
      <c r="R21" s="248"/>
      <c r="S21" s="248"/>
      <c r="T21" s="2"/>
      <c r="U21" s="2"/>
      <c r="V21" s="252" t="s">
        <v>197</v>
      </c>
      <c r="W21" s="252"/>
      <c r="X21" s="252"/>
      <c r="Y21" s="252"/>
      <c r="Z21" s="252"/>
      <c r="AA21" s="252"/>
      <c r="AB21" s="252"/>
      <c r="AC21" s="247" t="s">
        <v>5709</v>
      </c>
      <c r="AD21" s="247"/>
      <c r="AE21" s="248" t="s">
        <v>6545</v>
      </c>
      <c r="AF21" s="248"/>
      <c r="AG21" s="248"/>
      <c r="AH21" s="248"/>
      <c r="AI21" s="248"/>
      <c r="AJ21" s="248"/>
      <c r="AK21" s="248"/>
      <c r="AL21" s="2"/>
      <c r="AM21" s="1"/>
      <c r="AN21" s="2"/>
      <c r="AO21" s="1"/>
      <c r="AP21" s="2"/>
      <c r="AQ21" s="7"/>
      <c r="AT21" s="23" t="str">
        <f>D58&amp;AG51</f>
        <v>LF [%]2010</v>
      </c>
      <c r="AU21" s="23">
        <f>AG58</f>
        <v>74.75</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6125</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6546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31809</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6127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36881</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6547</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37417</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6205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6130</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6548</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6549</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6550</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421</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227</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6551</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6552</v>
      </c>
      <c r="G52" s="238"/>
      <c r="H52" s="238"/>
      <c r="I52" s="238"/>
      <c r="J52" s="238"/>
      <c r="K52" s="10" t="s">
        <v>6553</v>
      </c>
      <c r="L52" s="238" t="s">
        <v>6554</v>
      </c>
      <c r="M52" s="238"/>
      <c r="N52" s="238"/>
      <c r="O52" s="238" t="s">
        <v>6555</v>
      </c>
      <c r="P52" s="238"/>
      <c r="Q52" s="238"/>
      <c r="R52" s="238" t="s">
        <v>6556</v>
      </c>
      <c r="S52" s="238"/>
      <c r="T52" s="238"/>
      <c r="U52" s="238"/>
      <c r="V52" s="238"/>
      <c r="W52" s="238"/>
      <c r="X52" s="238" t="s">
        <v>6557</v>
      </c>
      <c r="Y52" s="238"/>
      <c r="Z52" s="10" t="s">
        <v>6558</v>
      </c>
      <c r="AA52" s="10" t="s">
        <v>6559</v>
      </c>
      <c r="AB52" s="238" t="s">
        <v>6560</v>
      </c>
      <c r="AC52" s="238"/>
      <c r="AD52" s="238"/>
      <c r="AE52" s="238"/>
      <c r="AF52" s="238"/>
      <c r="AG52" s="10" t="s">
        <v>6561</v>
      </c>
      <c r="AH52" s="237" t="s">
        <v>6562</v>
      </c>
      <c r="AI52" s="237"/>
      <c r="AJ52" s="237"/>
      <c r="AK52" s="237"/>
      <c r="AL52" s="237"/>
      <c r="AM52" s="2"/>
      <c r="AN52" s="2"/>
      <c r="AO52" s="2"/>
      <c r="AP52" s="2"/>
      <c r="AQ52" s="7"/>
    </row>
    <row r="53" spans="1:43" ht="13.5" thickBot="1">
      <c r="A53" s="6"/>
      <c r="B53" s="2"/>
      <c r="C53" s="2"/>
      <c r="D53" s="244" t="s">
        <v>261</v>
      </c>
      <c r="E53" s="244"/>
      <c r="F53" s="238" t="s">
        <v>6563</v>
      </c>
      <c r="G53" s="238"/>
      <c r="H53" s="238"/>
      <c r="I53" s="238"/>
      <c r="J53" s="238"/>
      <c r="K53" s="10" t="s">
        <v>6564</v>
      </c>
      <c r="L53" s="238" t="s">
        <v>6565</v>
      </c>
      <c r="M53" s="238"/>
      <c r="N53" s="238"/>
      <c r="O53" s="238" t="s">
        <v>6566</v>
      </c>
      <c r="P53" s="238"/>
      <c r="Q53" s="238"/>
      <c r="R53" s="238" t="s">
        <v>6567</v>
      </c>
      <c r="S53" s="238"/>
      <c r="T53" s="238"/>
      <c r="U53" s="238"/>
      <c r="V53" s="238"/>
      <c r="W53" s="238"/>
      <c r="X53" s="238" t="s">
        <v>6568</v>
      </c>
      <c r="Y53" s="238"/>
      <c r="Z53" s="10" t="s">
        <v>6569</v>
      </c>
      <c r="AA53" s="10" t="s">
        <v>6570</v>
      </c>
      <c r="AB53" s="238" t="s">
        <v>6571</v>
      </c>
      <c r="AC53" s="238"/>
      <c r="AD53" s="238"/>
      <c r="AE53" s="238"/>
      <c r="AF53" s="238"/>
      <c r="AG53" s="10" t="s">
        <v>6572</v>
      </c>
      <c r="AH53" s="237" t="s">
        <v>6573</v>
      </c>
      <c r="AI53" s="237"/>
      <c r="AJ53" s="237"/>
      <c r="AK53" s="237"/>
      <c r="AL53" s="237"/>
      <c r="AM53" s="2"/>
      <c r="AN53" s="2"/>
      <c r="AO53" s="2"/>
      <c r="AP53" s="2"/>
      <c r="AQ53" s="7"/>
    </row>
    <row r="54" spans="1:43" ht="13.5" thickBot="1">
      <c r="A54" s="6"/>
      <c r="B54" s="2"/>
      <c r="C54" s="2"/>
      <c r="D54" s="244" t="s">
        <v>273</v>
      </c>
      <c r="E54" s="244"/>
      <c r="F54" s="238" t="s">
        <v>6563</v>
      </c>
      <c r="G54" s="238"/>
      <c r="H54" s="238"/>
      <c r="I54" s="238"/>
      <c r="J54" s="238"/>
      <c r="K54" s="10" t="s">
        <v>6574</v>
      </c>
      <c r="L54" s="238" t="s">
        <v>6575</v>
      </c>
      <c r="M54" s="238"/>
      <c r="N54" s="238"/>
      <c r="O54" s="238" t="s">
        <v>6576</v>
      </c>
      <c r="P54" s="238"/>
      <c r="Q54" s="238"/>
      <c r="R54" s="238" t="s">
        <v>6577</v>
      </c>
      <c r="S54" s="238"/>
      <c r="T54" s="238"/>
      <c r="U54" s="238"/>
      <c r="V54" s="238"/>
      <c r="W54" s="238"/>
      <c r="X54" s="238" t="s">
        <v>6578</v>
      </c>
      <c r="Y54" s="238"/>
      <c r="Z54" s="10" t="s">
        <v>6579</v>
      </c>
      <c r="AA54" s="10" t="s">
        <v>6580</v>
      </c>
      <c r="AB54" s="238" t="s">
        <v>6581</v>
      </c>
      <c r="AC54" s="238"/>
      <c r="AD54" s="238"/>
      <c r="AE54" s="238"/>
      <c r="AF54" s="238"/>
      <c r="AG54" s="10" t="s">
        <v>6582</v>
      </c>
      <c r="AH54" s="237" t="s">
        <v>6583</v>
      </c>
      <c r="AI54" s="237"/>
      <c r="AJ54" s="237"/>
      <c r="AK54" s="237"/>
      <c r="AL54" s="237"/>
      <c r="AM54" s="2"/>
      <c r="AN54" s="2"/>
      <c r="AO54" s="2"/>
      <c r="AP54" s="2"/>
      <c r="AQ54" s="7"/>
    </row>
    <row r="55" spans="1:43" ht="13.5" thickBot="1">
      <c r="A55" s="6"/>
      <c r="B55" s="2"/>
      <c r="C55" s="2"/>
      <c r="D55" s="244" t="s">
        <v>285</v>
      </c>
      <c r="E55" s="244"/>
      <c r="F55" s="238" t="s">
        <v>6563</v>
      </c>
      <c r="G55" s="238"/>
      <c r="H55" s="238"/>
      <c r="I55" s="238"/>
      <c r="J55" s="238"/>
      <c r="K55" s="10" t="s">
        <v>6564</v>
      </c>
      <c r="L55" s="238" t="s">
        <v>6565</v>
      </c>
      <c r="M55" s="238"/>
      <c r="N55" s="238"/>
      <c r="O55" s="238" t="s">
        <v>6584</v>
      </c>
      <c r="P55" s="238"/>
      <c r="Q55" s="238"/>
      <c r="R55" s="238" t="s">
        <v>6585</v>
      </c>
      <c r="S55" s="238"/>
      <c r="T55" s="238"/>
      <c r="U55" s="238"/>
      <c r="V55" s="238"/>
      <c r="W55" s="238"/>
      <c r="X55" s="238" t="s">
        <v>6586</v>
      </c>
      <c r="Y55" s="238"/>
      <c r="Z55" s="10" t="s">
        <v>6569</v>
      </c>
      <c r="AA55" s="10" t="s">
        <v>6587</v>
      </c>
      <c r="AB55" s="238" t="s">
        <v>6588</v>
      </c>
      <c r="AC55" s="238"/>
      <c r="AD55" s="238"/>
      <c r="AE55" s="238"/>
      <c r="AF55" s="238"/>
      <c r="AG55" s="10" t="s">
        <v>6589</v>
      </c>
      <c r="AH55" s="237" t="s">
        <v>6182</v>
      </c>
      <c r="AI55" s="237"/>
      <c r="AJ55" s="237"/>
      <c r="AK55" s="237"/>
      <c r="AL55" s="237"/>
      <c r="AM55" s="2"/>
      <c r="AN55" s="2"/>
      <c r="AO55" s="2"/>
      <c r="AP55" s="2"/>
      <c r="AQ55" s="7"/>
    </row>
    <row r="56" spans="1:43" ht="13.5" thickBot="1">
      <c r="A56" s="6"/>
      <c r="B56" s="2"/>
      <c r="C56" s="2"/>
      <c r="D56" s="244" t="s">
        <v>295</v>
      </c>
      <c r="E56" s="244"/>
      <c r="F56" s="238" t="s">
        <v>6563</v>
      </c>
      <c r="G56" s="238"/>
      <c r="H56" s="238"/>
      <c r="I56" s="238"/>
      <c r="J56" s="238"/>
      <c r="K56" s="10" t="s">
        <v>6590</v>
      </c>
      <c r="L56" s="238" t="s">
        <v>6591</v>
      </c>
      <c r="M56" s="238"/>
      <c r="N56" s="238"/>
      <c r="O56" s="238" t="s">
        <v>6592</v>
      </c>
      <c r="P56" s="238"/>
      <c r="Q56" s="238"/>
      <c r="R56" s="238" t="s">
        <v>6593</v>
      </c>
      <c r="S56" s="238"/>
      <c r="T56" s="238"/>
      <c r="U56" s="238"/>
      <c r="V56" s="238"/>
      <c r="W56" s="238"/>
      <c r="X56" s="238" t="s">
        <v>274</v>
      </c>
      <c r="Y56" s="238"/>
      <c r="Z56" s="10" t="s">
        <v>6594</v>
      </c>
      <c r="AA56" s="10" t="s">
        <v>6595</v>
      </c>
      <c r="AB56" s="238" t="s">
        <v>6596</v>
      </c>
      <c r="AC56" s="238"/>
      <c r="AD56" s="238"/>
      <c r="AE56" s="238"/>
      <c r="AF56" s="238"/>
      <c r="AG56" s="10" t="s">
        <v>376</v>
      </c>
      <c r="AH56" s="237" t="s">
        <v>6597</v>
      </c>
      <c r="AI56" s="237"/>
      <c r="AJ56" s="237"/>
      <c r="AK56" s="237"/>
      <c r="AL56" s="237"/>
      <c r="AM56" s="2"/>
      <c r="AN56" s="2"/>
      <c r="AO56" s="2"/>
      <c r="AP56" s="2"/>
      <c r="AQ56" s="7"/>
    </row>
    <row r="57" spans="1:43" ht="13.5" thickBot="1">
      <c r="A57" s="6"/>
      <c r="B57" s="2"/>
      <c r="C57" s="2"/>
      <c r="D57" s="244" t="s">
        <v>307</v>
      </c>
      <c r="E57" s="244"/>
      <c r="F57" s="238" t="s">
        <v>6563</v>
      </c>
      <c r="G57" s="238"/>
      <c r="H57" s="238"/>
      <c r="I57" s="238"/>
      <c r="J57" s="238"/>
      <c r="K57" s="10" t="s">
        <v>6598</v>
      </c>
      <c r="L57" s="238" t="s">
        <v>6599</v>
      </c>
      <c r="M57" s="238"/>
      <c r="N57" s="238"/>
      <c r="O57" s="238" t="s">
        <v>6600</v>
      </c>
      <c r="P57" s="238"/>
      <c r="Q57" s="238"/>
      <c r="R57" s="238" t="s">
        <v>6601</v>
      </c>
      <c r="S57" s="238"/>
      <c r="T57" s="238"/>
      <c r="U57" s="238"/>
      <c r="V57" s="238"/>
      <c r="W57" s="238"/>
      <c r="X57" s="238" t="s">
        <v>6602</v>
      </c>
      <c r="Y57" s="238"/>
      <c r="Z57" s="10" t="s">
        <v>6603</v>
      </c>
      <c r="AA57" s="10" t="s">
        <v>6604</v>
      </c>
      <c r="AB57" s="238" t="s">
        <v>6605</v>
      </c>
      <c r="AC57" s="238"/>
      <c r="AD57" s="238"/>
      <c r="AE57" s="238"/>
      <c r="AF57" s="238"/>
      <c r="AG57" s="10" t="s">
        <v>6606</v>
      </c>
      <c r="AH57" s="237" t="s">
        <v>6607</v>
      </c>
      <c r="AI57" s="237"/>
      <c r="AJ57" s="237"/>
      <c r="AK57" s="237"/>
      <c r="AL57" s="237"/>
      <c r="AM57" s="2"/>
      <c r="AN57" s="2"/>
      <c r="AO57" s="2"/>
      <c r="AP57" s="2"/>
      <c r="AQ57" s="7"/>
    </row>
    <row r="58" spans="1:43" ht="13.5" thickBot="1">
      <c r="A58" s="6"/>
      <c r="B58" s="2"/>
      <c r="C58" s="2"/>
      <c r="D58" s="244" t="s">
        <v>319</v>
      </c>
      <c r="E58" s="244"/>
      <c r="F58" s="237" t="s">
        <v>6563</v>
      </c>
      <c r="G58" s="237"/>
      <c r="H58" s="237"/>
      <c r="I58" s="237"/>
      <c r="J58" s="237"/>
      <c r="K58" s="11" t="s">
        <v>6221</v>
      </c>
      <c r="L58" s="237" t="s">
        <v>6608</v>
      </c>
      <c r="M58" s="237"/>
      <c r="N58" s="237"/>
      <c r="O58" s="237" t="s">
        <v>6609</v>
      </c>
      <c r="P58" s="237"/>
      <c r="Q58" s="237"/>
      <c r="R58" s="237">
        <v>66.349999999999994</v>
      </c>
      <c r="S58" s="237"/>
      <c r="T58" s="237"/>
      <c r="U58" s="237"/>
      <c r="V58" s="237"/>
      <c r="W58" s="237"/>
      <c r="X58" s="237" t="s">
        <v>6611</v>
      </c>
      <c r="Y58" s="237"/>
      <c r="Z58" s="11" t="s">
        <v>6612</v>
      </c>
      <c r="AA58" s="11" t="s">
        <v>6613</v>
      </c>
      <c r="AB58" s="237" t="s">
        <v>6614</v>
      </c>
      <c r="AC58" s="237"/>
      <c r="AD58" s="237"/>
      <c r="AE58" s="237"/>
      <c r="AF58" s="237"/>
      <c r="AG58" s="11">
        <v>74.75</v>
      </c>
      <c r="AH58" s="237" t="s">
        <v>6616</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indexed="47"/>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6617</v>
      </c>
      <c r="E7" s="269"/>
      <c r="F7" s="269"/>
      <c r="G7" s="269"/>
      <c r="H7" s="269"/>
      <c r="I7" s="269" t="s">
        <v>6618</v>
      </c>
      <c r="J7" s="269"/>
      <c r="K7" s="269"/>
      <c r="L7" s="269"/>
      <c r="M7" s="269"/>
      <c r="N7" s="269"/>
      <c r="O7" s="269"/>
      <c r="P7" s="269"/>
      <c r="Q7" s="269"/>
      <c r="R7" s="269"/>
      <c r="S7" s="269"/>
      <c r="T7" s="269"/>
      <c r="U7" s="269"/>
      <c r="V7" s="269"/>
      <c r="W7" s="269"/>
      <c r="X7" s="269"/>
      <c r="Y7" s="270" t="s">
        <v>6272</v>
      </c>
      <c r="Z7" s="270"/>
      <c r="AA7" s="270"/>
      <c r="AB7" s="270"/>
      <c r="AC7" s="270"/>
      <c r="AD7" s="270"/>
      <c r="AE7" s="270"/>
      <c r="AF7" s="270"/>
      <c r="AG7" s="270"/>
      <c r="AH7" s="270"/>
      <c r="AI7" s="270"/>
      <c r="AJ7" s="270"/>
      <c r="AK7" s="270"/>
      <c r="AL7" s="270"/>
      <c r="AM7" s="270"/>
      <c r="AN7" s="2"/>
      <c r="AO7" s="2"/>
      <c r="AP7" s="7"/>
      <c r="AT7" s="22" t="s">
        <v>1518</v>
      </c>
      <c r="AU7" s="35" t="str">
        <f>I7</f>
        <v>TEMELIN-2</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2"/>
      <c r="AP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1"/>
      <c r="AO9" s="2"/>
      <c r="AP9" s="7"/>
    </row>
    <row r="10" spans="1:47" ht="11.45" customHeight="1">
      <c r="A10" s="6"/>
      <c r="B10" s="1"/>
      <c r="C10" s="2"/>
      <c r="D10" s="247" t="s">
        <v>5711</v>
      </c>
      <c r="E10" s="247"/>
      <c r="F10" s="247"/>
      <c r="G10" s="247"/>
      <c r="H10" s="247" t="s">
        <v>5709</v>
      </c>
      <c r="I10" s="247"/>
      <c r="J10" s="247" t="s">
        <v>6273</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1"/>
      <c r="AO10" s="2"/>
      <c r="AP10" s="7"/>
    </row>
    <row r="11" spans="1:47" ht="11.45" customHeight="1">
      <c r="A11" s="6"/>
      <c r="B11" s="1"/>
      <c r="C11" s="2"/>
      <c r="D11" s="247" t="s">
        <v>5713</v>
      </c>
      <c r="E11" s="247"/>
      <c r="F11" s="247"/>
      <c r="G11" s="247"/>
      <c r="H11" s="247" t="s">
        <v>5709</v>
      </c>
      <c r="I11" s="247"/>
      <c r="J11" s="247" t="s">
        <v>6273</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1"/>
      <c r="AO11" s="2"/>
      <c r="AP11" s="7"/>
      <c r="AT11" s="23" t="str">
        <f>D16</f>
        <v>Type</v>
      </c>
      <c r="AU11" s="24" t="str">
        <f>J16</f>
        <v xml:space="preserve">PWR  </v>
      </c>
    </row>
    <row r="12" spans="1:47" ht="11.45" customHeight="1">
      <c r="A12" s="6"/>
      <c r="B12" s="1"/>
      <c r="C12" s="2"/>
      <c r="D12" s="247" t="s">
        <v>5714</v>
      </c>
      <c r="E12" s="247"/>
      <c r="F12" s="247"/>
      <c r="G12" s="247"/>
      <c r="H12" s="247" t="s">
        <v>5709</v>
      </c>
      <c r="I12" s="247"/>
      <c r="J12" s="247" t="s">
        <v>6274</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1"/>
      <c r="AO12" s="2"/>
      <c r="AP12" s="7"/>
      <c r="AT12" s="23" t="str">
        <f>D17</f>
        <v>Model</v>
      </c>
      <c r="AU12" s="24" t="str">
        <f>J17</f>
        <v>VVER V-320</v>
      </c>
    </row>
    <row r="13" spans="1:47" ht="10.35" customHeight="1">
      <c r="A13" s="6"/>
      <c r="B13" s="1"/>
      <c r="C13" s="2"/>
      <c r="D13" s="247" t="s">
        <v>5716</v>
      </c>
      <c r="E13" s="247"/>
      <c r="F13" s="247"/>
      <c r="G13" s="247"/>
      <c r="H13" s="247" t="s">
        <v>5709</v>
      </c>
      <c r="I13" s="247"/>
      <c r="J13" s="247" t="s">
        <v>6274</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1"/>
      <c r="AO13" s="2"/>
      <c r="AP13" s="7"/>
      <c r="AT13" s="24" t="str">
        <f>D18 &amp;" [MWth]"</f>
        <v>Latest thermal power [MWth]</v>
      </c>
      <c r="AU13" s="24">
        <f>N18</f>
        <v>3000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2"/>
      <c r="AN15" s="1"/>
      <c r="AO15" s="2"/>
      <c r="AP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1"/>
      <c r="AM16" s="2"/>
      <c r="AN16" s="1"/>
      <c r="AO16" s="2"/>
      <c r="AP16" s="7"/>
      <c r="AT16" s="24" t="str">
        <f>D19 &amp; " [MWe]"</f>
        <v>Latest gross electrical power [MWe]</v>
      </c>
      <c r="AU16" s="24">
        <f>N19</f>
        <v>1013</v>
      </c>
    </row>
    <row r="17" spans="1:47" ht="11.45" customHeight="1" thickBot="1">
      <c r="A17" s="6"/>
      <c r="B17" s="1"/>
      <c r="C17" s="1"/>
      <c r="D17" s="248" t="s">
        <v>5722</v>
      </c>
      <c r="E17" s="248"/>
      <c r="F17" s="248"/>
      <c r="G17" s="248"/>
      <c r="H17" s="247" t="s">
        <v>5709</v>
      </c>
      <c r="I17" s="247"/>
      <c r="J17" s="248" t="s">
        <v>6121</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1"/>
      <c r="AM17" s="2"/>
      <c r="AN17" s="1"/>
      <c r="AO17" s="2"/>
      <c r="AP17" s="7"/>
      <c r="AT17" s="24" t="str">
        <f>D21 &amp; " [MWe]"</f>
        <v>Latest reference unit power (net) [MWe]</v>
      </c>
      <c r="AU17" s="24">
        <f>N21</f>
        <v>963</v>
      </c>
    </row>
    <row r="18" spans="1:47" ht="13.5" thickBot="1">
      <c r="A18" s="6"/>
      <c r="B18" s="1"/>
      <c r="C18" s="1"/>
      <c r="D18" s="248" t="s">
        <v>185</v>
      </c>
      <c r="E18" s="248"/>
      <c r="F18" s="248"/>
      <c r="G18" s="248"/>
      <c r="H18" s="248"/>
      <c r="I18" s="248"/>
      <c r="J18" s="248"/>
      <c r="K18" s="248"/>
      <c r="L18" s="248"/>
      <c r="M18" s="8" t="s">
        <v>5709</v>
      </c>
      <c r="N18" s="264">
        <v>3000</v>
      </c>
      <c r="O18" s="264"/>
      <c r="P18" s="264"/>
      <c r="Q18" s="248" t="s">
        <v>186</v>
      </c>
      <c r="R18" s="248"/>
      <c r="S18" s="248"/>
      <c r="T18" s="2"/>
      <c r="U18" s="2"/>
      <c r="V18" s="252" t="s">
        <v>187</v>
      </c>
      <c r="W18" s="252"/>
      <c r="X18" s="252"/>
      <c r="Y18" s="252"/>
      <c r="Z18" s="252"/>
      <c r="AA18" s="252"/>
      <c r="AB18" s="252"/>
      <c r="AC18" s="247" t="s">
        <v>5709</v>
      </c>
      <c r="AD18" s="247"/>
      <c r="AE18" s="248" t="s">
        <v>6122</v>
      </c>
      <c r="AF18" s="248"/>
      <c r="AG18" s="248"/>
      <c r="AH18" s="248"/>
      <c r="AI18" s="248"/>
      <c r="AJ18" s="248"/>
      <c r="AK18" s="248"/>
      <c r="AL18" s="1"/>
      <c r="AM18" s="2"/>
      <c r="AN18" s="1"/>
      <c r="AO18" s="2"/>
      <c r="AP18" s="7"/>
      <c r="AT18" s="25" t="str">
        <f>D26</f>
        <v>Grid Date</v>
      </c>
      <c r="AU18" s="25">
        <f>N26</f>
        <v>37619</v>
      </c>
    </row>
    <row r="19" spans="1:47" ht="13.5" thickBot="1">
      <c r="A19" s="6"/>
      <c r="B19" s="1"/>
      <c r="C19" s="1"/>
      <c r="D19" s="248" t="s">
        <v>189</v>
      </c>
      <c r="E19" s="248"/>
      <c r="F19" s="248"/>
      <c r="G19" s="248"/>
      <c r="H19" s="248"/>
      <c r="I19" s="248"/>
      <c r="J19" s="248"/>
      <c r="K19" s="248"/>
      <c r="L19" s="248"/>
      <c r="M19" s="8" t="s">
        <v>5709</v>
      </c>
      <c r="N19" s="264">
        <v>1013</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1"/>
      <c r="AM19" s="2"/>
      <c r="AN19" s="1"/>
      <c r="AO19" s="2"/>
      <c r="AP19" s="7"/>
      <c r="AT19" s="23" t="str">
        <f>V21</f>
        <v>Average discharge burnup  [MWd/t]</v>
      </c>
      <c r="AU19" s="23" t="str">
        <f>AE21</f>
        <v>45000</v>
      </c>
    </row>
    <row r="20" spans="1:47" ht="13.5" thickBot="1">
      <c r="A20" s="6"/>
      <c r="B20" s="1"/>
      <c r="C20" s="1"/>
      <c r="D20" s="248" t="s">
        <v>193</v>
      </c>
      <c r="E20" s="248"/>
      <c r="F20" s="248"/>
      <c r="G20" s="248"/>
      <c r="H20" s="248"/>
      <c r="I20" s="248"/>
      <c r="J20" s="248"/>
      <c r="K20" s="248"/>
      <c r="L20" s="248"/>
      <c r="M20" s="8" t="s">
        <v>5709</v>
      </c>
      <c r="N20" s="264">
        <v>912</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1"/>
      <c r="AM20" s="2"/>
      <c r="AN20" s="1"/>
      <c r="AO20" s="2"/>
      <c r="AP20" s="7"/>
      <c r="AT20" s="23" t="str">
        <f>D58 &amp; O51</f>
        <v>LF [%]2005</v>
      </c>
      <c r="AU20" s="23">
        <f>O58</f>
        <v>65.27</v>
      </c>
    </row>
    <row r="21" spans="1:47" ht="13.5" thickBot="1">
      <c r="A21" s="6"/>
      <c r="B21" s="1"/>
      <c r="C21" s="1"/>
      <c r="D21" s="248" t="s">
        <v>196</v>
      </c>
      <c r="E21" s="248"/>
      <c r="F21" s="248"/>
      <c r="G21" s="248"/>
      <c r="H21" s="248"/>
      <c r="I21" s="248"/>
      <c r="J21" s="248"/>
      <c r="K21" s="248"/>
      <c r="L21" s="248"/>
      <c r="M21" s="8" t="s">
        <v>5709</v>
      </c>
      <c r="N21" s="264">
        <v>963</v>
      </c>
      <c r="O21" s="264"/>
      <c r="P21" s="264"/>
      <c r="Q21" s="248" t="s">
        <v>190</v>
      </c>
      <c r="R21" s="248"/>
      <c r="S21" s="248"/>
      <c r="T21" s="2"/>
      <c r="U21" s="2"/>
      <c r="V21" s="252" t="s">
        <v>197</v>
      </c>
      <c r="W21" s="252"/>
      <c r="X21" s="252"/>
      <c r="Y21" s="252"/>
      <c r="Z21" s="252"/>
      <c r="AA21" s="252"/>
      <c r="AB21" s="252"/>
      <c r="AC21" s="247" t="s">
        <v>5709</v>
      </c>
      <c r="AD21" s="247"/>
      <c r="AE21" s="248" t="s">
        <v>6545</v>
      </c>
      <c r="AF21" s="248"/>
      <c r="AG21" s="248"/>
      <c r="AH21" s="248"/>
      <c r="AI21" s="248"/>
      <c r="AJ21" s="248"/>
      <c r="AK21" s="248"/>
      <c r="AL21" s="1"/>
      <c r="AM21" s="2"/>
      <c r="AN21" s="1"/>
      <c r="AO21" s="2"/>
      <c r="AP21" s="7"/>
      <c r="AT21" s="23" t="str">
        <f>D58&amp;AB51</f>
        <v>LF [%]2010</v>
      </c>
      <c r="AU21" s="23">
        <f>AB58</f>
        <v>81.180000000000007</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6125</v>
      </c>
      <c r="AF22" s="248"/>
      <c r="AG22" s="248"/>
      <c r="AH22" s="248"/>
      <c r="AI22" s="248"/>
      <c r="AJ22" s="248"/>
      <c r="AK22" s="248"/>
      <c r="AL22" s="1"/>
      <c r="AM22" s="2"/>
      <c r="AN22" s="1"/>
      <c r="AO22" s="2"/>
      <c r="AP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6546</v>
      </c>
      <c r="AF23" s="248"/>
      <c r="AG23" s="248"/>
      <c r="AH23" s="248"/>
      <c r="AI23" s="248"/>
      <c r="AJ23" s="248"/>
      <c r="AK23" s="248"/>
      <c r="AL23" s="1"/>
      <c r="AM23" s="2"/>
      <c r="AN23" s="1"/>
      <c r="AO23" s="2"/>
      <c r="AP23" s="7"/>
    </row>
    <row r="24" spans="1:47" ht="8.85" customHeight="1" thickBot="1">
      <c r="A24" s="6"/>
      <c r="B24" s="1"/>
      <c r="C24" s="1"/>
      <c r="D24" s="248" t="s">
        <v>205</v>
      </c>
      <c r="E24" s="248"/>
      <c r="F24" s="248"/>
      <c r="G24" s="248"/>
      <c r="H24" s="248"/>
      <c r="I24" s="248"/>
      <c r="J24" s="248"/>
      <c r="K24" s="248"/>
      <c r="L24" s="248"/>
      <c r="M24" s="247" t="s">
        <v>5709</v>
      </c>
      <c r="N24" s="259">
        <v>31809</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1"/>
      <c r="AM24" s="2"/>
      <c r="AN24" s="1"/>
      <c r="AO24" s="2"/>
      <c r="AP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6127</v>
      </c>
      <c r="AF25" s="248"/>
      <c r="AG25" s="248"/>
      <c r="AH25" s="248"/>
      <c r="AI25" s="248"/>
      <c r="AJ25" s="248"/>
      <c r="AK25" s="248"/>
      <c r="AL25" s="1"/>
      <c r="AM25" s="2"/>
      <c r="AN25" s="1"/>
      <c r="AO25" s="2"/>
      <c r="AP25" s="7"/>
    </row>
    <row r="26" spans="1:47" ht="8.85" customHeight="1" thickBot="1">
      <c r="A26" s="6"/>
      <c r="B26" s="1"/>
      <c r="C26" s="1"/>
      <c r="D26" s="248" t="s">
        <v>208</v>
      </c>
      <c r="E26" s="248"/>
      <c r="F26" s="248"/>
      <c r="G26" s="248"/>
      <c r="H26" s="248"/>
      <c r="I26" s="248"/>
      <c r="J26" s="248"/>
      <c r="K26" s="248"/>
      <c r="L26" s="248"/>
      <c r="M26" s="247" t="s">
        <v>5709</v>
      </c>
      <c r="N26" s="259">
        <v>37619</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1"/>
      <c r="AM26" s="2"/>
      <c r="AN26" s="1"/>
      <c r="AO26" s="2"/>
      <c r="AP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6547</v>
      </c>
      <c r="AF27" s="248"/>
      <c r="AG27" s="248"/>
      <c r="AH27" s="248"/>
      <c r="AI27" s="248"/>
      <c r="AJ27" s="248"/>
      <c r="AK27" s="248"/>
      <c r="AL27" s="1"/>
      <c r="AM27" s="2"/>
      <c r="AN27" s="1"/>
      <c r="AO27" s="2"/>
      <c r="AP27" s="7"/>
    </row>
    <row r="28" spans="1:47" ht="8.85" customHeight="1" thickBot="1">
      <c r="A28" s="6"/>
      <c r="B28" s="1"/>
      <c r="C28" s="1"/>
      <c r="D28" s="256" t="s">
        <v>211</v>
      </c>
      <c r="E28" s="256"/>
      <c r="F28" s="256"/>
      <c r="G28" s="256"/>
      <c r="H28" s="256"/>
      <c r="I28" s="256"/>
      <c r="J28" s="256"/>
      <c r="K28" s="256"/>
      <c r="L28" s="256"/>
      <c r="M28" s="256" t="s">
        <v>5709</v>
      </c>
      <c r="N28" s="257">
        <v>37729</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1"/>
      <c r="AM28" s="2"/>
      <c r="AN28" s="1"/>
      <c r="AO28" s="2"/>
      <c r="AP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6205</v>
      </c>
      <c r="AF29" s="248"/>
      <c r="AG29" s="248"/>
      <c r="AH29" s="248"/>
      <c r="AI29" s="248"/>
      <c r="AJ29" s="248"/>
      <c r="AK29" s="248"/>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1"/>
      <c r="AM30" s="2"/>
      <c r="AN30" s="1"/>
      <c r="AO30" s="2"/>
      <c r="AP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1"/>
      <c r="AM31" s="2"/>
      <c r="AN31" s="1"/>
      <c r="AO31" s="2"/>
      <c r="AP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6130</v>
      </c>
      <c r="AF32" s="248"/>
      <c r="AG32" s="248"/>
      <c r="AH32" s="248"/>
      <c r="AI32" s="248"/>
      <c r="AJ32" s="248"/>
      <c r="AK32" s="248"/>
      <c r="AL32" s="1"/>
      <c r="AM32" s="2"/>
      <c r="AN32" s="1"/>
      <c r="AO32" s="2"/>
      <c r="AP32" s="7"/>
    </row>
    <row r="33" spans="1:42"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1"/>
      <c r="AM33" s="2"/>
      <c r="AN33" s="1"/>
      <c r="AO33" s="2"/>
      <c r="AP33" s="7"/>
    </row>
    <row r="34" spans="1:42"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1"/>
      <c r="AM34" s="2"/>
      <c r="AN34" s="1"/>
      <c r="AO34" s="2"/>
      <c r="AP34" s="7"/>
    </row>
    <row r="35" spans="1:42"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1"/>
      <c r="AM35" s="2"/>
      <c r="AN35" s="1"/>
      <c r="AO35" s="2"/>
      <c r="AP35" s="7"/>
    </row>
    <row r="36" spans="1:42"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1"/>
      <c r="AM36" s="2"/>
      <c r="AN36" s="1"/>
      <c r="AO36" s="2"/>
      <c r="AP36" s="7"/>
    </row>
    <row r="37" spans="1:42"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6548</v>
      </c>
      <c r="AF37" s="248"/>
      <c r="AG37" s="248"/>
      <c r="AH37" s="248"/>
      <c r="AI37" s="248"/>
      <c r="AJ37" s="248"/>
      <c r="AK37" s="248"/>
      <c r="AL37" s="1"/>
      <c r="AM37" s="2"/>
      <c r="AN37" s="1"/>
      <c r="AO37" s="2"/>
      <c r="AP37" s="7"/>
    </row>
    <row r="38" spans="1:42"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6549</v>
      </c>
      <c r="AF38" s="248"/>
      <c r="AG38" s="248"/>
      <c r="AH38" s="248"/>
      <c r="AI38" s="248"/>
      <c r="AJ38" s="248"/>
      <c r="AK38" s="248"/>
      <c r="AL38" s="1"/>
      <c r="AM38" s="2"/>
      <c r="AN38" s="1"/>
      <c r="AO38" s="2"/>
      <c r="AP38" s="7"/>
    </row>
    <row r="39" spans="1:42"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6550</v>
      </c>
      <c r="AF40" s="248"/>
      <c r="AG40" s="248"/>
      <c r="AH40" s="248"/>
      <c r="AI40" s="248"/>
      <c r="AJ40" s="248"/>
      <c r="AK40" s="248"/>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421</v>
      </c>
      <c r="AF43" s="248"/>
      <c r="AG43" s="248"/>
      <c r="AH43" s="248"/>
      <c r="AI43" s="248"/>
      <c r="AJ43" s="248"/>
      <c r="AK43" s="248"/>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227</v>
      </c>
      <c r="AF45" s="248"/>
      <c r="AG45" s="248"/>
      <c r="AH45" s="248"/>
      <c r="AI45" s="248"/>
      <c r="AJ45" s="248"/>
      <c r="AK45" s="248"/>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1"/>
      <c r="AM46" s="2"/>
      <c r="AN46" s="1"/>
      <c r="AO46" s="2"/>
      <c r="AP46" s="7"/>
    </row>
    <row r="47" spans="1:42"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6551</v>
      </c>
      <c r="AF47" s="248"/>
      <c r="AG47" s="248"/>
      <c r="AH47" s="248"/>
      <c r="AI47" s="248"/>
      <c r="AJ47" s="248"/>
      <c r="AK47" s="248"/>
      <c r="AL47" s="1"/>
      <c r="AM47" s="2"/>
      <c r="AN47" s="1"/>
      <c r="AO47" s="2"/>
      <c r="AP47" s="7"/>
    </row>
    <row r="48" spans="1:42"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2"/>
      <c r="AP48" s="7"/>
    </row>
    <row r="49" spans="1:42"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7"/>
    </row>
    <row r="50" spans="1:42"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7"/>
    </row>
    <row r="51" spans="1:42" ht="13.5" thickBot="1">
      <c r="A51" s="6"/>
      <c r="B51" s="2"/>
      <c r="C51" s="2"/>
      <c r="D51" s="251"/>
      <c r="E51" s="251"/>
      <c r="F51" s="245" t="s">
        <v>239</v>
      </c>
      <c r="G51" s="245"/>
      <c r="H51" s="245"/>
      <c r="I51" s="245"/>
      <c r="J51" s="245"/>
      <c r="K51" s="9" t="s">
        <v>240</v>
      </c>
      <c r="L51" s="245" t="s">
        <v>241</v>
      </c>
      <c r="M51" s="245"/>
      <c r="N51" s="245"/>
      <c r="O51" s="245" t="s">
        <v>242</v>
      </c>
      <c r="P51" s="245"/>
      <c r="Q51" s="245"/>
      <c r="R51" s="245" t="s">
        <v>243</v>
      </c>
      <c r="S51" s="245"/>
      <c r="T51" s="245"/>
      <c r="U51" s="245"/>
      <c r="V51" s="245"/>
      <c r="W51" s="245"/>
      <c r="X51" s="245" t="s">
        <v>244</v>
      </c>
      <c r="Y51" s="245"/>
      <c r="Z51" s="9" t="s">
        <v>245</v>
      </c>
      <c r="AA51" s="9" t="s">
        <v>246</v>
      </c>
      <c r="AB51" s="245" t="s">
        <v>247</v>
      </c>
      <c r="AC51" s="245"/>
      <c r="AD51" s="245"/>
      <c r="AE51" s="245"/>
      <c r="AF51" s="245"/>
      <c r="AG51" s="15" t="s">
        <v>248</v>
      </c>
      <c r="AH51" s="2"/>
      <c r="AI51" s="2"/>
      <c r="AJ51" s="2"/>
      <c r="AK51" s="2"/>
      <c r="AL51" s="2"/>
      <c r="AM51" s="2"/>
      <c r="AN51" s="2"/>
      <c r="AO51" s="2"/>
      <c r="AP51" s="7"/>
    </row>
    <row r="52" spans="1:42" ht="13.5" thickBot="1">
      <c r="A52" s="6"/>
      <c r="B52" s="2"/>
      <c r="C52" s="2"/>
      <c r="D52" s="244" t="s">
        <v>249</v>
      </c>
      <c r="E52" s="244"/>
      <c r="F52" s="238" t="s">
        <v>6087</v>
      </c>
      <c r="G52" s="238"/>
      <c r="H52" s="238"/>
      <c r="I52" s="238"/>
      <c r="J52" s="238"/>
      <c r="K52" s="10" t="s">
        <v>6619</v>
      </c>
      <c r="L52" s="238" t="s">
        <v>6620</v>
      </c>
      <c r="M52" s="238"/>
      <c r="N52" s="238"/>
      <c r="O52" s="238" t="s">
        <v>6621</v>
      </c>
      <c r="P52" s="238"/>
      <c r="Q52" s="238"/>
      <c r="R52" s="238" t="s">
        <v>6622</v>
      </c>
      <c r="S52" s="238"/>
      <c r="T52" s="238"/>
      <c r="U52" s="238"/>
      <c r="V52" s="238"/>
      <c r="W52" s="238"/>
      <c r="X52" s="238" t="s">
        <v>6623</v>
      </c>
      <c r="Y52" s="238"/>
      <c r="Z52" s="10" t="s">
        <v>6624</v>
      </c>
      <c r="AA52" s="10" t="s">
        <v>6625</v>
      </c>
      <c r="AB52" s="238" t="s">
        <v>6626</v>
      </c>
      <c r="AC52" s="238"/>
      <c r="AD52" s="238"/>
      <c r="AE52" s="238"/>
      <c r="AF52" s="238"/>
      <c r="AG52" s="11" t="s">
        <v>6627</v>
      </c>
      <c r="AH52" s="2"/>
      <c r="AI52" s="2"/>
      <c r="AJ52" s="2"/>
      <c r="AK52" s="2"/>
      <c r="AL52" s="2"/>
      <c r="AM52" s="2"/>
      <c r="AN52" s="2"/>
      <c r="AO52" s="2"/>
      <c r="AP52" s="7"/>
    </row>
    <row r="53" spans="1:42" ht="13.5" thickBot="1">
      <c r="A53" s="6"/>
      <c r="B53" s="2"/>
      <c r="C53" s="2"/>
      <c r="D53" s="244" t="s">
        <v>261</v>
      </c>
      <c r="E53" s="244"/>
      <c r="F53" s="238" t="s">
        <v>6563</v>
      </c>
      <c r="G53" s="238"/>
      <c r="H53" s="238"/>
      <c r="I53" s="238"/>
      <c r="J53" s="238"/>
      <c r="K53" s="10" t="s">
        <v>6628</v>
      </c>
      <c r="L53" s="238" t="s">
        <v>6629</v>
      </c>
      <c r="M53" s="238"/>
      <c r="N53" s="238"/>
      <c r="O53" s="238" t="s">
        <v>6630</v>
      </c>
      <c r="P53" s="238"/>
      <c r="Q53" s="238"/>
      <c r="R53" s="238" t="s">
        <v>6631</v>
      </c>
      <c r="S53" s="238"/>
      <c r="T53" s="238"/>
      <c r="U53" s="238"/>
      <c r="V53" s="238"/>
      <c r="W53" s="238"/>
      <c r="X53" s="238" t="s">
        <v>6632</v>
      </c>
      <c r="Y53" s="238"/>
      <c r="Z53" s="10" t="s">
        <v>6633</v>
      </c>
      <c r="AA53" s="10" t="s">
        <v>6634</v>
      </c>
      <c r="AB53" s="238" t="s">
        <v>6635</v>
      </c>
      <c r="AC53" s="238"/>
      <c r="AD53" s="238"/>
      <c r="AE53" s="238"/>
      <c r="AF53" s="238"/>
      <c r="AG53" s="11" t="s">
        <v>6636</v>
      </c>
      <c r="AH53" s="2"/>
      <c r="AI53" s="2"/>
      <c r="AJ53" s="2"/>
      <c r="AK53" s="2"/>
      <c r="AL53" s="2"/>
      <c r="AM53" s="2"/>
      <c r="AN53" s="2"/>
      <c r="AO53" s="2"/>
      <c r="AP53" s="7"/>
    </row>
    <row r="54" spans="1:42" ht="13.5" thickBot="1">
      <c r="A54" s="6"/>
      <c r="B54" s="2"/>
      <c r="C54" s="2"/>
      <c r="D54" s="244" t="s">
        <v>273</v>
      </c>
      <c r="E54" s="244"/>
      <c r="F54" s="238" t="s">
        <v>6563</v>
      </c>
      <c r="G54" s="238"/>
      <c r="H54" s="238"/>
      <c r="I54" s="238"/>
      <c r="J54" s="238"/>
      <c r="K54" s="10" t="s">
        <v>301</v>
      </c>
      <c r="L54" s="238" t="s">
        <v>6637</v>
      </c>
      <c r="M54" s="238"/>
      <c r="N54" s="238"/>
      <c r="O54" s="238" t="s">
        <v>6638</v>
      </c>
      <c r="P54" s="238"/>
      <c r="Q54" s="238"/>
      <c r="R54" s="238" t="s">
        <v>6639</v>
      </c>
      <c r="S54" s="238"/>
      <c r="T54" s="238"/>
      <c r="U54" s="238"/>
      <c r="V54" s="238"/>
      <c r="W54" s="238"/>
      <c r="X54" s="238" t="s">
        <v>6640</v>
      </c>
      <c r="Y54" s="238"/>
      <c r="Z54" s="10" t="s">
        <v>6641</v>
      </c>
      <c r="AA54" s="10" t="s">
        <v>6642</v>
      </c>
      <c r="AB54" s="238" t="s">
        <v>6643</v>
      </c>
      <c r="AC54" s="238"/>
      <c r="AD54" s="238"/>
      <c r="AE54" s="238"/>
      <c r="AF54" s="238"/>
      <c r="AG54" s="11" t="s">
        <v>6644</v>
      </c>
      <c r="AH54" s="2"/>
      <c r="AI54" s="2"/>
      <c r="AJ54" s="2"/>
      <c r="AK54" s="2"/>
      <c r="AL54" s="2"/>
      <c r="AM54" s="2"/>
      <c r="AN54" s="2"/>
      <c r="AO54" s="2"/>
      <c r="AP54" s="7"/>
    </row>
    <row r="55" spans="1:42" ht="13.5" thickBot="1">
      <c r="A55" s="6"/>
      <c r="B55" s="2"/>
      <c r="C55" s="2"/>
      <c r="D55" s="244" t="s">
        <v>285</v>
      </c>
      <c r="E55" s="244"/>
      <c r="F55" s="238" t="s">
        <v>6563</v>
      </c>
      <c r="G55" s="238"/>
      <c r="H55" s="238"/>
      <c r="I55" s="238"/>
      <c r="J55" s="238"/>
      <c r="K55" s="10" t="s">
        <v>6628</v>
      </c>
      <c r="L55" s="238" t="s">
        <v>6629</v>
      </c>
      <c r="M55" s="238"/>
      <c r="N55" s="238"/>
      <c r="O55" s="238" t="s">
        <v>6645</v>
      </c>
      <c r="P55" s="238"/>
      <c r="Q55" s="238"/>
      <c r="R55" s="238" t="s">
        <v>6646</v>
      </c>
      <c r="S55" s="238"/>
      <c r="T55" s="238"/>
      <c r="U55" s="238"/>
      <c r="V55" s="238"/>
      <c r="W55" s="238"/>
      <c r="X55" s="238" t="s">
        <v>6647</v>
      </c>
      <c r="Y55" s="238"/>
      <c r="Z55" s="10" t="s">
        <v>6648</v>
      </c>
      <c r="AA55" s="10" t="s">
        <v>6649</v>
      </c>
      <c r="AB55" s="238" t="s">
        <v>6650</v>
      </c>
      <c r="AC55" s="238"/>
      <c r="AD55" s="238"/>
      <c r="AE55" s="238"/>
      <c r="AF55" s="238"/>
      <c r="AG55" s="11" t="s">
        <v>6651</v>
      </c>
      <c r="AH55" s="2"/>
      <c r="AI55" s="2"/>
      <c r="AJ55" s="2"/>
      <c r="AK55" s="2"/>
      <c r="AL55" s="2"/>
      <c r="AM55" s="2"/>
      <c r="AN55" s="2"/>
      <c r="AO55" s="2"/>
      <c r="AP55" s="7"/>
    </row>
    <row r="56" spans="1:42" ht="13.5" thickBot="1">
      <c r="A56" s="6"/>
      <c r="B56" s="2"/>
      <c r="C56" s="2"/>
      <c r="D56" s="244" t="s">
        <v>295</v>
      </c>
      <c r="E56" s="244"/>
      <c r="F56" s="238" t="s">
        <v>6563</v>
      </c>
      <c r="G56" s="238"/>
      <c r="H56" s="238"/>
      <c r="I56" s="238"/>
      <c r="J56" s="238"/>
      <c r="K56" s="10" t="s">
        <v>6652</v>
      </c>
      <c r="L56" s="238" t="s">
        <v>6653</v>
      </c>
      <c r="M56" s="238"/>
      <c r="N56" s="238"/>
      <c r="O56" s="238" t="s">
        <v>6654</v>
      </c>
      <c r="P56" s="238"/>
      <c r="Q56" s="238"/>
      <c r="R56" s="238" t="s">
        <v>6655</v>
      </c>
      <c r="S56" s="238"/>
      <c r="T56" s="238"/>
      <c r="U56" s="238"/>
      <c r="V56" s="238"/>
      <c r="W56" s="238"/>
      <c r="X56" s="238" t="s">
        <v>6457</v>
      </c>
      <c r="Y56" s="238"/>
      <c r="Z56" s="10" t="s">
        <v>6656</v>
      </c>
      <c r="AA56" s="10" t="s">
        <v>6084</v>
      </c>
      <c r="AB56" s="238" t="s">
        <v>6657</v>
      </c>
      <c r="AC56" s="238"/>
      <c r="AD56" s="238"/>
      <c r="AE56" s="238"/>
      <c r="AF56" s="238"/>
      <c r="AG56" s="11" t="s">
        <v>6658</v>
      </c>
      <c r="AH56" s="2"/>
      <c r="AI56" s="2"/>
      <c r="AJ56" s="2"/>
      <c r="AK56" s="2"/>
      <c r="AL56" s="2"/>
      <c r="AM56" s="2"/>
      <c r="AN56" s="2"/>
      <c r="AO56" s="2"/>
      <c r="AP56" s="7"/>
    </row>
    <row r="57" spans="1:42" ht="13.5" thickBot="1">
      <c r="A57" s="6"/>
      <c r="B57" s="2"/>
      <c r="C57" s="2"/>
      <c r="D57" s="244" t="s">
        <v>307</v>
      </c>
      <c r="E57" s="244"/>
      <c r="F57" s="238" t="s">
        <v>6563</v>
      </c>
      <c r="G57" s="238"/>
      <c r="H57" s="238"/>
      <c r="I57" s="238"/>
      <c r="J57" s="238"/>
      <c r="K57" s="10" t="s">
        <v>6659</v>
      </c>
      <c r="L57" s="238" t="s">
        <v>6660</v>
      </c>
      <c r="M57" s="238"/>
      <c r="N57" s="238"/>
      <c r="O57" s="238" t="s">
        <v>6661</v>
      </c>
      <c r="P57" s="238"/>
      <c r="Q57" s="238"/>
      <c r="R57" s="238" t="s">
        <v>6662</v>
      </c>
      <c r="S57" s="238"/>
      <c r="T57" s="238"/>
      <c r="U57" s="238"/>
      <c r="V57" s="238"/>
      <c r="W57" s="238"/>
      <c r="X57" s="238" t="s">
        <v>6663</v>
      </c>
      <c r="Y57" s="238"/>
      <c r="Z57" s="10" t="s">
        <v>6664</v>
      </c>
      <c r="AA57" s="10" t="s">
        <v>6665</v>
      </c>
      <c r="AB57" s="238" t="s">
        <v>6666</v>
      </c>
      <c r="AC57" s="238"/>
      <c r="AD57" s="238"/>
      <c r="AE57" s="238"/>
      <c r="AF57" s="238"/>
      <c r="AG57" s="11" t="s">
        <v>6667</v>
      </c>
      <c r="AH57" s="2"/>
      <c r="AI57" s="2"/>
      <c r="AJ57" s="2"/>
      <c r="AK57" s="2"/>
      <c r="AL57" s="2"/>
      <c r="AM57" s="2"/>
      <c r="AN57" s="2"/>
      <c r="AO57" s="2"/>
      <c r="AP57" s="7"/>
    </row>
    <row r="58" spans="1:42" ht="13.5" thickBot="1">
      <c r="A58" s="6"/>
      <c r="B58" s="2"/>
      <c r="C58" s="2"/>
      <c r="D58" s="244" t="s">
        <v>319</v>
      </c>
      <c r="E58" s="244"/>
      <c r="F58" s="237" t="s">
        <v>6563</v>
      </c>
      <c r="G58" s="237"/>
      <c r="H58" s="237"/>
      <c r="I58" s="237"/>
      <c r="J58" s="237"/>
      <c r="K58" s="11" t="s">
        <v>6668</v>
      </c>
      <c r="L58" s="237" t="s">
        <v>6669</v>
      </c>
      <c r="M58" s="237"/>
      <c r="N58" s="237"/>
      <c r="O58" s="237">
        <v>65.27</v>
      </c>
      <c r="P58" s="237"/>
      <c r="Q58" s="237"/>
      <c r="R58" s="237" t="s">
        <v>6670</v>
      </c>
      <c r="S58" s="237"/>
      <c r="T58" s="237"/>
      <c r="U58" s="237"/>
      <c r="V58" s="237"/>
      <c r="W58" s="237"/>
      <c r="X58" s="237" t="s">
        <v>6671</v>
      </c>
      <c r="Y58" s="237"/>
      <c r="Z58" s="11" t="s">
        <v>6672</v>
      </c>
      <c r="AA58" s="11" t="s">
        <v>6673</v>
      </c>
      <c r="AB58" s="237">
        <v>81.180000000000007</v>
      </c>
      <c r="AC58" s="237"/>
      <c r="AD58" s="237"/>
      <c r="AE58" s="237"/>
      <c r="AF58" s="237"/>
      <c r="AG58" s="11" t="s">
        <v>6675</v>
      </c>
      <c r="AH58" s="2"/>
      <c r="AI58" s="2"/>
      <c r="AJ58" s="2"/>
      <c r="AK58" s="2"/>
      <c r="AL58" s="2"/>
      <c r="AM58" s="2"/>
      <c r="AN58" s="2"/>
      <c r="AO58" s="2"/>
      <c r="AP58" s="7"/>
    </row>
    <row r="59" spans="1:42"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7"/>
    </row>
    <row r="60" spans="1:42"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7"/>
    </row>
    <row r="61" spans="1:42"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7"/>
    </row>
    <row r="62" spans="1:42"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7"/>
    </row>
    <row r="63" spans="1:42"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7"/>
    </row>
    <row r="64" spans="1:42"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4"/>
    </row>
  </sheetData>
  <mergeCells count="199">
    <mergeCell ref="D64:AJ64"/>
    <mergeCell ref="R58:W58"/>
    <mergeCell ref="X58:Y58"/>
    <mergeCell ref="AB58:AF58"/>
    <mergeCell ref="D61:R61"/>
    <mergeCell ref="U61:AI61"/>
    <mergeCell ref="D58:E58"/>
    <mergeCell ref="F58:J58"/>
    <mergeCell ref="L58:N58"/>
    <mergeCell ref="O58:Q58"/>
    <mergeCell ref="AB57:AF57"/>
    <mergeCell ref="D56:E56"/>
    <mergeCell ref="D55:E55"/>
    <mergeCell ref="F55:J55"/>
    <mergeCell ref="L55:N55"/>
    <mergeCell ref="O55:Q55"/>
    <mergeCell ref="R55:W55"/>
    <mergeCell ref="X55:Y55"/>
    <mergeCell ref="F56:J56"/>
    <mergeCell ref="AB55:AF55"/>
    <mergeCell ref="AB56:AF56"/>
    <mergeCell ref="D62:R62"/>
    <mergeCell ref="U62:AI62"/>
    <mergeCell ref="D57:E57"/>
    <mergeCell ref="F57:J57"/>
    <mergeCell ref="L57:N57"/>
    <mergeCell ref="O57:Q57"/>
    <mergeCell ref="R57:W57"/>
    <mergeCell ref="X57:Y57"/>
    <mergeCell ref="R56:W56"/>
    <mergeCell ref="F53:J53"/>
    <mergeCell ref="X56:Y56"/>
    <mergeCell ref="L56:N56"/>
    <mergeCell ref="O56:Q56"/>
    <mergeCell ref="L53:N53"/>
    <mergeCell ref="O53:Q53"/>
    <mergeCell ref="R53:W53"/>
    <mergeCell ref="X53:Y53"/>
    <mergeCell ref="AB52:AF52"/>
    <mergeCell ref="AB53:AF53"/>
    <mergeCell ref="D54:E54"/>
    <mergeCell ref="F54:J54"/>
    <mergeCell ref="L54:N54"/>
    <mergeCell ref="O54:Q54"/>
    <mergeCell ref="R54:W54"/>
    <mergeCell ref="X54:Y54"/>
    <mergeCell ref="AB54:AF54"/>
    <mergeCell ref="D53:E53"/>
    <mergeCell ref="D52:E52"/>
    <mergeCell ref="F52:J52"/>
    <mergeCell ref="L52:N52"/>
    <mergeCell ref="O52:Q52"/>
    <mergeCell ref="R52:W52"/>
    <mergeCell ref="X52:Y52"/>
    <mergeCell ref="D51:E51"/>
    <mergeCell ref="F51:J51"/>
    <mergeCell ref="L51:N51"/>
    <mergeCell ref="O51:Q51"/>
    <mergeCell ref="V47:AB47"/>
    <mergeCell ref="AC47:AD47"/>
    <mergeCell ref="R51:W51"/>
    <mergeCell ref="X51:Y51"/>
    <mergeCell ref="AB51:AF51"/>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O2"/>
    <mergeCell ref="A4:AO4"/>
    <mergeCell ref="D7:H7"/>
    <mergeCell ref="I7:X7"/>
    <mergeCell ref="Y7:AM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indexed="26"/>
  </sheetPr>
  <dimension ref="A1:AU63"/>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3" width="0.1406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6676</v>
      </c>
      <c r="E7" s="269"/>
      <c r="F7" s="269"/>
      <c r="G7" s="269"/>
      <c r="H7" s="269" t="s">
        <v>6677</v>
      </c>
      <c r="I7" s="269"/>
      <c r="J7" s="269"/>
      <c r="K7" s="269"/>
      <c r="L7" s="269"/>
      <c r="M7" s="269"/>
      <c r="N7" s="269"/>
      <c r="O7" s="269"/>
      <c r="P7" s="269"/>
      <c r="Q7" s="269"/>
      <c r="R7" s="269"/>
      <c r="S7" s="269"/>
      <c r="T7" s="269"/>
      <c r="U7" s="269"/>
      <c r="V7" s="269"/>
      <c r="W7" s="269"/>
      <c r="X7" s="270" t="s">
        <v>6678</v>
      </c>
      <c r="Y7" s="270"/>
      <c r="Z7" s="270"/>
      <c r="AA7" s="270"/>
      <c r="AB7" s="270"/>
      <c r="AC7" s="270"/>
      <c r="AD7" s="270"/>
      <c r="AE7" s="270"/>
      <c r="AF7" s="270"/>
      <c r="AG7" s="270"/>
      <c r="AH7" s="270"/>
      <c r="AI7" s="270"/>
      <c r="AJ7" s="270"/>
      <c r="AK7" s="270"/>
      <c r="AL7" s="270"/>
      <c r="AM7" s="270"/>
      <c r="AN7" s="2"/>
      <c r="AO7" s="2"/>
      <c r="AP7" s="7"/>
      <c r="AT7" s="22" t="s">
        <v>1518</v>
      </c>
      <c r="AU7" s="35" t="str">
        <f>H7</f>
        <v>PAKS-1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6679</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6680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406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6681</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1485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500</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470</v>
      </c>
    </row>
    <row r="18" spans="1:47" ht="13.5" thickBot="1">
      <c r="A18" s="6"/>
      <c r="B18" s="1"/>
      <c r="C18" s="1"/>
      <c r="D18" s="248" t="s">
        <v>185</v>
      </c>
      <c r="E18" s="248"/>
      <c r="F18" s="248"/>
      <c r="G18" s="248"/>
      <c r="H18" s="248"/>
      <c r="I18" s="248"/>
      <c r="J18" s="248"/>
      <c r="K18" s="248"/>
      <c r="L18" s="8" t="s">
        <v>5709</v>
      </c>
      <c r="M18" s="264">
        <v>1485</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30313</v>
      </c>
    </row>
    <row r="19" spans="1:47" ht="13.5" thickBot="1">
      <c r="A19" s="6"/>
      <c r="B19" s="1"/>
      <c r="C19" s="1"/>
      <c r="D19" s="248" t="s">
        <v>189</v>
      </c>
      <c r="E19" s="248"/>
      <c r="F19" s="248"/>
      <c r="G19" s="248"/>
      <c r="H19" s="248"/>
      <c r="I19" s="248"/>
      <c r="J19" s="248"/>
      <c r="K19" s="248"/>
      <c r="L19" s="8" t="s">
        <v>5709</v>
      </c>
      <c r="M19" s="264">
        <v>500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37000</v>
      </c>
    </row>
    <row r="20" spans="1:47" ht="13.5" thickBot="1">
      <c r="A20" s="6"/>
      <c r="B20" s="1"/>
      <c r="C20" s="1"/>
      <c r="D20" s="248" t="s">
        <v>193</v>
      </c>
      <c r="E20" s="248"/>
      <c r="F20" s="248"/>
      <c r="G20" s="248"/>
      <c r="H20" s="248"/>
      <c r="I20" s="248"/>
      <c r="J20" s="248"/>
      <c r="K20" s="248"/>
      <c r="L20" s="8" t="s">
        <v>5709</v>
      </c>
      <c r="M20" s="264">
        <v>408</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91.52</v>
      </c>
    </row>
    <row r="21" spans="1:47" ht="13.5" thickBot="1">
      <c r="A21" s="6"/>
      <c r="B21" s="1"/>
      <c r="C21" s="1"/>
      <c r="D21" s="248" t="s">
        <v>196</v>
      </c>
      <c r="E21" s="248"/>
      <c r="F21" s="248"/>
      <c r="G21" s="248"/>
      <c r="H21" s="248"/>
      <c r="I21" s="248"/>
      <c r="J21" s="248"/>
      <c r="K21" s="248"/>
      <c r="L21" s="8" t="s">
        <v>5709</v>
      </c>
      <c r="M21" s="264">
        <v>470</v>
      </c>
      <c r="N21" s="264"/>
      <c r="O21" s="264"/>
      <c r="P21" s="248" t="s">
        <v>190</v>
      </c>
      <c r="Q21" s="248"/>
      <c r="R21" s="248"/>
      <c r="S21" s="2"/>
      <c r="T21" s="2"/>
      <c r="U21" s="252" t="s">
        <v>197</v>
      </c>
      <c r="V21" s="252"/>
      <c r="W21" s="252"/>
      <c r="X21" s="252"/>
      <c r="Y21" s="252"/>
      <c r="Z21" s="252"/>
      <c r="AA21" s="252"/>
      <c r="AB21" s="247" t="s">
        <v>5709</v>
      </c>
      <c r="AC21" s="247"/>
      <c r="AD21" s="248" t="s">
        <v>198</v>
      </c>
      <c r="AE21" s="248"/>
      <c r="AF21" s="248"/>
      <c r="AG21" s="248"/>
      <c r="AH21" s="248"/>
      <c r="AI21" s="248"/>
      <c r="AJ21" s="248"/>
      <c r="AK21" s="2"/>
      <c r="AL21" s="1"/>
      <c r="AM21" s="2"/>
      <c r="AN21" s="1"/>
      <c r="AO21" s="2"/>
      <c r="AP21" s="7"/>
      <c r="AT21" s="23" t="str">
        <f>D57&amp;AF50</f>
        <v>LF [%]2010</v>
      </c>
      <c r="AU21" s="23">
        <f>AF57</f>
        <v>91.37</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412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27242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6277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30313</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6682</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30538</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6683</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6280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6684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6685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6686</v>
      </c>
      <c r="G51" s="238"/>
      <c r="H51" s="238"/>
      <c r="I51" s="238"/>
      <c r="J51" s="10" t="s">
        <v>6687</v>
      </c>
      <c r="K51" s="238" t="s">
        <v>6688</v>
      </c>
      <c r="L51" s="238"/>
      <c r="M51" s="238"/>
      <c r="N51" s="238" t="s">
        <v>6689</v>
      </c>
      <c r="O51" s="238"/>
      <c r="P51" s="238"/>
      <c r="Q51" s="238" t="s">
        <v>6690</v>
      </c>
      <c r="R51" s="238"/>
      <c r="S51" s="238"/>
      <c r="T51" s="238"/>
      <c r="U51" s="238"/>
      <c r="V51" s="238"/>
      <c r="W51" s="238" t="s">
        <v>6691</v>
      </c>
      <c r="X51" s="238"/>
      <c r="Y51" s="10" t="s">
        <v>6692</v>
      </c>
      <c r="Z51" s="10" t="s">
        <v>6693</v>
      </c>
      <c r="AA51" s="238" t="s">
        <v>6694</v>
      </c>
      <c r="AB51" s="238"/>
      <c r="AC51" s="238"/>
      <c r="AD51" s="238"/>
      <c r="AE51" s="238"/>
      <c r="AF51" s="10" t="s">
        <v>6695</v>
      </c>
      <c r="AG51" s="237" t="s">
        <v>6696</v>
      </c>
      <c r="AH51" s="237"/>
      <c r="AI51" s="237"/>
      <c r="AJ51" s="237"/>
      <c r="AK51" s="237"/>
      <c r="AL51" s="2"/>
      <c r="AM51" s="2"/>
      <c r="AN51" s="2"/>
      <c r="AO51" s="2"/>
      <c r="AP51" s="7"/>
    </row>
    <row r="52" spans="1:42" ht="13.5" thickBot="1">
      <c r="A52" s="6"/>
      <c r="B52" s="2"/>
      <c r="C52" s="2"/>
      <c r="D52" s="244" t="s">
        <v>261</v>
      </c>
      <c r="E52" s="244"/>
      <c r="F52" s="238" t="s">
        <v>6697</v>
      </c>
      <c r="G52" s="238"/>
      <c r="H52" s="238"/>
      <c r="I52" s="238"/>
      <c r="J52" s="10" t="s">
        <v>6698</v>
      </c>
      <c r="K52" s="238" t="s">
        <v>6699</v>
      </c>
      <c r="L52" s="238"/>
      <c r="M52" s="238"/>
      <c r="N52" s="238" t="s">
        <v>6700</v>
      </c>
      <c r="O52" s="238"/>
      <c r="P52" s="238"/>
      <c r="Q52" s="238" t="s">
        <v>6403</v>
      </c>
      <c r="R52" s="238"/>
      <c r="S52" s="238"/>
      <c r="T52" s="238"/>
      <c r="U52" s="238"/>
      <c r="V52" s="238"/>
      <c r="W52" s="238" t="s">
        <v>6453</v>
      </c>
      <c r="X52" s="238"/>
      <c r="Y52" s="10" t="s">
        <v>6701</v>
      </c>
      <c r="Z52" s="10" t="s">
        <v>6702</v>
      </c>
      <c r="AA52" s="238" t="s">
        <v>6703</v>
      </c>
      <c r="AB52" s="238"/>
      <c r="AC52" s="238"/>
      <c r="AD52" s="238"/>
      <c r="AE52" s="238"/>
      <c r="AF52" s="10" t="s">
        <v>6704</v>
      </c>
      <c r="AG52" s="237" t="s">
        <v>6705</v>
      </c>
      <c r="AH52" s="237"/>
      <c r="AI52" s="237"/>
      <c r="AJ52" s="237"/>
      <c r="AK52" s="237"/>
      <c r="AL52" s="2"/>
      <c r="AM52" s="2"/>
      <c r="AN52" s="2"/>
      <c r="AO52" s="2"/>
      <c r="AP52" s="7"/>
    </row>
    <row r="53" spans="1:42" ht="13.5" thickBot="1">
      <c r="A53" s="6"/>
      <c r="B53" s="2"/>
      <c r="C53" s="2"/>
      <c r="D53" s="244" t="s">
        <v>273</v>
      </c>
      <c r="E53" s="244"/>
      <c r="F53" s="238" t="s">
        <v>6706</v>
      </c>
      <c r="G53" s="238"/>
      <c r="H53" s="238"/>
      <c r="I53" s="238"/>
      <c r="J53" s="10" t="s">
        <v>6707</v>
      </c>
      <c r="K53" s="238" t="s">
        <v>6708</v>
      </c>
      <c r="L53" s="238"/>
      <c r="M53" s="238"/>
      <c r="N53" s="238" t="s">
        <v>6709</v>
      </c>
      <c r="O53" s="238"/>
      <c r="P53" s="238"/>
      <c r="Q53" s="238" t="s">
        <v>6710</v>
      </c>
      <c r="R53" s="238"/>
      <c r="S53" s="238"/>
      <c r="T53" s="238"/>
      <c r="U53" s="238"/>
      <c r="V53" s="238"/>
      <c r="W53" s="238" t="s">
        <v>6711</v>
      </c>
      <c r="X53" s="238"/>
      <c r="Y53" s="10" t="s">
        <v>6712</v>
      </c>
      <c r="Z53" s="10" t="s">
        <v>6713</v>
      </c>
      <c r="AA53" s="238" t="s">
        <v>6713</v>
      </c>
      <c r="AB53" s="238"/>
      <c r="AC53" s="238"/>
      <c r="AD53" s="238"/>
      <c r="AE53" s="238"/>
      <c r="AF53" s="10" t="s">
        <v>6714</v>
      </c>
      <c r="AG53" s="237" t="s">
        <v>452</v>
      </c>
      <c r="AH53" s="237"/>
      <c r="AI53" s="237"/>
      <c r="AJ53" s="237"/>
      <c r="AK53" s="237"/>
      <c r="AL53" s="2"/>
      <c r="AM53" s="2"/>
      <c r="AN53" s="2"/>
      <c r="AO53" s="2"/>
      <c r="AP53" s="7"/>
    </row>
    <row r="54" spans="1:42" ht="13.5" thickBot="1">
      <c r="A54" s="6"/>
      <c r="B54" s="2"/>
      <c r="C54" s="2"/>
      <c r="D54" s="244" t="s">
        <v>285</v>
      </c>
      <c r="E54" s="244"/>
      <c r="F54" s="238" t="s">
        <v>6715</v>
      </c>
      <c r="G54" s="238"/>
      <c r="H54" s="238"/>
      <c r="I54" s="238"/>
      <c r="J54" s="10" t="s">
        <v>6716</v>
      </c>
      <c r="K54" s="238" t="s">
        <v>6699</v>
      </c>
      <c r="L54" s="238"/>
      <c r="M54" s="238"/>
      <c r="N54" s="238" t="s">
        <v>6700</v>
      </c>
      <c r="O54" s="238"/>
      <c r="P54" s="238"/>
      <c r="Q54" s="238" t="s">
        <v>6403</v>
      </c>
      <c r="R54" s="238"/>
      <c r="S54" s="238"/>
      <c r="T54" s="238"/>
      <c r="U54" s="238"/>
      <c r="V54" s="238"/>
      <c r="W54" s="238" t="s">
        <v>6453</v>
      </c>
      <c r="X54" s="238"/>
      <c r="Y54" s="10" t="s">
        <v>6701</v>
      </c>
      <c r="Z54" s="10" t="s">
        <v>6702</v>
      </c>
      <c r="AA54" s="238" t="s">
        <v>6703</v>
      </c>
      <c r="AB54" s="238"/>
      <c r="AC54" s="238"/>
      <c r="AD54" s="238"/>
      <c r="AE54" s="238"/>
      <c r="AF54" s="10" t="s">
        <v>6704</v>
      </c>
      <c r="AG54" s="237" t="s">
        <v>6717</v>
      </c>
      <c r="AH54" s="237"/>
      <c r="AI54" s="237"/>
      <c r="AJ54" s="237"/>
      <c r="AK54" s="237"/>
      <c r="AL54" s="2"/>
      <c r="AM54" s="2"/>
      <c r="AN54" s="2"/>
      <c r="AO54" s="2"/>
      <c r="AP54" s="7"/>
    </row>
    <row r="55" spans="1:42" ht="13.5" thickBot="1">
      <c r="A55" s="6"/>
      <c r="B55" s="2"/>
      <c r="C55" s="2"/>
      <c r="D55" s="244" t="s">
        <v>295</v>
      </c>
      <c r="E55" s="244"/>
      <c r="F55" s="238" t="s">
        <v>377</v>
      </c>
      <c r="G55" s="238"/>
      <c r="H55" s="238"/>
      <c r="I55" s="238"/>
      <c r="J55" s="10" t="s">
        <v>6718</v>
      </c>
      <c r="K55" s="238" t="s">
        <v>6719</v>
      </c>
      <c r="L55" s="238"/>
      <c r="M55" s="238"/>
      <c r="N55" s="238" t="s">
        <v>301</v>
      </c>
      <c r="O55" s="238"/>
      <c r="P55" s="238"/>
      <c r="Q55" s="238" t="s">
        <v>377</v>
      </c>
      <c r="R55" s="238"/>
      <c r="S55" s="238"/>
      <c r="T55" s="238"/>
      <c r="U55" s="238"/>
      <c r="V55" s="238"/>
      <c r="W55" s="238" t="s">
        <v>6720</v>
      </c>
      <c r="X55" s="238"/>
      <c r="Y55" s="10" t="s">
        <v>296</v>
      </c>
      <c r="Z55" s="10" t="s">
        <v>355</v>
      </c>
      <c r="AA55" s="238" t="s">
        <v>6721</v>
      </c>
      <c r="AB55" s="238"/>
      <c r="AC55" s="238"/>
      <c r="AD55" s="238"/>
      <c r="AE55" s="238"/>
      <c r="AF55" s="10" t="s">
        <v>6087</v>
      </c>
      <c r="AG55" s="237" t="s">
        <v>6722</v>
      </c>
      <c r="AH55" s="237"/>
      <c r="AI55" s="237"/>
      <c r="AJ55" s="237"/>
      <c r="AK55" s="237"/>
      <c r="AL55" s="2"/>
      <c r="AM55" s="2"/>
      <c r="AN55" s="2"/>
      <c r="AO55" s="2"/>
      <c r="AP55" s="7"/>
    </row>
    <row r="56" spans="1:42" ht="13.5" thickBot="1">
      <c r="A56" s="6"/>
      <c r="B56" s="2"/>
      <c r="C56" s="2"/>
      <c r="D56" s="244" t="s">
        <v>307</v>
      </c>
      <c r="E56" s="244"/>
      <c r="F56" s="238" t="s">
        <v>6723</v>
      </c>
      <c r="G56" s="238"/>
      <c r="H56" s="238"/>
      <c r="I56" s="238"/>
      <c r="J56" s="10" t="s">
        <v>6724</v>
      </c>
      <c r="K56" s="238" t="s">
        <v>6725</v>
      </c>
      <c r="L56" s="238"/>
      <c r="M56" s="238"/>
      <c r="N56" s="238" t="s">
        <v>6726</v>
      </c>
      <c r="O56" s="238"/>
      <c r="P56" s="238"/>
      <c r="Q56" s="238" t="s">
        <v>6727</v>
      </c>
      <c r="R56" s="238"/>
      <c r="S56" s="238"/>
      <c r="T56" s="238"/>
      <c r="U56" s="238"/>
      <c r="V56" s="238"/>
      <c r="W56" s="238" t="s">
        <v>6728</v>
      </c>
      <c r="X56" s="238"/>
      <c r="Y56" s="10" t="s">
        <v>6729</v>
      </c>
      <c r="Z56" s="10" t="s">
        <v>6730</v>
      </c>
      <c r="AA56" s="238" t="s">
        <v>6331</v>
      </c>
      <c r="AB56" s="238"/>
      <c r="AC56" s="238"/>
      <c r="AD56" s="238"/>
      <c r="AE56" s="238"/>
      <c r="AF56" s="10" t="s">
        <v>6540</v>
      </c>
      <c r="AG56" s="237" t="s">
        <v>6731</v>
      </c>
      <c r="AH56" s="237"/>
      <c r="AI56" s="237"/>
      <c r="AJ56" s="237"/>
      <c r="AK56" s="237"/>
      <c r="AL56" s="2"/>
      <c r="AM56" s="2"/>
      <c r="AN56" s="2"/>
      <c r="AO56" s="2"/>
      <c r="AP56" s="7"/>
    </row>
    <row r="57" spans="1:42" ht="13.5" thickBot="1">
      <c r="A57" s="6"/>
      <c r="B57" s="2"/>
      <c r="C57" s="2"/>
      <c r="D57" s="244" t="s">
        <v>319</v>
      </c>
      <c r="E57" s="244"/>
      <c r="F57" s="237" t="s">
        <v>6732</v>
      </c>
      <c r="G57" s="237"/>
      <c r="H57" s="237"/>
      <c r="I57" s="237"/>
      <c r="J57" s="11" t="s">
        <v>6733</v>
      </c>
      <c r="K57" s="237" t="s">
        <v>6734</v>
      </c>
      <c r="L57" s="237"/>
      <c r="M57" s="237"/>
      <c r="N57" s="237" t="s">
        <v>6700</v>
      </c>
      <c r="O57" s="237"/>
      <c r="P57" s="237"/>
      <c r="Q57" s="237">
        <v>91.52</v>
      </c>
      <c r="R57" s="237"/>
      <c r="S57" s="237"/>
      <c r="T57" s="237"/>
      <c r="U57" s="237"/>
      <c r="V57" s="237"/>
      <c r="W57" s="237" t="s">
        <v>6735</v>
      </c>
      <c r="X57" s="237"/>
      <c r="Y57" s="11" t="s">
        <v>6736</v>
      </c>
      <c r="Z57" s="11" t="s">
        <v>6737</v>
      </c>
      <c r="AA57" s="237" t="s">
        <v>6738</v>
      </c>
      <c r="AB57" s="237"/>
      <c r="AC57" s="237"/>
      <c r="AD57" s="237"/>
      <c r="AE57" s="237"/>
      <c r="AF57" s="11">
        <v>91.37</v>
      </c>
      <c r="AG57" s="237" t="s">
        <v>6739</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indexed="26"/>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6740</v>
      </c>
      <c r="E7" s="269"/>
      <c r="F7" s="269"/>
      <c r="G7" s="269"/>
      <c r="H7" s="269"/>
      <c r="I7" s="269" t="s">
        <v>6741</v>
      </c>
      <c r="J7" s="269"/>
      <c r="K7" s="269"/>
      <c r="L7" s="269"/>
      <c r="M7" s="269"/>
      <c r="N7" s="269"/>
      <c r="O7" s="269"/>
      <c r="P7" s="269"/>
      <c r="Q7" s="269"/>
      <c r="R7" s="269"/>
      <c r="S7" s="269"/>
      <c r="T7" s="269"/>
      <c r="U7" s="269"/>
      <c r="V7" s="269"/>
      <c r="W7" s="269"/>
      <c r="X7" s="269"/>
      <c r="Y7" s="270" t="s">
        <v>6678</v>
      </c>
      <c r="Z7" s="270"/>
      <c r="AA7" s="270"/>
      <c r="AB7" s="270"/>
      <c r="AC7" s="270"/>
      <c r="AD7" s="270"/>
      <c r="AE7" s="270"/>
      <c r="AF7" s="270"/>
      <c r="AG7" s="270"/>
      <c r="AH7" s="270"/>
      <c r="AI7" s="270"/>
      <c r="AJ7" s="270"/>
      <c r="AK7" s="270"/>
      <c r="AL7" s="270"/>
      <c r="AM7" s="270"/>
      <c r="AN7" s="270"/>
      <c r="AO7" s="2"/>
      <c r="AP7" s="2"/>
      <c r="AQ7" s="7"/>
      <c r="AT7" s="22" t="s">
        <v>1518</v>
      </c>
      <c r="AU7" s="35" t="str">
        <f>I7</f>
        <v>PAKS-2</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6679</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6680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406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V-213</v>
      </c>
    </row>
    <row r="13" spans="1:47" ht="13.5" customHeight="1">
      <c r="A13" s="6"/>
      <c r="B13" s="1"/>
      <c r="C13" s="2"/>
      <c r="D13" s="247" t="s">
        <v>5716</v>
      </c>
      <c r="E13" s="247"/>
      <c r="F13" s="247"/>
      <c r="G13" s="247"/>
      <c r="H13" s="247" t="s">
        <v>5709</v>
      </c>
      <c r="I13" s="247"/>
      <c r="J13" s="247" t="s">
        <v>6681</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1485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500</v>
      </c>
    </row>
    <row r="17" spans="1:47" ht="11.45" customHeight="1" thickBot="1">
      <c r="A17" s="6"/>
      <c r="B17" s="1"/>
      <c r="C17" s="1"/>
      <c r="D17" s="248" t="s">
        <v>5722</v>
      </c>
      <c r="E17" s="248"/>
      <c r="F17" s="248"/>
      <c r="G17" s="248"/>
      <c r="H17" s="247" t="s">
        <v>5709</v>
      </c>
      <c r="I17" s="247"/>
      <c r="J17" s="248" t="s">
        <v>408</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473</v>
      </c>
    </row>
    <row r="18" spans="1:47" ht="13.5" thickBot="1">
      <c r="A18" s="6"/>
      <c r="B18" s="1"/>
      <c r="C18" s="1"/>
      <c r="D18" s="248" t="s">
        <v>185</v>
      </c>
      <c r="E18" s="248"/>
      <c r="F18" s="248"/>
      <c r="G18" s="248"/>
      <c r="H18" s="248"/>
      <c r="I18" s="248"/>
      <c r="J18" s="248"/>
      <c r="K18" s="248"/>
      <c r="L18" s="248"/>
      <c r="M18" s="8" t="s">
        <v>5709</v>
      </c>
      <c r="N18" s="264">
        <v>1485</v>
      </c>
      <c r="O18" s="264"/>
      <c r="P18" s="264"/>
      <c r="Q18" s="248" t="s">
        <v>186</v>
      </c>
      <c r="R18" s="248"/>
      <c r="S18" s="248"/>
      <c r="T18" s="2"/>
      <c r="U18" s="2"/>
      <c r="V18" s="252" t="s">
        <v>187</v>
      </c>
      <c r="W18" s="252"/>
      <c r="X18" s="252"/>
      <c r="Y18" s="252"/>
      <c r="Z18" s="252"/>
      <c r="AA18" s="252"/>
      <c r="AB18" s="252"/>
      <c r="AC18" s="247" t="s">
        <v>5709</v>
      </c>
      <c r="AD18" s="247"/>
      <c r="AE18" s="248" t="s">
        <v>409</v>
      </c>
      <c r="AF18" s="248"/>
      <c r="AG18" s="248"/>
      <c r="AH18" s="248"/>
      <c r="AI18" s="248"/>
      <c r="AJ18" s="248"/>
      <c r="AK18" s="248"/>
      <c r="AL18" s="2"/>
      <c r="AM18" s="1"/>
      <c r="AN18" s="2"/>
      <c r="AO18" s="1"/>
      <c r="AP18" s="2"/>
      <c r="AQ18" s="7"/>
      <c r="AT18" s="25" t="str">
        <f>D26</f>
        <v>Grid Date</v>
      </c>
      <c r="AU18" s="25">
        <f>N26</f>
        <v>30931</v>
      </c>
    </row>
    <row r="19" spans="1:47" ht="13.5" thickBot="1">
      <c r="A19" s="6"/>
      <c r="B19" s="1"/>
      <c r="C19" s="1"/>
      <c r="D19" s="248" t="s">
        <v>189</v>
      </c>
      <c r="E19" s="248"/>
      <c r="F19" s="248"/>
      <c r="G19" s="248"/>
      <c r="H19" s="248"/>
      <c r="I19" s="248"/>
      <c r="J19" s="248"/>
      <c r="K19" s="248"/>
      <c r="L19" s="248"/>
      <c r="M19" s="8" t="s">
        <v>5709</v>
      </c>
      <c r="N19" s="264">
        <v>500</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37000</v>
      </c>
    </row>
    <row r="20" spans="1:47" ht="13.5" thickBot="1">
      <c r="A20" s="6"/>
      <c r="B20" s="1"/>
      <c r="C20" s="1"/>
      <c r="D20" s="248" t="s">
        <v>193</v>
      </c>
      <c r="E20" s="248"/>
      <c r="F20" s="248"/>
      <c r="G20" s="248"/>
      <c r="H20" s="248"/>
      <c r="I20" s="248"/>
      <c r="J20" s="248"/>
      <c r="K20" s="248"/>
      <c r="L20" s="248"/>
      <c r="M20" s="8" t="s">
        <v>5709</v>
      </c>
      <c r="N20" s="264">
        <v>410</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f>R58</f>
        <v>75.83</v>
      </c>
    </row>
    <row r="21" spans="1:47" ht="13.5" thickBot="1">
      <c r="A21" s="6"/>
      <c r="B21" s="1"/>
      <c r="C21" s="1"/>
      <c r="D21" s="248" t="s">
        <v>196</v>
      </c>
      <c r="E21" s="248"/>
      <c r="F21" s="248"/>
      <c r="G21" s="248"/>
      <c r="H21" s="248"/>
      <c r="I21" s="248"/>
      <c r="J21" s="248"/>
      <c r="K21" s="248"/>
      <c r="L21" s="248"/>
      <c r="M21" s="8" t="s">
        <v>5709</v>
      </c>
      <c r="N21" s="264">
        <v>473</v>
      </c>
      <c r="O21" s="264"/>
      <c r="P21" s="264"/>
      <c r="Q21" s="248" t="s">
        <v>190</v>
      </c>
      <c r="R21" s="248"/>
      <c r="S21" s="248"/>
      <c r="T21" s="2"/>
      <c r="U21" s="2"/>
      <c r="V21" s="252" t="s">
        <v>197</v>
      </c>
      <c r="W21" s="252"/>
      <c r="X21" s="252"/>
      <c r="Y21" s="252"/>
      <c r="Z21" s="252"/>
      <c r="AA21" s="252"/>
      <c r="AB21" s="252"/>
      <c r="AC21" s="247" t="s">
        <v>5709</v>
      </c>
      <c r="AD21" s="247"/>
      <c r="AE21" s="248" t="s">
        <v>198</v>
      </c>
      <c r="AF21" s="248"/>
      <c r="AG21" s="248"/>
      <c r="AH21" s="248"/>
      <c r="AI21" s="248"/>
      <c r="AJ21" s="248"/>
      <c r="AK21" s="248"/>
      <c r="AL21" s="2"/>
      <c r="AM21" s="1"/>
      <c r="AN21" s="2"/>
      <c r="AO21" s="1"/>
      <c r="AP21" s="2"/>
      <c r="AQ21" s="7"/>
      <c r="AT21" s="23" t="str">
        <f>D58&amp;AG51</f>
        <v>LF [%]2010</v>
      </c>
      <c r="AU21" s="23">
        <f>AG58</f>
        <v>89.68</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411</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412</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27242</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6277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30931</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6682</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31000</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415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416</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6683</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6280</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6742</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229</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6743</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6744</v>
      </c>
      <c r="G52" s="238"/>
      <c r="H52" s="238"/>
      <c r="I52" s="238"/>
      <c r="J52" s="238"/>
      <c r="K52" s="10" t="s">
        <v>6745</v>
      </c>
      <c r="L52" s="238" t="s">
        <v>6746</v>
      </c>
      <c r="M52" s="238"/>
      <c r="N52" s="238"/>
      <c r="O52" s="238" t="s">
        <v>6747</v>
      </c>
      <c r="P52" s="238"/>
      <c r="Q52" s="238"/>
      <c r="R52" s="238" t="s">
        <v>6748</v>
      </c>
      <c r="S52" s="238"/>
      <c r="T52" s="238"/>
      <c r="U52" s="238"/>
      <c r="V52" s="238"/>
      <c r="W52" s="238"/>
      <c r="X52" s="238" t="s">
        <v>6749</v>
      </c>
      <c r="Y52" s="238"/>
      <c r="Z52" s="10" t="s">
        <v>6750</v>
      </c>
      <c r="AA52" s="10" t="s">
        <v>6751</v>
      </c>
      <c r="AB52" s="238" t="s">
        <v>6752</v>
      </c>
      <c r="AC52" s="238"/>
      <c r="AD52" s="238"/>
      <c r="AE52" s="238"/>
      <c r="AF52" s="238"/>
      <c r="AG52" s="10" t="s">
        <v>6753</v>
      </c>
      <c r="AH52" s="237" t="s">
        <v>6754</v>
      </c>
      <c r="AI52" s="237"/>
      <c r="AJ52" s="237"/>
      <c r="AK52" s="237"/>
      <c r="AL52" s="237"/>
      <c r="AM52" s="2"/>
      <c r="AN52" s="2"/>
      <c r="AO52" s="2"/>
      <c r="AP52" s="2"/>
      <c r="AQ52" s="7"/>
    </row>
    <row r="53" spans="1:43" ht="13.5" thickBot="1">
      <c r="A53" s="6"/>
      <c r="B53" s="2"/>
      <c r="C53" s="2"/>
      <c r="D53" s="244" t="s">
        <v>261</v>
      </c>
      <c r="E53" s="244"/>
      <c r="F53" s="238" t="s">
        <v>6755</v>
      </c>
      <c r="G53" s="238"/>
      <c r="H53" s="238"/>
      <c r="I53" s="238"/>
      <c r="J53" s="238"/>
      <c r="K53" s="10" t="s">
        <v>6756</v>
      </c>
      <c r="L53" s="238" t="s">
        <v>6757</v>
      </c>
      <c r="M53" s="238"/>
      <c r="N53" s="238"/>
      <c r="O53" s="238" t="s">
        <v>6758</v>
      </c>
      <c r="P53" s="238"/>
      <c r="Q53" s="238"/>
      <c r="R53" s="238" t="s">
        <v>6759</v>
      </c>
      <c r="S53" s="238"/>
      <c r="T53" s="238"/>
      <c r="U53" s="238"/>
      <c r="V53" s="238"/>
      <c r="W53" s="238"/>
      <c r="X53" s="238" t="s">
        <v>6760</v>
      </c>
      <c r="Y53" s="238"/>
      <c r="Z53" s="10" t="s">
        <v>6761</v>
      </c>
      <c r="AA53" s="10" t="s">
        <v>6762</v>
      </c>
      <c r="AB53" s="238" t="s">
        <v>6763</v>
      </c>
      <c r="AC53" s="238"/>
      <c r="AD53" s="238"/>
      <c r="AE53" s="238"/>
      <c r="AF53" s="238"/>
      <c r="AG53" s="10" t="s">
        <v>6764</v>
      </c>
      <c r="AH53" s="237" t="s">
        <v>6765</v>
      </c>
      <c r="AI53" s="237"/>
      <c r="AJ53" s="237"/>
      <c r="AK53" s="237"/>
      <c r="AL53" s="237"/>
      <c r="AM53" s="2"/>
      <c r="AN53" s="2"/>
      <c r="AO53" s="2"/>
      <c r="AP53" s="2"/>
      <c r="AQ53" s="7"/>
    </row>
    <row r="54" spans="1:43" ht="13.5" thickBot="1">
      <c r="A54" s="6"/>
      <c r="B54" s="2"/>
      <c r="C54" s="2"/>
      <c r="D54" s="244" t="s">
        <v>273</v>
      </c>
      <c r="E54" s="244"/>
      <c r="F54" s="238" t="s">
        <v>6766</v>
      </c>
      <c r="G54" s="238"/>
      <c r="H54" s="238"/>
      <c r="I54" s="238"/>
      <c r="J54" s="238"/>
      <c r="K54" s="10" t="s">
        <v>6767</v>
      </c>
      <c r="L54" s="238" t="s">
        <v>6768</v>
      </c>
      <c r="M54" s="238"/>
      <c r="N54" s="238"/>
      <c r="O54" s="238" t="s">
        <v>6769</v>
      </c>
      <c r="P54" s="238"/>
      <c r="Q54" s="238"/>
      <c r="R54" s="238" t="s">
        <v>6770</v>
      </c>
      <c r="S54" s="238"/>
      <c r="T54" s="238"/>
      <c r="U54" s="238"/>
      <c r="V54" s="238"/>
      <c r="W54" s="238"/>
      <c r="X54" s="238" t="s">
        <v>6771</v>
      </c>
      <c r="Y54" s="238"/>
      <c r="Z54" s="10" t="s">
        <v>6310</v>
      </c>
      <c r="AA54" s="10" t="s">
        <v>6772</v>
      </c>
      <c r="AB54" s="238" t="s">
        <v>6773</v>
      </c>
      <c r="AC54" s="238"/>
      <c r="AD54" s="238"/>
      <c r="AE54" s="238"/>
      <c r="AF54" s="238"/>
      <c r="AG54" s="10" t="s">
        <v>6774</v>
      </c>
      <c r="AH54" s="237" t="s">
        <v>6775</v>
      </c>
      <c r="AI54" s="237"/>
      <c r="AJ54" s="237"/>
      <c r="AK54" s="237"/>
      <c r="AL54" s="237"/>
      <c r="AM54" s="2"/>
      <c r="AN54" s="2"/>
      <c r="AO54" s="2"/>
      <c r="AP54" s="2"/>
      <c r="AQ54" s="7"/>
    </row>
    <row r="55" spans="1:43" ht="13.5" thickBot="1">
      <c r="A55" s="6"/>
      <c r="B55" s="2"/>
      <c r="C55" s="2"/>
      <c r="D55" s="244" t="s">
        <v>285</v>
      </c>
      <c r="E55" s="244"/>
      <c r="F55" s="238" t="s">
        <v>6776</v>
      </c>
      <c r="G55" s="238"/>
      <c r="H55" s="238"/>
      <c r="I55" s="238"/>
      <c r="J55" s="238"/>
      <c r="K55" s="10" t="s">
        <v>6777</v>
      </c>
      <c r="L55" s="238" t="s">
        <v>6757</v>
      </c>
      <c r="M55" s="238"/>
      <c r="N55" s="238"/>
      <c r="O55" s="238" t="s">
        <v>6758</v>
      </c>
      <c r="P55" s="238"/>
      <c r="Q55" s="238"/>
      <c r="R55" s="238" t="s">
        <v>6759</v>
      </c>
      <c r="S55" s="238"/>
      <c r="T55" s="238"/>
      <c r="U55" s="238"/>
      <c r="V55" s="238"/>
      <c r="W55" s="238"/>
      <c r="X55" s="238" t="s">
        <v>6778</v>
      </c>
      <c r="Y55" s="238"/>
      <c r="Z55" s="10" t="s">
        <v>6761</v>
      </c>
      <c r="AA55" s="10" t="s">
        <v>6779</v>
      </c>
      <c r="AB55" s="238" t="s">
        <v>6763</v>
      </c>
      <c r="AC55" s="238"/>
      <c r="AD55" s="238"/>
      <c r="AE55" s="238"/>
      <c r="AF55" s="238"/>
      <c r="AG55" s="10" t="s">
        <v>6764</v>
      </c>
      <c r="AH55" s="237" t="s">
        <v>6780</v>
      </c>
      <c r="AI55" s="237"/>
      <c r="AJ55" s="237"/>
      <c r="AK55" s="237"/>
      <c r="AL55" s="237"/>
      <c r="AM55" s="2"/>
      <c r="AN55" s="2"/>
      <c r="AO55" s="2"/>
      <c r="AP55" s="2"/>
      <c r="AQ55" s="7"/>
    </row>
    <row r="56" spans="1:43" ht="13.5" thickBot="1">
      <c r="A56" s="6"/>
      <c r="B56" s="2"/>
      <c r="C56" s="2"/>
      <c r="D56" s="244" t="s">
        <v>295</v>
      </c>
      <c r="E56" s="244"/>
      <c r="F56" s="238" t="s">
        <v>6781</v>
      </c>
      <c r="G56" s="238"/>
      <c r="H56" s="238"/>
      <c r="I56" s="238"/>
      <c r="J56" s="238"/>
      <c r="K56" s="10" t="s">
        <v>6782</v>
      </c>
      <c r="L56" s="238" t="s">
        <v>6783</v>
      </c>
      <c r="M56" s="238"/>
      <c r="N56" s="238"/>
      <c r="O56" s="238" t="s">
        <v>6784</v>
      </c>
      <c r="P56" s="238"/>
      <c r="Q56" s="238"/>
      <c r="R56" s="238" t="s">
        <v>6523</v>
      </c>
      <c r="S56" s="238"/>
      <c r="T56" s="238"/>
      <c r="U56" s="238"/>
      <c r="V56" s="238"/>
      <c r="W56" s="238"/>
      <c r="X56" s="238" t="s">
        <v>378</v>
      </c>
      <c r="Y56" s="238"/>
      <c r="Z56" s="10" t="s">
        <v>6785</v>
      </c>
      <c r="AA56" s="10" t="s">
        <v>6786</v>
      </c>
      <c r="AB56" s="238" t="s">
        <v>6787</v>
      </c>
      <c r="AC56" s="238"/>
      <c r="AD56" s="238"/>
      <c r="AE56" s="238"/>
      <c r="AF56" s="238"/>
      <c r="AG56" s="10" t="s">
        <v>6788</v>
      </c>
      <c r="AH56" s="237" t="s">
        <v>6789</v>
      </c>
      <c r="AI56" s="237"/>
      <c r="AJ56" s="237"/>
      <c r="AK56" s="237"/>
      <c r="AL56" s="237"/>
      <c r="AM56" s="2"/>
      <c r="AN56" s="2"/>
      <c r="AO56" s="2"/>
      <c r="AP56" s="2"/>
      <c r="AQ56" s="7"/>
    </row>
    <row r="57" spans="1:43" ht="13.5" thickBot="1">
      <c r="A57" s="6"/>
      <c r="B57" s="2"/>
      <c r="C57" s="2"/>
      <c r="D57" s="244" t="s">
        <v>307</v>
      </c>
      <c r="E57" s="244"/>
      <c r="F57" s="238" t="s">
        <v>6790</v>
      </c>
      <c r="G57" s="238"/>
      <c r="H57" s="238"/>
      <c r="I57" s="238"/>
      <c r="J57" s="238"/>
      <c r="K57" s="10" t="s">
        <v>6791</v>
      </c>
      <c r="L57" s="238" t="s">
        <v>6792</v>
      </c>
      <c r="M57" s="238"/>
      <c r="N57" s="238"/>
      <c r="O57" s="238" t="s">
        <v>6793</v>
      </c>
      <c r="P57" s="238"/>
      <c r="Q57" s="238"/>
      <c r="R57" s="238" t="s">
        <v>6794</v>
      </c>
      <c r="S57" s="238"/>
      <c r="T57" s="238"/>
      <c r="U57" s="238"/>
      <c r="V57" s="238"/>
      <c r="W57" s="238"/>
      <c r="X57" s="238" t="s">
        <v>6795</v>
      </c>
      <c r="Y57" s="238"/>
      <c r="Z57" s="10" t="s">
        <v>6796</v>
      </c>
      <c r="AA57" s="10" t="s">
        <v>6797</v>
      </c>
      <c r="AB57" s="238" t="s">
        <v>6388</v>
      </c>
      <c r="AC57" s="238"/>
      <c r="AD57" s="238"/>
      <c r="AE57" s="238"/>
      <c r="AF57" s="238"/>
      <c r="AG57" s="10" t="s">
        <v>6798</v>
      </c>
      <c r="AH57" s="237" t="s">
        <v>6635</v>
      </c>
      <c r="AI57" s="237"/>
      <c r="AJ57" s="237"/>
      <c r="AK57" s="237"/>
      <c r="AL57" s="237"/>
      <c r="AM57" s="2"/>
      <c r="AN57" s="2"/>
      <c r="AO57" s="2"/>
      <c r="AP57" s="2"/>
      <c r="AQ57" s="7"/>
    </row>
    <row r="58" spans="1:43" ht="13.5" thickBot="1">
      <c r="A58" s="6"/>
      <c r="B58" s="2"/>
      <c r="C58" s="2"/>
      <c r="D58" s="244" t="s">
        <v>319</v>
      </c>
      <c r="E58" s="244"/>
      <c r="F58" s="237" t="s">
        <v>6799</v>
      </c>
      <c r="G58" s="237"/>
      <c r="H58" s="237"/>
      <c r="I58" s="237"/>
      <c r="J58" s="237"/>
      <c r="K58" s="11" t="s">
        <v>6800</v>
      </c>
      <c r="L58" s="237" t="s">
        <v>6801</v>
      </c>
      <c r="M58" s="237"/>
      <c r="N58" s="237"/>
      <c r="O58" s="237" t="s">
        <v>6758</v>
      </c>
      <c r="P58" s="237"/>
      <c r="Q58" s="237"/>
      <c r="R58" s="237">
        <v>75.83</v>
      </c>
      <c r="S58" s="237"/>
      <c r="T58" s="237"/>
      <c r="U58" s="237"/>
      <c r="V58" s="237"/>
      <c r="W58" s="237"/>
      <c r="X58" s="237" t="s">
        <v>6249</v>
      </c>
      <c r="Y58" s="237"/>
      <c r="Z58" s="11" t="s">
        <v>6803</v>
      </c>
      <c r="AA58" s="11" t="s">
        <v>6804</v>
      </c>
      <c r="AB58" s="237" t="s">
        <v>6805</v>
      </c>
      <c r="AC58" s="237"/>
      <c r="AD58" s="237"/>
      <c r="AE58" s="237"/>
      <c r="AF58" s="237"/>
      <c r="AG58" s="11">
        <v>89.68</v>
      </c>
      <c r="AH58" s="237" t="s">
        <v>6807</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indexed="26"/>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6808</v>
      </c>
      <c r="E7" s="269"/>
      <c r="F7" s="269"/>
      <c r="G7" s="269"/>
      <c r="H7" s="269"/>
      <c r="I7" s="269" t="s">
        <v>6809</v>
      </c>
      <c r="J7" s="269"/>
      <c r="K7" s="269"/>
      <c r="L7" s="269"/>
      <c r="M7" s="269"/>
      <c r="N7" s="269"/>
      <c r="O7" s="269"/>
      <c r="P7" s="269"/>
      <c r="Q7" s="269"/>
      <c r="R7" s="269"/>
      <c r="S7" s="269"/>
      <c r="T7" s="269"/>
      <c r="U7" s="269"/>
      <c r="V7" s="269"/>
      <c r="W7" s="269"/>
      <c r="X7" s="269"/>
      <c r="Y7" s="270" t="s">
        <v>6678</v>
      </c>
      <c r="Z7" s="270"/>
      <c r="AA7" s="270"/>
      <c r="AB7" s="270"/>
      <c r="AC7" s="270"/>
      <c r="AD7" s="270"/>
      <c r="AE7" s="270"/>
      <c r="AF7" s="270"/>
      <c r="AG7" s="270"/>
      <c r="AH7" s="270"/>
      <c r="AI7" s="270"/>
      <c r="AJ7" s="270"/>
      <c r="AK7" s="270"/>
      <c r="AL7" s="270"/>
      <c r="AM7" s="270"/>
      <c r="AN7" s="270"/>
      <c r="AO7" s="2"/>
      <c r="AP7" s="2"/>
      <c r="AQ7" s="7"/>
      <c r="AT7" s="22" t="s">
        <v>1518</v>
      </c>
      <c r="AU7" s="35" t="str">
        <f>I7</f>
        <v>PAKS-3</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6679</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6680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406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V-213</v>
      </c>
    </row>
    <row r="13" spans="1:47" ht="10.5" customHeight="1">
      <c r="A13" s="6"/>
      <c r="B13" s="1"/>
      <c r="C13" s="2"/>
      <c r="D13" s="247" t="s">
        <v>5716</v>
      </c>
      <c r="E13" s="247"/>
      <c r="F13" s="247"/>
      <c r="G13" s="247"/>
      <c r="H13" s="247" t="s">
        <v>5709</v>
      </c>
      <c r="I13" s="247"/>
      <c r="J13" s="247" t="s">
        <v>6681</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1485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500</v>
      </c>
    </row>
    <row r="17" spans="1:47" ht="11.45" customHeight="1" thickBot="1">
      <c r="A17" s="6"/>
      <c r="B17" s="1"/>
      <c r="C17" s="1"/>
      <c r="D17" s="248" t="s">
        <v>5722</v>
      </c>
      <c r="E17" s="248"/>
      <c r="F17" s="248"/>
      <c r="G17" s="248"/>
      <c r="H17" s="247" t="s">
        <v>5709</v>
      </c>
      <c r="I17" s="247"/>
      <c r="J17" s="248" t="s">
        <v>408</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473</v>
      </c>
    </row>
    <row r="18" spans="1:47" ht="13.5" thickBot="1">
      <c r="A18" s="6"/>
      <c r="B18" s="1"/>
      <c r="C18" s="1"/>
      <c r="D18" s="248" t="s">
        <v>185</v>
      </c>
      <c r="E18" s="248"/>
      <c r="F18" s="248"/>
      <c r="G18" s="248"/>
      <c r="H18" s="248"/>
      <c r="I18" s="248"/>
      <c r="J18" s="248"/>
      <c r="K18" s="248"/>
      <c r="L18" s="248"/>
      <c r="M18" s="8" t="s">
        <v>5709</v>
      </c>
      <c r="N18" s="264">
        <v>1485</v>
      </c>
      <c r="O18" s="264"/>
      <c r="P18" s="264"/>
      <c r="Q18" s="248" t="s">
        <v>186</v>
      </c>
      <c r="R18" s="248"/>
      <c r="S18" s="248"/>
      <c r="T18" s="2"/>
      <c r="U18" s="2"/>
      <c r="V18" s="252" t="s">
        <v>187</v>
      </c>
      <c r="W18" s="252"/>
      <c r="X18" s="252"/>
      <c r="Y18" s="252"/>
      <c r="Z18" s="252"/>
      <c r="AA18" s="252"/>
      <c r="AB18" s="252"/>
      <c r="AC18" s="247" t="s">
        <v>5709</v>
      </c>
      <c r="AD18" s="247"/>
      <c r="AE18" s="248" t="s">
        <v>409</v>
      </c>
      <c r="AF18" s="248"/>
      <c r="AG18" s="248"/>
      <c r="AH18" s="248"/>
      <c r="AI18" s="248"/>
      <c r="AJ18" s="248"/>
      <c r="AK18" s="248"/>
      <c r="AL18" s="2"/>
      <c r="AM18" s="1"/>
      <c r="AN18" s="2"/>
      <c r="AO18" s="1"/>
      <c r="AP18" s="2"/>
      <c r="AQ18" s="7"/>
      <c r="AT18" s="25" t="str">
        <f>D26</f>
        <v>Grid Date</v>
      </c>
      <c r="AU18" s="25">
        <f>N26</f>
        <v>31683</v>
      </c>
    </row>
    <row r="19" spans="1:47" ht="13.5" thickBot="1">
      <c r="A19" s="6"/>
      <c r="B19" s="1"/>
      <c r="C19" s="1"/>
      <c r="D19" s="248" t="s">
        <v>189</v>
      </c>
      <c r="E19" s="248"/>
      <c r="F19" s="248"/>
      <c r="G19" s="248"/>
      <c r="H19" s="248"/>
      <c r="I19" s="248"/>
      <c r="J19" s="248"/>
      <c r="K19" s="248"/>
      <c r="L19" s="248"/>
      <c r="M19" s="8" t="s">
        <v>5709</v>
      </c>
      <c r="N19" s="264">
        <v>500</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37000</v>
      </c>
    </row>
    <row r="20" spans="1:47" ht="13.5" thickBot="1">
      <c r="A20" s="6"/>
      <c r="B20" s="1"/>
      <c r="C20" s="1"/>
      <c r="D20" s="248" t="s">
        <v>193</v>
      </c>
      <c r="E20" s="248"/>
      <c r="F20" s="248"/>
      <c r="G20" s="248"/>
      <c r="H20" s="248"/>
      <c r="I20" s="248"/>
      <c r="J20" s="248"/>
      <c r="K20" s="248"/>
      <c r="L20" s="248"/>
      <c r="M20" s="8" t="s">
        <v>5709</v>
      </c>
      <c r="N20" s="264">
        <v>410</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f>R58</f>
        <v>80.11</v>
      </c>
    </row>
    <row r="21" spans="1:47" ht="13.5" thickBot="1">
      <c r="A21" s="6"/>
      <c r="B21" s="1"/>
      <c r="C21" s="1"/>
      <c r="D21" s="248" t="s">
        <v>196</v>
      </c>
      <c r="E21" s="248"/>
      <c r="F21" s="248"/>
      <c r="G21" s="248"/>
      <c r="H21" s="248"/>
      <c r="I21" s="248"/>
      <c r="J21" s="248"/>
      <c r="K21" s="248"/>
      <c r="L21" s="248"/>
      <c r="M21" s="8" t="s">
        <v>5709</v>
      </c>
      <c r="N21" s="264">
        <v>473</v>
      </c>
      <c r="O21" s="264"/>
      <c r="P21" s="264"/>
      <c r="Q21" s="248" t="s">
        <v>190</v>
      </c>
      <c r="R21" s="248"/>
      <c r="S21" s="248"/>
      <c r="T21" s="2"/>
      <c r="U21" s="2"/>
      <c r="V21" s="252" t="s">
        <v>197</v>
      </c>
      <c r="W21" s="252"/>
      <c r="X21" s="252"/>
      <c r="Y21" s="252"/>
      <c r="Z21" s="252"/>
      <c r="AA21" s="252"/>
      <c r="AB21" s="252"/>
      <c r="AC21" s="247" t="s">
        <v>5709</v>
      </c>
      <c r="AD21" s="247"/>
      <c r="AE21" s="248" t="s">
        <v>198</v>
      </c>
      <c r="AF21" s="248"/>
      <c r="AG21" s="248"/>
      <c r="AH21" s="248"/>
      <c r="AI21" s="248"/>
      <c r="AJ21" s="248"/>
      <c r="AK21" s="248"/>
      <c r="AL21" s="2"/>
      <c r="AM21" s="1"/>
      <c r="AN21" s="2"/>
      <c r="AO21" s="1"/>
      <c r="AP21" s="2"/>
      <c r="AQ21" s="7"/>
      <c r="AT21" s="23" t="str">
        <f>D58&amp;AG51</f>
        <v>LF [%]2010</v>
      </c>
      <c r="AU21" s="23">
        <f>AG58</f>
        <v>92.47</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411</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412</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29129</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6277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31683</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6682</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31747</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415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416</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6683</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6280</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6810</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229</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423</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6811</v>
      </c>
      <c r="G52" s="238"/>
      <c r="H52" s="238"/>
      <c r="I52" s="238"/>
      <c r="J52" s="238"/>
      <c r="K52" s="10" t="s">
        <v>6812</v>
      </c>
      <c r="L52" s="238" t="s">
        <v>6813</v>
      </c>
      <c r="M52" s="238"/>
      <c r="N52" s="238"/>
      <c r="O52" s="238" t="s">
        <v>6814</v>
      </c>
      <c r="P52" s="238"/>
      <c r="Q52" s="238"/>
      <c r="R52" s="238" t="s">
        <v>6815</v>
      </c>
      <c r="S52" s="238"/>
      <c r="T52" s="238"/>
      <c r="U52" s="238"/>
      <c r="V52" s="238"/>
      <c r="W52" s="238"/>
      <c r="X52" s="238" t="s">
        <v>6816</v>
      </c>
      <c r="Y52" s="238"/>
      <c r="Z52" s="10" t="s">
        <v>6817</v>
      </c>
      <c r="AA52" s="10" t="s">
        <v>6818</v>
      </c>
      <c r="AB52" s="238" t="s">
        <v>6819</v>
      </c>
      <c r="AC52" s="238"/>
      <c r="AD52" s="238"/>
      <c r="AE52" s="238"/>
      <c r="AF52" s="238"/>
      <c r="AG52" s="10" t="s">
        <v>6820</v>
      </c>
      <c r="AH52" s="237" t="s">
        <v>6821</v>
      </c>
      <c r="AI52" s="237"/>
      <c r="AJ52" s="237"/>
      <c r="AK52" s="237"/>
      <c r="AL52" s="237"/>
      <c r="AM52" s="2"/>
      <c r="AN52" s="2"/>
      <c r="AO52" s="2"/>
      <c r="AP52" s="2"/>
      <c r="AQ52" s="7"/>
    </row>
    <row r="53" spans="1:43" ht="13.5" thickBot="1">
      <c r="A53" s="6"/>
      <c r="B53" s="2"/>
      <c r="C53" s="2"/>
      <c r="D53" s="244" t="s">
        <v>261</v>
      </c>
      <c r="E53" s="244"/>
      <c r="F53" s="238" t="s">
        <v>6822</v>
      </c>
      <c r="G53" s="238"/>
      <c r="H53" s="238"/>
      <c r="I53" s="238"/>
      <c r="J53" s="238"/>
      <c r="K53" s="10" t="s">
        <v>6823</v>
      </c>
      <c r="L53" s="238" t="s">
        <v>6824</v>
      </c>
      <c r="M53" s="238"/>
      <c r="N53" s="238"/>
      <c r="O53" s="238" t="s">
        <v>6825</v>
      </c>
      <c r="P53" s="238"/>
      <c r="Q53" s="238"/>
      <c r="R53" s="238" t="s">
        <v>6826</v>
      </c>
      <c r="S53" s="238"/>
      <c r="T53" s="238"/>
      <c r="U53" s="238"/>
      <c r="V53" s="238"/>
      <c r="W53" s="238"/>
      <c r="X53" s="238" t="s">
        <v>6827</v>
      </c>
      <c r="Y53" s="238"/>
      <c r="Z53" s="10" t="s">
        <v>6828</v>
      </c>
      <c r="AA53" s="10" t="s">
        <v>6400</v>
      </c>
      <c r="AB53" s="238" t="s">
        <v>6829</v>
      </c>
      <c r="AC53" s="238"/>
      <c r="AD53" s="238"/>
      <c r="AE53" s="238"/>
      <c r="AF53" s="238"/>
      <c r="AG53" s="10" t="s">
        <v>6302</v>
      </c>
      <c r="AH53" s="237" t="s">
        <v>6830</v>
      </c>
      <c r="AI53" s="237"/>
      <c r="AJ53" s="237"/>
      <c r="AK53" s="237"/>
      <c r="AL53" s="237"/>
      <c r="AM53" s="2"/>
      <c r="AN53" s="2"/>
      <c r="AO53" s="2"/>
      <c r="AP53" s="2"/>
      <c r="AQ53" s="7"/>
    </row>
    <row r="54" spans="1:43" ht="13.5" thickBot="1">
      <c r="A54" s="6"/>
      <c r="B54" s="2"/>
      <c r="C54" s="2"/>
      <c r="D54" s="244" t="s">
        <v>273</v>
      </c>
      <c r="E54" s="244"/>
      <c r="F54" s="238" t="s">
        <v>6307</v>
      </c>
      <c r="G54" s="238"/>
      <c r="H54" s="238"/>
      <c r="I54" s="238"/>
      <c r="J54" s="238"/>
      <c r="K54" s="10" t="s">
        <v>6831</v>
      </c>
      <c r="L54" s="238" t="s">
        <v>6832</v>
      </c>
      <c r="M54" s="238"/>
      <c r="N54" s="238"/>
      <c r="O54" s="238" t="s">
        <v>6833</v>
      </c>
      <c r="P54" s="238"/>
      <c r="Q54" s="238"/>
      <c r="R54" s="238" t="s">
        <v>6834</v>
      </c>
      <c r="S54" s="238"/>
      <c r="T54" s="238"/>
      <c r="U54" s="238"/>
      <c r="V54" s="238"/>
      <c r="W54" s="238"/>
      <c r="X54" s="238" t="s">
        <v>6835</v>
      </c>
      <c r="Y54" s="238"/>
      <c r="Z54" s="10" t="s">
        <v>6506</v>
      </c>
      <c r="AA54" s="10" t="s">
        <v>6836</v>
      </c>
      <c r="AB54" s="238" t="s">
        <v>6837</v>
      </c>
      <c r="AC54" s="238"/>
      <c r="AD54" s="238"/>
      <c r="AE54" s="238"/>
      <c r="AF54" s="238"/>
      <c r="AG54" s="10" t="s">
        <v>6838</v>
      </c>
      <c r="AH54" s="237" t="s">
        <v>6839</v>
      </c>
      <c r="AI54" s="237"/>
      <c r="AJ54" s="237"/>
      <c r="AK54" s="237"/>
      <c r="AL54" s="237"/>
      <c r="AM54" s="2"/>
      <c r="AN54" s="2"/>
      <c r="AO54" s="2"/>
      <c r="AP54" s="2"/>
      <c r="AQ54" s="7"/>
    </row>
    <row r="55" spans="1:43" ht="13.5" thickBot="1">
      <c r="A55" s="6"/>
      <c r="B55" s="2"/>
      <c r="C55" s="2"/>
      <c r="D55" s="244" t="s">
        <v>285</v>
      </c>
      <c r="E55" s="244"/>
      <c r="F55" s="238" t="s">
        <v>6840</v>
      </c>
      <c r="G55" s="238"/>
      <c r="H55" s="238"/>
      <c r="I55" s="238"/>
      <c r="J55" s="238"/>
      <c r="K55" s="10" t="s">
        <v>6331</v>
      </c>
      <c r="L55" s="238" t="s">
        <v>6152</v>
      </c>
      <c r="M55" s="238"/>
      <c r="N55" s="238"/>
      <c r="O55" s="238" t="s">
        <v>6825</v>
      </c>
      <c r="P55" s="238"/>
      <c r="Q55" s="238"/>
      <c r="R55" s="238" t="s">
        <v>6826</v>
      </c>
      <c r="S55" s="238"/>
      <c r="T55" s="238"/>
      <c r="U55" s="238"/>
      <c r="V55" s="238"/>
      <c r="W55" s="238"/>
      <c r="X55" s="238" t="s">
        <v>6827</v>
      </c>
      <c r="Y55" s="238"/>
      <c r="Z55" s="10" t="s">
        <v>6828</v>
      </c>
      <c r="AA55" s="10" t="s">
        <v>6841</v>
      </c>
      <c r="AB55" s="238" t="s">
        <v>6829</v>
      </c>
      <c r="AC55" s="238"/>
      <c r="AD55" s="238"/>
      <c r="AE55" s="238"/>
      <c r="AF55" s="238"/>
      <c r="AG55" s="10" t="s">
        <v>6302</v>
      </c>
      <c r="AH55" s="237" t="s">
        <v>6842</v>
      </c>
      <c r="AI55" s="237"/>
      <c r="AJ55" s="237"/>
      <c r="AK55" s="237"/>
      <c r="AL55" s="237"/>
      <c r="AM55" s="2"/>
      <c r="AN55" s="2"/>
      <c r="AO55" s="2"/>
      <c r="AP55" s="2"/>
      <c r="AQ55" s="7"/>
    </row>
    <row r="56" spans="1:43" ht="13.5" thickBot="1">
      <c r="A56" s="6"/>
      <c r="B56" s="2"/>
      <c r="C56" s="2"/>
      <c r="D56" s="244" t="s">
        <v>295</v>
      </c>
      <c r="E56" s="244"/>
      <c r="F56" s="238" t="s">
        <v>6843</v>
      </c>
      <c r="G56" s="238"/>
      <c r="H56" s="238"/>
      <c r="I56" s="238"/>
      <c r="J56" s="238"/>
      <c r="K56" s="10" t="s">
        <v>6844</v>
      </c>
      <c r="L56" s="238" t="s">
        <v>6457</v>
      </c>
      <c r="M56" s="238"/>
      <c r="N56" s="238"/>
      <c r="O56" s="238" t="s">
        <v>6845</v>
      </c>
      <c r="P56" s="238"/>
      <c r="Q56" s="238"/>
      <c r="R56" s="238" t="s">
        <v>6846</v>
      </c>
      <c r="S56" s="238"/>
      <c r="T56" s="238"/>
      <c r="U56" s="238"/>
      <c r="V56" s="238"/>
      <c r="W56" s="238"/>
      <c r="X56" s="238" t="s">
        <v>6084</v>
      </c>
      <c r="Y56" s="238"/>
      <c r="Z56" s="10" t="s">
        <v>6847</v>
      </c>
      <c r="AA56" s="10" t="s">
        <v>6009</v>
      </c>
      <c r="AB56" s="238" t="s">
        <v>6848</v>
      </c>
      <c r="AC56" s="238"/>
      <c r="AD56" s="238"/>
      <c r="AE56" s="238"/>
      <c r="AF56" s="238"/>
      <c r="AG56" s="10" t="s">
        <v>380</v>
      </c>
      <c r="AH56" s="237" t="s">
        <v>6849</v>
      </c>
      <c r="AI56" s="237"/>
      <c r="AJ56" s="237"/>
      <c r="AK56" s="237"/>
      <c r="AL56" s="237"/>
      <c r="AM56" s="2"/>
      <c r="AN56" s="2"/>
      <c r="AO56" s="2"/>
      <c r="AP56" s="2"/>
      <c r="AQ56" s="7"/>
    </row>
    <row r="57" spans="1:43" ht="13.5" thickBot="1">
      <c r="A57" s="6"/>
      <c r="B57" s="2"/>
      <c r="C57" s="2"/>
      <c r="D57" s="244" t="s">
        <v>307</v>
      </c>
      <c r="E57" s="244"/>
      <c r="F57" s="238" t="s">
        <v>6345</v>
      </c>
      <c r="G57" s="238"/>
      <c r="H57" s="238"/>
      <c r="I57" s="238"/>
      <c r="J57" s="238"/>
      <c r="K57" s="10" t="s">
        <v>6850</v>
      </c>
      <c r="L57" s="238" t="s">
        <v>6851</v>
      </c>
      <c r="M57" s="238"/>
      <c r="N57" s="238"/>
      <c r="O57" s="238" t="s">
        <v>6852</v>
      </c>
      <c r="P57" s="238"/>
      <c r="Q57" s="238"/>
      <c r="R57" s="238" t="s">
        <v>6734</v>
      </c>
      <c r="S57" s="238"/>
      <c r="T57" s="238"/>
      <c r="U57" s="238"/>
      <c r="V57" s="238"/>
      <c r="W57" s="238"/>
      <c r="X57" s="238" t="s">
        <v>5998</v>
      </c>
      <c r="Y57" s="238"/>
      <c r="Z57" s="10" t="s">
        <v>6853</v>
      </c>
      <c r="AA57" s="10" t="s">
        <v>6854</v>
      </c>
      <c r="AB57" s="238" t="s">
        <v>6855</v>
      </c>
      <c r="AC57" s="238"/>
      <c r="AD57" s="238"/>
      <c r="AE57" s="238"/>
      <c r="AF57" s="238"/>
      <c r="AG57" s="10" t="s">
        <v>6025</v>
      </c>
      <c r="AH57" s="237" t="s">
        <v>6856</v>
      </c>
      <c r="AI57" s="237"/>
      <c r="AJ57" s="237"/>
      <c r="AK57" s="237"/>
      <c r="AL57" s="237"/>
      <c r="AM57" s="2"/>
      <c r="AN57" s="2"/>
      <c r="AO57" s="2"/>
      <c r="AP57" s="2"/>
      <c r="AQ57" s="7"/>
    </row>
    <row r="58" spans="1:43" ht="13.5" thickBot="1">
      <c r="A58" s="6"/>
      <c r="B58" s="2"/>
      <c r="C58" s="2"/>
      <c r="D58" s="244" t="s">
        <v>319</v>
      </c>
      <c r="E58" s="244"/>
      <c r="F58" s="237" t="s">
        <v>6857</v>
      </c>
      <c r="G58" s="237"/>
      <c r="H58" s="237"/>
      <c r="I58" s="237"/>
      <c r="J58" s="237"/>
      <c r="K58" s="11" t="s">
        <v>6858</v>
      </c>
      <c r="L58" s="237" t="s">
        <v>6859</v>
      </c>
      <c r="M58" s="237"/>
      <c r="N58" s="237"/>
      <c r="O58" s="237" t="s">
        <v>6825</v>
      </c>
      <c r="P58" s="237"/>
      <c r="Q58" s="237"/>
      <c r="R58" s="237">
        <v>80.11</v>
      </c>
      <c r="S58" s="237"/>
      <c r="T58" s="237"/>
      <c r="U58" s="237"/>
      <c r="V58" s="237"/>
      <c r="W58" s="237"/>
      <c r="X58" s="237" t="s">
        <v>6728</v>
      </c>
      <c r="Y58" s="237"/>
      <c r="Z58" s="11" t="s">
        <v>6007</v>
      </c>
      <c r="AA58" s="11" t="s">
        <v>6861</v>
      </c>
      <c r="AB58" s="237" t="s">
        <v>6829</v>
      </c>
      <c r="AC58" s="237"/>
      <c r="AD58" s="237"/>
      <c r="AE58" s="237"/>
      <c r="AF58" s="237"/>
      <c r="AG58" s="11">
        <v>92.47</v>
      </c>
      <c r="AH58" s="237" t="s">
        <v>6863</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indexed="26"/>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6864</v>
      </c>
      <c r="E7" s="269"/>
      <c r="F7" s="269"/>
      <c r="G7" s="269"/>
      <c r="H7" s="269"/>
      <c r="I7" s="269" t="s">
        <v>6865</v>
      </c>
      <c r="J7" s="269"/>
      <c r="K7" s="269"/>
      <c r="L7" s="269"/>
      <c r="M7" s="269"/>
      <c r="N7" s="269"/>
      <c r="O7" s="269"/>
      <c r="P7" s="269"/>
      <c r="Q7" s="269"/>
      <c r="R7" s="269"/>
      <c r="S7" s="269"/>
      <c r="T7" s="269"/>
      <c r="U7" s="269"/>
      <c r="V7" s="269"/>
      <c r="W7" s="269"/>
      <c r="X7" s="269"/>
      <c r="Y7" s="270" t="s">
        <v>6678</v>
      </c>
      <c r="Z7" s="270"/>
      <c r="AA7" s="270"/>
      <c r="AB7" s="270"/>
      <c r="AC7" s="270"/>
      <c r="AD7" s="270"/>
      <c r="AE7" s="270"/>
      <c r="AF7" s="270"/>
      <c r="AG7" s="270"/>
      <c r="AH7" s="270"/>
      <c r="AI7" s="270"/>
      <c r="AJ7" s="270"/>
      <c r="AK7" s="270"/>
      <c r="AL7" s="270"/>
      <c r="AM7" s="270"/>
      <c r="AN7" s="270"/>
      <c r="AO7" s="2"/>
      <c r="AP7" s="2"/>
      <c r="AQ7" s="7"/>
      <c r="AT7" s="22" t="s">
        <v>1518</v>
      </c>
      <c r="AU7" s="35" t="str">
        <f>I7</f>
        <v>PAKS-4</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6679</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6680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406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V-213</v>
      </c>
    </row>
    <row r="13" spans="1:47" ht="10.35" customHeight="1">
      <c r="A13" s="6"/>
      <c r="B13" s="1"/>
      <c r="C13" s="2"/>
      <c r="D13" s="247" t="s">
        <v>5716</v>
      </c>
      <c r="E13" s="247"/>
      <c r="F13" s="247"/>
      <c r="G13" s="247"/>
      <c r="H13" s="247" t="s">
        <v>5709</v>
      </c>
      <c r="I13" s="247"/>
      <c r="J13" s="247" t="s">
        <v>6681</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1485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500</v>
      </c>
    </row>
    <row r="17" spans="1:47" ht="11.45" customHeight="1" thickBot="1">
      <c r="A17" s="6"/>
      <c r="B17" s="1"/>
      <c r="C17" s="1"/>
      <c r="D17" s="248" t="s">
        <v>5722</v>
      </c>
      <c r="E17" s="248"/>
      <c r="F17" s="248"/>
      <c r="G17" s="248"/>
      <c r="H17" s="247" t="s">
        <v>5709</v>
      </c>
      <c r="I17" s="247"/>
      <c r="J17" s="248" t="s">
        <v>408</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473</v>
      </c>
    </row>
    <row r="18" spans="1:47" ht="13.5" thickBot="1">
      <c r="A18" s="6"/>
      <c r="B18" s="1"/>
      <c r="C18" s="1"/>
      <c r="D18" s="248" t="s">
        <v>185</v>
      </c>
      <c r="E18" s="248"/>
      <c r="F18" s="248"/>
      <c r="G18" s="248"/>
      <c r="H18" s="248"/>
      <c r="I18" s="248"/>
      <c r="J18" s="248"/>
      <c r="K18" s="248"/>
      <c r="L18" s="248"/>
      <c r="M18" s="8" t="s">
        <v>5709</v>
      </c>
      <c r="N18" s="264">
        <v>1485</v>
      </c>
      <c r="O18" s="264"/>
      <c r="P18" s="264"/>
      <c r="Q18" s="248" t="s">
        <v>186</v>
      </c>
      <c r="R18" s="248"/>
      <c r="S18" s="248"/>
      <c r="T18" s="2"/>
      <c r="U18" s="2"/>
      <c r="V18" s="252" t="s">
        <v>187</v>
      </c>
      <c r="W18" s="252"/>
      <c r="X18" s="252"/>
      <c r="Y18" s="252"/>
      <c r="Z18" s="252"/>
      <c r="AA18" s="252"/>
      <c r="AB18" s="252"/>
      <c r="AC18" s="247" t="s">
        <v>5709</v>
      </c>
      <c r="AD18" s="247"/>
      <c r="AE18" s="248" t="s">
        <v>409</v>
      </c>
      <c r="AF18" s="248"/>
      <c r="AG18" s="248"/>
      <c r="AH18" s="248"/>
      <c r="AI18" s="248"/>
      <c r="AJ18" s="248"/>
      <c r="AK18" s="248"/>
      <c r="AL18" s="2"/>
      <c r="AM18" s="1"/>
      <c r="AN18" s="2"/>
      <c r="AO18" s="1"/>
      <c r="AP18" s="2"/>
      <c r="AQ18" s="7"/>
      <c r="AT18" s="25" t="str">
        <f>D26</f>
        <v>Grid Date</v>
      </c>
      <c r="AU18" s="25">
        <f>N26</f>
        <v>32005</v>
      </c>
    </row>
    <row r="19" spans="1:47" ht="13.5" thickBot="1">
      <c r="A19" s="6"/>
      <c r="B19" s="1"/>
      <c r="C19" s="1"/>
      <c r="D19" s="248" t="s">
        <v>189</v>
      </c>
      <c r="E19" s="248"/>
      <c r="F19" s="248"/>
      <c r="G19" s="248"/>
      <c r="H19" s="248"/>
      <c r="I19" s="248"/>
      <c r="J19" s="248"/>
      <c r="K19" s="248"/>
      <c r="L19" s="248"/>
      <c r="M19" s="8" t="s">
        <v>5709</v>
      </c>
      <c r="N19" s="264">
        <v>500</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37000</v>
      </c>
    </row>
    <row r="20" spans="1:47" ht="13.5" thickBot="1">
      <c r="A20" s="6"/>
      <c r="B20" s="1"/>
      <c r="C20" s="1"/>
      <c r="D20" s="248" t="s">
        <v>193</v>
      </c>
      <c r="E20" s="248"/>
      <c r="F20" s="248"/>
      <c r="G20" s="248"/>
      <c r="H20" s="248"/>
      <c r="I20" s="248"/>
      <c r="J20" s="248"/>
      <c r="K20" s="248"/>
      <c r="L20" s="248"/>
      <c r="M20" s="8" t="s">
        <v>5709</v>
      </c>
      <c r="N20" s="264">
        <v>410</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f>R58</f>
        <v>91.24</v>
      </c>
    </row>
    <row r="21" spans="1:47" ht="13.5" thickBot="1">
      <c r="A21" s="6"/>
      <c r="B21" s="1"/>
      <c r="C21" s="1"/>
      <c r="D21" s="248" t="s">
        <v>196</v>
      </c>
      <c r="E21" s="248"/>
      <c r="F21" s="248"/>
      <c r="G21" s="248"/>
      <c r="H21" s="248"/>
      <c r="I21" s="248"/>
      <c r="J21" s="248"/>
      <c r="K21" s="248"/>
      <c r="L21" s="248"/>
      <c r="M21" s="8" t="s">
        <v>5709</v>
      </c>
      <c r="N21" s="264">
        <v>473</v>
      </c>
      <c r="O21" s="264"/>
      <c r="P21" s="264"/>
      <c r="Q21" s="248" t="s">
        <v>190</v>
      </c>
      <c r="R21" s="248"/>
      <c r="S21" s="248"/>
      <c r="T21" s="2"/>
      <c r="U21" s="2"/>
      <c r="V21" s="252" t="s">
        <v>197</v>
      </c>
      <c r="W21" s="252"/>
      <c r="X21" s="252"/>
      <c r="Y21" s="252"/>
      <c r="Z21" s="252"/>
      <c r="AA21" s="252"/>
      <c r="AB21" s="252"/>
      <c r="AC21" s="247" t="s">
        <v>5709</v>
      </c>
      <c r="AD21" s="247"/>
      <c r="AE21" s="248" t="s">
        <v>198</v>
      </c>
      <c r="AF21" s="248"/>
      <c r="AG21" s="248"/>
      <c r="AH21" s="248"/>
      <c r="AI21" s="248"/>
      <c r="AJ21" s="248"/>
      <c r="AK21" s="248"/>
      <c r="AL21" s="2"/>
      <c r="AM21" s="1"/>
      <c r="AN21" s="2"/>
      <c r="AO21" s="1"/>
      <c r="AP21" s="2"/>
      <c r="AQ21" s="7"/>
      <c r="AT21" s="23" t="str">
        <f>D58&amp;AG51</f>
        <v>LF [%]2010</v>
      </c>
      <c r="AU21" s="23">
        <f>AG58</f>
        <v>80.81</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411</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412</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29129</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6277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32005</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6682</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32082</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415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416</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6683</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6280</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6866</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229</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423</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6867</v>
      </c>
      <c r="G52" s="238"/>
      <c r="H52" s="238"/>
      <c r="I52" s="238"/>
      <c r="J52" s="238"/>
      <c r="K52" s="10" t="s">
        <v>6868</v>
      </c>
      <c r="L52" s="238" t="s">
        <v>6869</v>
      </c>
      <c r="M52" s="238"/>
      <c r="N52" s="238"/>
      <c r="O52" s="238" t="s">
        <v>6870</v>
      </c>
      <c r="P52" s="238"/>
      <c r="Q52" s="238"/>
      <c r="R52" s="238" t="s">
        <v>6871</v>
      </c>
      <c r="S52" s="238"/>
      <c r="T52" s="238"/>
      <c r="U52" s="238"/>
      <c r="V52" s="238"/>
      <c r="W52" s="238"/>
      <c r="X52" s="238" t="s">
        <v>6872</v>
      </c>
      <c r="Y52" s="238"/>
      <c r="Z52" s="10" t="s">
        <v>6873</v>
      </c>
      <c r="AA52" s="10" t="s">
        <v>6874</v>
      </c>
      <c r="AB52" s="238" t="s">
        <v>6875</v>
      </c>
      <c r="AC52" s="238"/>
      <c r="AD52" s="238"/>
      <c r="AE52" s="238"/>
      <c r="AF52" s="238"/>
      <c r="AG52" s="10" t="s">
        <v>6876</v>
      </c>
      <c r="AH52" s="237" t="s">
        <v>6877</v>
      </c>
      <c r="AI52" s="237"/>
      <c r="AJ52" s="237"/>
      <c r="AK52" s="237"/>
      <c r="AL52" s="237"/>
      <c r="AM52" s="2"/>
      <c r="AN52" s="2"/>
      <c r="AO52" s="2"/>
      <c r="AP52" s="2"/>
      <c r="AQ52" s="7"/>
    </row>
    <row r="53" spans="1:43" ht="13.5" thickBot="1">
      <c r="A53" s="6"/>
      <c r="B53" s="2"/>
      <c r="C53" s="2"/>
      <c r="D53" s="244" t="s">
        <v>261</v>
      </c>
      <c r="E53" s="244"/>
      <c r="F53" s="238" t="s">
        <v>6878</v>
      </c>
      <c r="G53" s="238"/>
      <c r="H53" s="238"/>
      <c r="I53" s="238"/>
      <c r="J53" s="238"/>
      <c r="K53" s="10" t="s">
        <v>6879</v>
      </c>
      <c r="L53" s="238" t="s">
        <v>6880</v>
      </c>
      <c r="M53" s="238"/>
      <c r="N53" s="238"/>
      <c r="O53" s="238" t="s">
        <v>445</v>
      </c>
      <c r="P53" s="238"/>
      <c r="Q53" s="238"/>
      <c r="R53" s="238" t="s">
        <v>6470</v>
      </c>
      <c r="S53" s="238"/>
      <c r="T53" s="238"/>
      <c r="U53" s="238"/>
      <c r="V53" s="238"/>
      <c r="W53" s="238"/>
      <c r="X53" s="238" t="s">
        <v>6881</v>
      </c>
      <c r="Y53" s="238"/>
      <c r="Z53" s="10" t="s">
        <v>6882</v>
      </c>
      <c r="AA53" s="10" t="s">
        <v>6266</v>
      </c>
      <c r="AB53" s="238" t="s">
        <v>6883</v>
      </c>
      <c r="AC53" s="238"/>
      <c r="AD53" s="238"/>
      <c r="AE53" s="238"/>
      <c r="AF53" s="238"/>
      <c r="AG53" s="10" t="s">
        <v>6884</v>
      </c>
      <c r="AH53" s="237" t="s">
        <v>6885</v>
      </c>
      <c r="AI53" s="237"/>
      <c r="AJ53" s="237"/>
      <c r="AK53" s="237"/>
      <c r="AL53" s="237"/>
      <c r="AM53" s="2"/>
      <c r="AN53" s="2"/>
      <c r="AO53" s="2"/>
      <c r="AP53" s="2"/>
      <c r="AQ53" s="7"/>
    </row>
    <row r="54" spans="1:43" ht="13.5" thickBot="1">
      <c r="A54" s="6"/>
      <c r="B54" s="2"/>
      <c r="C54" s="2"/>
      <c r="D54" s="244" t="s">
        <v>273</v>
      </c>
      <c r="E54" s="244"/>
      <c r="F54" s="238" t="s">
        <v>6886</v>
      </c>
      <c r="G54" s="238"/>
      <c r="H54" s="238"/>
      <c r="I54" s="238"/>
      <c r="J54" s="238"/>
      <c r="K54" s="10" t="s">
        <v>6887</v>
      </c>
      <c r="L54" s="238" t="s">
        <v>6888</v>
      </c>
      <c r="M54" s="238"/>
      <c r="N54" s="238"/>
      <c r="O54" s="238" t="s">
        <v>6889</v>
      </c>
      <c r="P54" s="238"/>
      <c r="Q54" s="238"/>
      <c r="R54" s="238" t="s">
        <v>6711</v>
      </c>
      <c r="S54" s="238"/>
      <c r="T54" s="238"/>
      <c r="U54" s="238"/>
      <c r="V54" s="238"/>
      <c r="W54" s="238"/>
      <c r="X54" s="238" t="s">
        <v>6890</v>
      </c>
      <c r="Y54" s="238"/>
      <c r="Z54" s="10" t="s">
        <v>6891</v>
      </c>
      <c r="AA54" s="10" t="s">
        <v>6892</v>
      </c>
      <c r="AB54" s="238" t="s">
        <v>6893</v>
      </c>
      <c r="AC54" s="238"/>
      <c r="AD54" s="238"/>
      <c r="AE54" s="238"/>
      <c r="AF54" s="238"/>
      <c r="AG54" s="10" t="s">
        <v>6894</v>
      </c>
      <c r="AH54" s="237" t="s">
        <v>6895</v>
      </c>
      <c r="AI54" s="237"/>
      <c r="AJ54" s="237"/>
      <c r="AK54" s="237"/>
      <c r="AL54" s="237"/>
      <c r="AM54" s="2"/>
      <c r="AN54" s="2"/>
      <c r="AO54" s="2"/>
      <c r="AP54" s="2"/>
      <c r="AQ54" s="7"/>
    </row>
    <row r="55" spans="1:43" ht="13.5" thickBot="1">
      <c r="A55" s="6"/>
      <c r="B55" s="2"/>
      <c r="C55" s="2"/>
      <c r="D55" s="244" t="s">
        <v>285</v>
      </c>
      <c r="E55" s="244"/>
      <c r="F55" s="238" t="s">
        <v>6075</v>
      </c>
      <c r="G55" s="238"/>
      <c r="H55" s="238"/>
      <c r="I55" s="238"/>
      <c r="J55" s="238"/>
      <c r="K55" s="10" t="s">
        <v>6500</v>
      </c>
      <c r="L55" s="238" t="s">
        <v>6896</v>
      </c>
      <c r="M55" s="238"/>
      <c r="N55" s="238"/>
      <c r="O55" s="238" t="s">
        <v>445</v>
      </c>
      <c r="P55" s="238"/>
      <c r="Q55" s="238"/>
      <c r="R55" s="238" t="s">
        <v>6470</v>
      </c>
      <c r="S55" s="238"/>
      <c r="T55" s="238"/>
      <c r="U55" s="238"/>
      <c r="V55" s="238"/>
      <c r="W55" s="238"/>
      <c r="X55" s="238" t="s">
        <v>6881</v>
      </c>
      <c r="Y55" s="238"/>
      <c r="Z55" s="10" t="s">
        <v>6882</v>
      </c>
      <c r="AA55" s="10" t="s">
        <v>6266</v>
      </c>
      <c r="AB55" s="238" t="s">
        <v>6883</v>
      </c>
      <c r="AC55" s="238"/>
      <c r="AD55" s="238"/>
      <c r="AE55" s="238"/>
      <c r="AF55" s="238"/>
      <c r="AG55" s="10" t="s">
        <v>6884</v>
      </c>
      <c r="AH55" s="237" t="s">
        <v>6897</v>
      </c>
      <c r="AI55" s="237"/>
      <c r="AJ55" s="237"/>
      <c r="AK55" s="237"/>
      <c r="AL55" s="237"/>
      <c r="AM55" s="2"/>
      <c r="AN55" s="2"/>
      <c r="AO55" s="2"/>
      <c r="AP55" s="2"/>
      <c r="AQ55" s="7"/>
    </row>
    <row r="56" spans="1:43" ht="13.5" thickBot="1">
      <c r="A56" s="6"/>
      <c r="B56" s="2"/>
      <c r="C56" s="2"/>
      <c r="D56" s="244" t="s">
        <v>295</v>
      </c>
      <c r="E56" s="244"/>
      <c r="F56" s="238" t="s">
        <v>6898</v>
      </c>
      <c r="G56" s="238"/>
      <c r="H56" s="238"/>
      <c r="I56" s="238"/>
      <c r="J56" s="238"/>
      <c r="K56" s="10" t="s">
        <v>6899</v>
      </c>
      <c r="L56" s="238" t="s">
        <v>378</v>
      </c>
      <c r="M56" s="238"/>
      <c r="N56" s="238"/>
      <c r="O56" s="238" t="s">
        <v>382</v>
      </c>
      <c r="P56" s="238"/>
      <c r="Q56" s="238"/>
      <c r="R56" s="238" t="s">
        <v>6900</v>
      </c>
      <c r="S56" s="238"/>
      <c r="T56" s="238"/>
      <c r="U56" s="238"/>
      <c r="V56" s="238"/>
      <c r="W56" s="238"/>
      <c r="X56" s="238" t="s">
        <v>6901</v>
      </c>
      <c r="Y56" s="238"/>
      <c r="Z56" s="10" t="s">
        <v>300</v>
      </c>
      <c r="AA56" s="10" t="s">
        <v>6085</v>
      </c>
      <c r="AB56" s="238" t="s">
        <v>6902</v>
      </c>
      <c r="AC56" s="238"/>
      <c r="AD56" s="238"/>
      <c r="AE56" s="238"/>
      <c r="AF56" s="238"/>
      <c r="AG56" s="10" t="s">
        <v>6903</v>
      </c>
      <c r="AH56" s="237" t="s">
        <v>6904</v>
      </c>
      <c r="AI56" s="237"/>
      <c r="AJ56" s="237"/>
      <c r="AK56" s="237"/>
      <c r="AL56" s="237"/>
      <c r="AM56" s="2"/>
      <c r="AN56" s="2"/>
      <c r="AO56" s="2"/>
      <c r="AP56" s="2"/>
      <c r="AQ56" s="7"/>
    </row>
    <row r="57" spans="1:43" ht="13.5" thickBot="1">
      <c r="A57" s="6"/>
      <c r="B57" s="2"/>
      <c r="C57" s="2"/>
      <c r="D57" s="244" t="s">
        <v>307</v>
      </c>
      <c r="E57" s="244"/>
      <c r="F57" s="238" t="s">
        <v>6905</v>
      </c>
      <c r="G57" s="238"/>
      <c r="H57" s="238"/>
      <c r="I57" s="238"/>
      <c r="J57" s="238"/>
      <c r="K57" s="10" t="s">
        <v>6906</v>
      </c>
      <c r="L57" s="238" t="s">
        <v>6323</v>
      </c>
      <c r="M57" s="238"/>
      <c r="N57" s="238"/>
      <c r="O57" s="238" t="s">
        <v>6907</v>
      </c>
      <c r="P57" s="238"/>
      <c r="Q57" s="238"/>
      <c r="R57" s="238" t="s">
        <v>6908</v>
      </c>
      <c r="S57" s="238"/>
      <c r="T57" s="238"/>
      <c r="U57" s="238"/>
      <c r="V57" s="238"/>
      <c r="W57" s="238"/>
      <c r="X57" s="238" t="s">
        <v>6725</v>
      </c>
      <c r="Y57" s="238"/>
      <c r="Z57" s="10" t="s">
        <v>6909</v>
      </c>
      <c r="AA57" s="10" t="s">
        <v>6910</v>
      </c>
      <c r="AB57" s="238" t="s">
        <v>6911</v>
      </c>
      <c r="AC57" s="238"/>
      <c r="AD57" s="238"/>
      <c r="AE57" s="238"/>
      <c r="AF57" s="238"/>
      <c r="AG57" s="10" t="s">
        <v>6635</v>
      </c>
      <c r="AH57" s="237" t="s">
        <v>6190</v>
      </c>
      <c r="AI57" s="237"/>
      <c r="AJ57" s="237"/>
      <c r="AK57" s="237"/>
      <c r="AL57" s="237"/>
      <c r="AM57" s="2"/>
      <c r="AN57" s="2"/>
      <c r="AO57" s="2"/>
      <c r="AP57" s="2"/>
      <c r="AQ57" s="7"/>
    </row>
    <row r="58" spans="1:43" ht="13.5" thickBot="1">
      <c r="A58" s="6"/>
      <c r="B58" s="2"/>
      <c r="C58" s="2"/>
      <c r="D58" s="244" t="s">
        <v>319</v>
      </c>
      <c r="E58" s="244"/>
      <c r="F58" s="237" t="s">
        <v>6912</v>
      </c>
      <c r="G58" s="237"/>
      <c r="H58" s="237"/>
      <c r="I58" s="237"/>
      <c r="J58" s="237"/>
      <c r="K58" s="11" t="s">
        <v>6913</v>
      </c>
      <c r="L58" s="237" t="s">
        <v>6880</v>
      </c>
      <c r="M58" s="237"/>
      <c r="N58" s="237"/>
      <c r="O58" s="237" t="s">
        <v>445</v>
      </c>
      <c r="P58" s="237"/>
      <c r="Q58" s="237"/>
      <c r="R58" s="237">
        <v>91.24</v>
      </c>
      <c r="S58" s="237"/>
      <c r="T58" s="237"/>
      <c r="U58" s="237"/>
      <c r="V58" s="237"/>
      <c r="W58" s="237"/>
      <c r="X58" s="237" t="s">
        <v>6914</v>
      </c>
      <c r="Y58" s="237"/>
      <c r="Z58" s="11" t="s">
        <v>6915</v>
      </c>
      <c r="AA58" s="11" t="s">
        <v>6916</v>
      </c>
      <c r="AB58" s="237" t="s">
        <v>6917</v>
      </c>
      <c r="AC58" s="237"/>
      <c r="AD58" s="237"/>
      <c r="AE58" s="237"/>
      <c r="AF58" s="237"/>
      <c r="AG58" s="11">
        <v>80.81</v>
      </c>
      <c r="AH58" s="237" t="s">
        <v>6918</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indexed="50"/>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6919</v>
      </c>
      <c r="E7" s="269"/>
      <c r="F7" s="269"/>
      <c r="G7" s="269"/>
      <c r="H7" s="269"/>
      <c r="I7" s="269" t="s">
        <v>6920</v>
      </c>
      <c r="J7" s="269"/>
      <c r="K7" s="269"/>
      <c r="L7" s="269"/>
      <c r="M7" s="269"/>
      <c r="N7" s="269"/>
      <c r="O7" s="269"/>
      <c r="P7" s="269"/>
      <c r="Q7" s="269"/>
      <c r="R7" s="269"/>
      <c r="S7" s="269"/>
      <c r="T7" s="269"/>
      <c r="U7" s="269"/>
      <c r="V7" s="269"/>
      <c r="W7" s="269"/>
      <c r="X7" s="269"/>
      <c r="Y7" s="270" t="s">
        <v>6921</v>
      </c>
      <c r="Z7" s="270"/>
      <c r="AA7" s="270"/>
      <c r="AB7" s="270"/>
      <c r="AC7" s="270"/>
      <c r="AD7" s="270"/>
      <c r="AE7" s="270"/>
      <c r="AF7" s="270"/>
      <c r="AG7" s="270"/>
      <c r="AH7" s="270"/>
      <c r="AI7" s="270"/>
      <c r="AJ7" s="270"/>
      <c r="AK7" s="270"/>
      <c r="AL7" s="270"/>
      <c r="AM7" s="270"/>
      <c r="AN7" s="270"/>
      <c r="AO7" s="2"/>
      <c r="AP7" s="2"/>
      <c r="AQ7" s="7"/>
      <c r="AT7" s="22" t="s">
        <v>1518</v>
      </c>
      <c r="AU7" s="35" t="str">
        <f>I7</f>
        <v>CERNAVODA-1</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6922</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6923</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PHWR </v>
      </c>
    </row>
    <row r="12" spans="1:47" ht="11.45" customHeight="1">
      <c r="A12" s="6"/>
      <c r="B12" s="1"/>
      <c r="C12" s="2"/>
      <c r="D12" s="247" t="s">
        <v>5714</v>
      </c>
      <c r="E12" s="247"/>
      <c r="F12" s="247"/>
      <c r="G12" s="247"/>
      <c r="H12" s="247" t="s">
        <v>5709</v>
      </c>
      <c r="I12" s="247"/>
      <c r="J12" s="247" t="s">
        <v>6924</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CANDU 6</v>
      </c>
    </row>
    <row r="13" spans="1:47" ht="11.25" customHeight="1">
      <c r="A13" s="6"/>
      <c r="B13" s="1"/>
      <c r="C13" s="2"/>
      <c r="D13" s="247" t="s">
        <v>5716</v>
      </c>
      <c r="E13" s="247"/>
      <c r="F13" s="247"/>
      <c r="G13" s="247"/>
      <c r="H13" s="247" t="s">
        <v>5709</v>
      </c>
      <c r="I13" s="247"/>
      <c r="J13" s="247" t="s">
        <v>6925</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2180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6926</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706</v>
      </c>
    </row>
    <row r="17" spans="1:47" ht="11.45" customHeight="1" thickBot="1">
      <c r="A17" s="6"/>
      <c r="B17" s="1"/>
      <c r="C17" s="1"/>
      <c r="D17" s="248" t="s">
        <v>5722</v>
      </c>
      <c r="E17" s="248"/>
      <c r="F17" s="248"/>
      <c r="G17" s="248"/>
      <c r="H17" s="247" t="s">
        <v>5709</v>
      </c>
      <c r="I17" s="247"/>
      <c r="J17" s="248" t="s">
        <v>6927</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420</v>
      </c>
      <c r="AF17" s="248"/>
      <c r="AG17" s="248"/>
      <c r="AH17" s="248"/>
      <c r="AI17" s="248"/>
      <c r="AJ17" s="248"/>
      <c r="AK17" s="248"/>
      <c r="AL17" s="2"/>
      <c r="AM17" s="1"/>
      <c r="AN17" s="2"/>
      <c r="AO17" s="1"/>
      <c r="AP17" s="2"/>
      <c r="AQ17" s="7"/>
      <c r="AT17" s="24" t="str">
        <f>D21 &amp; " [MWe]"</f>
        <v>Latest reference unit power (net) [MWe]</v>
      </c>
      <c r="AU17" s="24">
        <f>N21</f>
        <v>650</v>
      </c>
    </row>
    <row r="18" spans="1:47" ht="13.5" thickBot="1">
      <c r="A18" s="6"/>
      <c r="B18" s="1"/>
      <c r="C18" s="1"/>
      <c r="D18" s="248" t="s">
        <v>185</v>
      </c>
      <c r="E18" s="248"/>
      <c r="F18" s="248"/>
      <c r="G18" s="248"/>
      <c r="H18" s="248"/>
      <c r="I18" s="248"/>
      <c r="J18" s="248"/>
      <c r="K18" s="248"/>
      <c r="L18" s="248"/>
      <c r="M18" s="8" t="s">
        <v>5709</v>
      </c>
      <c r="N18" s="264">
        <v>2180</v>
      </c>
      <c r="O18" s="264"/>
      <c r="P18" s="264"/>
      <c r="Q18" s="248" t="s">
        <v>186</v>
      </c>
      <c r="R18" s="248"/>
      <c r="S18" s="248"/>
      <c r="T18" s="2"/>
      <c r="U18" s="2"/>
      <c r="V18" s="252" t="s">
        <v>187</v>
      </c>
      <c r="W18" s="252"/>
      <c r="X18" s="252"/>
      <c r="Y18" s="252"/>
      <c r="Z18" s="252"/>
      <c r="AA18" s="252"/>
      <c r="AB18" s="252"/>
      <c r="AC18" s="247" t="s">
        <v>5709</v>
      </c>
      <c r="AD18" s="247"/>
      <c r="AE18" s="248" t="s">
        <v>446</v>
      </c>
      <c r="AF18" s="248"/>
      <c r="AG18" s="248"/>
      <c r="AH18" s="248"/>
      <c r="AI18" s="248"/>
      <c r="AJ18" s="248"/>
      <c r="AK18" s="248"/>
      <c r="AL18" s="2"/>
      <c r="AM18" s="1"/>
      <c r="AN18" s="2"/>
      <c r="AO18" s="1"/>
      <c r="AP18" s="2"/>
      <c r="AQ18" s="7"/>
      <c r="AT18" s="25" t="str">
        <f>D26</f>
        <v>Grid Date</v>
      </c>
      <c r="AU18" s="25">
        <f>N26</f>
        <v>35257</v>
      </c>
    </row>
    <row r="19" spans="1:47" ht="13.5" thickBot="1">
      <c r="A19" s="6"/>
      <c r="B19" s="1"/>
      <c r="C19" s="1"/>
      <c r="D19" s="248" t="s">
        <v>189</v>
      </c>
      <c r="E19" s="248"/>
      <c r="F19" s="248"/>
      <c r="G19" s="248"/>
      <c r="H19" s="248"/>
      <c r="I19" s="248"/>
      <c r="J19" s="248"/>
      <c r="K19" s="248"/>
      <c r="L19" s="248"/>
      <c r="M19" s="8" t="s">
        <v>5709</v>
      </c>
      <c r="N19" s="264">
        <v>706</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7100</v>
      </c>
    </row>
    <row r="20" spans="1:47" ht="13.5" thickBot="1">
      <c r="A20" s="6"/>
      <c r="B20" s="1"/>
      <c r="C20" s="1"/>
      <c r="D20" s="248" t="s">
        <v>193</v>
      </c>
      <c r="E20" s="248"/>
      <c r="F20" s="248"/>
      <c r="G20" s="248"/>
      <c r="H20" s="248"/>
      <c r="I20" s="248"/>
      <c r="J20" s="248"/>
      <c r="K20" s="248"/>
      <c r="L20" s="248"/>
      <c r="M20" s="8" t="s">
        <v>5709</v>
      </c>
      <c r="N20" s="264">
        <v>650</v>
      </c>
      <c r="O20" s="264"/>
      <c r="P20" s="264"/>
      <c r="Q20" s="248" t="s">
        <v>190</v>
      </c>
      <c r="R20" s="248"/>
      <c r="S20" s="248"/>
      <c r="T20" s="2"/>
      <c r="U20" s="2"/>
      <c r="V20" s="252" t="s">
        <v>194</v>
      </c>
      <c r="W20" s="252"/>
      <c r="X20" s="252"/>
      <c r="Y20" s="252"/>
      <c r="Z20" s="252"/>
      <c r="AA20" s="252"/>
      <c r="AB20" s="252"/>
      <c r="AC20" s="247" t="s">
        <v>5709</v>
      </c>
      <c r="AD20" s="247"/>
      <c r="AE20" s="248" t="s">
        <v>215</v>
      </c>
      <c r="AF20" s="248"/>
      <c r="AG20" s="248"/>
      <c r="AH20" s="248"/>
      <c r="AI20" s="248"/>
      <c r="AJ20" s="248"/>
      <c r="AK20" s="248"/>
      <c r="AL20" s="2"/>
      <c r="AM20" s="1"/>
      <c r="AN20" s="2"/>
      <c r="AO20" s="1"/>
      <c r="AP20" s="2"/>
      <c r="AQ20" s="7"/>
      <c r="AT20" s="23" t="str">
        <f>D58 &amp; R51</f>
        <v>LF [%]2005</v>
      </c>
      <c r="AU20" s="23">
        <f>R58</f>
        <v>89.11</v>
      </c>
    </row>
    <row r="21" spans="1:47" ht="13.5" thickBot="1">
      <c r="A21" s="6"/>
      <c r="B21" s="1"/>
      <c r="C21" s="1"/>
      <c r="D21" s="248" t="s">
        <v>196</v>
      </c>
      <c r="E21" s="248"/>
      <c r="F21" s="248"/>
      <c r="G21" s="248"/>
      <c r="H21" s="248"/>
      <c r="I21" s="248"/>
      <c r="J21" s="248"/>
      <c r="K21" s="248"/>
      <c r="L21" s="248"/>
      <c r="M21" s="8" t="s">
        <v>5709</v>
      </c>
      <c r="N21" s="264">
        <v>650</v>
      </c>
      <c r="O21" s="264"/>
      <c r="P21" s="264"/>
      <c r="Q21" s="248" t="s">
        <v>190</v>
      </c>
      <c r="R21" s="248"/>
      <c r="S21" s="248"/>
      <c r="T21" s="2"/>
      <c r="U21" s="2"/>
      <c r="V21" s="252" t="s">
        <v>197</v>
      </c>
      <c r="W21" s="252"/>
      <c r="X21" s="252"/>
      <c r="Y21" s="252"/>
      <c r="Z21" s="252"/>
      <c r="AA21" s="252"/>
      <c r="AB21" s="252"/>
      <c r="AC21" s="247" t="s">
        <v>5709</v>
      </c>
      <c r="AD21" s="247"/>
      <c r="AE21" s="248" t="s">
        <v>6928</v>
      </c>
      <c r="AF21" s="248"/>
      <c r="AG21" s="248"/>
      <c r="AH21" s="248"/>
      <c r="AI21" s="248"/>
      <c r="AJ21" s="248"/>
      <c r="AK21" s="248"/>
      <c r="AL21" s="2"/>
      <c r="AM21" s="1"/>
      <c r="AN21" s="2"/>
      <c r="AO21" s="1"/>
      <c r="AP21" s="2"/>
      <c r="AQ21" s="7"/>
      <c r="AT21" s="23" t="str">
        <f>D58&amp;AG51</f>
        <v>LF [%]2010</v>
      </c>
      <c r="AU21" s="23">
        <f>AG58</f>
        <v>90.75</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6929</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6930</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30133</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6931</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35257</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315</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35401</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6932</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422</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6933</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6934</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6935</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6936</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5725</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422</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421</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227</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6135</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6937</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6938</v>
      </c>
      <c r="G52" s="238"/>
      <c r="H52" s="238"/>
      <c r="I52" s="238"/>
      <c r="J52" s="238"/>
      <c r="K52" s="10" t="s">
        <v>6939</v>
      </c>
      <c r="L52" s="238" t="s">
        <v>6940</v>
      </c>
      <c r="M52" s="238"/>
      <c r="N52" s="238"/>
      <c r="O52" s="238" t="s">
        <v>6941</v>
      </c>
      <c r="P52" s="238"/>
      <c r="Q52" s="238"/>
      <c r="R52" s="238" t="s">
        <v>6942</v>
      </c>
      <c r="S52" s="238"/>
      <c r="T52" s="238"/>
      <c r="U52" s="238"/>
      <c r="V52" s="238"/>
      <c r="W52" s="238"/>
      <c r="X52" s="238" t="s">
        <v>6943</v>
      </c>
      <c r="Y52" s="238"/>
      <c r="Z52" s="10" t="s">
        <v>6944</v>
      </c>
      <c r="AA52" s="10" t="s">
        <v>6945</v>
      </c>
      <c r="AB52" s="238" t="s">
        <v>6946</v>
      </c>
      <c r="AC52" s="238"/>
      <c r="AD52" s="238"/>
      <c r="AE52" s="238"/>
      <c r="AF52" s="238"/>
      <c r="AG52" s="10" t="s">
        <v>6947</v>
      </c>
      <c r="AH52" s="237" t="s">
        <v>6948</v>
      </c>
      <c r="AI52" s="237"/>
      <c r="AJ52" s="237"/>
      <c r="AK52" s="237"/>
      <c r="AL52" s="237"/>
      <c r="AM52" s="2"/>
      <c r="AN52" s="2"/>
      <c r="AO52" s="2"/>
      <c r="AP52" s="2"/>
      <c r="AQ52" s="7"/>
    </row>
    <row r="53" spans="1:43" ht="13.5" thickBot="1">
      <c r="A53" s="6"/>
      <c r="B53" s="2"/>
      <c r="C53" s="2"/>
      <c r="D53" s="244" t="s">
        <v>261</v>
      </c>
      <c r="E53" s="244"/>
      <c r="F53" s="238" t="s">
        <v>6897</v>
      </c>
      <c r="G53" s="238"/>
      <c r="H53" s="238"/>
      <c r="I53" s="238"/>
      <c r="J53" s="238"/>
      <c r="K53" s="10" t="s">
        <v>6949</v>
      </c>
      <c r="L53" s="238" t="s">
        <v>6950</v>
      </c>
      <c r="M53" s="238"/>
      <c r="N53" s="238"/>
      <c r="O53" s="238" t="s">
        <v>6951</v>
      </c>
      <c r="P53" s="238"/>
      <c r="Q53" s="238"/>
      <c r="R53" s="238" t="s">
        <v>6952</v>
      </c>
      <c r="S53" s="238"/>
      <c r="T53" s="238"/>
      <c r="U53" s="238"/>
      <c r="V53" s="238"/>
      <c r="W53" s="238"/>
      <c r="X53" s="238" t="s">
        <v>6724</v>
      </c>
      <c r="Y53" s="238"/>
      <c r="Z53" s="10" t="s">
        <v>6953</v>
      </c>
      <c r="AA53" s="10" t="s">
        <v>6954</v>
      </c>
      <c r="AB53" s="238" t="s">
        <v>6955</v>
      </c>
      <c r="AC53" s="238"/>
      <c r="AD53" s="238"/>
      <c r="AE53" s="238"/>
      <c r="AF53" s="238"/>
      <c r="AG53" s="10" t="s">
        <v>6956</v>
      </c>
      <c r="AH53" s="237" t="s">
        <v>6957</v>
      </c>
      <c r="AI53" s="237"/>
      <c r="AJ53" s="237"/>
      <c r="AK53" s="237"/>
      <c r="AL53" s="237"/>
      <c r="AM53" s="2"/>
      <c r="AN53" s="2"/>
      <c r="AO53" s="2"/>
      <c r="AP53" s="2"/>
      <c r="AQ53" s="7"/>
    </row>
    <row r="54" spans="1:43" ht="13.5" thickBot="1">
      <c r="A54" s="6"/>
      <c r="B54" s="2"/>
      <c r="C54" s="2"/>
      <c r="D54" s="244" t="s">
        <v>273</v>
      </c>
      <c r="E54" s="244"/>
      <c r="F54" s="238" t="s">
        <v>6958</v>
      </c>
      <c r="G54" s="238"/>
      <c r="H54" s="238"/>
      <c r="I54" s="238"/>
      <c r="J54" s="238"/>
      <c r="K54" s="10" t="s">
        <v>6959</v>
      </c>
      <c r="L54" s="238" t="s">
        <v>6960</v>
      </c>
      <c r="M54" s="238"/>
      <c r="N54" s="238"/>
      <c r="O54" s="238" t="s">
        <v>6961</v>
      </c>
      <c r="P54" s="238"/>
      <c r="Q54" s="238"/>
      <c r="R54" s="238" t="s">
        <v>6962</v>
      </c>
      <c r="S54" s="238"/>
      <c r="T54" s="238"/>
      <c r="U54" s="238"/>
      <c r="V54" s="238"/>
      <c r="W54" s="238"/>
      <c r="X54" s="238" t="s">
        <v>6963</v>
      </c>
      <c r="Y54" s="238"/>
      <c r="Z54" s="10" t="s">
        <v>6964</v>
      </c>
      <c r="AA54" s="10" t="s">
        <v>6965</v>
      </c>
      <c r="AB54" s="238" t="s">
        <v>6966</v>
      </c>
      <c r="AC54" s="238"/>
      <c r="AD54" s="238"/>
      <c r="AE54" s="238"/>
      <c r="AF54" s="238"/>
      <c r="AG54" s="10" t="s">
        <v>6967</v>
      </c>
      <c r="AH54" s="237" t="s">
        <v>6968</v>
      </c>
      <c r="AI54" s="237"/>
      <c r="AJ54" s="237"/>
      <c r="AK54" s="237"/>
      <c r="AL54" s="237"/>
      <c r="AM54" s="2"/>
      <c r="AN54" s="2"/>
      <c r="AO54" s="2"/>
      <c r="AP54" s="2"/>
      <c r="AQ54" s="7"/>
    </row>
    <row r="55" spans="1:43" ht="13.5" thickBot="1">
      <c r="A55" s="6"/>
      <c r="B55" s="2"/>
      <c r="C55" s="2"/>
      <c r="D55" s="244" t="s">
        <v>285</v>
      </c>
      <c r="E55" s="244"/>
      <c r="F55" s="238" t="s">
        <v>6969</v>
      </c>
      <c r="G55" s="238"/>
      <c r="H55" s="238"/>
      <c r="I55" s="238"/>
      <c r="J55" s="238"/>
      <c r="K55" s="10" t="s">
        <v>6730</v>
      </c>
      <c r="L55" s="238" t="s">
        <v>6970</v>
      </c>
      <c r="M55" s="238"/>
      <c r="N55" s="238"/>
      <c r="O55" s="238" t="s">
        <v>6971</v>
      </c>
      <c r="P55" s="238"/>
      <c r="Q55" s="238"/>
      <c r="R55" s="238" t="s">
        <v>6052</v>
      </c>
      <c r="S55" s="238"/>
      <c r="T55" s="238"/>
      <c r="U55" s="238"/>
      <c r="V55" s="238"/>
      <c r="W55" s="238"/>
      <c r="X55" s="238" t="s">
        <v>6972</v>
      </c>
      <c r="Y55" s="238"/>
      <c r="Z55" s="10" t="s">
        <v>6973</v>
      </c>
      <c r="AA55" s="10" t="s">
        <v>6974</v>
      </c>
      <c r="AB55" s="238" t="s">
        <v>6975</v>
      </c>
      <c r="AC55" s="238"/>
      <c r="AD55" s="238"/>
      <c r="AE55" s="238"/>
      <c r="AF55" s="238"/>
      <c r="AG55" s="10" t="s">
        <v>6537</v>
      </c>
      <c r="AH55" s="237" t="s">
        <v>6976</v>
      </c>
      <c r="AI55" s="237"/>
      <c r="AJ55" s="237"/>
      <c r="AK55" s="237"/>
      <c r="AL55" s="237"/>
      <c r="AM55" s="2"/>
      <c r="AN55" s="2"/>
      <c r="AO55" s="2"/>
      <c r="AP55" s="2"/>
      <c r="AQ55" s="7"/>
    </row>
    <row r="56" spans="1:43" ht="13.5" thickBot="1">
      <c r="A56" s="6"/>
      <c r="B56" s="2"/>
      <c r="C56" s="2"/>
      <c r="D56" s="244" t="s">
        <v>295</v>
      </c>
      <c r="E56" s="244"/>
      <c r="F56" s="238" t="s">
        <v>6977</v>
      </c>
      <c r="G56" s="238"/>
      <c r="H56" s="238"/>
      <c r="I56" s="238"/>
      <c r="J56" s="238"/>
      <c r="K56" s="10" t="s">
        <v>6978</v>
      </c>
      <c r="L56" s="238" t="s">
        <v>6979</v>
      </c>
      <c r="M56" s="238"/>
      <c r="N56" s="238"/>
      <c r="O56" s="238" t="s">
        <v>6980</v>
      </c>
      <c r="P56" s="238"/>
      <c r="Q56" s="238"/>
      <c r="R56" s="238" t="s">
        <v>6594</v>
      </c>
      <c r="S56" s="238"/>
      <c r="T56" s="238"/>
      <c r="U56" s="238"/>
      <c r="V56" s="238"/>
      <c r="W56" s="238"/>
      <c r="X56" s="238" t="s">
        <v>6981</v>
      </c>
      <c r="Y56" s="238"/>
      <c r="Z56" s="10" t="s">
        <v>6721</v>
      </c>
      <c r="AA56" s="10" t="s">
        <v>6966</v>
      </c>
      <c r="AB56" s="238" t="s">
        <v>6982</v>
      </c>
      <c r="AC56" s="238"/>
      <c r="AD56" s="238"/>
      <c r="AE56" s="238"/>
      <c r="AF56" s="238"/>
      <c r="AG56" s="10" t="s">
        <v>6983</v>
      </c>
      <c r="AH56" s="237" t="s">
        <v>6984</v>
      </c>
      <c r="AI56" s="237"/>
      <c r="AJ56" s="237"/>
      <c r="AK56" s="237"/>
      <c r="AL56" s="237"/>
      <c r="AM56" s="2"/>
      <c r="AN56" s="2"/>
      <c r="AO56" s="2"/>
      <c r="AP56" s="2"/>
      <c r="AQ56" s="7"/>
    </row>
    <row r="57" spans="1:43" ht="13.5" thickBot="1">
      <c r="A57" s="6"/>
      <c r="B57" s="2"/>
      <c r="C57" s="2"/>
      <c r="D57" s="244" t="s">
        <v>307</v>
      </c>
      <c r="E57" s="244"/>
      <c r="F57" s="238" t="s">
        <v>6061</v>
      </c>
      <c r="G57" s="238"/>
      <c r="H57" s="238"/>
      <c r="I57" s="238"/>
      <c r="J57" s="238"/>
      <c r="K57" s="10" t="s">
        <v>6529</v>
      </c>
      <c r="L57" s="238" t="s">
        <v>6985</v>
      </c>
      <c r="M57" s="238"/>
      <c r="N57" s="238"/>
      <c r="O57" s="238" t="s">
        <v>6386</v>
      </c>
      <c r="P57" s="238"/>
      <c r="Q57" s="238"/>
      <c r="R57" s="238" t="s">
        <v>6986</v>
      </c>
      <c r="S57" s="238"/>
      <c r="T57" s="238"/>
      <c r="U57" s="238"/>
      <c r="V57" s="238"/>
      <c r="W57" s="238"/>
      <c r="X57" s="238" t="s">
        <v>6827</v>
      </c>
      <c r="Y57" s="238"/>
      <c r="Z57" s="10" t="s">
        <v>6987</v>
      </c>
      <c r="AA57" s="10" t="s">
        <v>6988</v>
      </c>
      <c r="AB57" s="238" t="s">
        <v>6989</v>
      </c>
      <c r="AC57" s="238"/>
      <c r="AD57" s="238"/>
      <c r="AE57" s="238"/>
      <c r="AF57" s="238"/>
      <c r="AG57" s="10" t="s">
        <v>6990</v>
      </c>
      <c r="AH57" s="237" t="s">
        <v>6976</v>
      </c>
      <c r="AI57" s="237"/>
      <c r="AJ57" s="237"/>
      <c r="AK57" s="237"/>
      <c r="AL57" s="237"/>
      <c r="AM57" s="2"/>
      <c r="AN57" s="2"/>
      <c r="AO57" s="2"/>
      <c r="AP57" s="2"/>
      <c r="AQ57" s="7"/>
    </row>
    <row r="58" spans="1:43" ht="13.5" thickBot="1">
      <c r="A58" s="6"/>
      <c r="B58" s="2"/>
      <c r="C58" s="2"/>
      <c r="D58" s="244" t="s">
        <v>319</v>
      </c>
      <c r="E58" s="244"/>
      <c r="F58" s="237" t="s">
        <v>6991</v>
      </c>
      <c r="G58" s="237"/>
      <c r="H58" s="237"/>
      <c r="I58" s="237"/>
      <c r="J58" s="237"/>
      <c r="K58" s="11" t="s">
        <v>6992</v>
      </c>
      <c r="L58" s="237" t="s">
        <v>6993</v>
      </c>
      <c r="M58" s="237"/>
      <c r="N58" s="237"/>
      <c r="O58" s="237" t="s">
        <v>6994</v>
      </c>
      <c r="P58" s="237"/>
      <c r="Q58" s="237"/>
      <c r="R58" s="237">
        <v>89.11</v>
      </c>
      <c r="S58" s="237"/>
      <c r="T58" s="237"/>
      <c r="U58" s="237"/>
      <c r="V58" s="237"/>
      <c r="W58" s="237"/>
      <c r="X58" s="237" t="s">
        <v>6996</v>
      </c>
      <c r="Y58" s="237"/>
      <c r="Z58" s="11" t="s">
        <v>6997</v>
      </c>
      <c r="AA58" s="11" t="s">
        <v>6998</v>
      </c>
      <c r="AB58" s="237" t="s">
        <v>6999</v>
      </c>
      <c r="AC58" s="237"/>
      <c r="AD58" s="237"/>
      <c r="AE58" s="237"/>
      <c r="AF58" s="237"/>
      <c r="AG58" s="11">
        <v>90.75</v>
      </c>
      <c r="AH58" s="237" t="s">
        <v>7000</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indexed="50"/>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22.140625" customWidth="1"/>
    <col min="26" max="26" width="0.28515625" customWidth="1"/>
    <col min="27" max="27" width="1.140625" customWidth="1"/>
    <col min="28" max="28" width="1.42578125" customWidth="1"/>
    <col min="29" max="29" width="16.42578125" customWidth="1"/>
    <col min="30" max="32" width="0.140625" customWidth="1"/>
    <col min="33" max="33" width="0.28515625" customWidth="1"/>
    <col min="34" max="35" width="0.140625" customWidth="1"/>
    <col min="36" max="36" width="0.28515625" customWidth="1"/>
    <col min="37" max="37" width="0.140625" customWidth="1"/>
    <col min="38" max="43" width="9.140625" hidden="1" customWidth="1"/>
    <col min="44" max="45" width="1" customWidth="1"/>
    <col min="46" max="46" width="34.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1"/>
      <c r="AK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5"/>
    </row>
    <row r="7" spans="1:47" ht="14.45" customHeight="1" thickBot="1">
      <c r="A7" s="6"/>
      <c r="B7" s="2"/>
      <c r="C7" s="2"/>
      <c r="D7" s="269" t="s">
        <v>7001</v>
      </c>
      <c r="E7" s="269"/>
      <c r="F7" s="269"/>
      <c r="G7" s="269"/>
      <c r="H7" s="269"/>
      <c r="I7" s="269" t="s">
        <v>7002</v>
      </c>
      <c r="J7" s="269"/>
      <c r="K7" s="269"/>
      <c r="L7" s="269"/>
      <c r="M7" s="269"/>
      <c r="N7" s="269"/>
      <c r="O7" s="269"/>
      <c r="P7" s="269"/>
      <c r="Q7" s="269"/>
      <c r="R7" s="269"/>
      <c r="S7" s="269"/>
      <c r="T7" s="269"/>
      <c r="U7" s="269"/>
      <c r="V7" s="269"/>
      <c r="W7" s="269"/>
      <c r="X7" s="269"/>
      <c r="Y7" s="270" t="s">
        <v>6921</v>
      </c>
      <c r="Z7" s="270"/>
      <c r="AA7" s="270"/>
      <c r="AB7" s="270"/>
      <c r="AC7" s="270"/>
      <c r="AD7" s="270"/>
      <c r="AE7" s="270"/>
      <c r="AF7" s="270"/>
      <c r="AG7" s="270"/>
      <c r="AH7" s="270"/>
      <c r="AI7" s="2"/>
      <c r="AJ7" s="2"/>
      <c r="AK7" s="7"/>
      <c r="AT7" s="22" t="s">
        <v>1518</v>
      </c>
      <c r="AU7" s="35" t="str">
        <f>I7</f>
        <v>CERNAVODA-2</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1"/>
      <c r="AB8" s="1"/>
      <c r="AC8" s="1"/>
      <c r="AD8" s="1"/>
      <c r="AE8" s="1"/>
      <c r="AF8" s="1"/>
      <c r="AG8" s="1"/>
      <c r="AH8" s="1"/>
      <c r="AI8" s="1"/>
      <c r="AJ8" s="2"/>
      <c r="AK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
      <c r="AB9" s="2"/>
      <c r="AC9" s="261"/>
      <c r="AD9" s="2"/>
      <c r="AE9" s="2"/>
      <c r="AF9" s="2"/>
      <c r="AG9" s="2"/>
      <c r="AH9" s="2"/>
      <c r="AI9" s="1"/>
      <c r="AJ9" s="2"/>
      <c r="AK9" s="7"/>
    </row>
    <row r="10" spans="1:47" ht="11.45" customHeight="1">
      <c r="A10" s="6"/>
      <c r="B10" s="1"/>
      <c r="C10" s="2"/>
      <c r="D10" s="247" t="s">
        <v>5711</v>
      </c>
      <c r="E10" s="247"/>
      <c r="F10" s="247"/>
      <c r="G10" s="247"/>
      <c r="H10" s="247" t="s">
        <v>5709</v>
      </c>
      <c r="I10" s="247"/>
      <c r="J10" s="247" t="s">
        <v>6922</v>
      </c>
      <c r="K10" s="247"/>
      <c r="L10" s="247"/>
      <c r="M10" s="247"/>
      <c r="N10" s="247"/>
      <c r="O10" s="247"/>
      <c r="P10" s="247"/>
      <c r="Q10" s="247"/>
      <c r="R10" s="247"/>
      <c r="S10" s="247"/>
      <c r="T10" s="247"/>
      <c r="U10" s="247"/>
      <c r="V10" s="247"/>
      <c r="W10" s="247"/>
      <c r="X10" s="247"/>
      <c r="Y10" s="247"/>
      <c r="Z10" s="247"/>
      <c r="AA10" s="2"/>
      <c r="AB10" s="2"/>
      <c r="AC10" s="261"/>
      <c r="AD10" s="2"/>
      <c r="AE10" s="2"/>
      <c r="AF10" s="2"/>
      <c r="AG10" s="2"/>
      <c r="AH10" s="2"/>
      <c r="AI10" s="1"/>
      <c r="AJ10" s="2"/>
      <c r="AK10" s="7"/>
    </row>
    <row r="11" spans="1:47" ht="11.45" customHeight="1">
      <c r="A11" s="6"/>
      <c r="B11" s="1"/>
      <c r="C11" s="2"/>
      <c r="D11" s="247" t="s">
        <v>5713</v>
      </c>
      <c r="E11" s="247"/>
      <c r="F11" s="247"/>
      <c r="G11" s="247"/>
      <c r="H11" s="247" t="s">
        <v>5709</v>
      </c>
      <c r="I11" s="247"/>
      <c r="J11" s="247" t="s">
        <v>6923</v>
      </c>
      <c r="K11" s="247"/>
      <c r="L11" s="247"/>
      <c r="M11" s="247"/>
      <c r="N11" s="247"/>
      <c r="O11" s="247"/>
      <c r="P11" s="247"/>
      <c r="Q11" s="247"/>
      <c r="R11" s="247"/>
      <c r="S11" s="247"/>
      <c r="T11" s="247"/>
      <c r="U11" s="247"/>
      <c r="V11" s="247"/>
      <c r="W11" s="247"/>
      <c r="X11" s="247"/>
      <c r="Y11" s="247"/>
      <c r="Z11" s="247"/>
      <c r="AA11" s="2"/>
      <c r="AB11" s="2"/>
      <c r="AC11" s="261"/>
      <c r="AD11" s="2"/>
      <c r="AE11" s="2"/>
      <c r="AF11" s="2"/>
      <c r="AG11" s="2"/>
      <c r="AH11" s="2"/>
      <c r="AI11" s="1"/>
      <c r="AJ11" s="2"/>
      <c r="AK11" s="7"/>
      <c r="AT11" s="23" t="str">
        <f>D16</f>
        <v>Type</v>
      </c>
      <c r="AU11" s="24" t="str">
        <f>J16</f>
        <v xml:space="preserve">PHWR </v>
      </c>
    </row>
    <row r="12" spans="1:47" ht="11.45" customHeight="1">
      <c r="A12" s="6"/>
      <c r="B12" s="1"/>
      <c r="C12" s="2"/>
      <c r="D12" s="247" t="s">
        <v>5714</v>
      </c>
      <c r="E12" s="247"/>
      <c r="F12" s="247"/>
      <c r="G12" s="247"/>
      <c r="H12" s="247" t="s">
        <v>5709</v>
      </c>
      <c r="I12" s="247"/>
      <c r="J12" s="247" t="s">
        <v>6924</v>
      </c>
      <c r="K12" s="247"/>
      <c r="L12" s="247"/>
      <c r="M12" s="247"/>
      <c r="N12" s="247"/>
      <c r="O12" s="247"/>
      <c r="P12" s="247"/>
      <c r="Q12" s="247"/>
      <c r="R12" s="247"/>
      <c r="S12" s="247"/>
      <c r="T12" s="247"/>
      <c r="U12" s="247"/>
      <c r="V12" s="247"/>
      <c r="W12" s="247"/>
      <c r="X12" s="247"/>
      <c r="Y12" s="247"/>
      <c r="Z12" s="247"/>
      <c r="AA12" s="2"/>
      <c r="AB12" s="2"/>
      <c r="AC12" s="261"/>
      <c r="AD12" s="2"/>
      <c r="AE12" s="2"/>
      <c r="AF12" s="2"/>
      <c r="AG12" s="2"/>
      <c r="AH12" s="2"/>
      <c r="AI12" s="1"/>
      <c r="AJ12" s="2"/>
      <c r="AK12" s="7"/>
      <c r="AT12" s="23" t="str">
        <f>D17</f>
        <v>Model</v>
      </c>
      <c r="AU12" s="24" t="str">
        <f>J17</f>
        <v>CANDU 6</v>
      </c>
    </row>
    <row r="13" spans="1:47" ht="12.75" customHeight="1">
      <c r="A13" s="6"/>
      <c r="B13" s="1"/>
      <c r="C13" s="2"/>
      <c r="D13" s="247" t="s">
        <v>5716</v>
      </c>
      <c r="E13" s="247"/>
      <c r="F13" s="247"/>
      <c r="G13" s="247"/>
      <c r="H13" s="247" t="s">
        <v>5709</v>
      </c>
      <c r="I13" s="247"/>
      <c r="J13" s="247" t="s">
        <v>6925</v>
      </c>
      <c r="K13" s="247"/>
      <c r="L13" s="247"/>
      <c r="M13" s="247"/>
      <c r="N13" s="247"/>
      <c r="O13" s="247"/>
      <c r="P13" s="247"/>
      <c r="Q13" s="247"/>
      <c r="R13" s="247"/>
      <c r="S13" s="247"/>
      <c r="T13" s="247"/>
      <c r="U13" s="247"/>
      <c r="V13" s="247"/>
      <c r="W13" s="247"/>
      <c r="X13" s="247"/>
      <c r="Y13" s="247"/>
      <c r="Z13" s="247"/>
      <c r="AA13" s="2"/>
      <c r="AB13" s="2"/>
      <c r="AC13" s="261"/>
      <c r="AD13" s="2"/>
      <c r="AE13" s="2"/>
      <c r="AF13" s="2"/>
      <c r="AG13" s="2"/>
      <c r="AH13" s="2"/>
      <c r="AI13" s="1"/>
      <c r="AJ13" s="2"/>
      <c r="AK13" s="7"/>
      <c r="AT13" s="24" t="str">
        <f>D18 &amp;" [MWth]"</f>
        <v>Latest thermal power [MWth]</v>
      </c>
      <c r="AU13" s="24">
        <f>N18</f>
        <v>2180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
      <c r="AB14" s="2"/>
      <c r="AC14" s="2"/>
      <c r="AD14" s="2"/>
      <c r="AE14" s="2"/>
      <c r="AF14" s="2"/>
      <c r="AG14" s="2"/>
      <c r="AH14" s="2"/>
      <c r="AI14" s="1"/>
      <c r="AJ14" s="2"/>
      <c r="AK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1"/>
      <c r="AH15" s="2"/>
      <c r="AI15" s="1"/>
      <c r="AJ15" s="2"/>
      <c r="AK15" s="7"/>
    </row>
    <row r="16" spans="1:47" ht="11.45" customHeight="1" thickBot="1">
      <c r="A16" s="6"/>
      <c r="B16" s="1"/>
      <c r="C16" s="1"/>
      <c r="D16" s="248" t="s">
        <v>5719</v>
      </c>
      <c r="E16" s="248"/>
      <c r="F16" s="248"/>
      <c r="G16" s="248"/>
      <c r="H16" s="247" t="s">
        <v>5709</v>
      </c>
      <c r="I16" s="247"/>
      <c r="J16" s="248" t="s">
        <v>6926</v>
      </c>
      <c r="K16" s="248"/>
      <c r="L16" s="248"/>
      <c r="M16" s="248"/>
      <c r="N16" s="248"/>
      <c r="O16" s="248"/>
      <c r="P16" s="248"/>
      <c r="Q16" s="248"/>
      <c r="R16" s="248"/>
      <c r="S16" s="248"/>
      <c r="T16" s="2"/>
      <c r="U16" s="2"/>
      <c r="V16" s="266" t="s">
        <v>5721</v>
      </c>
      <c r="W16" s="266"/>
      <c r="X16" s="266"/>
      <c r="Y16" s="266"/>
      <c r="Z16" s="247"/>
      <c r="AA16" s="247"/>
      <c r="AB16" s="248"/>
      <c r="AC16" s="248"/>
      <c r="AD16" s="248"/>
      <c r="AE16" s="248"/>
      <c r="AF16" s="248"/>
      <c r="AG16" s="1"/>
      <c r="AH16" s="2"/>
      <c r="AI16" s="1"/>
      <c r="AJ16" s="2"/>
      <c r="AK16" s="7"/>
      <c r="AT16" s="24" t="str">
        <f>D19 &amp; " [MWe]"</f>
        <v>Latest gross electrical power [MWe]</v>
      </c>
      <c r="AU16" s="24">
        <f>N19</f>
        <v>706</v>
      </c>
    </row>
    <row r="17" spans="1:47" ht="11.45" customHeight="1" thickBot="1">
      <c r="A17" s="6"/>
      <c r="B17" s="1"/>
      <c r="C17" s="1"/>
      <c r="D17" s="248" t="s">
        <v>5722</v>
      </c>
      <c r="E17" s="248"/>
      <c r="F17" s="248"/>
      <c r="G17" s="248"/>
      <c r="H17" s="247" t="s">
        <v>5709</v>
      </c>
      <c r="I17" s="247"/>
      <c r="J17" s="248" t="s">
        <v>6927</v>
      </c>
      <c r="K17" s="248"/>
      <c r="L17" s="248"/>
      <c r="M17" s="248"/>
      <c r="N17" s="248"/>
      <c r="O17" s="248"/>
      <c r="P17" s="248"/>
      <c r="Q17" s="248"/>
      <c r="R17" s="248"/>
      <c r="S17" s="248"/>
      <c r="T17" s="2"/>
      <c r="U17" s="2"/>
      <c r="V17" s="252" t="s">
        <v>5724</v>
      </c>
      <c r="W17" s="252"/>
      <c r="X17" s="252"/>
      <c r="Y17" s="252"/>
      <c r="Z17" s="247" t="s">
        <v>5709</v>
      </c>
      <c r="AA17" s="247"/>
      <c r="AB17" s="248" t="s">
        <v>420</v>
      </c>
      <c r="AC17" s="248"/>
      <c r="AD17" s="248"/>
      <c r="AE17" s="248"/>
      <c r="AF17" s="248"/>
      <c r="AG17" s="1"/>
      <c r="AH17" s="2"/>
      <c r="AI17" s="1"/>
      <c r="AJ17" s="2"/>
      <c r="AK17" s="7"/>
      <c r="AT17" s="24" t="str">
        <f>D21 &amp; " [MWe]"</f>
        <v>Latest reference unit power (net) [MWe]</v>
      </c>
      <c r="AU17" s="24">
        <f>N21</f>
        <v>650</v>
      </c>
    </row>
    <row r="18" spans="1:47" ht="13.5" thickBot="1">
      <c r="A18" s="6"/>
      <c r="B18" s="1"/>
      <c r="C18" s="1"/>
      <c r="D18" s="248" t="s">
        <v>185</v>
      </c>
      <c r="E18" s="248"/>
      <c r="F18" s="248"/>
      <c r="G18" s="248"/>
      <c r="H18" s="248"/>
      <c r="I18" s="248"/>
      <c r="J18" s="248"/>
      <c r="K18" s="248"/>
      <c r="L18" s="248"/>
      <c r="M18" s="8" t="s">
        <v>5709</v>
      </c>
      <c r="N18" s="264">
        <v>2180</v>
      </c>
      <c r="O18" s="264"/>
      <c r="P18" s="264"/>
      <c r="Q18" s="248" t="s">
        <v>186</v>
      </c>
      <c r="R18" s="248"/>
      <c r="S18" s="248"/>
      <c r="T18" s="2"/>
      <c r="U18" s="2"/>
      <c r="V18" s="252" t="s">
        <v>187</v>
      </c>
      <c r="W18" s="252"/>
      <c r="X18" s="252"/>
      <c r="Y18" s="252"/>
      <c r="Z18" s="247" t="s">
        <v>5709</v>
      </c>
      <c r="AA18" s="247"/>
      <c r="AB18" s="248" t="s">
        <v>446</v>
      </c>
      <c r="AC18" s="248"/>
      <c r="AD18" s="248"/>
      <c r="AE18" s="248"/>
      <c r="AF18" s="248"/>
      <c r="AG18" s="1"/>
      <c r="AH18" s="2"/>
      <c r="AI18" s="1"/>
      <c r="AJ18" s="2"/>
      <c r="AK18" s="7"/>
      <c r="AT18" s="25" t="str">
        <f>D26</f>
        <v>Grid Date</v>
      </c>
      <c r="AU18" s="25">
        <f>N26</f>
        <v>39301</v>
      </c>
    </row>
    <row r="19" spans="1:47" ht="13.5" thickBot="1">
      <c r="A19" s="6"/>
      <c r="B19" s="1"/>
      <c r="C19" s="1"/>
      <c r="D19" s="248" t="s">
        <v>189</v>
      </c>
      <c r="E19" s="248"/>
      <c r="F19" s="248"/>
      <c r="G19" s="248"/>
      <c r="H19" s="248"/>
      <c r="I19" s="248"/>
      <c r="J19" s="248"/>
      <c r="K19" s="248"/>
      <c r="L19" s="248"/>
      <c r="M19" s="8" t="s">
        <v>5709</v>
      </c>
      <c r="N19" s="264">
        <v>706</v>
      </c>
      <c r="O19" s="264"/>
      <c r="P19" s="264"/>
      <c r="Q19" s="248" t="s">
        <v>190</v>
      </c>
      <c r="R19" s="248"/>
      <c r="S19" s="248"/>
      <c r="T19" s="2"/>
      <c r="U19" s="2"/>
      <c r="V19" s="252" t="s">
        <v>191</v>
      </c>
      <c r="W19" s="252"/>
      <c r="X19" s="252"/>
      <c r="Y19" s="252"/>
      <c r="Z19" s="247" t="s">
        <v>5709</v>
      </c>
      <c r="AA19" s="247"/>
      <c r="AB19" s="248" t="s">
        <v>192</v>
      </c>
      <c r="AC19" s="248"/>
      <c r="AD19" s="248"/>
      <c r="AE19" s="248"/>
      <c r="AF19" s="248"/>
      <c r="AG19" s="1"/>
      <c r="AH19" s="2"/>
      <c r="AI19" s="1"/>
      <c r="AJ19" s="2"/>
      <c r="AK19" s="7"/>
      <c r="AT19" s="23" t="str">
        <f>V21</f>
        <v>Average discharge burnup  [MWd/t]</v>
      </c>
      <c r="AU19" s="23" t="str">
        <f>AB21</f>
        <v>7100</v>
      </c>
    </row>
    <row r="20" spans="1:47" ht="13.5" thickBot="1">
      <c r="A20" s="6"/>
      <c r="B20" s="1"/>
      <c r="C20" s="1"/>
      <c r="D20" s="248" t="s">
        <v>193</v>
      </c>
      <c r="E20" s="248"/>
      <c r="F20" s="248"/>
      <c r="G20" s="248"/>
      <c r="H20" s="248"/>
      <c r="I20" s="248"/>
      <c r="J20" s="248"/>
      <c r="K20" s="248"/>
      <c r="L20" s="248"/>
      <c r="M20" s="8" t="s">
        <v>5709</v>
      </c>
      <c r="N20" s="264">
        <v>650</v>
      </c>
      <c r="O20" s="264"/>
      <c r="P20" s="264"/>
      <c r="Q20" s="248" t="s">
        <v>190</v>
      </c>
      <c r="R20" s="248"/>
      <c r="S20" s="248"/>
      <c r="T20" s="2"/>
      <c r="U20" s="2"/>
      <c r="V20" s="252" t="s">
        <v>194</v>
      </c>
      <c r="W20" s="252"/>
      <c r="X20" s="252"/>
      <c r="Y20" s="252"/>
      <c r="Z20" s="247" t="s">
        <v>5709</v>
      </c>
      <c r="AA20" s="247"/>
      <c r="AB20" s="248" t="s">
        <v>215</v>
      </c>
      <c r="AC20" s="248"/>
      <c r="AD20" s="248"/>
      <c r="AE20" s="248"/>
      <c r="AF20" s="248"/>
      <c r="AG20" s="1"/>
      <c r="AH20" s="2"/>
      <c r="AI20" s="1"/>
      <c r="AJ20" s="2"/>
      <c r="AK20" s="7"/>
      <c r="AT20" s="23"/>
      <c r="AU20" s="23"/>
    </row>
    <row r="21" spans="1:47" ht="13.5" thickBot="1">
      <c r="A21" s="6"/>
      <c r="B21" s="1"/>
      <c r="C21" s="1"/>
      <c r="D21" s="248" t="s">
        <v>196</v>
      </c>
      <c r="E21" s="248"/>
      <c r="F21" s="248"/>
      <c r="G21" s="248"/>
      <c r="H21" s="248"/>
      <c r="I21" s="248"/>
      <c r="J21" s="248"/>
      <c r="K21" s="248"/>
      <c r="L21" s="248"/>
      <c r="M21" s="8" t="s">
        <v>5709</v>
      </c>
      <c r="N21" s="264">
        <v>650</v>
      </c>
      <c r="O21" s="264"/>
      <c r="P21" s="264"/>
      <c r="Q21" s="248" t="s">
        <v>190</v>
      </c>
      <c r="R21" s="248"/>
      <c r="S21" s="248"/>
      <c r="T21" s="2"/>
      <c r="U21" s="2"/>
      <c r="V21" s="252" t="s">
        <v>197</v>
      </c>
      <c r="W21" s="252"/>
      <c r="X21" s="252"/>
      <c r="Y21" s="252"/>
      <c r="Z21" s="247" t="s">
        <v>5709</v>
      </c>
      <c r="AA21" s="247"/>
      <c r="AB21" s="248" t="s">
        <v>6928</v>
      </c>
      <c r="AC21" s="248"/>
      <c r="AD21" s="248"/>
      <c r="AE21" s="248"/>
      <c r="AF21" s="248"/>
      <c r="AG21" s="1"/>
      <c r="AH21" s="2"/>
      <c r="AI21" s="1"/>
      <c r="AJ21" s="2"/>
      <c r="AK21" s="7"/>
      <c r="AT21" s="23" t="str">
        <f>D58&amp;O51</f>
        <v>LF [%]2010</v>
      </c>
      <c r="AU21" s="23">
        <f>O58</f>
        <v>97.25</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47" t="s">
        <v>5709</v>
      </c>
      <c r="AA22" s="247"/>
      <c r="AB22" s="248" t="s">
        <v>6929</v>
      </c>
      <c r="AC22" s="248"/>
      <c r="AD22" s="248"/>
      <c r="AE22" s="248"/>
      <c r="AF22" s="248"/>
      <c r="AG22" s="1"/>
      <c r="AH22" s="2"/>
      <c r="AI22" s="1"/>
      <c r="AJ22" s="2"/>
      <c r="AK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47" t="s">
        <v>5709</v>
      </c>
      <c r="AA23" s="247"/>
      <c r="AB23" s="248" t="s">
        <v>6930</v>
      </c>
      <c r="AC23" s="248"/>
      <c r="AD23" s="248"/>
      <c r="AE23" s="248"/>
      <c r="AF23" s="248"/>
      <c r="AG23" s="1"/>
      <c r="AH23" s="2"/>
      <c r="AI23" s="1"/>
      <c r="AJ23" s="2"/>
      <c r="AK23" s="7"/>
    </row>
    <row r="24" spans="1:47" ht="8.85" customHeight="1" thickBot="1">
      <c r="A24" s="6"/>
      <c r="B24" s="1"/>
      <c r="C24" s="1"/>
      <c r="D24" s="248" t="s">
        <v>205</v>
      </c>
      <c r="E24" s="248"/>
      <c r="F24" s="248"/>
      <c r="G24" s="248"/>
      <c r="H24" s="248"/>
      <c r="I24" s="248"/>
      <c r="J24" s="248"/>
      <c r="K24" s="248"/>
      <c r="L24" s="248"/>
      <c r="M24" s="247" t="s">
        <v>5709</v>
      </c>
      <c r="N24" s="259">
        <v>30498</v>
      </c>
      <c r="O24" s="259"/>
      <c r="P24" s="259"/>
      <c r="Q24" s="248"/>
      <c r="R24" s="248"/>
      <c r="S24" s="248"/>
      <c r="T24" s="2"/>
      <c r="U24" s="2"/>
      <c r="V24" s="252"/>
      <c r="W24" s="252"/>
      <c r="X24" s="252"/>
      <c r="Y24" s="252"/>
      <c r="Z24" s="247"/>
      <c r="AA24" s="247"/>
      <c r="AB24" s="248"/>
      <c r="AC24" s="248"/>
      <c r="AD24" s="248"/>
      <c r="AE24" s="248"/>
      <c r="AF24" s="248"/>
      <c r="AG24" s="1"/>
      <c r="AH24" s="2"/>
      <c r="AI24" s="1"/>
      <c r="AJ24" s="2"/>
      <c r="AK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47" t="s">
        <v>5709</v>
      </c>
      <c r="AA25" s="247"/>
      <c r="AB25" s="248" t="s">
        <v>6931</v>
      </c>
      <c r="AC25" s="248"/>
      <c r="AD25" s="248"/>
      <c r="AE25" s="248"/>
      <c r="AF25" s="248"/>
      <c r="AG25" s="1"/>
      <c r="AH25" s="2"/>
      <c r="AI25" s="1"/>
      <c r="AJ25" s="2"/>
      <c r="AK25" s="7"/>
    </row>
    <row r="26" spans="1:47" ht="8.85" customHeight="1" thickBot="1">
      <c r="A26" s="6"/>
      <c r="B26" s="1"/>
      <c r="C26" s="1"/>
      <c r="D26" s="248" t="s">
        <v>208</v>
      </c>
      <c r="E26" s="248"/>
      <c r="F26" s="248"/>
      <c r="G26" s="248"/>
      <c r="H26" s="248"/>
      <c r="I26" s="248"/>
      <c r="J26" s="248"/>
      <c r="K26" s="248"/>
      <c r="L26" s="248"/>
      <c r="M26" s="247" t="s">
        <v>5709</v>
      </c>
      <c r="N26" s="259">
        <v>39301</v>
      </c>
      <c r="O26" s="259"/>
      <c r="P26" s="259"/>
      <c r="Q26" s="248"/>
      <c r="R26" s="248"/>
      <c r="S26" s="248"/>
      <c r="T26" s="2"/>
      <c r="U26" s="2"/>
      <c r="V26" s="252"/>
      <c r="W26" s="252"/>
      <c r="X26" s="252"/>
      <c r="Y26" s="252"/>
      <c r="Z26" s="247"/>
      <c r="AA26" s="247"/>
      <c r="AB26" s="248"/>
      <c r="AC26" s="248"/>
      <c r="AD26" s="248"/>
      <c r="AE26" s="248"/>
      <c r="AF26" s="248"/>
      <c r="AG26" s="1"/>
      <c r="AH26" s="2"/>
      <c r="AI26" s="1"/>
      <c r="AJ26" s="2"/>
      <c r="AK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47" t="s">
        <v>5709</v>
      </c>
      <c r="AA27" s="247"/>
      <c r="AB27" s="248" t="s">
        <v>315</v>
      </c>
      <c r="AC27" s="248"/>
      <c r="AD27" s="248"/>
      <c r="AE27" s="248"/>
      <c r="AF27" s="248"/>
      <c r="AG27" s="1"/>
      <c r="AH27" s="2"/>
      <c r="AI27" s="1"/>
      <c r="AJ27" s="2"/>
      <c r="AK27" s="7"/>
    </row>
    <row r="28" spans="1:47" ht="8.85" customHeight="1" thickBot="1">
      <c r="A28" s="6"/>
      <c r="B28" s="1"/>
      <c r="C28" s="1"/>
      <c r="D28" s="256" t="s">
        <v>211</v>
      </c>
      <c r="E28" s="256"/>
      <c r="F28" s="256"/>
      <c r="G28" s="256"/>
      <c r="H28" s="256"/>
      <c r="I28" s="256"/>
      <c r="J28" s="256"/>
      <c r="K28" s="256"/>
      <c r="L28" s="256"/>
      <c r="M28" s="256" t="s">
        <v>5709</v>
      </c>
      <c r="N28" s="257">
        <v>39386</v>
      </c>
      <c r="O28" s="257"/>
      <c r="P28" s="257"/>
      <c r="Q28" s="256"/>
      <c r="R28" s="256"/>
      <c r="S28" s="256"/>
      <c r="T28" s="2"/>
      <c r="U28" s="2"/>
      <c r="V28" s="252"/>
      <c r="W28" s="252"/>
      <c r="X28" s="252"/>
      <c r="Y28" s="252"/>
      <c r="Z28" s="247"/>
      <c r="AA28" s="247"/>
      <c r="AB28" s="248"/>
      <c r="AC28" s="248"/>
      <c r="AD28" s="248"/>
      <c r="AE28" s="248"/>
      <c r="AF28" s="248"/>
      <c r="AG28" s="1"/>
      <c r="AH28" s="2"/>
      <c r="AI28" s="1"/>
      <c r="AJ28" s="2"/>
      <c r="AK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47" t="s">
        <v>5709</v>
      </c>
      <c r="AA29" s="247"/>
      <c r="AB29" s="248" t="s">
        <v>6932</v>
      </c>
      <c r="AC29" s="248"/>
      <c r="AD29" s="248"/>
      <c r="AE29" s="248"/>
      <c r="AF29" s="248"/>
      <c r="AG29" s="1"/>
      <c r="AH29" s="2"/>
      <c r="AI29" s="1"/>
      <c r="AJ29" s="2"/>
      <c r="AK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47"/>
      <c r="AA30" s="247"/>
      <c r="AB30" s="248"/>
      <c r="AC30" s="248"/>
      <c r="AD30" s="248"/>
      <c r="AE30" s="248"/>
      <c r="AF30" s="248"/>
      <c r="AG30" s="1"/>
      <c r="AH30" s="2"/>
      <c r="AI30" s="1"/>
      <c r="AJ30" s="2"/>
      <c r="AK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47"/>
      <c r="AA31" s="247"/>
      <c r="AB31" s="248"/>
      <c r="AC31" s="248"/>
      <c r="AD31" s="248"/>
      <c r="AE31" s="248"/>
      <c r="AF31" s="248"/>
      <c r="AG31" s="1"/>
      <c r="AH31" s="2"/>
      <c r="AI31" s="1"/>
      <c r="AJ31" s="2"/>
      <c r="AK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47" t="s">
        <v>5709</v>
      </c>
      <c r="AA32" s="247"/>
      <c r="AB32" s="248" t="s">
        <v>422</v>
      </c>
      <c r="AC32" s="248"/>
      <c r="AD32" s="248"/>
      <c r="AE32" s="248"/>
      <c r="AF32" s="248"/>
      <c r="AG32" s="1"/>
      <c r="AH32" s="2"/>
      <c r="AI32" s="1"/>
      <c r="AJ32" s="2"/>
      <c r="AK32" s="7"/>
    </row>
    <row r="33" spans="1:37"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47"/>
      <c r="AA33" s="247"/>
      <c r="AB33" s="248"/>
      <c r="AC33" s="248"/>
      <c r="AD33" s="248"/>
      <c r="AE33" s="248"/>
      <c r="AF33" s="248"/>
      <c r="AG33" s="1"/>
      <c r="AH33" s="2"/>
      <c r="AI33" s="1"/>
      <c r="AJ33" s="2"/>
      <c r="AK33" s="7"/>
    </row>
    <row r="34" spans="1:37"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47" t="s">
        <v>5709</v>
      </c>
      <c r="AA34" s="247"/>
      <c r="AB34" s="248" t="s">
        <v>6933</v>
      </c>
      <c r="AC34" s="248"/>
      <c r="AD34" s="248"/>
      <c r="AE34" s="248"/>
      <c r="AF34" s="248"/>
      <c r="AG34" s="1"/>
      <c r="AH34" s="2"/>
      <c r="AI34" s="1"/>
      <c r="AJ34" s="2"/>
      <c r="AK34" s="7"/>
    </row>
    <row r="35" spans="1:37"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47"/>
      <c r="AA35" s="247"/>
      <c r="AB35" s="248"/>
      <c r="AC35" s="248"/>
      <c r="AD35" s="248"/>
      <c r="AE35" s="248"/>
      <c r="AF35" s="248"/>
      <c r="AG35" s="1"/>
      <c r="AH35" s="2"/>
      <c r="AI35" s="1"/>
      <c r="AJ35" s="2"/>
      <c r="AK35" s="7"/>
    </row>
    <row r="36" spans="1:37"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47"/>
      <c r="AA36" s="247"/>
      <c r="AB36" s="248"/>
      <c r="AC36" s="248"/>
      <c r="AD36" s="248"/>
      <c r="AE36" s="248"/>
      <c r="AF36" s="248"/>
      <c r="AG36" s="1"/>
      <c r="AH36" s="2"/>
      <c r="AI36" s="1"/>
      <c r="AJ36" s="2"/>
      <c r="AK36" s="7"/>
    </row>
    <row r="37" spans="1:37"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47" t="s">
        <v>5709</v>
      </c>
      <c r="AA37" s="247"/>
      <c r="AB37" s="248" t="s">
        <v>6934</v>
      </c>
      <c r="AC37" s="248"/>
      <c r="AD37" s="248"/>
      <c r="AE37" s="248"/>
      <c r="AF37" s="248"/>
      <c r="AG37" s="1"/>
      <c r="AH37" s="2"/>
      <c r="AI37" s="1"/>
      <c r="AJ37" s="2"/>
      <c r="AK37" s="7"/>
    </row>
    <row r="38" spans="1:37"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47" t="s">
        <v>5709</v>
      </c>
      <c r="AA38" s="247"/>
      <c r="AB38" s="248" t="s">
        <v>6935</v>
      </c>
      <c r="AC38" s="248"/>
      <c r="AD38" s="248"/>
      <c r="AE38" s="248"/>
      <c r="AF38" s="248"/>
      <c r="AG38" s="1"/>
      <c r="AH38" s="2"/>
      <c r="AI38" s="1"/>
      <c r="AJ38" s="2"/>
      <c r="AK38" s="7"/>
    </row>
    <row r="39" spans="1:37"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47"/>
      <c r="AA39" s="247"/>
      <c r="AB39" s="248"/>
      <c r="AC39" s="248"/>
      <c r="AD39" s="248"/>
      <c r="AE39" s="248"/>
      <c r="AF39" s="248"/>
      <c r="AG39" s="1"/>
      <c r="AH39" s="2"/>
      <c r="AI39" s="1"/>
      <c r="AJ39" s="2"/>
      <c r="AK39" s="7"/>
    </row>
    <row r="40" spans="1:37"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47" t="s">
        <v>5709</v>
      </c>
      <c r="AA40" s="247"/>
      <c r="AB40" s="248" t="s">
        <v>6936</v>
      </c>
      <c r="AC40" s="248"/>
      <c r="AD40" s="248"/>
      <c r="AE40" s="248"/>
      <c r="AF40" s="248"/>
      <c r="AG40" s="1"/>
      <c r="AH40" s="2"/>
      <c r="AI40" s="1"/>
      <c r="AJ40" s="2"/>
      <c r="AK40" s="7"/>
    </row>
    <row r="41" spans="1:37"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47" t="s">
        <v>5709</v>
      </c>
      <c r="AA41" s="247"/>
      <c r="AB41" s="248" t="s">
        <v>5725</v>
      </c>
      <c r="AC41" s="248"/>
      <c r="AD41" s="248"/>
      <c r="AE41" s="248"/>
      <c r="AF41" s="248"/>
      <c r="AG41" s="1"/>
      <c r="AH41" s="2"/>
      <c r="AI41" s="1"/>
      <c r="AJ41" s="2"/>
      <c r="AK41" s="7"/>
    </row>
    <row r="42" spans="1:37"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47" t="s">
        <v>5709</v>
      </c>
      <c r="AA42" s="247"/>
      <c r="AB42" s="248" t="s">
        <v>422</v>
      </c>
      <c r="AC42" s="248"/>
      <c r="AD42" s="248"/>
      <c r="AE42" s="248"/>
      <c r="AF42" s="248"/>
      <c r="AG42" s="1"/>
      <c r="AH42" s="2"/>
      <c r="AI42" s="1"/>
      <c r="AJ42" s="2"/>
      <c r="AK42" s="7"/>
    </row>
    <row r="43" spans="1:37"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47" t="s">
        <v>5709</v>
      </c>
      <c r="AA43" s="247"/>
      <c r="AB43" s="248" t="s">
        <v>421</v>
      </c>
      <c r="AC43" s="248"/>
      <c r="AD43" s="248"/>
      <c r="AE43" s="248"/>
      <c r="AF43" s="248"/>
      <c r="AG43" s="1"/>
      <c r="AH43" s="2"/>
      <c r="AI43" s="1"/>
      <c r="AJ43" s="2"/>
      <c r="AK43" s="7"/>
    </row>
    <row r="44" spans="1:37"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47"/>
      <c r="AA44" s="247"/>
      <c r="AB44" s="248"/>
      <c r="AC44" s="248"/>
      <c r="AD44" s="248"/>
      <c r="AE44" s="248"/>
      <c r="AF44" s="248"/>
      <c r="AG44" s="1"/>
      <c r="AH44" s="2"/>
      <c r="AI44" s="1"/>
      <c r="AJ44" s="2"/>
      <c r="AK44" s="7"/>
    </row>
    <row r="45" spans="1:37"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47" t="s">
        <v>5709</v>
      </c>
      <c r="AA45" s="247"/>
      <c r="AB45" s="248" t="s">
        <v>227</v>
      </c>
      <c r="AC45" s="248"/>
      <c r="AD45" s="248"/>
      <c r="AE45" s="248"/>
      <c r="AF45" s="248"/>
      <c r="AG45" s="1"/>
      <c r="AH45" s="2"/>
      <c r="AI45" s="1"/>
      <c r="AJ45" s="2"/>
      <c r="AK45" s="7"/>
    </row>
    <row r="46" spans="1:37"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47" t="s">
        <v>5709</v>
      </c>
      <c r="AA46" s="247"/>
      <c r="AB46" s="248" t="s">
        <v>6135</v>
      </c>
      <c r="AC46" s="248"/>
      <c r="AD46" s="248"/>
      <c r="AE46" s="248"/>
      <c r="AF46" s="248"/>
      <c r="AG46" s="1"/>
      <c r="AH46" s="2"/>
      <c r="AI46" s="1"/>
      <c r="AJ46" s="2"/>
      <c r="AK46" s="7"/>
    </row>
    <row r="47" spans="1:37"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48" t="s">
        <v>5709</v>
      </c>
      <c r="AA47" s="248"/>
      <c r="AB47" s="248" t="s">
        <v>6937</v>
      </c>
      <c r="AC47" s="248"/>
      <c r="AD47" s="248"/>
      <c r="AE47" s="248"/>
      <c r="AF47" s="248"/>
      <c r="AG47" s="1"/>
      <c r="AH47" s="2"/>
      <c r="AI47" s="1"/>
      <c r="AJ47" s="2"/>
      <c r="AK47" s="7"/>
    </row>
    <row r="48" spans="1:37"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2"/>
      <c r="AK48" s="7"/>
    </row>
    <row r="49" spans="1:37"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2"/>
      <c r="AG49" s="2"/>
      <c r="AH49" s="2"/>
      <c r="AI49" s="2"/>
      <c r="AJ49" s="2"/>
      <c r="AK49" s="7"/>
    </row>
    <row r="50" spans="1:37"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
      <c r="AG50" s="2"/>
      <c r="AH50" s="2"/>
      <c r="AI50" s="2"/>
      <c r="AJ50" s="2"/>
      <c r="AK50" s="7"/>
    </row>
    <row r="51" spans="1:37" ht="13.5" thickBot="1">
      <c r="A51" s="6"/>
      <c r="B51" s="2"/>
      <c r="C51" s="2"/>
      <c r="D51" s="251"/>
      <c r="E51" s="251"/>
      <c r="F51" s="245" t="s">
        <v>244</v>
      </c>
      <c r="G51" s="245"/>
      <c r="H51" s="245"/>
      <c r="I51" s="245"/>
      <c r="J51" s="245"/>
      <c r="K51" s="9" t="s">
        <v>245</v>
      </c>
      <c r="L51" s="245" t="s">
        <v>246</v>
      </c>
      <c r="M51" s="245"/>
      <c r="N51" s="245"/>
      <c r="O51" s="245" t="s">
        <v>247</v>
      </c>
      <c r="P51" s="245"/>
      <c r="Q51" s="245"/>
      <c r="R51" s="246" t="s">
        <v>248</v>
      </c>
      <c r="S51" s="246"/>
      <c r="T51" s="246"/>
      <c r="U51" s="246"/>
      <c r="V51" s="246"/>
      <c r="W51" s="246"/>
      <c r="X51" s="2"/>
      <c r="Y51" s="2"/>
      <c r="Z51" s="2"/>
      <c r="AA51" s="2"/>
      <c r="AB51" s="2"/>
      <c r="AC51" s="2"/>
      <c r="AD51" s="2"/>
      <c r="AE51" s="2"/>
      <c r="AF51" s="2"/>
      <c r="AG51" s="2"/>
      <c r="AH51" s="2"/>
      <c r="AI51" s="2"/>
      <c r="AJ51" s="2"/>
      <c r="AK51" s="7"/>
    </row>
    <row r="52" spans="1:37" ht="13.5" thickBot="1">
      <c r="A52" s="6"/>
      <c r="B52" s="2"/>
      <c r="C52" s="2"/>
      <c r="D52" s="244" t="s">
        <v>249</v>
      </c>
      <c r="E52" s="244"/>
      <c r="F52" s="238" t="s">
        <v>7003</v>
      </c>
      <c r="G52" s="238"/>
      <c r="H52" s="238"/>
      <c r="I52" s="238"/>
      <c r="J52" s="238"/>
      <c r="K52" s="10" t="s">
        <v>7004</v>
      </c>
      <c r="L52" s="238" t="s">
        <v>7005</v>
      </c>
      <c r="M52" s="238"/>
      <c r="N52" s="238"/>
      <c r="O52" s="238" t="s">
        <v>7006</v>
      </c>
      <c r="P52" s="238"/>
      <c r="Q52" s="238"/>
      <c r="R52" s="237" t="s">
        <v>7007</v>
      </c>
      <c r="S52" s="237"/>
      <c r="T52" s="237"/>
      <c r="U52" s="237"/>
      <c r="V52" s="237"/>
      <c r="W52" s="237"/>
      <c r="X52" s="2"/>
      <c r="Y52" s="2"/>
      <c r="Z52" s="2"/>
      <c r="AA52" s="2"/>
      <c r="AB52" s="2"/>
      <c r="AC52" s="2"/>
      <c r="AD52" s="2"/>
      <c r="AE52" s="2"/>
      <c r="AF52" s="2"/>
      <c r="AG52" s="2"/>
      <c r="AH52" s="2"/>
      <c r="AI52" s="2"/>
      <c r="AJ52" s="2"/>
      <c r="AK52" s="7"/>
    </row>
    <row r="53" spans="1:37" ht="13.5" thickBot="1">
      <c r="A53" s="6"/>
      <c r="B53" s="2"/>
      <c r="C53" s="2"/>
      <c r="D53" s="244" t="s">
        <v>261</v>
      </c>
      <c r="E53" s="244"/>
      <c r="F53" s="238" t="s">
        <v>6089</v>
      </c>
      <c r="G53" s="238"/>
      <c r="H53" s="238"/>
      <c r="I53" s="238"/>
      <c r="J53" s="238"/>
      <c r="K53" s="10" t="s">
        <v>7008</v>
      </c>
      <c r="L53" s="238" t="s">
        <v>6298</v>
      </c>
      <c r="M53" s="238"/>
      <c r="N53" s="238"/>
      <c r="O53" s="238" t="s">
        <v>7009</v>
      </c>
      <c r="P53" s="238"/>
      <c r="Q53" s="238"/>
      <c r="R53" s="237" t="s">
        <v>347</v>
      </c>
      <c r="S53" s="237"/>
      <c r="T53" s="237"/>
      <c r="U53" s="237"/>
      <c r="V53" s="237"/>
      <c r="W53" s="237"/>
      <c r="X53" s="2"/>
      <c r="Y53" s="2"/>
      <c r="Z53" s="2"/>
      <c r="AA53" s="2"/>
      <c r="AB53" s="2"/>
      <c r="AC53" s="2"/>
      <c r="AD53" s="2"/>
      <c r="AE53" s="2"/>
      <c r="AF53" s="2"/>
      <c r="AG53" s="2"/>
      <c r="AH53" s="2"/>
      <c r="AI53" s="2"/>
      <c r="AJ53" s="2"/>
      <c r="AK53" s="7"/>
    </row>
    <row r="54" spans="1:37" ht="13.5" thickBot="1">
      <c r="A54" s="6"/>
      <c r="B54" s="2"/>
      <c r="C54" s="2"/>
      <c r="D54" s="244" t="s">
        <v>273</v>
      </c>
      <c r="E54" s="244"/>
      <c r="F54" s="238" t="s">
        <v>6245</v>
      </c>
      <c r="G54" s="238"/>
      <c r="H54" s="238"/>
      <c r="I54" s="238"/>
      <c r="J54" s="238"/>
      <c r="K54" s="10" t="s">
        <v>7010</v>
      </c>
      <c r="L54" s="238" t="s">
        <v>7011</v>
      </c>
      <c r="M54" s="238"/>
      <c r="N54" s="238"/>
      <c r="O54" s="238" t="s">
        <v>304</v>
      </c>
      <c r="P54" s="238"/>
      <c r="Q54" s="238"/>
      <c r="R54" s="237" t="s">
        <v>7012</v>
      </c>
      <c r="S54" s="237"/>
      <c r="T54" s="237"/>
      <c r="U54" s="237"/>
      <c r="V54" s="237"/>
      <c r="W54" s="237"/>
      <c r="X54" s="2"/>
      <c r="Y54" s="2"/>
      <c r="Z54" s="2"/>
      <c r="AA54" s="2"/>
      <c r="AB54" s="2"/>
      <c r="AC54" s="2"/>
      <c r="AD54" s="2"/>
      <c r="AE54" s="2"/>
      <c r="AF54" s="2"/>
      <c r="AG54" s="2"/>
      <c r="AH54" s="2"/>
      <c r="AI54" s="2"/>
      <c r="AJ54" s="2"/>
      <c r="AK54" s="7"/>
    </row>
    <row r="55" spans="1:37" ht="13.5" thickBot="1">
      <c r="A55" s="6"/>
      <c r="B55" s="2"/>
      <c r="C55" s="2"/>
      <c r="D55" s="244" t="s">
        <v>285</v>
      </c>
      <c r="E55" s="244"/>
      <c r="F55" s="238" t="s">
        <v>6089</v>
      </c>
      <c r="G55" s="238"/>
      <c r="H55" s="238"/>
      <c r="I55" s="238"/>
      <c r="J55" s="238"/>
      <c r="K55" s="10" t="s">
        <v>7013</v>
      </c>
      <c r="L55" s="238" t="s">
        <v>7014</v>
      </c>
      <c r="M55" s="238"/>
      <c r="N55" s="238"/>
      <c r="O55" s="238" t="s">
        <v>7015</v>
      </c>
      <c r="P55" s="238"/>
      <c r="Q55" s="238"/>
      <c r="R55" s="237" t="s">
        <v>384</v>
      </c>
      <c r="S55" s="237"/>
      <c r="T55" s="237"/>
      <c r="U55" s="237"/>
      <c r="V55" s="237"/>
      <c r="W55" s="237"/>
      <c r="X55" s="2"/>
      <c r="Y55" s="2"/>
      <c r="Z55" s="2"/>
      <c r="AA55" s="2"/>
      <c r="AB55" s="2"/>
      <c r="AC55" s="2"/>
      <c r="AD55" s="2"/>
      <c r="AE55" s="2"/>
      <c r="AF55" s="2"/>
      <c r="AG55" s="2"/>
      <c r="AH55" s="2"/>
      <c r="AI55" s="2"/>
      <c r="AJ55" s="2"/>
      <c r="AK55" s="7"/>
    </row>
    <row r="56" spans="1:37" ht="13.5" thickBot="1">
      <c r="A56" s="6"/>
      <c r="B56" s="2"/>
      <c r="C56" s="2"/>
      <c r="D56" s="244" t="s">
        <v>295</v>
      </c>
      <c r="E56" s="244"/>
      <c r="F56" s="238" t="s">
        <v>7016</v>
      </c>
      <c r="G56" s="238"/>
      <c r="H56" s="238"/>
      <c r="I56" s="238"/>
      <c r="J56" s="238"/>
      <c r="K56" s="10" t="s">
        <v>7017</v>
      </c>
      <c r="L56" s="238" t="s">
        <v>7018</v>
      </c>
      <c r="M56" s="238"/>
      <c r="N56" s="238"/>
      <c r="O56" s="238" t="s">
        <v>7019</v>
      </c>
      <c r="P56" s="238"/>
      <c r="Q56" s="238"/>
      <c r="R56" s="237" t="s">
        <v>7020</v>
      </c>
      <c r="S56" s="237"/>
      <c r="T56" s="237"/>
      <c r="U56" s="237"/>
      <c r="V56" s="237"/>
      <c r="W56" s="237"/>
      <c r="X56" s="2"/>
      <c r="Y56" s="2"/>
      <c r="Z56" s="2"/>
      <c r="AA56" s="2"/>
      <c r="AB56" s="2"/>
      <c r="AC56" s="2"/>
      <c r="AD56" s="2"/>
      <c r="AE56" s="2"/>
      <c r="AF56" s="2"/>
      <c r="AG56" s="2"/>
      <c r="AH56" s="2"/>
      <c r="AI56" s="2"/>
      <c r="AJ56" s="2"/>
      <c r="AK56" s="7"/>
    </row>
    <row r="57" spans="1:37" ht="13.5" thickBot="1">
      <c r="A57" s="6"/>
      <c r="B57" s="2"/>
      <c r="C57" s="2"/>
      <c r="D57" s="244" t="s">
        <v>307</v>
      </c>
      <c r="E57" s="244"/>
      <c r="F57" s="238" t="s">
        <v>7021</v>
      </c>
      <c r="G57" s="238"/>
      <c r="H57" s="238"/>
      <c r="I57" s="238"/>
      <c r="J57" s="238"/>
      <c r="K57" s="10" t="s">
        <v>7022</v>
      </c>
      <c r="L57" s="238" t="s">
        <v>7023</v>
      </c>
      <c r="M57" s="238"/>
      <c r="N57" s="238"/>
      <c r="O57" s="238" t="s">
        <v>7024</v>
      </c>
      <c r="P57" s="238"/>
      <c r="Q57" s="238"/>
      <c r="R57" s="237" t="s">
        <v>7025</v>
      </c>
      <c r="S57" s="237"/>
      <c r="T57" s="237"/>
      <c r="U57" s="237"/>
      <c r="V57" s="237"/>
      <c r="W57" s="237"/>
      <c r="X57" s="2"/>
      <c r="Y57" s="2"/>
      <c r="Z57" s="2"/>
      <c r="AA57" s="2"/>
      <c r="AB57" s="2"/>
      <c r="AC57" s="2"/>
      <c r="AD57" s="2"/>
      <c r="AE57" s="2"/>
      <c r="AF57" s="2"/>
      <c r="AG57" s="2"/>
      <c r="AH57" s="2"/>
      <c r="AI57" s="2"/>
      <c r="AJ57" s="2"/>
      <c r="AK57" s="7"/>
    </row>
    <row r="58" spans="1:37" ht="13.5" thickBot="1">
      <c r="A58" s="6"/>
      <c r="B58" s="2"/>
      <c r="C58" s="2"/>
      <c r="D58" s="244" t="s">
        <v>319</v>
      </c>
      <c r="E58" s="244"/>
      <c r="F58" s="237" t="s">
        <v>7026</v>
      </c>
      <c r="G58" s="237"/>
      <c r="H58" s="237"/>
      <c r="I58" s="237"/>
      <c r="J58" s="237"/>
      <c r="K58" s="11" t="s">
        <v>324</v>
      </c>
      <c r="L58" s="237" t="s">
        <v>6368</v>
      </c>
      <c r="M58" s="237"/>
      <c r="N58" s="237"/>
      <c r="O58" s="237">
        <v>97.25</v>
      </c>
      <c r="P58" s="237"/>
      <c r="Q58" s="237"/>
      <c r="R58" s="237" t="s">
        <v>443</v>
      </c>
      <c r="S58" s="237"/>
      <c r="T58" s="237"/>
      <c r="U58" s="237"/>
      <c r="V58" s="237"/>
      <c r="W58" s="237"/>
      <c r="X58" s="2"/>
      <c r="Y58" s="2"/>
      <c r="Z58" s="2"/>
      <c r="AA58" s="2"/>
      <c r="AB58" s="2"/>
      <c r="AC58" s="2"/>
      <c r="AD58" s="2"/>
      <c r="AE58" s="2"/>
      <c r="AF58" s="2"/>
      <c r="AG58" s="2"/>
      <c r="AH58" s="2"/>
      <c r="AI58" s="2"/>
      <c r="AJ58" s="2"/>
      <c r="AK58" s="7"/>
    </row>
    <row r="59" spans="1:37"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7"/>
    </row>
    <row r="60" spans="1:37"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2"/>
      <c r="AG60" s="2"/>
      <c r="AH60" s="2"/>
      <c r="AI60" s="2"/>
      <c r="AJ60" s="2"/>
      <c r="AK60" s="7"/>
    </row>
    <row r="61" spans="1:37"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1"/>
      <c r="AF61" s="2"/>
      <c r="AG61" s="2"/>
      <c r="AH61" s="2"/>
      <c r="AI61" s="2"/>
      <c r="AJ61" s="2"/>
      <c r="AK61" s="7"/>
    </row>
    <row r="62" spans="1:37"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1"/>
      <c r="AF62" s="2"/>
      <c r="AG62" s="2"/>
      <c r="AH62" s="2"/>
      <c r="AI62" s="2"/>
      <c r="AJ62" s="2"/>
      <c r="AK62" s="7"/>
    </row>
    <row r="63" spans="1:37"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2"/>
      <c r="AG63" s="2"/>
      <c r="AH63" s="2"/>
      <c r="AI63" s="2"/>
      <c r="AJ63" s="2"/>
      <c r="AK63" s="7"/>
    </row>
    <row r="64" spans="1:37"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13"/>
      <c r="AG64" s="13"/>
      <c r="AH64" s="13"/>
      <c r="AI64" s="13"/>
      <c r="AJ64" s="13"/>
      <c r="AK64" s="14"/>
    </row>
  </sheetData>
  <mergeCells count="183">
    <mergeCell ref="O58:Q58"/>
    <mergeCell ref="O56:Q56"/>
    <mergeCell ref="D64:AE64"/>
    <mergeCell ref="R58:W58"/>
    <mergeCell ref="D61:R61"/>
    <mergeCell ref="U61:AD61"/>
    <mergeCell ref="D62:R62"/>
    <mergeCell ref="U62:AD62"/>
    <mergeCell ref="D58:E58"/>
    <mergeCell ref="F58:J58"/>
    <mergeCell ref="L58:N58"/>
    <mergeCell ref="O54:Q54"/>
    <mergeCell ref="R56:W56"/>
    <mergeCell ref="D57:E57"/>
    <mergeCell ref="F57:J57"/>
    <mergeCell ref="L57:N57"/>
    <mergeCell ref="O57:Q57"/>
    <mergeCell ref="R57:W57"/>
    <mergeCell ref="D56:E56"/>
    <mergeCell ref="F56:J56"/>
    <mergeCell ref="L56:N56"/>
    <mergeCell ref="O52:Q52"/>
    <mergeCell ref="R54:W54"/>
    <mergeCell ref="D55:E55"/>
    <mergeCell ref="F55:J55"/>
    <mergeCell ref="L55:N55"/>
    <mergeCell ref="O55:Q55"/>
    <mergeCell ref="R55:W55"/>
    <mergeCell ref="D54:E54"/>
    <mergeCell ref="F54:J54"/>
    <mergeCell ref="L54:N54"/>
    <mergeCell ref="R51:W51"/>
    <mergeCell ref="R52:W52"/>
    <mergeCell ref="D53:E53"/>
    <mergeCell ref="F53:J53"/>
    <mergeCell ref="L53:N53"/>
    <mergeCell ref="O53:Q53"/>
    <mergeCell ref="R53:W53"/>
    <mergeCell ref="D52:E52"/>
    <mergeCell ref="F52:J52"/>
    <mergeCell ref="L52:N52"/>
    <mergeCell ref="D51:E51"/>
    <mergeCell ref="F51:J51"/>
    <mergeCell ref="L51:N51"/>
    <mergeCell ref="O51:Q51"/>
    <mergeCell ref="V47:Y47"/>
    <mergeCell ref="Z47:AA47"/>
    <mergeCell ref="AB47:AF47"/>
    <mergeCell ref="D49:O50"/>
    <mergeCell ref="W50:AE50"/>
    <mergeCell ref="V46:Y46"/>
    <mergeCell ref="Z46:AA46"/>
    <mergeCell ref="AB46:AF46"/>
    <mergeCell ref="V43:Y43"/>
    <mergeCell ref="Z43:AA43"/>
    <mergeCell ref="AB43:AF43"/>
    <mergeCell ref="V44:Y44"/>
    <mergeCell ref="Z44:AA44"/>
    <mergeCell ref="AB44:AF44"/>
    <mergeCell ref="AB34:AF36"/>
    <mergeCell ref="V45:Y45"/>
    <mergeCell ref="Z45:AA45"/>
    <mergeCell ref="AB45:AF45"/>
    <mergeCell ref="D39:R48"/>
    <mergeCell ref="V40:Y40"/>
    <mergeCell ref="Z40:AA40"/>
    <mergeCell ref="AB40:AF40"/>
    <mergeCell ref="V41:Y41"/>
    <mergeCell ref="Z41:AA41"/>
    <mergeCell ref="V37:Y37"/>
    <mergeCell ref="Z37:AA37"/>
    <mergeCell ref="AB41:AF41"/>
    <mergeCell ref="V42:Y42"/>
    <mergeCell ref="Z42:AA42"/>
    <mergeCell ref="AB42:AF42"/>
    <mergeCell ref="AB37:AF37"/>
    <mergeCell ref="V38:Y39"/>
    <mergeCell ref="Z38:AA39"/>
    <mergeCell ref="AB38:AF39"/>
    <mergeCell ref="Z27:AA28"/>
    <mergeCell ref="AB27:AF28"/>
    <mergeCell ref="D28:L29"/>
    <mergeCell ref="Z34:AA36"/>
    <mergeCell ref="M28:M29"/>
    <mergeCell ref="N28:P29"/>
    <mergeCell ref="Q28:S29"/>
    <mergeCell ref="V29:Y31"/>
    <mergeCell ref="Z29:AA31"/>
    <mergeCell ref="D36:R38"/>
    <mergeCell ref="M33:P34"/>
    <mergeCell ref="Q33:S34"/>
    <mergeCell ref="V34:Y36"/>
    <mergeCell ref="Z25:AA26"/>
    <mergeCell ref="AB25:AF26"/>
    <mergeCell ref="D26:L27"/>
    <mergeCell ref="M26:M27"/>
    <mergeCell ref="N26:P27"/>
    <mergeCell ref="Q26:S27"/>
    <mergeCell ref="V27:Y28"/>
    <mergeCell ref="D24:L25"/>
    <mergeCell ref="M24:M25"/>
    <mergeCell ref="N24:P25"/>
    <mergeCell ref="AB29:AF31"/>
    <mergeCell ref="D31:S32"/>
    <mergeCell ref="V32:Y33"/>
    <mergeCell ref="Z32:AA33"/>
    <mergeCell ref="AB32:AF33"/>
    <mergeCell ref="D33:F34"/>
    <mergeCell ref="G33:L34"/>
    <mergeCell ref="D22:D23"/>
    <mergeCell ref="E22:L23"/>
    <mergeCell ref="M22:M23"/>
    <mergeCell ref="N22:P23"/>
    <mergeCell ref="Q22:S23"/>
    <mergeCell ref="V22:Y22"/>
    <mergeCell ref="Q24:S25"/>
    <mergeCell ref="Z22:AA22"/>
    <mergeCell ref="AB22:AF22"/>
    <mergeCell ref="V23:Y24"/>
    <mergeCell ref="Z23:AA24"/>
    <mergeCell ref="AB23:AF24"/>
    <mergeCell ref="V25:Y26"/>
    <mergeCell ref="Q21:S21"/>
    <mergeCell ref="V21:Y21"/>
    <mergeCell ref="Q20:S20"/>
    <mergeCell ref="V20:Y20"/>
    <mergeCell ref="D20:L20"/>
    <mergeCell ref="N20:P20"/>
    <mergeCell ref="D21:L21"/>
    <mergeCell ref="N21:P21"/>
    <mergeCell ref="D19:L19"/>
    <mergeCell ref="N19:P19"/>
    <mergeCell ref="Q19:S19"/>
    <mergeCell ref="V19:Y19"/>
    <mergeCell ref="D18:L18"/>
    <mergeCell ref="N18:P18"/>
    <mergeCell ref="Q18:S18"/>
    <mergeCell ref="V18:Y18"/>
    <mergeCell ref="AB18:AF18"/>
    <mergeCell ref="Z19:AA19"/>
    <mergeCell ref="AB19:AF19"/>
    <mergeCell ref="Z21:AA21"/>
    <mergeCell ref="AB21:AF21"/>
    <mergeCell ref="Z20:AA20"/>
    <mergeCell ref="AB20:AF20"/>
    <mergeCell ref="Z18:AA18"/>
    <mergeCell ref="J17:S17"/>
    <mergeCell ref="V17:Y17"/>
    <mergeCell ref="Z16:AA16"/>
    <mergeCell ref="AB16:AF16"/>
    <mergeCell ref="D16:G16"/>
    <mergeCell ref="AB15:AF15"/>
    <mergeCell ref="Z15:AA15"/>
    <mergeCell ref="Z17:AA17"/>
    <mergeCell ref="D15:S15"/>
    <mergeCell ref="V15:Y15"/>
    <mergeCell ref="H16:I16"/>
    <mergeCell ref="D12:G12"/>
    <mergeCell ref="AB17:AF17"/>
    <mergeCell ref="J16:S16"/>
    <mergeCell ref="V16:Y16"/>
    <mergeCell ref="D17:G17"/>
    <mergeCell ref="H17:I17"/>
    <mergeCell ref="AC9:AC13"/>
    <mergeCell ref="D10:G10"/>
    <mergeCell ref="H12:I12"/>
    <mergeCell ref="A2:AJ2"/>
    <mergeCell ref="A4:AJ4"/>
    <mergeCell ref="D7:H7"/>
    <mergeCell ref="I7:X7"/>
    <mergeCell ref="Y7:AH7"/>
    <mergeCell ref="H10:I10"/>
    <mergeCell ref="J10:Z10"/>
    <mergeCell ref="D8:G9"/>
    <mergeCell ref="H8:I9"/>
    <mergeCell ref="J8:Z9"/>
    <mergeCell ref="J12:Z12"/>
    <mergeCell ref="D13:G14"/>
    <mergeCell ref="H13:I14"/>
    <mergeCell ref="J13:Z14"/>
    <mergeCell ref="D11:G11"/>
    <mergeCell ref="H11:I11"/>
    <mergeCell ref="J11:Z11"/>
  </mergeCells>
  <phoneticPr fontId="13" type="noConversion"/>
  <pageMargins left="0.75" right="0.75" top="1" bottom="1" header="0.5" footer="0.5"/>
  <headerFooter alignWithMargins="0"/>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indexed="29"/>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2.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7027</v>
      </c>
      <c r="E7" s="269"/>
      <c r="F7" s="269"/>
      <c r="G7" s="269"/>
      <c r="H7" s="269"/>
      <c r="I7" s="269" t="s">
        <v>7028</v>
      </c>
      <c r="J7" s="269"/>
      <c r="K7" s="269"/>
      <c r="L7" s="269"/>
      <c r="M7" s="269"/>
      <c r="N7" s="269"/>
      <c r="O7" s="269"/>
      <c r="P7" s="269"/>
      <c r="Q7" s="269"/>
      <c r="R7" s="269"/>
      <c r="S7" s="269"/>
      <c r="T7" s="269"/>
      <c r="U7" s="269"/>
      <c r="V7" s="269"/>
      <c r="W7" s="269"/>
      <c r="X7" s="269"/>
      <c r="Y7" s="270" t="s">
        <v>7029</v>
      </c>
      <c r="Z7" s="270"/>
      <c r="AA7" s="270"/>
      <c r="AB7" s="270"/>
      <c r="AC7" s="270"/>
      <c r="AD7" s="270"/>
      <c r="AE7" s="270"/>
      <c r="AF7" s="270"/>
      <c r="AG7" s="270"/>
      <c r="AH7" s="270"/>
      <c r="AI7" s="270"/>
      <c r="AJ7" s="270"/>
      <c r="AK7" s="270"/>
      <c r="AL7" s="270"/>
      <c r="AM7" s="270"/>
      <c r="AN7" s="270"/>
      <c r="AO7" s="2"/>
      <c r="AP7" s="2"/>
      <c r="AQ7" s="7"/>
      <c r="AT7" s="22" t="s">
        <v>1518</v>
      </c>
      <c r="AU7" s="35" t="str">
        <f>I7</f>
        <v>BOHUNICE-3</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7030</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7030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6274</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V-213</v>
      </c>
    </row>
    <row r="13" spans="1:47" ht="11.25" customHeight="1">
      <c r="A13" s="6"/>
      <c r="B13" s="1"/>
      <c r="C13" s="2"/>
      <c r="D13" s="247" t="s">
        <v>5716</v>
      </c>
      <c r="E13" s="247"/>
      <c r="F13" s="247"/>
      <c r="G13" s="247"/>
      <c r="H13" s="247" t="s">
        <v>5709</v>
      </c>
      <c r="I13" s="247"/>
      <c r="J13" s="247" t="s">
        <v>6274</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1471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505</v>
      </c>
    </row>
    <row r="17" spans="1:47" ht="11.45" customHeight="1" thickBot="1">
      <c r="A17" s="6"/>
      <c r="B17" s="1"/>
      <c r="C17" s="1"/>
      <c r="D17" s="248" t="s">
        <v>5722</v>
      </c>
      <c r="E17" s="248"/>
      <c r="F17" s="248"/>
      <c r="G17" s="248"/>
      <c r="H17" s="247" t="s">
        <v>5709</v>
      </c>
      <c r="I17" s="247"/>
      <c r="J17" s="248" t="s">
        <v>408</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472</v>
      </c>
    </row>
    <row r="18" spans="1:47" ht="13.5" thickBot="1">
      <c r="A18" s="6"/>
      <c r="B18" s="1"/>
      <c r="C18" s="1"/>
      <c r="D18" s="248" t="s">
        <v>185</v>
      </c>
      <c r="E18" s="248"/>
      <c r="F18" s="248"/>
      <c r="G18" s="248"/>
      <c r="H18" s="248"/>
      <c r="I18" s="248"/>
      <c r="J18" s="248"/>
      <c r="K18" s="248"/>
      <c r="L18" s="248"/>
      <c r="M18" s="8" t="s">
        <v>5709</v>
      </c>
      <c r="N18" s="264">
        <v>1471</v>
      </c>
      <c r="O18" s="264"/>
      <c r="P18" s="264"/>
      <c r="Q18" s="248" t="s">
        <v>186</v>
      </c>
      <c r="R18" s="248"/>
      <c r="S18" s="248"/>
      <c r="T18" s="2"/>
      <c r="U18" s="2"/>
      <c r="V18" s="252" t="s">
        <v>187</v>
      </c>
      <c r="W18" s="252"/>
      <c r="X18" s="252"/>
      <c r="Y18" s="252"/>
      <c r="Z18" s="252"/>
      <c r="AA18" s="252"/>
      <c r="AB18" s="252"/>
      <c r="AC18" s="247" t="s">
        <v>5709</v>
      </c>
      <c r="AD18" s="247"/>
      <c r="AE18" s="248" t="s">
        <v>409</v>
      </c>
      <c r="AF18" s="248"/>
      <c r="AG18" s="248"/>
      <c r="AH18" s="248"/>
      <c r="AI18" s="248"/>
      <c r="AJ18" s="248"/>
      <c r="AK18" s="248"/>
      <c r="AL18" s="2"/>
      <c r="AM18" s="1"/>
      <c r="AN18" s="2"/>
      <c r="AO18" s="1"/>
      <c r="AP18" s="2"/>
      <c r="AQ18" s="7"/>
      <c r="AT18" s="25" t="str">
        <f>D26</f>
        <v>Grid Date</v>
      </c>
      <c r="AU18" s="25">
        <f>N26</f>
        <v>30914</v>
      </c>
    </row>
    <row r="19" spans="1:47" ht="13.5" thickBot="1">
      <c r="A19" s="6"/>
      <c r="B19" s="1"/>
      <c r="C19" s="1"/>
      <c r="D19" s="248" t="s">
        <v>189</v>
      </c>
      <c r="E19" s="248"/>
      <c r="F19" s="248"/>
      <c r="G19" s="248"/>
      <c r="H19" s="248"/>
      <c r="I19" s="248"/>
      <c r="J19" s="248"/>
      <c r="K19" s="248"/>
      <c r="L19" s="248"/>
      <c r="M19" s="8" t="s">
        <v>5709</v>
      </c>
      <c r="N19" s="264">
        <v>505</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46000</v>
      </c>
    </row>
    <row r="20" spans="1:47" ht="13.5" thickBot="1">
      <c r="A20" s="6"/>
      <c r="B20" s="1"/>
      <c r="C20" s="1"/>
      <c r="D20" s="248" t="s">
        <v>193</v>
      </c>
      <c r="E20" s="248"/>
      <c r="F20" s="248"/>
      <c r="G20" s="248"/>
      <c r="H20" s="248"/>
      <c r="I20" s="248"/>
      <c r="J20" s="248"/>
      <c r="K20" s="248"/>
      <c r="L20" s="248"/>
      <c r="M20" s="8" t="s">
        <v>5709</v>
      </c>
      <c r="N20" s="264">
        <v>420</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f>R58</f>
        <v>72.400000000000006</v>
      </c>
    </row>
    <row r="21" spans="1:47" ht="13.5" thickBot="1">
      <c r="A21" s="6"/>
      <c r="B21" s="1"/>
      <c r="C21" s="1"/>
      <c r="D21" s="248" t="s">
        <v>196</v>
      </c>
      <c r="E21" s="248"/>
      <c r="F21" s="248"/>
      <c r="G21" s="248"/>
      <c r="H21" s="248"/>
      <c r="I21" s="248"/>
      <c r="J21" s="248"/>
      <c r="K21" s="248"/>
      <c r="L21" s="248"/>
      <c r="M21" s="8" t="s">
        <v>5709</v>
      </c>
      <c r="N21" s="264">
        <v>472</v>
      </c>
      <c r="O21" s="264"/>
      <c r="P21" s="264"/>
      <c r="Q21" s="248" t="s">
        <v>190</v>
      </c>
      <c r="R21" s="248"/>
      <c r="S21" s="248"/>
      <c r="T21" s="2"/>
      <c r="U21" s="2"/>
      <c r="V21" s="252" t="s">
        <v>197</v>
      </c>
      <c r="W21" s="252"/>
      <c r="X21" s="252"/>
      <c r="Y21" s="252"/>
      <c r="Z21" s="252"/>
      <c r="AA21" s="252"/>
      <c r="AB21" s="252"/>
      <c r="AC21" s="247" t="s">
        <v>5709</v>
      </c>
      <c r="AD21" s="247"/>
      <c r="AE21" s="248" t="s">
        <v>7031</v>
      </c>
      <c r="AF21" s="248"/>
      <c r="AG21" s="248"/>
      <c r="AH21" s="248"/>
      <c r="AI21" s="248"/>
      <c r="AJ21" s="248"/>
      <c r="AK21" s="248"/>
      <c r="AL21" s="2"/>
      <c r="AM21" s="1"/>
      <c r="AN21" s="2"/>
      <c r="AO21" s="1"/>
      <c r="AP21" s="2"/>
      <c r="AQ21" s="7"/>
      <c r="AT21" s="23" t="str">
        <f>D58&amp;AG51</f>
        <v>LF [%]2010</v>
      </c>
      <c r="AU21" s="23">
        <f>AG58</f>
        <v>85.98</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411</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6276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28095</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6277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30914</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6278</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31092</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415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416</v>
      </c>
      <c r="AF32" s="248"/>
      <c r="AG32" s="248"/>
      <c r="AH32" s="248"/>
      <c r="AI32" s="248"/>
      <c r="AJ32" s="248"/>
      <c r="AK32" s="248"/>
      <c r="AL32" s="2"/>
      <c r="AM32" s="1"/>
      <c r="AN32" s="2"/>
      <c r="AO32" s="1"/>
      <c r="AP32" s="2"/>
      <c r="AQ32" s="7"/>
    </row>
    <row r="33" spans="1:43" ht="3.2" customHeight="1" thickBot="1">
      <c r="A33" s="6"/>
      <c r="B33" s="1"/>
      <c r="C33" s="1"/>
      <c r="D33" s="254" t="s">
        <v>7032</v>
      </c>
      <c r="E33" s="254"/>
      <c r="F33" s="254"/>
      <c r="G33" s="255" t="s">
        <v>6131</v>
      </c>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7033</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7034</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7035</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229</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7036</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7037</v>
      </c>
      <c r="G52" s="238"/>
      <c r="H52" s="238"/>
      <c r="I52" s="238"/>
      <c r="J52" s="238"/>
      <c r="K52" s="10" t="s">
        <v>7038</v>
      </c>
      <c r="L52" s="238" t="s">
        <v>7039</v>
      </c>
      <c r="M52" s="238"/>
      <c r="N52" s="238"/>
      <c r="O52" s="238" t="s">
        <v>7040</v>
      </c>
      <c r="P52" s="238"/>
      <c r="Q52" s="238"/>
      <c r="R52" s="238" t="s">
        <v>7041</v>
      </c>
      <c r="S52" s="238"/>
      <c r="T52" s="238"/>
      <c r="U52" s="238"/>
      <c r="V52" s="238"/>
      <c r="W52" s="238"/>
      <c r="X52" s="238" t="s">
        <v>7042</v>
      </c>
      <c r="Y52" s="238"/>
      <c r="Z52" s="10" t="s">
        <v>7043</v>
      </c>
      <c r="AA52" s="10" t="s">
        <v>7044</v>
      </c>
      <c r="AB52" s="238" t="s">
        <v>7045</v>
      </c>
      <c r="AC52" s="238"/>
      <c r="AD52" s="238"/>
      <c r="AE52" s="238"/>
      <c r="AF52" s="238"/>
      <c r="AG52" s="10" t="s">
        <v>7046</v>
      </c>
      <c r="AH52" s="237" t="s">
        <v>7047</v>
      </c>
      <c r="AI52" s="237"/>
      <c r="AJ52" s="237"/>
      <c r="AK52" s="237"/>
      <c r="AL52" s="237"/>
      <c r="AM52" s="2"/>
      <c r="AN52" s="2"/>
      <c r="AO52" s="2"/>
      <c r="AP52" s="2"/>
      <c r="AQ52" s="7"/>
    </row>
    <row r="53" spans="1:43" ht="13.5" thickBot="1">
      <c r="A53" s="6"/>
      <c r="B53" s="2"/>
      <c r="C53" s="2"/>
      <c r="D53" s="244" t="s">
        <v>261</v>
      </c>
      <c r="E53" s="244"/>
      <c r="F53" s="238" t="s">
        <v>7048</v>
      </c>
      <c r="G53" s="238"/>
      <c r="H53" s="238"/>
      <c r="I53" s="238"/>
      <c r="J53" s="238"/>
      <c r="K53" s="10" t="s">
        <v>7049</v>
      </c>
      <c r="L53" s="238" t="s">
        <v>7050</v>
      </c>
      <c r="M53" s="238"/>
      <c r="N53" s="238"/>
      <c r="O53" s="238" t="s">
        <v>7051</v>
      </c>
      <c r="P53" s="238"/>
      <c r="Q53" s="238"/>
      <c r="R53" s="238" t="s">
        <v>7052</v>
      </c>
      <c r="S53" s="238"/>
      <c r="T53" s="238"/>
      <c r="U53" s="238"/>
      <c r="V53" s="238"/>
      <c r="W53" s="238"/>
      <c r="X53" s="238" t="s">
        <v>7053</v>
      </c>
      <c r="Y53" s="238"/>
      <c r="Z53" s="10" t="s">
        <v>7054</v>
      </c>
      <c r="AA53" s="10" t="s">
        <v>7055</v>
      </c>
      <c r="AB53" s="238" t="s">
        <v>7056</v>
      </c>
      <c r="AC53" s="238"/>
      <c r="AD53" s="238"/>
      <c r="AE53" s="238"/>
      <c r="AF53" s="238"/>
      <c r="AG53" s="10" t="s">
        <v>7057</v>
      </c>
      <c r="AH53" s="237" t="s">
        <v>7058</v>
      </c>
      <c r="AI53" s="237"/>
      <c r="AJ53" s="237"/>
      <c r="AK53" s="237"/>
      <c r="AL53" s="237"/>
      <c r="AM53" s="2"/>
      <c r="AN53" s="2"/>
      <c r="AO53" s="2"/>
      <c r="AP53" s="2"/>
      <c r="AQ53" s="7"/>
    </row>
    <row r="54" spans="1:43" ht="13.5" thickBot="1">
      <c r="A54" s="6"/>
      <c r="B54" s="2"/>
      <c r="C54" s="2"/>
      <c r="D54" s="244" t="s">
        <v>273</v>
      </c>
      <c r="E54" s="244"/>
      <c r="F54" s="238" t="s">
        <v>7059</v>
      </c>
      <c r="G54" s="238"/>
      <c r="H54" s="238"/>
      <c r="I54" s="238"/>
      <c r="J54" s="238"/>
      <c r="K54" s="10" t="s">
        <v>6889</v>
      </c>
      <c r="L54" s="238" t="s">
        <v>7060</v>
      </c>
      <c r="M54" s="238"/>
      <c r="N54" s="238"/>
      <c r="O54" s="238" t="s">
        <v>7061</v>
      </c>
      <c r="P54" s="238"/>
      <c r="Q54" s="238"/>
      <c r="R54" s="238" t="s">
        <v>7062</v>
      </c>
      <c r="S54" s="238"/>
      <c r="T54" s="238"/>
      <c r="U54" s="238"/>
      <c r="V54" s="238"/>
      <c r="W54" s="238"/>
      <c r="X54" s="238" t="s">
        <v>7063</v>
      </c>
      <c r="Y54" s="238"/>
      <c r="Z54" s="10" t="s">
        <v>7064</v>
      </c>
      <c r="AA54" s="10" t="s">
        <v>7065</v>
      </c>
      <c r="AB54" s="238" t="s">
        <v>7066</v>
      </c>
      <c r="AC54" s="238"/>
      <c r="AD54" s="238"/>
      <c r="AE54" s="238"/>
      <c r="AF54" s="238"/>
      <c r="AG54" s="10" t="s">
        <v>7067</v>
      </c>
      <c r="AH54" s="237" t="s">
        <v>7068</v>
      </c>
      <c r="AI54" s="237"/>
      <c r="AJ54" s="237"/>
      <c r="AK54" s="237"/>
      <c r="AL54" s="237"/>
      <c r="AM54" s="2"/>
      <c r="AN54" s="2"/>
      <c r="AO54" s="2"/>
      <c r="AP54" s="2"/>
      <c r="AQ54" s="7"/>
    </row>
    <row r="55" spans="1:43" ht="13.5" thickBot="1">
      <c r="A55" s="6"/>
      <c r="B55" s="2"/>
      <c r="C55" s="2"/>
      <c r="D55" s="244" t="s">
        <v>285</v>
      </c>
      <c r="E55" s="244"/>
      <c r="F55" s="238" t="s">
        <v>7069</v>
      </c>
      <c r="G55" s="238"/>
      <c r="H55" s="238"/>
      <c r="I55" s="238"/>
      <c r="J55" s="238"/>
      <c r="K55" s="10" t="s">
        <v>6885</v>
      </c>
      <c r="L55" s="238" t="s">
        <v>7070</v>
      </c>
      <c r="M55" s="238"/>
      <c r="N55" s="238"/>
      <c r="O55" s="238" t="s">
        <v>7071</v>
      </c>
      <c r="P55" s="238"/>
      <c r="Q55" s="238"/>
      <c r="R55" s="238" t="s">
        <v>7072</v>
      </c>
      <c r="S55" s="238"/>
      <c r="T55" s="238"/>
      <c r="U55" s="238"/>
      <c r="V55" s="238"/>
      <c r="W55" s="238"/>
      <c r="X55" s="238" t="s">
        <v>7073</v>
      </c>
      <c r="Y55" s="238"/>
      <c r="Z55" s="10" t="s">
        <v>7074</v>
      </c>
      <c r="AA55" s="10" t="s">
        <v>6970</v>
      </c>
      <c r="AB55" s="238" t="s">
        <v>7075</v>
      </c>
      <c r="AC55" s="238"/>
      <c r="AD55" s="238"/>
      <c r="AE55" s="238"/>
      <c r="AF55" s="238"/>
      <c r="AG55" s="10" t="s">
        <v>7076</v>
      </c>
      <c r="AH55" s="237" t="s">
        <v>6666</v>
      </c>
      <c r="AI55" s="237"/>
      <c r="AJ55" s="237"/>
      <c r="AK55" s="237"/>
      <c r="AL55" s="237"/>
      <c r="AM55" s="2"/>
      <c r="AN55" s="2"/>
      <c r="AO55" s="2"/>
      <c r="AP55" s="2"/>
      <c r="AQ55" s="7"/>
    </row>
    <row r="56" spans="1:43" ht="13.5" thickBot="1">
      <c r="A56" s="6"/>
      <c r="B56" s="2"/>
      <c r="C56" s="2"/>
      <c r="D56" s="244" t="s">
        <v>295</v>
      </c>
      <c r="E56" s="244"/>
      <c r="F56" s="238" t="s">
        <v>6326</v>
      </c>
      <c r="G56" s="238"/>
      <c r="H56" s="238"/>
      <c r="I56" s="238"/>
      <c r="J56" s="238"/>
      <c r="K56" s="10" t="s">
        <v>7077</v>
      </c>
      <c r="L56" s="238" t="s">
        <v>6010</v>
      </c>
      <c r="M56" s="238"/>
      <c r="N56" s="238"/>
      <c r="O56" s="238" t="s">
        <v>298</v>
      </c>
      <c r="P56" s="238"/>
      <c r="Q56" s="238"/>
      <c r="R56" s="238" t="s">
        <v>7078</v>
      </c>
      <c r="S56" s="238"/>
      <c r="T56" s="238"/>
      <c r="U56" s="238"/>
      <c r="V56" s="238"/>
      <c r="W56" s="238"/>
      <c r="X56" s="238" t="s">
        <v>6396</v>
      </c>
      <c r="Y56" s="238"/>
      <c r="Z56" s="10" t="s">
        <v>7079</v>
      </c>
      <c r="AA56" s="10" t="s">
        <v>7080</v>
      </c>
      <c r="AB56" s="238" t="s">
        <v>6848</v>
      </c>
      <c r="AC56" s="238"/>
      <c r="AD56" s="238"/>
      <c r="AE56" s="238"/>
      <c r="AF56" s="238"/>
      <c r="AG56" s="10" t="s">
        <v>6720</v>
      </c>
      <c r="AH56" s="237" t="s">
        <v>7081</v>
      </c>
      <c r="AI56" s="237"/>
      <c r="AJ56" s="237"/>
      <c r="AK56" s="237"/>
      <c r="AL56" s="237"/>
      <c r="AM56" s="2"/>
      <c r="AN56" s="2"/>
      <c r="AO56" s="2"/>
      <c r="AP56" s="2"/>
      <c r="AQ56" s="7"/>
    </row>
    <row r="57" spans="1:43" ht="13.5" thickBot="1">
      <c r="A57" s="6"/>
      <c r="B57" s="2"/>
      <c r="C57" s="2"/>
      <c r="D57" s="244" t="s">
        <v>307</v>
      </c>
      <c r="E57" s="244"/>
      <c r="F57" s="238" t="s">
        <v>6856</v>
      </c>
      <c r="G57" s="238"/>
      <c r="H57" s="238"/>
      <c r="I57" s="238"/>
      <c r="J57" s="238"/>
      <c r="K57" s="10" t="s">
        <v>7082</v>
      </c>
      <c r="L57" s="238" t="s">
        <v>7083</v>
      </c>
      <c r="M57" s="238"/>
      <c r="N57" s="238"/>
      <c r="O57" s="238" t="s">
        <v>6405</v>
      </c>
      <c r="P57" s="238"/>
      <c r="Q57" s="238"/>
      <c r="R57" s="238" t="s">
        <v>6463</v>
      </c>
      <c r="S57" s="238"/>
      <c r="T57" s="238"/>
      <c r="U57" s="238"/>
      <c r="V57" s="238"/>
      <c r="W57" s="238"/>
      <c r="X57" s="238" t="s">
        <v>7084</v>
      </c>
      <c r="Y57" s="238"/>
      <c r="Z57" s="10" t="s">
        <v>7085</v>
      </c>
      <c r="AA57" s="10" t="s">
        <v>7086</v>
      </c>
      <c r="AB57" s="238" t="s">
        <v>7087</v>
      </c>
      <c r="AC57" s="238"/>
      <c r="AD57" s="238"/>
      <c r="AE57" s="238"/>
      <c r="AF57" s="238"/>
      <c r="AG57" s="10" t="s">
        <v>399</v>
      </c>
      <c r="AH57" s="237" t="s">
        <v>6297</v>
      </c>
      <c r="AI57" s="237"/>
      <c r="AJ57" s="237"/>
      <c r="AK57" s="237"/>
      <c r="AL57" s="237"/>
      <c r="AM57" s="2"/>
      <c r="AN57" s="2"/>
      <c r="AO57" s="2"/>
      <c r="AP57" s="2"/>
      <c r="AQ57" s="7"/>
    </row>
    <row r="58" spans="1:43" ht="13.5" thickBot="1">
      <c r="A58" s="6"/>
      <c r="B58" s="2"/>
      <c r="C58" s="2"/>
      <c r="D58" s="244" t="s">
        <v>319</v>
      </c>
      <c r="E58" s="244"/>
      <c r="F58" s="237" t="s">
        <v>6611</v>
      </c>
      <c r="G58" s="237"/>
      <c r="H58" s="237"/>
      <c r="I58" s="237"/>
      <c r="J58" s="237"/>
      <c r="K58" s="11" t="s">
        <v>7088</v>
      </c>
      <c r="L58" s="237" t="s">
        <v>7089</v>
      </c>
      <c r="M58" s="237"/>
      <c r="N58" s="237"/>
      <c r="O58" s="237" t="s">
        <v>7090</v>
      </c>
      <c r="P58" s="237"/>
      <c r="Q58" s="237"/>
      <c r="R58" s="237">
        <v>72.400000000000006</v>
      </c>
      <c r="S58" s="237"/>
      <c r="T58" s="237"/>
      <c r="U58" s="237"/>
      <c r="V58" s="237"/>
      <c r="W58" s="237"/>
      <c r="X58" s="237" t="s">
        <v>7092</v>
      </c>
      <c r="Y58" s="237"/>
      <c r="Z58" s="11" t="s">
        <v>7093</v>
      </c>
      <c r="AA58" s="11" t="s">
        <v>6242</v>
      </c>
      <c r="AB58" s="237" t="s">
        <v>7094</v>
      </c>
      <c r="AC58" s="237"/>
      <c r="AD58" s="237"/>
      <c r="AE58" s="237"/>
      <c r="AF58" s="237"/>
      <c r="AG58" s="11">
        <v>85.98</v>
      </c>
      <c r="AH58" s="237" t="s">
        <v>7096</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indexed="29"/>
  </sheetPr>
  <dimension ref="A1:AU64"/>
  <sheetViews>
    <sheetView workbookViewId="0"/>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2.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7097</v>
      </c>
      <c r="E7" s="269"/>
      <c r="F7" s="269"/>
      <c r="G7" s="269"/>
      <c r="H7" s="269"/>
      <c r="I7" s="269" t="s">
        <v>7098</v>
      </c>
      <c r="J7" s="269"/>
      <c r="K7" s="269"/>
      <c r="L7" s="269"/>
      <c r="M7" s="269"/>
      <c r="N7" s="269"/>
      <c r="O7" s="269"/>
      <c r="P7" s="269"/>
      <c r="Q7" s="269"/>
      <c r="R7" s="269"/>
      <c r="S7" s="269"/>
      <c r="T7" s="269"/>
      <c r="U7" s="269"/>
      <c r="V7" s="269"/>
      <c r="W7" s="269"/>
      <c r="X7" s="269"/>
      <c r="Y7" s="270" t="s">
        <v>7029</v>
      </c>
      <c r="Z7" s="270"/>
      <c r="AA7" s="270"/>
      <c r="AB7" s="270"/>
      <c r="AC7" s="270"/>
      <c r="AD7" s="270"/>
      <c r="AE7" s="270"/>
      <c r="AF7" s="270"/>
      <c r="AG7" s="270"/>
      <c r="AH7" s="270"/>
      <c r="AI7" s="270"/>
      <c r="AJ7" s="270"/>
      <c r="AK7" s="270"/>
      <c r="AL7" s="270"/>
      <c r="AM7" s="270"/>
      <c r="AN7" s="270"/>
      <c r="AO7" s="2"/>
      <c r="AP7" s="2"/>
      <c r="AQ7" s="7"/>
      <c r="AT7" s="22" t="s">
        <v>1518</v>
      </c>
      <c r="AU7" s="35" t="str">
        <f>I7</f>
        <v>BOHUNICE-4</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7030</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7030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6274</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V-213</v>
      </c>
    </row>
    <row r="13" spans="1:47" ht="13.5" customHeight="1">
      <c r="A13" s="6"/>
      <c r="B13" s="1"/>
      <c r="C13" s="2"/>
      <c r="D13" s="247" t="s">
        <v>5716</v>
      </c>
      <c r="E13" s="247"/>
      <c r="F13" s="247"/>
      <c r="G13" s="247"/>
      <c r="H13" s="247" t="s">
        <v>5709</v>
      </c>
      <c r="I13" s="247"/>
      <c r="J13" s="247" t="s">
        <v>6274</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1471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505</v>
      </c>
    </row>
    <row r="17" spans="1:47" ht="11.45" customHeight="1" thickBot="1">
      <c r="A17" s="6"/>
      <c r="B17" s="1"/>
      <c r="C17" s="1"/>
      <c r="D17" s="248" t="s">
        <v>5722</v>
      </c>
      <c r="E17" s="248"/>
      <c r="F17" s="248"/>
      <c r="G17" s="248"/>
      <c r="H17" s="247" t="s">
        <v>5709</v>
      </c>
      <c r="I17" s="247"/>
      <c r="J17" s="248" t="s">
        <v>408</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472</v>
      </c>
    </row>
    <row r="18" spans="1:47" ht="13.5" thickBot="1">
      <c r="A18" s="6"/>
      <c r="B18" s="1"/>
      <c r="C18" s="1"/>
      <c r="D18" s="248" t="s">
        <v>185</v>
      </c>
      <c r="E18" s="248"/>
      <c r="F18" s="248"/>
      <c r="G18" s="248"/>
      <c r="H18" s="248"/>
      <c r="I18" s="248"/>
      <c r="J18" s="248"/>
      <c r="K18" s="248"/>
      <c r="L18" s="248"/>
      <c r="M18" s="8" t="s">
        <v>5709</v>
      </c>
      <c r="N18" s="264">
        <v>1471</v>
      </c>
      <c r="O18" s="264"/>
      <c r="P18" s="264"/>
      <c r="Q18" s="248" t="s">
        <v>186</v>
      </c>
      <c r="R18" s="248"/>
      <c r="S18" s="248"/>
      <c r="T18" s="2"/>
      <c r="U18" s="2"/>
      <c r="V18" s="252" t="s">
        <v>187</v>
      </c>
      <c r="W18" s="252"/>
      <c r="X18" s="252"/>
      <c r="Y18" s="252"/>
      <c r="Z18" s="252"/>
      <c r="AA18" s="252"/>
      <c r="AB18" s="252"/>
      <c r="AC18" s="247" t="s">
        <v>5709</v>
      </c>
      <c r="AD18" s="247"/>
      <c r="AE18" s="248" t="s">
        <v>409</v>
      </c>
      <c r="AF18" s="248"/>
      <c r="AG18" s="248"/>
      <c r="AH18" s="248"/>
      <c r="AI18" s="248"/>
      <c r="AJ18" s="248"/>
      <c r="AK18" s="248"/>
      <c r="AL18" s="2"/>
      <c r="AM18" s="1"/>
      <c r="AN18" s="2"/>
      <c r="AO18" s="1"/>
      <c r="AP18" s="2"/>
      <c r="AQ18" s="7"/>
      <c r="AT18" s="25" t="str">
        <f>D26</f>
        <v>Grid Date</v>
      </c>
      <c r="AU18" s="25">
        <f>N26</f>
        <v>31268</v>
      </c>
    </row>
    <row r="19" spans="1:47" ht="13.5" thickBot="1">
      <c r="A19" s="6"/>
      <c r="B19" s="1"/>
      <c r="C19" s="1"/>
      <c r="D19" s="248" t="s">
        <v>189</v>
      </c>
      <c r="E19" s="248"/>
      <c r="F19" s="248"/>
      <c r="G19" s="248"/>
      <c r="H19" s="248"/>
      <c r="I19" s="248"/>
      <c r="J19" s="248"/>
      <c r="K19" s="248"/>
      <c r="L19" s="248"/>
      <c r="M19" s="8" t="s">
        <v>5709</v>
      </c>
      <c r="N19" s="264">
        <v>505</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46000</v>
      </c>
    </row>
    <row r="20" spans="1:47" ht="13.5" thickBot="1">
      <c r="A20" s="6"/>
      <c r="B20" s="1"/>
      <c r="C20" s="1"/>
      <c r="D20" s="248" t="s">
        <v>193</v>
      </c>
      <c r="E20" s="248"/>
      <c r="F20" s="248"/>
      <c r="G20" s="248"/>
      <c r="H20" s="248"/>
      <c r="I20" s="248"/>
      <c r="J20" s="248"/>
      <c r="K20" s="248"/>
      <c r="L20" s="248"/>
      <c r="M20" s="8" t="s">
        <v>5709</v>
      </c>
      <c r="N20" s="264">
        <v>408</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f>R58</f>
        <v>79.489999999999995</v>
      </c>
    </row>
    <row r="21" spans="1:47" ht="13.5" thickBot="1">
      <c r="A21" s="6"/>
      <c r="B21" s="1"/>
      <c r="C21" s="1"/>
      <c r="D21" s="248" t="s">
        <v>196</v>
      </c>
      <c r="E21" s="248"/>
      <c r="F21" s="248"/>
      <c r="G21" s="248"/>
      <c r="H21" s="248"/>
      <c r="I21" s="248"/>
      <c r="J21" s="248"/>
      <c r="K21" s="248"/>
      <c r="L21" s="248"/>
      <c r="M21" s="8" t="s">
        <v>5709</v>
      </c>
      <c r="N21" s="264">
        <v>472</v>
      </c>
      <c r="O21" s="264"/>
      <c r="P21" s="264"/>
      <c r="Q21" s="248" t="s">
        <v>190</v>
      </c>
      <c r="R21" s="248"/>
      <c r="S21" s="248"/>
      <c r="T21" s="2"/>
      <c r="U21" s="2"/>
      <c r="V21" s="252" t="s">
        <v>197</v>
      </c>
      <c r="W21" s="252"/>
      <c r="X21" s="252"/>
      <c r="Y21" s="252"/>
      <c r="Z21" s="252"/>
      <c r="AA21" s="252"/>
      <c r="AB21" s="252"/>
      <c r="AC21" s="247" t="s">
        <v>5709</v>
      </c>
      <c r="AD21" s="247"/>
      <c r="AE21" s="248" t="s">
        <v>7031</v>
      </c>
      <c r="AF21" s="248"/>
      <c r="AG21" s="248"/>
      <c r="AH21" s="248"/>
      <c r="AI21" s="248"/>
      <c r="AJ21" s="248"/>
      <c r="AK21" s="248"/>
      <c r="AL21" s="2"/>
      <c r="AM21" s="1"/>
      <c r="AN21" s="2"/>
      <c r="AO21" s="1"/>
      <c r="AP21" s="2"/>
      <c r="AQ21" s="7"/>
      <c r="AT21" s="23" t="str">
        <f>D58&amp;AG51</f>
        <v>LF [%]2010</v>
      </c>
      <c r="AU21" s="23">
        <f>AG58</f>
        <v>87.55</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411</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6276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28095</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6277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31268</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6278</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31399</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415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416</v>
      </c>
      <c r="AF32" s="248"/>
      <c r="AG32" s="248"/>
      <c r="AH32" s="248"/>
      <c r="AI32" s="248"/>
      <c r="AJ32" s="248"/>
      <c r="AK32" s="248"/>
      <c r="AL32" s="2"/>
      <c r="AM32" s="1"/>
      <c r="AN32" s="2"/>
      <c r="AO32" s="1"/>
      <c r="AP32" s="2"/>
      <c r="AQ32" s="7"/>
    </row>
    <row r="33" spans="1:43" ht="3.2" customHeight="1" thickBot="1">
      <c r="A33" s="6"/>
      <c r="B33" s="1"/>
      <c r="C33" s="1"/>
      <c r="D33" s="254" t="s">
        <v>7032</v>
      </c>
      <c r="E33" s="254"/>
      <c r="F33" s="254"/>
      <c r="G33" s="255" t="s">
        <v>6131</v>
      </c>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7033</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7034</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7035</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229</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7036</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7099</v>
      </c>
      <c r="G52" s="238"/>
      <c r="H52" s="238"/>
      <c r="I52" s="238"/>
      <c r="J52" s="238"/>
      <c r="K52" s="10" t="s">
        <v>7100</v>
      </c>
      <c r="L52" s="238" t="s">
        <v>7101</v>
      </c>
      <c r="M52" s="238"/>
      <c r="N52" s="238"/>
      <c r="O52" s="238" t="s">
        <v>7102</v>
      </c>
      <c r="P52" s="238"/>
      <c r="Q52" s="238"/>
      <c r="R52" s="238" t="s">
        <v>7103</v>
      </c>
      <c r="S52" s="238"/>
      <c r="T52" s="238"/>
      <c r="U52" s="238"/>
      <c r="V52" s="238"/>
      <c r="W52" s="238"/>
      <c r="X52" s="238" t="s">
        <v>7104</v>
      </c>
      <c r="Y52" s="238"/>
      <c r="Z52" s="10" t="s">
        <v>7105</v>
      </c>
      <c r="AA52" s="10" t="s">
        <v>7106</v>
      </c>
      <c r="AB52" s="238" t="s">
        <v>7107</v>
      </c>
      <c r="AC52" s="238"/>
      <c r="AD52" s="238"/>
      <c r="AE52" s="238"/>
      <c r="AF52" s="238"/>
      <c r="AG52" s="10" t="s">
        <v>7108</v>
      </c>
      <c r="AH52" s="237" t="s">
        <v>7109</v>
      </c>
      <c r="AI52" s="237"/>
      <c r="AJ52" s="237"/>
      <c r="AK52" s="237"/>
      <c r="AL52" s="237"/>
      <c r="AM52" s="2"/>
      <c r="AN52" s="2"/>
      <c r="AO52" s="2"/>
      <c r="AP52" s="2"/>
      <c r="AQ52" s="7"/>
    </row>
    <row r="53" spans="1:43" ht="13.5" thickBot="1">
      <c r="A53" s="6"/>
      <c r="B53" s="2"/>
      <c r="C53" s="2"/>
      <c r="D53" s="244" t="s">
        <v>261</v>
      </c>
      <c r="E53" s="244"/>
      <c r="F53" s="238" t="s">
        <v>7110</v>
      </c>
      <c r="G53" s="238"/>
      <c r="H53" s="238"/>
      <c r="I53" s="238"/>
      <c r="J53" s="238"/>
      <c r="K53" s="10" t="s">
        <v>7111</v>
      </c>
      <c r="L53" s="238" t="s">
        <v>7112</v>
      </c>
      <c r="M53" s="238"/>
      <c r="N53" s="238"/>
      <c r="O53" s="238" t="s">
        <v>7113</v>
      </c>
      <c r="P53" s="238"/>
      <c r="Q53" s="238"/>
      <c r="R53" s="238" t="s">
        <v>7114</v>
      </c>
      <c r="S53" s="238"/>
      <c r="T53" s="238"/>
      <c r="U53" s="238"/>
      <c r="V53" s="238"/>
      <c r="W53" s="238"/>
      <c r="X53" s="238" t="s">
        <v>7115</v>
      </c>
      <c r="Y53" s="238"/>
      <c r="Z53" s="10" t="s">
        <v>7116</v>
      </c>
      <c r="AA53" s="10" t="s">
        <v>7117</v>
      </c>
      <c r="AB53" s="238" t="s">
        <v>7118</v>
      </c>
      <c r="AC53" s="238"/>
      <c r="AD53" s="238"/>
      <c r="AE53" s="238"/>
      <c r="AF53" s="238"/>
      <c r="AG53" s="10" t="s">
        <v>7119</v>
      </c>
      <c r="AH53" s="237" t="s">
        <v>6701</v>
      </c>
      <c r="AI53" s="237"/>
      <c r="AJ53" s="237"/>
      <c r="AK53" s="237"/>
      <c r="AL53" s="237"/>
      <c r="AM53" s="2"/>
      <c r="AN53" s="2"/>
      <c r="AO53" s="2"/>
      <c r="AP53" s="2"/>
      <c r="AQ53" s="7"/>
    </row>
    <row r="54" spans="1:43" ht="13.5" thickBot="1">
      <c r="A54" s="6"/>
      <c r="B54" s="2"/>
      <c r="C54" s="2"/>
      <c r="D54" s="244" t="s">
        <v>273</v>
      </c>
      <c r="E54" s="244"/>
      <c r="F54" s="238" t="s">
        <v>7120</v>
      </c>
      <c r="G54" s="238"/>
      <c r="H54" s="238"/>
      <c r="I54" s="238"/>
      <c r="J54" s="238"/>
      <c r="K54" s="10" t="s">
        <v>7121</v>
      </c>
      <c r="L54" s="238" t="s">
        <v>7122</v>
      </c>
      <c r="M54" s="238"/>
      <c r="N54" s="238"/>
      <c r="O54" s="238" t="s">
        <v>7123</v>
      </c>
      <c r="P54" s="238"/>
      <c r="Q54" s="238"/>
      <c r="R54" s="238" t="s">
        <v>1761</v>
      </c>
      <c r="S54" s="238"/>
      <c r="T54" s="238"/>
      <c r="U54" s="238"/>
      <c r="V54" s="238"/>
      <c r="W54" s="238"/>
      <c r="X54" s="238" t="s">
        <v>1762</v>
      </c>
      <c r="Y54" s="238"/>
      <c r="Z54" s="10" t="s">
        <v>1763</v>
      </c>
      <c r="AA54" s="10" t="s">
        <v>1764</v>
      </c>
      <c r="AB54" s="238" t="s">
        <v>1765</v>
      </c>
      <c r="AC54" s="238"/>
      <c r="AD54" s="238"/>
      <c r="AE54" s="238"/>
      <c r="AF54" s="238"/>
      <c r="AG54" s="10" t="s">
        <v>1766</v>
      </c>
      <c r="AH54" s="237" t="s">
        <v>1767</v>
      </c>
      <c r="AI54" s="237"/>
      <c r="AJ54" s="237"/>
      <c r="AK54" s="237"/>
      <c r="AL54" s="237"/>
      <c r="AM54" s="2"/>
      <c r="AN54" s="2"/>
      <c r="AO54" s="2"/>
      <c r="AP54" s="2"/>
      <c r="AQ54" s="7"/>
    </row>
    <row r="55" spans="1:43" ht="13.5" thickBot="1">
      <c r="A55" s="6"/>
      <c r="B55" s="2"/>
      <c r="C55" s="2"/>
      <c r="D55" s="244" t="s">
        <v>285</v>
      </c>
      <c r="E55" s="244"/>
      <c r="F55" s="238" t="s">
        <v>1768</v>
      </c>
      <c r="G55" s="238"/>
      <c r="H55" s="238"/>
      <c r="I55" s="238"/>
      <c r="J55" s="238"/>
      <c r="K55" s="10" t="s">
        <v>1769</v>
      </c>
      <c r="L55" s="238" t="s">
        <v>1770</v>
      </c>
      <c r="M55" s="238"/>
      <c r="N55" s="238"/>
      <c r="O55" s="238" t="s">
        <v>1771</v>
      </c>
      <c r="P55" s="238"/>
      <c r="Q55" s="238"/>
      <c r="R55" s="238" t="s">
        <v>1772</v>
      </c>
      <c r="S55" s="238"/>
      <c r="T55" s="238"/>
      <c r="U55" s="238"/>
      <c r="V55" s="238"/>
      <c r="W55" s="238"/>
      <c r="X55" s="238" t="s">
        <v>1773</v>
      </c>
      <c r="Y55" s="238"/>
      <c r="Z55" s="10" t="s">
        <v>1774</v>
      </c>
      <c r="AA55" s="10" t="s">
        <v>1775</v>
      </c>
      <c r="AB55" s="238" t="s">
        <v>6295</v>
      </c>
      <c r="AC55" s="238"/>
      <c r="AD55" s="238"/>
      <c r="AE55" s="238"/>
      <c r="AF55" s="238"/>
      <c r="AG55" s="10" t="s">
        <v>1776</v>
      </c>
      <c r="AH55" s="237" t="s">
        <v>1777</v>
      </c>
      <c r="AI55" s="237"/>
      <c r="AJ55" s="237"/>
      <c r="AK55" s="237"/>
      <c r="AL55" s="237"/>
      <c r="AM55" s="2"/>
      <c r="AN55" s="2"/>
      <c r="AO55" s="2"/>
      <c r="AP55" s="2"/>
      <c r="AQ55" s="7"/>
    </row>
    <row r="56" spans="1:43" ht="13.5" thickBot="1">
      <c r="A56" s="6"/>
      <c r="B56" s="2"/>
      <c r="C56" s="2"/>
      <c r="D56" s="244" t="s">
        <v>295</v>
      </c>
      <c r="E56" s="244"/>
      <c r="F56" s="238" t="s">
        <v>1778</v>
      </c>
      <c r="G56" s="238"/>
      <c r="H56" s="238"/>
      <c r="I56" s="238"/>
      <c r="J56" s="238"/>
      <c r="K56" s="10" t="s">
        <v>1779</v>
      </c>
      <c r="L56" s="238" t="s">
        <v>1780</v>
      </c>
      <c r="M56" s="238"/>
      <c r="N56" s="238"/>
      <c r="O56" s="238" t="s">
        <v>6011</v>
      </c>
      <c r="P56" s="238"/>
      <c r="Q56" s="238"/>
      <c r="R56" s="238" t="s">
        <v>6245</v>
      </c>
      <c r="S56" s="238"/>
      <c r="T56" s="238"/>
      <c r="U56" s="238"/>
      <c r="V56" s="238"/>
      <c r="W56" s="238"/>
      <c r="X56" s="238" t="s">
        <v>1781</v>
      </c>
      <c r="Y56" s="238"/>
      <c r="Z56" s="10" t="s">
        <v>1782</v>
      </c>
      <c r="AA56" s="10" t="s">
        <v>1782</v>
      </c>
      <c r="AB56" s="238" t="s">
        <v>6008</v>
      </c>
      <c r="AC56" s="238"/>
      <c r="AD56" s="238"/>
      <c r="AE56" s="238"/>
      <c r="AF56" s="238"/>
      <c r="AG56" s="10" t="s">
        <v>300</v>
      </c>
      <c r="AH56" s="237" t="s">
        <v>1783</v>
      </c>
      <c r="AI56" s="237"/>
      <c r="AJ56" s="237"/>
      <c r="AK56" s="237"/>
      <c r="AL56" s="237"/>
      <c r="AM56" s="2"/>
      <c r="AN56" s="2"/>
      <c r="AO56" s="2"/>
      <c r="AP56" s="2"/>
      <c r="AQ56" s="7"/>
    </row>
    <row r="57" spans="1:43" ht="13.5" thickBot="1">
      <c r="A57" s="6"/>
      <c r="B57" s="2"/>
      <c r="C57" s="2"/>
      <c r="D57" s="244" t="s">
        <v>307</v>
      </c>
      <c r="E57" s="244"/>
      <c r="F57" s="238" t="s">
        <v>6241</v>
      </c>
      <c r="G57" s="238"/>
      <c r="H57" s="238"/>
      <c r="I57" s="238"/>
      <c r="J57" s="238"/>
      <c r="K57" s="10" t="s">
        <v>1784</v>
      </c>
      <c r="L57" s="238" t="s">
        <v>1785</v>
      </c>
      <c r="M57" s="238"/>
      <c r="N57" s="238"/>
      <c r="O57" s="238" t="s">
        <v>1786</v>
      </c>
      <c r="P57" s="238"/>
      <c r="Q57" s="238"/>
      <c r="R57" s="238" t="s">
        <v>6726</v>
      </c>
      <c r="S57" s="238"/>
      <c r="T57" s="238"/>
      <c r="U57" s="238"/>
      <c r="V57" s="238"/>
      <c r="W57" s="238"/>
      <c r="X57" s="238" t="s">
        <v>6822</v>
      </c>
      <c r="Y57" s="238"/>
      <c r="Z57" s="10" t="s">
        <v>1787</v>
      </c>
      <c r="AA57" s="10" t="s">
        <v>1788</v>
      </c>
      <c r="AB57" s="238" t="s">
        <v>1789</v>
      </c>
      <c r="AC57" s="238"/>
      <c r="AD57" s="238"/>
      <c r="AE57" s="238"/>
      <c r="AF57" s="238"/>
      <c r="AG57" s="10" t="s">
        <v>1790</v>
      </c>
      <c r="AH57" s="237" t="s">
        <v>6267</v>
      </c>
      <c r="AI57" s="237"/>
      <c r="AJ57" s="237"/>
      <c r="AK57" s="237"/>
      <c r="AL57" s="237"/>
      <c r="AM57" s="2"/>
      <c r="AN57" s="2"/>
      <c r="AO57" s="2"/>
      <c r="AP57" s="2"/>
      <c r="AQ57" s="7"/>
    </row>
    <row r="58" spans="1:43" ht="13.5" thickBot="1">
      <c r="A58" s="6"/>
      <c r="B58" s="2"/>
      <c r="C58" s="2"/>
      <c r="D58" s="244" t="s">
        <v>319</v>
      </c>
      <c r="E58" s="244"/>
      <c r="F58" s="237" t="s">
        <v>6532</v>
      </c>
      <c r="G58" s="237"/>
      <c r="H58" s="237"/>
      <c r="I58" s="237"/>
      <c r="J58" s="237"/>
      <c r="K58" s="11" t="s">
        <v>1791</v>
      </c>
      <c r="L58" s="237" t="s">
        <v>1792</v>
      </c>
      <c r="M58" s="237"/>
      <c r="N58" s="237"/>
      <c r="O58" s="237" t="s">
        <v>1793</v>
      </c>
      <c r="P58" s="237"/>
      <c r="Q58" s="237"/>
      <c r="R58" s="237">
        <v>79.489999999999995</v>
      </c>
      <c r="S58" s="237"/>
      <c r="T58" s="237"/>
      <c r="U58" s="237"/>
      <c r="V58" s="237"/>
      <c r="W58" s="237"/>
      <c r="X58" s="237" t="s">
        <v>1795</v>
      </c>
      <c r="Y58" s="237"/>
      <c r="Z58" s="11" t="s">
        <v>1796</v>
      </c>
      <c r="AA58" s="11" t="s">
        <v>1797</v>
      </c>
      <c r="AB58" s="237" t="s">
        <v>6019</v>
      </c>
      <c r="AC58" s="237"/>
      <c r="AD58" s="237"/>
      <c r="AE58" s="237"/>
      <c r="AF58" s="237"/>
      <c r="AG58" s="11">
        <v>87.55</v>
      </c>
      <c r="AH58" s="237" t="s">
        <v>6254</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indexed="29"/>
  </sheetPr>
  <dimension ref="A1:AU63"/>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42578125" customWidth="1"/>
    <col min="44" max="45" width="1" customWidth="1"/>
    <col min="46" max="46" width="34.42578125" bestFit="1" customWidth="1"/>
    <col min="47" max="47" width="13.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1798</v>
      </c>
      <c r="E7" s="269"/>
      <c r="F7" s="269"/>
      <c r="G7" s="269"/>
      <c r="H7" s="269" t="s">
        <v>1799</v>
      </c>
      <c r="I7" s="269"/>
      <c r="J7" s="269"/>
      <c r="K7" s="269"/>
      <c r="L7" s="269"/>
      <c r="M7" s="269"/>
      <c r="N7" s="269"/>
      <c r="O7" s="269"/>
      <c r="P7" s="269"/>
      <c r="Q7" s="269"/>
      <c r="R7" s="269"/>
      <c r="S7" s="269"/>
      <c r="T7" s="269"/>
      <c r="U7" s="269"/>
      <c r="V7" s="269"/>
      <c r="W7" s="269"/>
      <c r="X7" s="270" t="s">
        <v>7029</v>
      </c>
      <c r="Y7" s="270"/>
      <c r="Z7" s="270"/>
      <c r="AA7" s="270"/>
      <c r="AB7" s="270"/>
      <c r="AC7" s="270"/>
      <c r="AD7" s="270"/>
      <c r="AE7" s="270"/>
      <c r="AF7" s="270"/>
      <c r="AG7" s="270"/>
      <c r="AH7" s="270"/>
      <c r="AI7" s="270"/>
      <c r="AJ7" s="270"/>
      <c r="AK7" s="270"/>
      <c r="AL7" s="270"/>
      <c r="AM7" s="270"/>
      <c r="AN7" s="2"/>
      <c r="AO7" s="2"/>
      <c r="AP7" s="7"/>
      <c r="AT7" s="22" t="s">
        <v>1518</v>
      </c>
      <c r="AU7" s="35" t="str">
        <f>H7</f>
        <v>MOCHOVCE-1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7030</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7030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6274</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2.75" customHeight="1">
      <c r="A13" s="6"/>
      <c r="B13" s="1"/>
      <c r="C13" s="2"/>
      <c r="D13" s="247" t="s">
        <v>5716</v>
      </c>
      <c r="E13" s="247"/>
      <c r="F13" s="247"/>
      <c r="G13" s="247" t="s">
        <v>5709</v>
      </c>
      <c r="H13" s="247"/>
      <c r="I13" s="247" t="s">
        <v>6274</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1471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470</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436</v>
      </c>
    </row>
    <row r="18" spans="1:47" ht="13.5" thickBot="1">
      <c r="A18" s="6"/>
      <c r="B18" s="1"/>
      <c r="C18" s="1"/>
      <c r="D18" s="248" t="s">
        <v>185</v>
      </c>
      <c r="E18" s="248"/>
      <c r="F18" s="248"/>
      <c r="G18" s="248"/>
      <c r="H18" s="248"/>
      <c r="I18" s="248"/>
      <c r="J18" s="248"/>
      <c r="K18" s="248"/>
      <c r="L18" s="8" t="s">
        <v>5709</v>
      </c>
      <c r="M18" s="264">
        <v>1471</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35980</v>
      </c>
    </row>
    <row r="19" spans="1:47" ht="13.5" thickBot="1">
      <c r="A19" s="6"/>
      <c r="B19" s="1"/>
      <c r="C19" s="1"/>
      <c r="D19" s="248" t="s">
        <v>189</v>
      </c>
      <c r="E19" s="248"/>
      <c r="F19" s="248"/>
      <c r="G19" s="248"/>
      <c r="H19" s="248"/>
      <c r="I19" s="248"/>
      <c r="J19" s="248"/>
      <c r="K19" s="248"/>
      <c r="L19" s="8" t="s">
        <v>5709</v>
      </c>
      <c r="M19" s="264">
        <v>470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44000</v>
      </c>
    </row>
    <row r="20" spans="1:47" ht="13.5" thickBot="1">
      <c r="A20" s="6"/>
      <c r="B20" s="1"/>
      <c r="C20" s="1"/>
      <c r="D20" s="248" t="s">
        <v>193</v>
      </c>
      <c r="E20" s="248"/>
      <c r="F20" s="248"/>
      <c r="G20" s="248"/>
      <c r="H20" s="248"/>
      <c r="I20" s="248"/>
      <c r="J20" s="248"/>
      <c r="K20" s="248"/>
      <c r="L20" s="8" t="s">
        <v>5709</v>
      </c>
      <c r="M20" s="264">
        <v>387</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76.459999999999994</v>
      </c>
    </row>
    <row r="21" spans="1:47" ht="13.5" thickBot="1">
      <c r="A21" s="6"/>
      <c r="B21" s="1"/>
      <c r="C21" s="1"/>
      <c r="D21" s="248" t="s">
        <v>196</v>
      </c>
      <c r="E21" s="248"/>
      <c r="F21" s="248"/>
      <c r="G21" s="248"/>
      <c r="H21" s="248"/>
      <c r="I21" s="248"/>
      <c r="J21" s="248"/>
      <c r="K21" s="248"/>
      <c r="L21" s="8" t="s">
        <v>5709</v>
      </c>
      <c r="M21" s="264">
        <v>436</v>
      </c>
      <c r="N21" s="264"/>
      <c r="O21" s="264"/>
      <c r="P21" s="248" t="s">
        <v>190</v>
      </c>
      <c r="Q21" s="248"/>
      <c r="R21" s="248"/>
      <c r="S21" s="2"/>
      <c r="T21" s="2"/>
      <c r="U21" s="252" t="s">
        <v>197</v>
      </c>
      <c r="V21" s="252"/>
      <c r="W21" s="252"/>
      <c r="X21" s="252"/>
      <c r="Y21" s="252"/>
      <c r="Z21" s="252"/>
      <c r="AA21" s="252"/>
      <c r="AB21" s="247" t="s">
        <v>5709</v>
      </c>
      <c r="AC21" s="247"/>
      <c r="AD21" s="248" t="s">
        <v>6275</v>
      </c>
      <c r="AE21" s="248"/>
      <c r="AF21" s="248"/>
      <c r="AG21" s="248"/>
      <c r="AH21" s="248"/>
      <c r="AI21" s="248"/>
      <c r="AJ21" s="248"/>
      <c r="AK21" s="2"/>
      <c r="AL21" s="1"/>
      <c r="AM21" s="2"/>
      <c r="AN21" s="1"/>
      <c r="AO21" s="2"/>
      <c r="AP21" s="7"/>
      <c r="AT21" s="23" t="str">
        <f>D57&amp;AF50</f>
        <v>LF [%]2010</v>
      </c>
      <c r="AU21" s="23">
        <f>AF57</f>
        <v>90.25</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6276</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30602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6277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35980</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1800</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36097</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7033</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7034</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7035</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362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1801</v>
      </c>
      <c r="G51" s="238"/>
      <c r="H51" s="238"/>
      <c r="I51" s="238"/>
      <c r="J51" s="10" t="s">
        <v>1802</v>
      </c>
      <c r="K51" s="238" t="s">
        <v>1803</v>
      </c>
      <c r="L51" s="238"/>
      <c r="M51" s="238"/>
      <c r="N51" s="238" t="s">
        <v>1804</v>
      </c>
      <c r="O51" s="238"/>
      <c r="P51" s="238"/>
      <c r="Q51" s="238" t="s">
        <v>1805</v>
      </c>
      <c r="R51" s="238"/>
      <c r="S51" s="238"/>
      <c r="T51" s="238"/>
      <c r="U51" s="238"/>
      <c r="V51" s="238"/>
      <c r="W51" s="238" t="s">
        <v>1806</v>
      </c>
      <c r="X51" s="238"/>
      <c r="Y51" s="10" t="s">
        <v>1807</v>
      </c>
      <c r="Z51" s="10" t="s">
        <v>1808</v>
      </c>
      <c r="AA51" s="238" t="s">
        <v>1809</v>
      </c>
      <c r="AB51" s="238"/>
      <c r="AC51" s="238"/>
      <c r="AD51" s="238"/>
      <c r="AE51" s="238"/>
      <c r="AF51" s="10" t="s">
        <v>1810</v>
      </c>
      <c r="AG51" s="237" t="s">
        <v>1811</v>
      </c>
      <c r="AH51" s="237"/>
      <c r="AI51" s="237"/>
      <c r="AJ51" s="237"/>
      <c r="AK51" s="237"/>
      <c r="AL51" s="2"/>
      <c r="AM51" s="2"/>
      <c r="AN51" s="2"/>
      <c r="AO51" s="2"/>
      <c r="AP51" s="7"/>
    </row>
    <row r="52" spans="1:42" ht="13.5" thickBot="1">
      <c r="A52" s="6"/>
      <c r="B52" s="2"/>
      <c r="C52" s="2"/>
      <c r="D52" s="244" t="s">
        <v>261</v>
      </c>
      <c r="E52" s="244"/>
      <c r="F52" s="238" t="s">
        <v>1812</v>
      </c>
      <c r="G52" s="238"/>
      <c r="H52" s="238"/>
      <c r="I52" s="238"/>
      <c r="J52" s="10" t="s">
        <v>1813</v>
      </c>
      <c r="K52" s="238" t="s">
        <v>1814</v>
      </c>
      <c r="L52" s="238"/>
      <c r="M52" s="238"/>
      <c r="N52" s="238" t="s">
        <v>1815</v>
      </c>
      <c r="O52" s="238"/>
      <c r="P52" s="238"/>
      <c r="Q52" s="238" t="s">
        <v>1816</v>
      </c>
      <c r="R52" s="238"/>
      <c r="S52" s="238"/>
      <c r="T52" s="238"/>
      <c r="U52" s="238"/>
      <c r="V52" s="238"/>
      <c r="W52" s="238" t="s">
        <v>6434</v>
      </c>
      <c r="X52" s="238"/>
      <c r="Y52" s="10" t="s">
        <v>1817</v>
      </c>
      <c r="Z52" s="10" t="s">
        <v>6298</v>
      </c>
      <c r="AA52" s="238" t="s">
        <v>1818</v>
      </c>
      <c r="AB52" s="238"/>
      <c r="AC52" s="238"/>
      <c r="AD52" s="238"/>
      <c r="AE52" s="238"/>
      <c r="AF52" s="10" t="s">
        <v>1819</v>
      </c>
      <c r="AG52" s="237" t="s">
        <v>1820</v>
      </c>
      <c r="AH52" s="237"/>
      <c r="AI52" s="237"/>
      <c r="AJ52" s="237"/>
      <c r="AK52" s="237"/>
      <c r="AL52" s="2"/>
      <c r="AM52" s="2"/>
      <c r="AN52" s="2"/>
      <c r="AO52" s="2"/>
      <c r="AP52" s="7"/>
    </row>
    <row r="53" spans="1:42" ht="13.5" thickBot="1">
      <c r="A53" s="6"/>
      <c r="B53" s="2"/>
      <c r="C53" s="2"/>
      <c r="D53" s="244" t="s">
        <v>273</v>
      </c>
      <c r="E53" s="244"/>
      <c r="F53" s="238" t="s">
        <v>1821</v>
      </c>
      <c r="G53" s="238"/>
      <c r="H53" s="238"/>
      <c r="I53" s="238"/>
      <c r="J53" s="10" t="s">
        <v>1822</v>
      </c>
      <c r="K53" s="238" t="s">
        <v>1823</v>
      </c>
      <c r="L53" s="238"/>
      <c r="M53" s="238"/>
      <c r="N53" s="238" t="s">
        <v>1824</v>
      </c>
      <c r="O53" s="238"/>
      <c r="P53" s="238"/>
      <c r="Q53" s="238" t="s">
        <v>1825</v>
      </c>
      <c r="R53" s="238"/>
      <c r="S53" s="238"/>
      <c r="T53" s="238"/>
      <c r="U53" s="238"/>
      <c r="V53" s="238"/>
      <c r="W53" s="238" t="s">
        <v>1826</v>
      </c>
      <c r="X53" s="238"/>
      <c r="Y53" s="10" t="s">
        <v>1827</v>
      </c>
      <c r="Z53" s="10" t="s">
        <v>1828</v>
      </c>
      <c r="AA53" s="238" t="s">
        <v>1829</v>
      </c>
      <c r="AB53" s="238"/>
      <c r="AC53" s="238"/>
      <c r="AD53" s="238"/>
      <c r="AE53" s="238"/>
      <c r="AF53" s="10" t="s">
        <v>1830</v>
      </c>
      <c r="AG53" s="237" t="s">
        <v>1831</v>
      </c>
      <c r="AH53" s="237"/>
      <c r="AI53" s="237"/>
      <c r="AJ53" s="237"/>
      <c r="AK53" s="237"/>
      <c r="AL53" s="2"/>
      <c r="AM53" s="2"/>
      <c r="AN53" s="2"/>
      <c r="AO53" s="2"/>
      <c r="AP53" s="7"/>
    </row>
    <row r="54" spans="1:42" ht="13.5" thickBot="1">
      <c r="A54" s="6"/>
      <c r="B54" s="2"/>
      <c r="C54" s="2"/>
      <c r="D54" s="244" t="s">
        <v>285</v>
      </c>
      <c r="E54" s="244"/>
      <c r="F54" s="238" t="s">
        <v>1832</v>
      </c>
      <c r="G54" s="238"/>
      <c r="H54" s="238"/>
      <c r="I54" s="238"/>
      <c r="J54" s="10" t="s">
        <v>6257</v>
      </c>
      <c r="K54" s="238" t="s">
        <v>1833</v>
      </c>
      <c r="L54" s="238"/>
      <c r="M54" s="238"/>
      <c r="N54" s="238" t="s">
        <v>1834</v>
      </c>
      <c r="O54" s="238"/>
      <c r="P54" s="238"/>
      <c r="Q54" s="238" t="s">
        <v>1835</v>
      </c>
      <c r="R54" s="238"/>
      <c r="S54" s="238"/>
      <c r="T54" s="238"/>
      <c r="U54" s="238"/>
      <c r="V54" s="238"/>
      <c r="W54" s="238" t="s">
        <v>1836</v>
      </c>
      <c r="X54" s="238"/>
      <c r="Y54" s="10" t="s">
        <v>6796</v>
      </c>
      <c r="Z54" s="10" t="s">
        <v>6805</v>
      </c>
      <c r="AA54" s="238" t="s">
        <v>1837</v>
      </c>
      <c r="AB54" s="238"/>
      <c r="AC54" s="238"/>
      <c r="AD54" s="238"/>
      <c r="AE54" s="238"/>
      <c r="AF54" s="10" t="s">
        <v>1838</v>
      </c>
      <c r="AG54" s="237" t="s">
        <v>1839</v>
      </c>
      <c r="AH54" s="237"/>
      <c r="AI54" s="237"/>
      <c r="AJ54" s="237"/>
      <c r="AK54" s="237"/>
      <c r="AL54" s="2"/>
      <c r="AM54" s="2"/>
      <c r="AN54" s="2"/>
      <c r="AO54" s="2"/>
      <c r="AP54" s="7"/>
    </row>
    <row r="55" spans="1:42" ht="13.5" thickBot="1">
      <c r="A55" s="6"/>
      <c r="B55" s="2"/>
      <c r="C55" s="2"/>
      <c r="D55" s="244" t="s">
        <v>295</v>
      </c>
      <c r="E55" s="244"/>
      <c r="F55" s="238" t="s">
        <v>1840</v>
      </c>
      <c r="G55" s="238"/>
      <c r="H55" s="238"/>
      <c r="I55" s="238"/>
      <c r="J55" s="10" t="s">
        <v>6011</v>
      </c>
      <c r="K55" s="238" t="s">
        <v>1841</v>
      </c>
      <c r="L55" s="238"/>
      <c r="M55" s="238"/>
      <c r="N55" s="238" t="s">
        <v>1842</v>
      </c>
      <c r="O55" s="238"/>
      <c r="P55" s="238"/>
      <c r="Q55" s="238" t="s">
        <v>6177</v>
      </c>
      <c r="R55" s="238"/>
      <c r="S55" s="238"/>
      <c r="T55" s="238"/>
      <c r="U55" s="238"/>
      <c r="V55" s="238"/>
      <c r="W55" s="238" t="s">
        <v>1843</v>
      </c>
      <c r="X55" s="238"/>
      <c r="Y55" s="10" t="s">
        <v>6012</v>
      </c>
      <c r="Z55" s="10" t="s">
        <v>301</v>
      </c>
      <c r="AA55" s="238" t="s">
        <v>1844</v>
      </c>
      <c r="AB55" s="238"/>
      <c r="AC55" s="238"/>
      <c r="AD55" s="238"/>
      <c r="AE55" s="238"/>
      <c r="AF55" s="10" t="s">
        <v>6523</v>
      </c>
      <c r="AG55" s="237" t="s">
        <v>6657</v>
      </c>
      <c r="AH55" s="237"/>
      <c r="AI55" s="237"/>
      <c r="AJ55" s="237"/>
      <c r="AK55" s="237"/>
      <c r="AL55" s="2"/>
      <c r="AM55" s="2"/>
      <c r="AN55" s="2"/>
      <c r="AO55" s="2"/>
      <c r="AP55" s="7"/>
    </row>
    <row r="56" spans="1:42" ht="13.5" thickBot="1">
      <c r="A56" s="6"/>
      <c r="B56" s="2"/>
      <c r="C56" s="2"/>
      <c r="D56" s="244" t="s">
        <v>307</v>
      </c>
      <c r="E56" s="244"/>
      <c r="F56" s="238" t="s">
        <v>6259</v>
      </c>
      <c r="G56" s="238"/>
      <c r="H56" s="238"/>
      <c r="I56" s="238"/>
      <c r="J56" s="10" t="s">
        <v>1845</v>
      </c>
      <c r="K56" s="238" t="s">
        <v>1846</v>
      </c>
      <c r="L56" s="238"/>
      <c r="M56" s="238"/>
      <c r="N56" s="238" t="s">
        <v>1847</v>
      </c>
      <c r="O56" s="238"/>
      <c r="P56" s="238"/>
      <c r="Q56" s="238" t="s">
        <v>1848</v>
      </c>
      <c r="R56" s="238"/>
      <c r="S56" s="238"/>
      <c r="T56" s="238"/>
      <c r="U56" s="238"/>
      <c r="V56" s="238"/>
      <c r="W56" s="238" t="s">
        <v>6805</v>
      </c>
      <c r="X56" s="238"/>
      <c r="Y56" s="10" t="s">
        <v>1849</v>
      </c>
      <c r="Z56" s="10" t="s">
        <v>6322</v>
      </c>
      <c r="AA56" s="238" t="s">
        <v>1850</v>
      </c>
      <c r="AB56" s="238"/>
      <c r="AC56" s="238"/>
      <c r="AD56" s="238"/>
      <c r="AE56" s="238"/>
      <c r="AF56" s="10" t="s">
        <v>1851</v>
      </c>
      <c r="AG56" s="237" t="s">
        <v>1852</v>
      </c>
      <c r="AH56" s="237"/>
      <c r="AI56" s="237"/>
      <c r="AJ56" s="237"/>
      <c r="AK56" s="237"/>
      <c r="AL56" s="2"/>
      <c r="AM56" s="2"/>
      <c r="AN56" s="2"/>
      <c r="AO56" s="2"/>
      <c r="AP56" s="7"/>
    </row>
    <row r="57" spans="1:42" ht="13.5" thickBot="1">
      <c r="A57" s="6"/>
      <c r="B57" s="2"/>
      <c r="C57" s="2"/>
      <c r="D57" s="244" t="s">
        <v>319</v>
      </c>
      <c r="E57" s="244"/>
      <c r="F57" s="237" t="s">
        <v>1853</v>
      </c>
      <c r="G57" s="237"/>
      <c r="H57" s="237"/>
      <c r="I57" s="237"/>
      <c r="J57" s="11" t="s">
        <v>1854</v>
      </c>
      <c r="K57" s="237" t="s">
        <v>1855</v>
      </c>
      <c r="L57" s="237"/>
      <c r="M57" s="237"/>
      <c r="N57" s="237" t="s">
        <v>6519</v>
      </c>
      <c r="O57" s="237"/>
      <c r="P57" s="237"/>
      <c r="Q57" s="237">
        <v>76.459999999999994</v>
      </c>
      <c r="R57" s="237"/>
      <c r="S57" s="237"/>
      <c r="T57" s="237"/>
      <c r="U57" s="237"/>
      <c r="V57" s="237"/>
      <c r="W57" s="237" t="s">
        <v>6339</v>
      </c>
      <c r="X57" s="237"/>
      <c r="Y57" s="11" t="s">
        <v>1834</v>
      </c>
      <c r="Z57" s="11" t="s">
        <v>6052</v>
      </c>
      <c r="AA57" s="237" t="s">
        <v>1857</v>
      </c>
      <c r="AB57" s="237"/>
      <c r="AC57" s="237"/>
      <c r="AD57" s="237"/>
      <c r="AE57" s="237"/>
      <c r="AF57" s="11">
        <v>90.25</v>
      </c>
      <c r="AG57" s="237" t="s">
        <v>1858</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indexed="29"/>
  </sheetPr>
  <dimension ref="A1:AU61"/>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9.140625" hidden="1" customWidth="1"/>
    <col min="44" max="45" width="1" customWidth="1"/>
    <col min="46" max="46" width="34.42578125" bestFit="1" customWidth="1"/>
    <col min="47" max="47" width="13.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1859</v>
      </c>
      <c r="E7" s="269"/>
      <c r="F7" s="269"/>
      <c r="G7" s="269"/>
      <c r="H7" s="269" t="s">
        <v>1860</v>
      </c>
      <c r="I7" s="269"/>
      <c r="J7" s="269"/>
      <c r="K7" s="269"/>
      <c r="L7" s="269"/>
      <c r="M7" s="269"/>
      <c r="N7" s="269"/>
      <c r="O7" s="269"/>
      <c r="P7" s="269"/>
      <c r="Q7" s="269"/>
      <c r="R7" s="269"/>
      <c r="S7" s="269"/>
      <c r="T7" s="269"/>
      <c r="U7" s="269"/>
      <c r="V7" s="269"/>
      <c r="W7" s="269"/>
      <c r="X7" s="270" t="s">
        <v>7029</v>
      </c>
      <c r="Y7" s="270"/>
      <c r="Z7" s="270"/>
      <c r="AA7" s="270"/>
      <c r="AB7" s="270"/>
      <c r="AC7" s="270"/>
      <c r="AD7" s="270"/>
      <c r="AE7" s="270"/>
      <c r="AF7" s="270"/>
      <c r="AG7" s="270"/>
      <c r="AH7" s="270"/>
      <c r="AI7" s="270"/>
      <c r="AJ7" s="270"/>
      <c r="AK7" s="270"/>
      <c r="AL7" s="2"/>
      <c r="AM7" s="2"/>
      <c r="AN7" s="7"/>
      <c r="AT7" s="22" t="s">
        <v>1518</v>
      </c>
      <c r="AU7" s="35" t="str">
        <f>H7</f>
        <v>MOCHOVCE-2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7030</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7030</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6274</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6274</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VVER V-213</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1471</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408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1471</v>
      </c>
      <c r="N16" s="264"/>
      <c r="O16" s="264"/>
      <c r="P16" s="248" t="s">
        <v>186</v>
      </c>
      <c r="Q16" s="248"/>
      <c r="R16" s="248"/>
      <c r="S16" s="2"/>
      <c r="T16" s="2"/>
      <c r="U16" s="252" t="s">
        <v>187</v>
      </c>
      <c r="V16" s="252"/>
      <c r="W16" s="252"/>
      <c r="X16" s="252"/>
      <c r="Y16" s="252"/>
      <c r="Z16" s="252"/>
      <c r="AA16" s="252"/>
      <c r="AB16" s="247" t="s">
        <v>5709</v>
      </c>
      <c r="AC16" s="247"/>
      <c r="AD16" s="248" t="s">
        <v>409</v>
      </c>
      <c r="AE16" s="248"/>
      <c r="AF16" s="248"/>
      <c r="AG16" s="248"/>
      <c r="AH16" s="248"/>
      <c r="AI16" s="2"/>
      <c r="AJ16" s="1"/>
      <c r="AK16" s="2"/>
      <c r="AL16" s="1"/>
      <c r="AM16" s="2"/>
      <c r="AN16" s="7"/>
      <c r="AT16" s="24" t="str">
        <f>D17 &amp; " [MWe]"</f>
        <v>Latest gross electrical power [MWe]</v>
      </c>
      <c r="AU16" s="24">
        <f>M17</f>
        <v>470</v>
      </c>
    </row>
    <row r="17" spans="1:47" ht="13.5" thickBot="1">
      <c r="A17" s="6"/>
      <c r="B17" s="1"/>
      <c r="C17" s="1"/>
      <c r="D17" s="248" t="s">
        <v>189</v>
      </c>
      <c r="E17" s="248"/>
      <c r="F17" s="248"/>
      <c r="G17" s="248"/>
      <c r="H17" s="248"/>
      <c r="I17" s="248"/>
      <c r="J17" s="248"/>
      <c r="K17" s="248"/>
      <c r="L17" s="8" t="s">
        <v>5709</v>
      </c>
      <c r="M17" s="264">
        <v>470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436</v>
      </c>
    </row>
    <row r="18" spans="1:47" ht="13.5" thickBot="1">
      <c r="A18" s="6"/>
      <c r="B18" s="1"/>
      <c r="C18" s="1"/>
      <c r="D18" s="248" t="s">
        <v>193</v>
      </c>
      <c r="E18" s="248"/>
      <c r="F18" s="248"/>
      <c r="G18" s="248"/>
      <c r="H18" s="248"/>
      <c r="I18" s="248"/>
      <c r="J18" s="248"/>
      <c r="K18" s="248"/>
      <c r="L18" s="8" t="s">
        <v>5709</v>
      </c>
      <c r="M18" s="264">
        <v>387</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36514</v>
      </c>
    </row>
    <row r="19" spans="1:47" ht="13.5" thickBot="1">
      <c r="A19" s="6"/>
      <c r="B19" s="1"/>
      <c r="C19" s="1"/>
      <c r="D19" s="248" t="s">
        <v>196</v>
      </c>
      <c r="E19" s="248"/>
      <c r="F19" s="248"/>
      <c r="G19" s="248"/>
      <c r="H19" s="248"/>
      <c r="I19" s="248"/>
      <c r="J19" s="248"/>
      <c r="K19" s="248"/>
      <c r="L19" s="8" t="s">
        <v>5709</v>
      </c>
      <c r="M19" s="264">
        <v>436</v>
      </c>
      <c r="N19" s="264"/>
      <c r="O19" s="264"/>
      <c r="P19" s="248" t="s">
        <v>190</v>
      </c>
      <c r="Q19" s="248"/>
      <c r="R19" s="248"/>
      <c r="S19" s="2"/>
      <c r="T19" s="2"/>
      <c r="U19" s="252" t="s">
        <v>197</v>
      </c>
      <c r="V19" s="252"/>
      <c r="W19" s="252"/>
      <c r="X19" s="252"/>
      <c r="Y19" s="252"/>
      <c r="Z19" s="252"/>
      <c r="AA19" s="252"/>
      <c r="AB19" s="247" t="s">
        <v>5709</v>
      </c>
      <c r="AC19" s="247"/>
      <c r="AD19" s="248" t="s">
        <v>6275</v>
      </c>
      <c r="AE19" s="248"/>
      <c r="AF19" s="248"/>
      <c r="AG19" s="248"/>
      <c r="AH19" s="248"/>
      <c r="AI19" s="2"/>
      <c r="AJ19" s="1"/>
      <c r="AK19" s="2"/>
      <c r="AL19" s="1"/>
      <c r="AM19" s="2"/>
      <c r="AN19" s="7"/>
      <c r="AT19" s="23" t="str">
        <f>U19</f>
        <v>Average discharge burnup  [MWd/t]</v>
      </c>
      <c r="AU19" s="23" t="str">
        <f>AD19</f>
        <v>44000</v>
      </c>
    </row>
    <row r="20" spans="1:47" ht="12.7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411</v>
      </c>
      <c r="AE20" s="248"/>
      <c r="AF20" s="248"/>
      <c r="AG20" s="248"/>
      <c r="AH20" s="248"/>
      <c r="AI20" s="2"/>
      <c r="AJ20" s="1"/>
      <c r="AK20" s="2"/>
      <c r="AL20" s="1"/>
      <c r="AM20" s="2"/>
      <c r="AN20" s="7"/>
      <c r="AT20" s="23" t="str">
        <f>D55 &amp; Q48</f>
        <v>LF [%]2005</v>
      </c>
      <c r="AU20" s="26">
        <f>Q55</f>
        <v>85.99</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6276</v>
      </c>
      <c r="AE21" s="248"/>
      <c r="AF21" s="248"/>
      <c r="AG21" s="248"/>
      <c r="AH21" s="248"/>
      <c r="AI21" s="2"/>
      <c r="AJ21" s="1"/>
      <c r="AK21" s="2"/>
      <c r="AL21" s="1"/>
      <c r="AM21" s="2"/>
      <c r="AN21" s="7"/>
      <c r="AT21" s="23" t="str">
        <f>D55&amp;AE48</f>
        <v>LF [%]2010</v>
      </c>
      <c r="AU21" s="23">
        <f>AE55</f>
        <v>83.52</v>
      </c>
    </row>
    <row r="22" spans="1:47" ht="8.85" customHeight="1" thickBot="1">
      <c r="A22" s="6"/>
      <c r="B22" s="1"/>
      <c r="C22" s="1"/>
      <c r="D22" s="248" t="s">
        <v>205</v>
      </c>
      <c r="E22" s="248"/>
      <c r="F22" s="248"/>
      <c r="G22" s="248"/>
      <c r="H22" s="248"/>
      <c r="I22" s="248"/>
      <c r="J22" s="248"/>
      <c r="K22" s="248"/>
      <c r="L22" s="247" t="s">
        <v>5709</v>
      </c>
      <c r="M22" s="259">
        <v>30602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6277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36514</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1800</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36627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415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416</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7033</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7034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7035</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420</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422</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362</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1861</v>
      </c>
      <c r="G49" s="238"/>
      <c r="H49" s="238"/>
      <c r="I49" s="238"/>
      <c r="J49" s="10" t="s">
        <v>1862</v>
      </c>
      <c r="K49" s="238" t="s">
        <v>6422</v>
      </c>
      <c r="L49" s="238"/>
      <c r="M49" s="238"/>
      <c r="N49" s="238" t="s">
        <v>1863</v>
      </c>
      <c r="O49" s="238"/>
      <c r="P49" s="238"/>
      <c r="Q49" s="238" t="s">
        <v>1864</v>
      </c>
      <c r="R49" s="238"/>
      <c r="S49" s="238"/>
      <c r="T49" s="238"/>
      <c r="U49" s="238"/>
      <c r="V49" s="238"/>
      <c r="W49" s="238" t="s">
        <v>1865</v>
      </c>
      <c r="X49" s="238"/>
      <c r="Y49" s="10" t="s">
        <v>1866</v>
      </c>
      <c r="Z49" s="10" t="s">
        <v>1867</v>
      </c>
      <c r="AA49" s="238" t="s">
        <v>1868</v>
      </c>
      <c r="AB49" s="238"/>
      <c r="AC49" s="238"/>
      <c r="AD49" s="238"/>
      <c r="AE49" s="10" t="s">
        <v>1869</v>
      </c>
      <c r="AF49" s="237" t="s">
        <v>1870</v>
      </c>
      <c r="AG49" s="237"/>
      <c r="AH49" s="237"/>
      <c r="AI49" s="237"/>
      <c r="AJ49" s="2"/>
      <c r="AK49" s="2"/>
      <c r="AL49" s="2"/>
      <c r="AM49" s="2"/>
      <c r="AN49" s="7"/>
    </row>
    <row r="50" spans="1:40" ht="13.5" thickBot="1">
      <c r="A50" s="6"/>
      <c r="B50" s="2"/>
      <c r="C50" s="2"/>
      <c r="D50" s="244" t="s">
        <v>261</v>
      </c>
      <c r="E50" s="244"/>
      <c r="F50" s="238" t="s">
        <v>1871</v>
      </c>
      <c r="G50" s="238"/>
      <c r="H50" s="238"/>
      <c r="I50" s="238"/>
      <c r="J50" s="10" t="s">
        <v>1872</v>
      </c>
      <c r="K50" s="238" t="s">
        <v>6201</v>
      </c>
      <c r="L50" s="238"/>
      <c r="M50" s="238"/>
      <c r="N50" s="238" t="s">
        <v>1873</v>
      </c>
      <c r="O50" s="238"/>
      <c r="P50" s="238"/>
      <c r="Q50" s="238" t="s">
        <v>1874</v>
      </c>
      <c r="R50" s="238"/>
      <c r="S50" s="238"/>
      <c r="T50" s="238"/>
      <c r="U50" s="238"/>
      <c r="V50" s="238"/>
      <c r="W50" s="238" t="s">
        <v>1875</v>
      </c>
      <c r="X50" s="238"/>
      <c r="Y50" s="10" t="s">
        <v>1876</v>
      </c>
      <c r="Z50" s="10" t="s">
        <v>6152</v>
      </c>
      <c r="AA50" s="238" t="s">
        <v>1877</v>
      </c>
      <c r="AB50" s="238"/>
      <c r="AC50" s="238"/>
      <c r="AD50" s="238"/>
      <c r="AE50" s="10" t="s">
        <v>1878</v>
      </c>
      <c r="AF50" s="237" t="s">
        <v>1879</v>
      </c>
      <c r="AG50" s="237"/>
      <c r="AH50" s="237"/>
      <c r="AI50" s="237"/>
      <c r="AJ50" s="2"/>
      <c r="AK50" s="2"/>
      <c r="AL50" s="2"/>
      <c r="AM50" s="2"/>
      <c r="AN50" s="7"/>
    </row>
    <row r="51" spans="1:40" ht="13.5" thickBot="1">
      <c r="A51" s="6"/>
      <c r="B51" s="2"/>
      <c r="C51" s="2"/>
      <c r="D51" s="244" t="s">
        <v>273</v>
      </c>
      <c r="E51" s="244"/>
      <c r="F51" s="238" t="s">
        <v>1880</v>
      </c>
      <c r="G51" s="238"/>
      <c r="H51" s="238"/>
      <c r="I51" s="238"/>
      <c r="J51" s="10" t="s">
        <v>1881</v>
      </c>
      <c r="K51" s="238" t="s">
        <v>1882</v>
      </c>
      <c r="L51" s="238"/>
      <c r="M51" s="238"/>
      <c r="N51" s="238" t="s">
        <v>1883</v>
      </c>
      <c r="O51" s="238"/>
      <c r="P51" s="238"/>
      <c r="Q51" s="238" t="s">
        <v>1884</v>
      </c>
      <c r="R51" s="238"/>
      <c r="S51" s="238"/>
      <c r="T51" s="238"/>
      <c r="U51" s="238"/>
      <c r="V51" s="238"/>
      <c r="W51" s="238" t="s">
        <v>1885</v>
      </c>
      <c r="X51" s="238"/>
      <c r="Y51" s="10" t="s">
        <v>1886</v>
      </c>
      <c r="Z51" s="10" t="s">
        <v>1887</v>
      </c>
      <c r="AA51" s="238" t="s">
        <v>1888</v>
      </c>
      <c r="AB51" s="238"/>
      <c r="AC51" s="238"/>
      <c r="AD51" s="238"/>
      <c r="AE51" s="10" t="s">
        <v>6314</v>
      </c>
      <c r="AF51" s="237" t="s">
        <v>1889</v>
      </c>
      <c r="AG51" s="237"/>
      <c r="AH51" s="237"/>
      <c r="AI51" s="237"/>
      <c r="AJ51" s="2"/>
      <c r="AK51" s="2"/>
      <c r="AL51" s="2"/>
      <c r="AM51" s="2"/>
      <c r="AN51" s="7"/>
    </row>
    <row r="52" spans="1:40" ht="13.5" thickBot="1">
      <c r="A52" s="6"/>
      <c r="B52" s="2"/>
      <c r="C52" s="2"/>
      <c r="D52" s="244" t="s">
        <v>285</v>
      </c>
      <c r="E52" s="244"/>
      <c r="F52" s="238" t="s">
        <v>1890</v>
      </c>
      <c r="G52" s="238"/>
      <c r="H52" s="238"/>
      <c r="I52" s="238"/>
      <c r="J52" s="10" t="s">
        <v>6660</v>
      </c>
      <c r="K52" s="238" t="s">
        <v>1891</v>
      </c>
      <c r="L52" s="238"/>
      <c r="M52" s="238"/>
      <c r="N52" s="238" t="s">
        <v>1892</v>
      </c>
      <c r="O52" s="238"/>
      <c r="P52" s="238"/>
      <c r="Q52" s="238" t="s">
        <v>1893</v>
      </c>
      <c r="R52" s="238"/>
      <c r="S52" s="238"/>
      <c r="T52" s="238"/>
      <c r="U52" s="238"/>
      <c r="V52" s="238"/>
      <c r="W52" s="238" t="s">
        <v>1894</v>
      </c>
      <c r="X52" s="238"/>
      <c r="Y52" s="10" t="s">
        <v>6319</v>
      </c>
      <c r="Z52" s="10" t="s">
        <v>1895</v>
      </c>
      <c r="AA52" s="238" t="s">
        <v>401</v>
      </c>
      <c r="AB52" s="238"/>
      <c r="AC52" s="238"/>
      <c r="AD52" s="238"/>
      <c r="AE52" s="10" t="s">
        <v>1896</v>
      </c>
      <c r="AF52" s="237" t="s">
        <v>1897</v>
      </c>
      <c r="AG52" s="237"/>
      <c r="AH52" s="237"/>
      <c r="AI52" s="237"/>
      <c r="AJ52" s="2"/>
      <c r="AK52" s="2"/>
      <c r="AL52" s="2"/>
      <c r="AM52" s="2"/>
      <c r="AN52" s="7"/>
    </row>
    <row r="53" spans="1:40" ht="13.5" thickBot="1">
      <c r="A53" s="6"/>
      <c r="B53" s="2"/>
      <c r="C53" s="2"/>
      <c r="D53" s="244" t="s">
        <v>295</v>
      </c>
      <c r="E53" s="244"/>
      <c r="F53" s="238" t="s">
        <v>1898</v>
      </c>
      <c r="G53" s="238"/>
      <c r="H53" s="238"/>
      <c r="I53" s="238"/>
      <c r="J53" s="10" t="s">
        <v>6460</v>
      </c>
      <c r="K53" s="238" t="s">
        <v>296</v>
      </c>
      <c r="L53" s="238"/>
      <c r="M53" s="238"/>
      <c r="N53" s="238" t="s">
        <v>1843</v>
      </c>
      <c r="O53" s="238"/>
      <c r="P53" s="238"/>
      <c r="Q53" s="238" t="s">
        <v>6085</v>
      </c>
      <c r="R53" s="238"/>
      <c r="S53" s="238"/>
      <c r="T53" s="238"/>
      <c r="U53" s="238"/>
      <c r="V53" s="238"/>
      <c r="W53" s="238" t="s">
        <v>1899</v>
      </c>
      <c r="X53" s="238"/>
      <c r="Y53" s="10" t="s">
        <v>1900</v>
      </c>
      <c r="Z53" s="10" t="s">
        <v>6522</v>
      </c>
      <c r="AA53" s="238" t="s">
        <v>1901</v>
      </c>
      <c r="AB53" s="238"/>
      <c r="AC53" s="238"/>
      <c r="AD53" s="238"/>
      <c r="AE53" s="10" t="s">
        <v>1902</v>
      </c>
      <c r="AF53" s="237" t="s">
        <v>1903</v>
      </c>
      <c r="AG53" s="237"/>
      <c r="AH53" s="237"/>
      <c r="AI53" s="237"/>
      <c r="AJ53" s="2"/>
      <c r="AK53" s="2"/>
      <c r="AL53" s="2"/>
      <c r="AM53" s="2"/>
      <c r="AN53" s="7"/>
    </row>
    <row r="54" spans="1:40" ht="13.5" thickBot="1">
      <c r="A54" s="6"/>
      <c r="B54" s="2"/>
      <c r="C54" s="2"/>
      <c r="D54" s="244" t="s">
        <v>307</v>
      </c>
      <c r="E54" s="244"/>
      <c r="F54" s="238" t="s">
        <v>1904</v>
      </c>
      <c r="G54" s="238"/>
      <c r="H54" s="238"/>
      <c r="I54" s="238"/>
      <c r="J54" s="10" t="s">
        <v>1905</v>
      </c>
      <c r="K54" s="238" t="s">
        <v>1906</v>
      </c>
      <c r="L54" s="238"/>
      <c r="M54" s="238"/>
      <c r="N54" s="238" t="s">
        <v>6390</v>
      </c>
      <c r="O54" s="238"/>
      <c r="P54" s="238"/>
      <c r="Q54" s="238" t="s">
        <v>6850</v>
      </c>
      <c r="R54" s="238"/>
      <c r="S54" s="238"/>
      <c r="T54" s="238"/>
      <c r="U54" s="238"/>
      <c r="V54" s="238"/>
      <c r="W54" s="238" t="s">
        <v>1907</v>
      </c>
      <c r="X54" s="238"/>
      <c r="Y54" s="10" t="s">
        <v>1908</v>
      </c>
      <c r="Z54" s="10" t="s">
        <v>1909</v>
      </c>
      <c r="AA54" s="238" t="s">
        <v>1910</v>
      </c>
      <c r="AB54" s="238"/>
      <c r="AC54" s="238"/>
      <c r="AD54" s="238"/>
      <c r="AE54" s="10" t="s">
        <v>1911</v>
      </c>
      <c r="AF54" s="237" t="s">
        <v>1912</v>
      </c>
      <c r="AG54" s="237"/>
      <c r="AH54" s="237"/>
      <c r="AI54" s="237"/>
      <c r="AJ54" s="2"/>
      <c r="AK54" s="2"/>
      <c r="AL54" s="2"/>
      <c r="AM54" s="2"/>
      <c r="AN54" s="7"/>
    </row>
    <row r="55" spans="1:40" ht="13.5" thickBot="1">
      <c r="A55" s="6"/>
      <c r="B55" s="2"/>
      <c r="C55" s="2"/>
      <c r="D55" s="244" t="s">
        <v>319</v>
      </c>
      <c r="E55" s="244"/>
      <c r="F55" s="237" t="s">
        <v>1913</v>
      </c>
      <c r="G55" s="237"/>
      <c r="H55" s="237"/>
      <c r="I55" s="237"/>
      <c r="J55" s="11" t="s">
        <v>1914</v>
      </c>
      <c r="K55" s="237" t="s">
        <v>1915</v>
      </c>
      <c r="L55" s="237"/>
      <c r="M55" s="237"/>
      <c r="N55" s="237" t="s">
        <v>1916</v>
      </c>
      <c r="O55" s="237"/>
      <c r="P55" s="237"/>
      <c r="Q55" s="237">
        <v>85.99</v>
      </c>
      <c r="R55" s="237"/>
      <c r="S55" s="237"/>
      <c r="T55" s="237"/>
      <c r="U55" s="237"/>
      <c r="V55" s="237"/>
      <c r="W55" s="237" t="s">
        <v>1918</v>
      </c>
      <c r="X55" s="237"/>
      <c r="Y55" s="11" t="s">
        <v>6462</v>
      </c>
      <c r="Z55" s="11" t="s">
        <v>1896</v>
      </c>
      <c r="AA55" s="237" t="s">
        <v>6910</v>
      </c>
      <c r="AB55" s="237"/>
      <c r="AC55" s="237"/>
      <c r="AD55" s="237"/>
      <c r="AE55" s="11">
        <v>83.52</v>
      </c>
      <c r="AF55" s="237" t="s">
        <v>1920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57"/>
  </sheetPr>
  <dimension ref="A1:AU63"/>
  <sheetViews>
    <sheetView topLeftCell="J4" workbookViewId="0">
      <selection activeCell="AV32" sqref="AV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7109375" customWidth="1"/>
    <col min="44" max="45" width="1" customWidth="1"/>
    <col min="46" max="46" width="34.42578125" bestFit="1" customWidth="1"/>
    <col min="47" max="47" width="16.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1921</v>
      </c>
      <c r="E7" s="269"/>
      <c r="F7" s="269"/>
      <c r="G7" s="269"/>
      <c r="H7" s="269" t="s">
        <v>1922</v>
      </c>
      <c r="I7" s="269"/>
      <c r="J7" s="269"/>
      <c r="K7" s="269"/>
      <c r="L7" s="269"/>
      <c r="M7" s="269"/>
      <c r="N7" s="269"/>
      <c r="O7" s="269"/>
      <c r="P7" s="269"/>
      <c r="Q7" s="269"/>
      <c r="R7" s="269"/>
      <c r="S7" s="269"/>
      <c r="T7" s="269"/>
      <c r="U7" s="269"/>
      <c r="V7" s="269"/>
      <c r="W7" s="269"/>
      <c r="X7" s="270" t="s">
        <v>1923</v>
      </c>
      <c r="Y7" s="270"/>
      <c r="Z7" s="270"/>
      <c r="AA7" s="270"/>
      <c r="AB7" s="270"/>
      <c r="AC7" s="270"/>
      <c r="AD7" s="270"/>
      <c r="AE7" s="270"/>
      <c r="AF7" s="270"/>
      <c r="AG7" s="270"/>
      <c r="AH7" s="270"/>
      <c r="AI7" s="270"/>
      <c r="AJ7" s="270"/>
      <c r="AK7" s="270"/>
      <c r="AL7" s="270"/>
      <c r="AM7" s="270"/>
      <c r="AN7" s="2"/>
      <c r="AO7" s="2"/>
      <c r="AP7" s="7"/>
      <c r="AT7" s="22" t="s">
        <v>1518</v>
      </c>
      <c r="AU7" s="35" t="str">
        <f>H7</f>
        <v>KRSKO</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1924</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1925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Westinghouse 212</v>
      </c>
    </row>
    <row r="13" spans="1:47" ht="10.35" customHeight="1">
      <c r="A13" s="6"/>
      <c r="B13" s="1"/>
      <c r="C13" s="2"/>
      <c r="D13" s="247" t="s">
        <v>5716</v>
      </c>
      <c r="E13" s="247"/>
      <c r="F13" s="247"/>
      <c r="G13" s="247" t="s">
        <v>5709</v>
      </c>
      <c r="H13" s="247"/>
      <c r="I13" s="247" t="s">
        <v>1926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1994</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727</v>
      </c>
    </row>
    <row r="17" spans="1:47" ht="11.45" customHeight="1" thickBot="1">
      <c r="A17" s="6"/>
      <c r="B17" s="1"/>
      <c r="C17" s="1"/>
      <c r="D17" s="248" t="s">
        <v>5722</v>
      </c>
      <c r="E17" s="248"/>
      <c r="F17" s="248"/>
      <c r="G17" s="247" t="s">
        <v>5709</v>
      </c>
      <c r="H17" s="247"/>
      <c r="I17" s="248" t="s">
        <v>1927</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688</v>
      </c>
    </row>
    <row r="18" spans="1:47" ht="13.5" thickBot="1">
      <c r="A18" s="6"/>
      <c r="B18" s="1"/>
      <c r="C18" s="1"/>
      <c r="D18" s="248" t="s">
        <v>185</v>
      </c>
      <c r="E18" s="248"/>
      <c r="F18" s="248"/>
      <c r="G18" s="248"/>
      <c r="H18" s="248"/>
      <c r="I18" s="248"/>
      <c r="J18" s="248"/>
      <c r="K18" s="248"/>
      <c r="L18" s="8" t="s">
        <v>5709</v>
      </c>
      <c r="M18" s="264">
        <v>1994</v>
      </c>
      <c r="N18" s="264"/>
      <c r="O18" s="264"/>
      <c r="P18" s="248" t="s">
        <v>186</v>
      </c>
      <c r="Q18" s="248"/>
      <c r="R18" s="248"/>
      <c r="S18" s="2"/>
      <c r="T18" s="2"/>
      <c r="U18" s="252" t="s">
        <v>187</v>
      </c>
      <c r="V18" s="252"/>
      <c r="W18" s="252"/>
      <c r="X18" s="252"/>
      <c r="Y18" s="252"/>
      <c r="Z18" s="252"/>
      <c r="AA18" s="252"/>
      <c r="AB18" s="247" t="s">
        <v>5709</v>
      </c>
      <c r="AC18" s="247"/>
      <c r="AD18" s="248" t="s">
        <v>1928</v>
      </c>
      <c r="AE18" s="248"/>
      <c r="AF18" s="248"/>
      <c r="AG18" s="248"/>
      <c r="AH18" s="248"/>
      <c r="AI18" s="248"/>
      <c r="AJ18" s="248"/>
      <c r="AK18" s="2"/>
      <c r="AL18" s="1"/>
      <c r="AM18" s="2"/>
      <c r="AN18" s="1"/>
      <c r="AO18" s="2"/>
      <c r="AP18" s="7"/>
      <c r="AT18" s="25" t="str">
        <f>D26</f>
        <v>Grid Date</v>
      </c>
      <c r="AU18" s="25">
        <f>M26</f>
        <v>29861</v>
      </c>
    </row>
    <row r="19" spans="1:47" ht="13.5" thickBot="1">
      <c r="A19" s="6"/>
      <c r="B19" s="1"/>
      <c r="C19" s="1"/>
      <c r="D19" s="248" t="s">
        <v>189</v>
      </c>
      <c r="E19" s="248"/>
      <c r="F19" s="248"/>
      <c r="G19" s="248"/>
      <c r="H19" s="248"/>
      <c r="I19" s="248"/>
      <c r="J19" s="248"/>
      <c r="K19" s="248"/>
      <c r="L19" s="8" t="s">
        <v>5709</v>
      </c>
      <c r="M19" s="264">
        <v>727</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44029</v>
      </c>
    </row>
    <row r="20" spans="1:47" ht="13.5" thickBot="1">
      <c r="A20" s="6"/>
      <c r="B20" s="1"/>
      <c r="C20" s="1"/>
      <c r="D20" s="248" t="s">
        <v>193</v>
      </c>
      <c r="E20" s="248"/>
      <c r="F20" s="248"/>
      <c r="G20" s="248"/>
      <c r="H20" s="248"/>
      <c r="I20" s="248"/>
      <c r="J20" s="248"/>
      <c r="K20" s="248"/>
      <c r="L20" s="8" t="s">
        <v>5709</v>
      </c>
      <c r="M20" s="264">
        <v>632</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f>Q57</f>
        <v>97.69</v>
      </c>
    </row>
    <row r="21" spans="1:47" ht="13.5" thickBot="1">
      <c r="A21" s="6"/>
      <c r="B21" s="1"/>
      <c r="C21" s="1"/>
      <c r="D21" s="248" t="s">
        <v>196</v>
      </c>
      <c r="E21" s="248"/>
      <c r="F21" s="248"/>
      <c r="G21" s="248"/>
      <c r="H21" s="248"/>
      <c r="I21" s="248"/>
      <c r="J21" s="248"/>
      <c r="K21" s="248"/>
      <c r="L21" s="8" t="s">
        <v>5709</v>
      </c>
      <c r="M21" s="264">
        <v>688</v>
      </c>
      <c r="N21" s="264"/>
      <c r="O21" s="264"/>
      <c r="P21" s="248" t="s">
        <v>190</v>
      </c>
      <c r="Q21" s="248"/>
      <c r="R21" s="248"/>
      <c r="S21" s="2"/>
      <c r="T21" s="2"/>
      <c r="U21" s="252" t="s">
        <v>197</v>
      </c>
      <c r="V21" s="252"/>
      <c r="W21" s="252"/>
      <c r="X21" s="252"/>
      <c r="Y21" s="252"/>
      <c r="Z21" s="252"/>
      <c r="AA21" s="252"/>
      <c r="AB21" s="247" t="s">
        <v>5709</v>
      </c>
      <c r="AC21" s="247"/>
      <c r="AD21" s="248" t="s">
        <v>1930</v>
      </c>
      <c r="AE21" s="248"/>
      <c r="AF21" s="248"/>
      <c r="AG21" s="248"/>
      <c r="AH21" s="248"/>
      <c r="AI21" s="248"/>
      <c r="AJ21" s="248"/>
      <c r="AK21" s="2"/>
      <c r="AL21" s="1"/>
      <c r="AM21" s="2"/>
      <c r="AN21" s="1"/>
      <c r="AO21" s="2"/>
      <c r="AP21" s="7"/>
      <c r="AT21" s="23" t="str">
        <f>D57&amp;AF50</f>
        <v>LF [%]2010</v>
      </c>
      <c r="AU21" s="23">
        <f>AF57</f>
        <v>92.23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1931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1932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27483</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29861</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1933</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30317</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1934</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6548</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1935</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1936</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1937</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1938</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1939</v>
      </c>
      <c r="G51" s="238"/>
      <c r="H51" s="238"/>
      <c r="I51" s="238"/>
      <c r="J51" s="10" t="s">
        <v>1940</v>
      </c>
      <c r="K51" s="238" t="s">
        <v>1941</v>
      </c>
      <c r="L51" s="238"/>
      <c r="M51" s="238"/>
      <c r="N51" s="238" t="s">
        <v>1942</v>
      </c>
      <c r="O51" s="238"/>
      <c r="P51" s="238"/>
      <c r="Q51" s="238" t="s">
        <v>1943</v>
      </c>
      <c r="R51" s="238"/>
      <c r="S51" s="238"/>
      <c r="T51" s="238"/>
      <c r="U51" s="238"/>
      <c r="V51" s="238"/>
      <c r="W51" s="238" t="s">
        <v>1944</v>
      </c>
      <c r="X51" s="238"/>
      <c r="Y51" s="10" t="s">
        <v>1945</v>
      </c>
      <c r="Z51" s="10" t="s">
        <v>1946</v>
      </c>
      <c r="AA51" s="238" t="s">
        <v>1947</v>
      </c>
      <c r="AB51" s="238"/>
      <c r="AC51" s="238"/>
      <c r="AD51" s="238"/>
      <c r="AE51" s="238"/>
      <c r="AF51" s="10" t="s">
        <v>1948</v>
      </c>
      <c r="AG51" s="237" t="s">
        <v>1949</v>
      </c>
      <c r="AH51" s="237"/>
      <c r="AI51" s="237"/>
      <c r="AJ51" s="237"/>
      <c r="AK51" s="237"/>
      <c r="AL51" s="2"/>
      <c r="AM51" s="2"/>
      <c r="AN51" s="2"/>
      <c r="AO51" s="2"/>
      <c r="AP51" s="7"/>
    </row>
    <row r="52" spans="1:42" ht="13.5" thickBot="1">
      <c r="A52" s="6"/>
      <c r="B52" s="2"/>
      <c r="C52" s="2"/>
      <c r="D52" s="244" t="s">
        <v>261</v>
      </c>
      <c r="E52" s="244"/>
      <c r="F52" s="238" t="s">
        <v>1950</v>
      </c>
      <c r="G52" s="238"/>
      <c r="H52" s="238"/>
      <c r="I52" s="238"/>
      <c r="J52" s="10" t="s">
        <v>6515</v>
      </c>
      <c r="K52" s="238" t="s">
        <v>6023</v>
      </c>
      <c r="L52" s="238"/>
      <c r="M52" s="238"/>
      <c r="N52" s="238" t="s">
        <v>1951</v>
      </c>
      <c r="O52" s="238"/>
      <c r="P52" s="238"/>
      <c r="Q52" s="238" t="s">
        <v>1952</v>
      </c>
      <c r="R52" s="238"/>
      <c r="S52" s="238"/>
      <c r="T52" s="238"/>
      <c r="U52" s="238"/>
      <c r="V52" s="238"/>
      <c r="W52" s="238" t="s">
        <v>1953</v>
      </c>
      <c r="X52" s="238"/>
      <c r="Y52" s="10" t="s">
        <v>6435</v>
      </c>
      <c r="Z52" s="10" t="s">
        <v>1954</v>
      </c>
      <c r="AA52" s="238" t="s">
        <v>6367</v>
      </c>
      <c r="AB52" s="238"/>
      <c r="AC52" s="238"/>
      <c r="AD52" s="238"/>
      <c r="AE52" s="238"/>
      <c r="AF52" s="10" t="s">
        <v>7075</v>
      </c>
      <c r="AG52" s="237" t="s">
        <v>6998</v>
      </c>
      <c r="AH52" s="237"/>
      <c r="AI52" s="237"/>
      <c r="AJ52" s="237"/>
      <c r="AK52" s="237"/>
      <c r="AL52" s="2"/>
      <c r="AM52" s="2"/>
      <c r="AN52" s="2"/>
      <c r="AO52" s="2"/>
      <c r="AP52" s="7"/>
    </row>
    <row r="53" spans="1:42" ht="13.5" thickBot="1">
      <c r="A53" s="6"/>
      <c r="B53" s="2"/>
      <c r="C53" s="2"/>
      <c r="D53" s="244" t="s">
        <v>273</v>
      </c>
      <c r="E53" s="244"/>
      <c r="F53" s="238" t="s">
        <v>1955</v>
      </c>
      <c r="G53" s="238"/>
      <c r="H53" s="238"/>
      <c r="I53" s="238"/>
      <c r="J53" s="10" t="s">
        <v>1956</v>
      </c>
      <c r="K53" s="238" t="s">
        <v>1957</v>
      </c>
      <c r="L53" s="238"/>
      <c r="M53" s="238"/>
      <c r="N53" s="238" t="s">
        <v>1958</v>
      </c>
      <c r="O53" s="238"/>
      <c r="P53" s="238"/>
      <c r="Q53" s="238" t="s">
        <v>6087</v>
      </c>
      <c r="R53" s="238"/>
      <c r="S53" s="238"/>
      <c r="T53" s="238"/>
      <c r="U53" s="238"/>
      <c r="V53" s="238"/>
      <c r="W53" s="238" t="s">
        <v>1959</v>
      </c>
      <c r="X53" s="238"/>
      <c r="Y53" s="10" t="s">
        <v>6073</v>
      </c>
      <c r="Z53" s="10" t="s">
        <v>6087</v>
      </c>
      <c r="AA53" s="238" t="s">
        <v>6836</v>
      </c>
      <c r="AB53" s="238"/>
      <c r="AC53" s="238"/>
      <c r="AD53" s="238"/>
      <c r="AE53" s="238"/>
      <c r="AF53" s="10" t="s">
        <v>6766</v>
      </c>
      <c r="AG53" s="237" t="s">
        <v>1960</v>
      </c>
      <c r="AH53" s="237"/>
      <c r="AI53" s="237"/>
      <c r="AJ53" s="237"/>
      <c r="AK53" s="237"/>
      <c r="AL53" s="2"/>
      <c r="AM53" s="2"/>
      <c r="AN53" s="2"/>
      <c r="AO53" s="2"/>
      <c r="AP53" s="7"/>
    </row>
    <row r="54" spans="1:42" ht="13.5" thickBot="1">
      <c r="A54" s="6"/>
      <c r="B54" s="2"/>
      <c r="C54" s="2"/>
      <c r="D54" s="244" t="s">
        <v>285</v>
      </c>
      <c r="E54" s="244"/>
      <c r="F54" s="238" t="s">
        <v>6099</v>
      </c>
      <c r="G54" s="238"/>
      <c r="H54" s="238"/>
      <c r="I54" s="238"/>
      <c r="J54" s="10" t="s">
        <v>6882</v>
      </c>
      <c r="K54" s="238" t="s">
        <v>1961</v>
      </c>
      <c r="L54" s="238"/>
      <c r="M54" s="238"/>
      <c r="N54" s="238" t="s">
        <v>353</v>
      </c>
      <c r="O54" s="238"/>
      <c r="P54" s="238"/>
      <c r="Q54" s="238" t="s">
        <v>1962</v>
      </c>
      <c r="R54" s="238"/>
      <c r="S54" s="238"/>
      <c r="T54" s="238"/>
      <c r="U54" s="238"/>
      <c r="V54" s="238"/>
      <c r="W54" s="238" t="s">
        <v>6738</v>
      </c>
      <c r="X54" s="238"/>
      <c r="Y54" s="10" t="s">
        <v>1963</v>
      </c>
      <c r="Z54" s="10" t="s">
        <v>1954</v>
      </c>
      <c r="AA54" s="238" t="s">
        <v>6367</v>
      </c>
      <c r="AB54" s="238"/>
      <c r="AC54" s="238"/>
      <c r="AD54" s="238"/>
      <c r="AE54" s="238"/>
      <c r="AF54" s="10" t="s">
        <v>7075</v>
      </c>
      <c r="AG54" s="237" t="s">
        <v>1964</v>
      </c>
      <c r="AH54" s="237"/>
      <c r="AI54" s="237"/>
      <c r="AJ54" s="237"/>
      <c r="AK54" s="237"/>
      <c r="AL54" s="2"/>
      <c r="AM54" s="2"/>
      <c r="AN54" s="2"/>
      <c r="AO54" s="2"/>
      <c r="AP54" s="7"/>
    </row>
    <row r="55" spans="1:42" ht="13.5" thickBot="1">
      <c r="A55" s="6"/>
      <c r="B55" s="2"/>
      <c r="C55" s="2"/>
      <c r="D55" s="244" t="s">
        <v>295</v>
      </c>
      <c r="E55" s="244"/>
      <c r="F55" s="238" t="s">
        <v>6087</v>
      </c>
      <c r="G55" s="238"/>
      <c r="H55" s="238"/>
      <c r="I55" s="238"/>
      <c r="J55" s="10" t="s">
        <v>1965</v>
      </c>
      <c r="K55" s="238" t="s">
        <v>1966</v>
      </c>
      <c r="L55" s="238"/>
      <c r="M55" s="238"/>
      <c r="N55" s="238" t="s">
        <v>6394</v>
      </c>
      <c r="O55" s="238"/>
      <c r="P55" s="238"/>
      <c r="Q55" s="238" t="s">
        <v>305</v>
      </c>
      <c r="R55" s="238"/>
      <c r="S55" s="238"/>
      <c r="T55" s="238"/>
      <c r="U55" s="238"/>
      <c r="V55" s="238"/>
      <c r="W55" s="238" t="s">
        <v>6087</v>
      </c>
      <c r="X55" s="238"/>
      <c r="Y55" s="10" t="s">
        <v>6848</v>
      </c>
      <c r="Z55" s="10" t="s">
        <v>1967</v>
      </c>
      <c r="AA55" s="238" t="s">
        <v>378</v>
      </c>
      <c r="AB55" s="238"/>
      <c r="AC55" s="238"/>
      <c r="AD55" s="238"/>
      <c r="AE55" s="238"/>
      <c r="AF55" s="10" t="s">
        <v>6087</v>
      </c>
      <c r="AG55" s="237" t="s">
        <v>1968</v>
      </c>
      <c r="AH55" s="237"/>
      <c r="AI55" s="237"/>
      <c r="AJ55" s="237"/>
      <c r="AK55" s="237"/>
      <c r="AL55" s="2"/>
      <c r="AM55" s="2"/>
      <c r="AN55" s="2"/>
      <c r="AO55" s="2"/>
      <c r="AP55" s="7"/>
    </row>
    <row r="56" spans="1:42" ht="13.5" thickBot="1">
      <c r="A56" s="6"/>
      <c r="B56" s="2"/>
      <c r="C56" s="2"/>
      <c r="D56" s="244" t="s">
        <v>307</v>
      </c>
      <c r="E56" s="244"/>
      <c r="F56" s="238" t="s">
        <v>1969</v>
      </c>
      <c r="G56" s="238"/>
      <c r="H56" s="238"/>
      <c r="I56" s="238"/>
      <c r="J56" s="10" t="s">
        <v>1970</v>
      </c>
      <c r="K56" s="238" t="s">
        <v>1971</v>
      </c>
      <c r="L56" s="238"/>
      <c r="M56" s="238"/>
      <c r="N56" s="238" t="s">
        <v>373</v>
      </c>
      <c r="O56" s="238"/>
      <c r="P56" s="238"/>
      <c r="Q56" s="238" t="s">
        <v>1972</v>
      </c>
      <c r="R56" s="238"/>
      <c r="S56" s="238"/>
      <c r="T56" s="238"/>
      <c r="U56" s="238"/>
      <c r="V56" s="238"/>
      <c r="W56" s="238" t="s">
        <v>1973</v>
      </c>
      <c r="X56" s="238"/>
      <c r="Y56" s="10" t="s">
        <v>6320</v>
      </c>
      <c r="Z56" s="10" t="s">
        <v>1954</v>
      </c>
      <c r="AA56" s="238" t="s">
        <v>1974</v>
      </c>
      <c r="AB56" s="238"/>
      <c r="AC56" s="238"/>
      <c r="AD56" s="238"/>
      <c r="AE56" s="238"/>
      <c r="AF56" s="10" t="s">
        <v>1975</v>
      </c>
      <c r="AG56" s="237" t="s">
        <v>1976</v>
      </c>
      <c r="AH56" s="237"/>
      <c r="AI56" s="237"/>
      <c r="AJ56" s="237"/>
      <c r="AK56" s="237"/>
      <c r="AL56" s="2"/>
      <c r="AM56" s="2"/>
      <c r="AN56" s="2"/>
      <c r="AO56" s="2"/>
      <c r="AP56" s="7"/>
    </row>
    <row r="57" spans="1:42" ht="13.5" thickBot="1">
      <c r="A57" s="6"/>
      <c r="B57" s="2"/>
      <c r="C57" s="2"/>
      <c r="D57" s="244" t="s">
        <v>319</v>
      </c>
      <c r="E57" s="244"/>
      <c r="F57" s="237" t="s">
        <v>6825</v>
      </c>
      <c r="G57" s="237"/>
      <c r="H57" s="237"/>
      <c r="I57" s="237"/>
      <c r="J57" s="11" t="s">
        <v>1977</v>
      </c>
      <c r="K57" s="237" t="s">
        <v>1978</v>
      </c>
      <c r="L57" s="237"/>
      <c r="M57" s="237"/>
      <c r="N57" s="237" t="s">
        <v>1979</v>
      </c>
      <c r="O57" s="237"/>
      <c r="P57" s="237"/>
      <c r="Q57" s="237">
        <v>97.69</v>
      </c>
      <c r="R57" s="237"/>
      <c r="S57" s="237"/>
      <c r="T57" s="237"/>
      <c r="U57" s="237"/>
      <c r="V57" s="237"/>
      <c r="W57" s="237" t="s">
        <v>1980</v>
      </c>
      <c r="X57" s="237"/>
      <c r="Y57" s="11" t="s">
        <v>1981</v>
      </c>
      <c r="Z57" s="11" t="s">
        <v>1982</v>
      </c>
      <c r="AA57" s="237" t="s">
        <v>1983</v>
      </c>
      <c r="AB57" s="237"/>
      <c r="AC57" s="237"/>
      <c r="AD57" s="237"/>
      <c r="AE57" s="237"/>
      <c r="AF57" s="11">
        <v>92.23</v>
      </c>
      <c r="AG57" s="237" t="s">
        <v>1985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indexed="24"/>
  </sheetPr>
  <dimension ref="A1:AU63"/>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3300</v>
      </c>
      <c r="E7" s="269"/>
      <c r="F7" s="269"/>
      <c r="G7" s="269"/>
      <c r="H7" s="269" t="s">
        <v>3301</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70"/>
      <c r="AM7" s="270"/>
      <c r="AN7" s="2"/>
      <c r="AO7" s="2"/>
      <c r="AP7" s="7"/>
      <c r="AT7" s="22" t="s">
        <v>1518</v>
      </c>
      <c r="AU7" s="35" t="str">
        <f>H7</f>
        <v>DOEL-1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3303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3304</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3305</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(2 loops)</v>
      </c>
    </row>
    <row r="13" spans="1:47" ht="10.35" customHeight="1">
      <c r="A13" s="6"/>
      <c r="B13" s="1"/>
      <c r="C13" s="2"/>
      <c r="D13" s="247" t="s">
        <v>5716</v>
      </c>
      <c r="E13" s="247"/>
      <c r="F13" s="247"/>
      <c r="G13" s="247" t="s">
        <v>5709</v>
      </c>
      <c r="H13" s="247"/>
      <c r="I13" s="247" t="s">
        <v>3306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1311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454</v>
      </c>
    </row>
    <row r="17" spans="1:47" ht="11.45" customHeight="1" thickBot="1">
      <c r="A17" s="6"/>
      <c r="B17" s="1"/>
      <c r="C17" s="1"/>
      <c r="D17" s="248" t="s">
        <v>5722</v>
      </c>
      <c r="E17" s="248"/>
      <c r="F17" s="248"/>
      <c r="G17" s="247" t="s">
        <v>5709</v>
      </c>
      <c r="H17" s="247"/>
      <c r="I17" s="248" t="s">
        <v>3307</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433</v>
      </c>
    </row>
    <row r="18" spans="1:47" ht="13.5" thickBot="1">
      <c r="A18" s="6"/>
      <c r="B18" s="1"/>
      <c r="C18" s="1"/>
      <c r="D18" s="248" t="s">
        <v>185</v>
      </c>
      <c r="E18" s="248"/>
      <c r="F18" s="248"/>
      <c r="G18" s="248"/>
      <c r="H18" s="248"/>
      <c r="I18" s="248"/>
      <c r="J18" s="248"/>
      <c r="K18" s="248"/>
      <c r="L18" s="8" t="s">
        <v>5709</v>
      </c>
      <c r="M18" s="264">
        <v>1311</v>
      </c>
      <c r="N18" s="264"/>
      <c r="O18" s="264"/>
      <c r="P18" s="248" t="s">
        <v>186</v>
      </c>
      <c r="Q18" s="248"/>
      <c r="R18" s="248"/>
      <c r="S18" s="2"/>
      <c r="T18" s="2"/>
      <c r="U18" s="252" t="s">
        <v>187</v>
      </c>
      <c r="V18" s="252"/>
      <c r="W18" s="252"/>
      <c r="X18" s="252"/>
      <c r="Y18" s="252"/>
      <c r="Z18" s="252"/>
      <c r="AA18" s="252"/>
      <c r="AB18" s="247" t="s">
        <v>5709</v>
      </c>
      <c r="AC18" s="247"/>
      <c r="AD18" s="248" t="s">
        <v>3308</v>
      </c>
      <c r="AE18" s="248"/>
      <c r="AF18" s="248"/>
      <c r="AG18" s="248"/>
      <c r="AH18" s="248"/>
      <c r="AI18" s="248"/>
      <c r="AJ18" s="248"/>
      <c r="AK18" s="2"/>
      <c r="AL18" s="1"/>
      <c r="AM18" s="2"/>
      <c r="AN18" s="1"/>
      <c r="AO18" s="2"/>
      <c r="AP18" s="7"/>
      <c r="AT18" s="25" t="str">
        <f>D26</f>
        <v>Grid Date</v>
      </c>
      <c r="AU18" s="25">
        <f>M26</f>
        <v>27269</v>
      </c>
    </row>
    <row r="19" spans="1:47" ht="13.5" thickBot="1">
      <c r="A19" s="6"/>
      <c r="B19" s="1"/>
      <c r="C19" s="1"/>
      <c r="D19" s="248" t="s">
        <v>189</v>
      </c>
      <c r="E19" s="248"/>
      <c r="F19" s="248"/>
      <c r="G19" s="248"/>
      <c r="H19" s="248"/>
      <c r="I19" s="248"/>
      <c r="J19" s="248"/>
      <c r="K19" s="248"/>
      <c r="L19" s="8" t="s">
        <v>5709</v>
      </c>
      <c r="M19" s="264">
        <v>454</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45000</v>
      </c>
    </row>
    <row r="20" spans="1:47" ht="13.5" thickBot="1">
      <c r="A20" s="6"/>
      <c r="B20" s="1"/>
      <c r="C20" s="1"/>
      <c r="D20" s="248" t="s">
        <v>193</v>
      </c>
      <c r="E20" s="248"/>
      <c r="F20" s="248"/>
      <c r="G20" s="248"/>
      <c r="H20" s="248"/>
      <c r="I20" s="248"/>
      <c r="J20" s="248"/>
      <c r="K20" s="248"/>
      <c r="L20" s="8" t="s">
        <v>5709</v>
      </c>
      <c r="M20" s="264">
        <v>392</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89.18</v>
      </c>
    </row>
    <row r="21" spans="1:47" ht="13.5" thickBot="1">
      <c r="A21" s="6"/>
      <c r="B21" s="1"/>
      <c r="C21" s="1"/>
      <c r="D21" s="248" t="s">
        <v>196</v>
      </c>
      <c r="E21" s="248"/>
      <c r="F21" s="248"/>
      <c r="G21" s="248"/>
      <c r="H21" s="248"/>
      <c r="I21" s="248"/>
      <c r="J21" s="248"/>
      <c r="K21" s="248"/>
      <c r="L21" s="8" t="s">
        <v>5709</v>
      </c>
      <c r="M21" s="264">
        <v>433</v>
      </c>
      <c r="N21" s="264"/>
      <c r="O21" s="264"/>
      <c r="P21" s="248" t="s">
        <v>190</v>
      </c>
      <c r="Q21" s="248"/>
      <c r="R21" s="248"/>
      <c r="S21" s="2"/>
      <c r="T21" s="2"/>
      <c r="U21" s="252" t="s">
        <v>197</v>
      </c>
      <c r="V21" s="252"/>
      <c r="W21" s="252"/>
      <c r="X21" s="252"/>
      <c r="Y21" s="252"/>
      <c r="Z21" s="252"/>
      <c r="AA21" s="252"/>
      <c r="AB21" s="247" t="s">
        <v>5709</v>
      </c>
      <c r="AC21" s="247"/>
      <c r="AD21" s="248" t="s">
        <v>6545</v>
      </c>
      <c r="AE21" s="248"/>
      <c r="AF21" s="248"/>
      <c r="AG21" s="248"/>
      <c r="AH21" s="248"/>
      <c r="AI21" s="248"/>
      <c r="AJ21" s="248"/>
      <c r="AK21" s="2"/>
      <c r="AL21" s="1"/>
      <c r="AM21" s="2"/>
      <c r="AN21" s="1"/>
      <c r="AO21" s="2"/>
      <c r="AP21" s="7"/>
      <c r="AT21" s="23" t="str">
        <f>D57&amp;AF50</f>
        <v>LF [%]2010</v>
      </c>
      <c r="AU21" s="23">
        <f>AF57</f>
        <v>89.67</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1931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3309</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25385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27269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3310</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27440</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3311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3312</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3313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3314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3316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3317</v>
      </c>
      <c r="G51" s="238"/>
      <c r="H51" s="238"/>
      <c r="I51" s="238"/>
      <c r="J51" s="10" t="s">
        <v>3318</v>
      </c>
      <c r="K51" s="238" t="s">
        <v>3319</v>
      </c>
      <c r="L51" s="238"/>
      <c r="M51" s="238"/>
      <c r="N51" s="238" t="s">
        <v>3320</v>
      </c>
      <c r="O51" s="238"/>
      <c r="P51" s="238"/>
      <c r="Q51" s="238" t="s">
        <v>3321</v>
      </c>
      <c r="R51" s="238"/>
      <c r="S51" s="238"/>
      <c r="T51" s="238"/>
      <c r="U51" s="238"/>
      <c r="V51" s="238"/>
      <c r="W51" s="238" t="s">
        <v>3322</v>
      </c>
      <c r="X51" s="238"/>
      <c r="Y51" s="10" t="s">
        <v>3323</v>
      </c>
      <c r="Z51" s="10" t="s">
        <v>3324</v>
      </c>
      <c r="AA51" s="238" t="s">
        <v>3325</v>
      </c>
      <c r="AB51" s="238"/>
      <c r="AC51" s="238"/>
      <c r="AD51" s="238"/>
      <c r="AE51" s="238"/>
      <c r="AF51" s="10" t="s">
        <v>3326</v>
      </c>
      <c r="AG51" s="237" t="s">
        <v>3327</v>
      </c>
      <c r="AH51" s="237"/>
      <c r="AI51" s="237"/>
      <c r="AJ51" s="237"/>
      <c r="AK51" s="237"/>
      <c r="AL51" s="2"/>
      <c r="AM51" s="2"/>
      <c r="AN51" s="2"/>
      <c r="AO51" s="2"/>
      <c r="AP51" s="7"/>
    </row>
    <row r="52" spans="1:42" ht="13.5" thickBot="1">
      <c r="A52" s="6"/>
      <c r="B52" s="2"/>
      <c r="C52" s="2"/>
      <c r="D52" s="244" t="s">
        <v>261</v>
      </c>
      <c r="E52" s="244"/>
      <c r="F52" s="238" t="s">
        <v>3328</v>
      </c>
      <c r="G52" s="238"/>
      <c r="H52" s="238"/>
      <c r="I52" s="238"/>
      <c r="J52" s="10" t="s">
        <v>7087</v>
      </c>
      <c r="K52" s="238" t="s">
        <v>6363</v>
      </c>
      <c r="L52" s="238"/>
      <c r="M52" s="238"/>
      <c r="N52" s="238" t="s">
        <v>6255</v>
      </c>
      <c r="O52" s="238"/>
      <c r="P52" s="238"/>
      <c r="Q52" s="238" t="s">
        <v>6528</v>
      </c>
      <c r="R52" s="238"/>
      <c r="S52" s="238"/>
      <c r="T52" s="238"/>
      <c r="U52" s="238"/>
      <c r="V52" s="238"/>
      <c r="W52" s="238" t="s">
        <v>3329</v>
      </c>
      <c r="X52" s="238"/>
      <c r="Y52" s="10" t="s">
        <v>6825</v>
      </c>
      <c r="Z52" s="10" t="s">
        <v>6513</v>
      </c>
      <c r="AA52" s="238" t="s">
        <v>6317</v>
      </c>
      <c r="AB52" s="238"/>
      <c r="AC52" s="238"/>
      <c r="AD52" s="238"/>
      <c r="AE52" s="238"/>
      <c r="AF52" s="10" t="s">
        <v>3330</v>
      </c>
      <c r="AG52" s="237" t="s">
        <v>3331</v>
      </c>
      <c r="AH52" s="237"/>
      <c r="AI52" s="237"/>
      <c r="AJ52" s="237"/>
      <c r="AK52" s="237"/>
      <c r="AL52" s="2"/>
      <c r="AM52" s="2"/>
      <c r="AN52" s="2"/>
      <c r="AO52" s="2"/>
      <c r="AP52" s="7"/>
    </row>
    <row r="53" spans="1:42" ht="13.5" thickBot="1">
      <c r="A53" s="6"/>
      <c r="B53" s="2"/>
      <c r="C53" s="2"/>
      <c r="D53" s="244" t="s">
        <v>273</v>
      </c>
      <c r="E53" s="244"/>
      <c r="F53" s="238" t="s">
        <v>3332</v>
      </c>
      <c r="G53" s="238"/>
      <c r="H53" s="238"/>
      <c r="I53" s="238"/>
      <c r="J53" s="10" t="s">
        <v>3333</v>
      </c>
      <c r="K53" s="238" t="s">
        <v>3334</v>
      </c>
      <c r="L53" s="238"/>
      <c r="M53" s="238"/>
      <c r="N53" s="238" t="s">
        <v>3335</v>
      </c>
      <c r="O53" s="238"/>
      <c r="P53" s="238"/>
      <c r="Q53" s="238" t="s">
        <v>3336</v>
      </c>
      <c r="R53" s="238"/>
      <c r="S53" s="238"/>
      <c r="T53" s="238"/>
      <c r="U53" s="238"/>
      <c r="V53" s="238"/>
      <c r="W53" s="238" t="s">
        <v>3337</v>
      </c>
      <c r="X53" s="238"/>
      <c r="Y53" s="10" t="s">
        <v>6379</v>
      </c>
      <c r="Z53" s="10" t="s">
        <v>3338</v>
      </c>
      <c r="AA53" s="238" t="s">
        <v>3339</v>
      </c>
      <c r="AB53" s="238"/>
      <c r="AC53" s="238"/>
      <c r="AD53" s="238"/>
      <c r="AE53" s="238"/>
      <c r="AF53" s="10" t="s">
        <v>3340</v>
      </c>
      <c r="AG53" s="237" t="s">
        <v>3341</v>
      </c>
      <c r="AH53" s="237"/>
      <c r="AI53" s="237"/>
      <c r="AJ53" s="237"/>
      <c r="AK53" s="237"/>
      <c r="AL53" s="2"/>
      <c r="AM53" s="2"/>
      <c r="AN53" s="2"/>
      <c r="AO53" s="2"/>
      <c r="AP53" s="7"/>
    </row>
    <row r="54" spans="1:42" ht="13.5" thickBot="1">
      <c r="A54" s="6"/>
      <c r="B54" s="2"/>
      <c r="C54" s="2"/>
      <c r="D54" s="244" t="s">
        <v>285</v>
      </c>
      <c r="E54" s="244"/>
      <c r="F54" s="238" t="s">
        <v>6464</v>
      </c>
      <c r="G54" s="238"/>
      <c r="H54" s="238"/>
      <c r="I54" s="238"/>
      <c r="J54" s="10" t="s">
        <v>3342</v>
      </c>
      <c r="K54" s="238" t="s">
        <v>6724</v>
      </c>
      <c r="L54" s="238"/>
      <c r="M54" s="238"/>
      <c r="N54" s="238" t="s">
        <v>6409</v>
      </c>
      <c r="O54" s="238"/>
      <c r="P54" s="238"/>
      <c r="Q54" s="238" t="s">
        <v>3343</v>
      </c>
      <c r="R54" s="238"/>
      <c r="S54" s="238"/>
      <c r="T54" s="238"/>
      <c r="U54" s="238"/>
      <c r="V54" s="238"/>
      <c r="W54" s="238" t="s">
        <v>3344</v>
      </c>
      <c r="X54" s="238"/>
      <c r="Y54" s="10" t="s">
        <v>6153</v>
      </c>
      <c r="Z54" s="10" t="s">
        <v>6513</v>
      </c>
      <c r="AA54" s="238" t="s">
        <v>3345</v>
      </c>
      <c r="AB54" s="238"/>
      <c r="AC54" s="238"/>
      <c r="AD54" s="238"/>
      <c r="AE54" s="238"/>
      <c r="AF54" s="10" t="s">
        <v>3330</v>
      </c>
      <c r="AG54" s="237" t="s">
        <v>1912</v>
      </c>
      <c r="AH54" s="237"/>
      <c r="AI54" s="237"/>
      <c r="AJ54" s="237"/>
      <c r="AK54" s="237"/>
      <c r="AL54" s="2"/>
      <c r="AM54" s="2"/>
      <c r="AN54" s="2"/>
      <c r="AO54" s="2"/>
      <c r="AP54" s="7"/>
    </row>
    <row r="55" spans="1:42" ht="13.5" thickBot="1">
      <c r="A55" s="6"/>
      <c r="B55" s="2"/>
      <c r="C55" s="2"/>
      <c r="D55" s="244" t="s">
        <v>295</v>
      </c>
      <c r="E55" s="244"/>
      <c r="F55" s="238" t="s">
        <v>3346</v>
      </c>
      <c r="G55" s="238"/>
      <c r="H55" s="238"/>
      <c r="I55" s="238"/>
      <c r="J55" s="10" t="s">
        <v>298</v>
      </c>
      <c r="K55" s="238" t="s">
        <v>3347</v>
      </c>
      <c r="L55" s="238"/>
      <c r="M55" s="238"/>
      <c r="N55" s="238" t="s">
        <v>6327</v>
      </c>
      <c r="O55" s="238"/>
      <c r="P55" s="238"/>
      <c r="Q55" s="238" t="s">
        <v>381</v>
      </c>
      <c r="R55" s="238"/>
      <c r="S55" s="238"/>
      <c r="T55" s="238"/>
      <c r="U55" s="238"/>
      <c r="V55" s="238"/>
      <c r="W55" s="238" t="s">
        <v>3348</v>
      </c>
      <c r="X55" s="238"/>
      <c r="Y55" s="10" t="s">
        <v>6087</v>
      </c>
      <c r="Z55" s="10" t="s">
        <v>1960</v>
      </c>
      <c r="AA55" s="238" t="s">
        <v>6087</v>
      </c>
      <c r="AB55" s="238"/>
      <c r="AC55" s="238"/>
      <c r="AD55" s="238"/>
      <c r="AE55" s="238"/>
      <c r="AF55" s="10" t="s">
        <v>3349</v>
      </c>
      <c r="AG55" s="237" t="s">
        <v>3350</v>
      </c>
      <c r="AH55" s="237"/>
      <c r="AI55" s="237"/>
      <c r="AJ55" s="237"/>
      <c r="AK55" s="237"/>
      <c r="AL55" s="2"/>
      <c r="AM55" s="2"/>
      <c r="AN55" s="2"/>
      <c r="AO55" s="2"/>
      <c r="AP55" s="7"/>
    </row>
    <row r="56" spans="1:42" ht="13.5" thickBot="1">
      <c r="A56" s="6"/>
      <c r="B56" s="2"/>
      <c r="C56" s="2"/>
      <c r="D56" s="244" t="s">
        <v>307</v>
      </c>
      <c r="E56" s="244"/>
      <c r="F56" s="238" t="s">
        <v>3351</v>
      </c>
      <c r="G56" s="238"/>
      <c r="H56" s="238"/>
      <c r="I56" s="238"/>
      <c r="J56" s="10" t="s">
        <v>3352</v>
      </c>
      <c r="K56" s="238" t="s">
        <v>6472</v>
      </c>
      <c r="L56" s="238"/>
      <c r="M56" s="238"/>
      <c r="N56" s="238" t="s">
        <v>6241</v>
      </c>
      <c r="O56" s="238"/>
      <c r="P56" s="238"/>
      <c r="Q56" s="238" t="s">
        <v>3353</v>
      </c>
      <c r="R56" s="238"/>
      <c r="S56" s="238"/>
      <c r="T56" s="238"/>
      <c r="U56" s="238"/>
      <c r="V56" s="238"/>
      <c r="W56" s="238" t="s">
        <v>3354</v>
      </c>
      <c r="X56" s="238"/>
      <c r="Y56" s="10" t="s">
        <v>3355</v>
      </c>
      <c r="Z56" s="10" t="s">
        <v>3356</v>
      </c>
      <c r="AA56" s="238" t="s">
        <v>3357</v>
      </c>
      <c r="AB56" s="238"/>
      <c r="AC56" s="238"/>
      <c r="AD56" s="238"/>
      <c r="AE56" s="238"/>
      <c r="AF56" s="10" t="s">
        <v>3358</v>
      </c>
      <c r="AG56" s="237" t="s">
        <v>1772</v>
      </c>
      <c r="AH56" s="237"/>
      <c r="AI56" s="237"/>
      <c r="AJ56" s="237"/>
      <c r="AK56" s="237"/>
      <c r="AL56" s="2"/>
      <c r="AM56" s="2"/>
      <c r="AN56" s="2"/>
      <c r="AO56" s="2"/>
      <c r="AP56" s="7"/>
    </row>
    <row r="57" spans="1:42" ht="13.5" thickBot="1">
      <c r="A57" s="6"/>
      <c r="B57" s="2"/>
      <c r="C57" s="2"/>
      <c r="D57" s="244" t="s">
        <v>319</v>
      </c>
      <c r="E57" s="244"/>
      <c r="F57" s="237" t="s">
        <v>3359</v>
      </c>
      <c r="G57" s="237"/>
      <c r="H57" s="237"/>
      <c r="I57" s="237"/>
      <c r="J57" s="11" t="s">
        <v>3360</v>
      </c>
      <c r="K57" s="237" t="s">
        <v>6399</v>
      </c>
      <c r="L57" s="237"/>
      <c r="M57" s="237"/>
      <c r="N57" s="237" t="s">
        <v>3361</v>
      </c>
      <c r="O57" s="237"/>
      <c r="P57" s="237"/>
      <c r="Q57" s="237">
        <v>89.18</v>
      </c>
      <c r="R57" s="237"/>
      <c r="S57" s="237"/>
      <c r="T57" s="237"/>
      <c r="U57" s="237"/>
      <c r="V57" s="237"/>
      <c r="W57" s="237" t="s">
        <v>6724</v>
      </c>
      <c r="X57" s="237"/>
      <c r="Y57" s="11" t="s">
        <v>3363</v>
      </c>
      <c r="Z57" s="11" t="s">
        <v>3364</v>
      </c>
      <c r="AA57" s="237" t="s">
        <v>6242</v>
      </c>
      <c r="AB57" s="237"/>
      <c r="AC57" s="237"/>
      <c r="AD57" s="237"/>
      <c r="AE57" s="237"/>
      <c r="AF57" s="11">
        <v>89.67</v>
      </c>
      <c r="AG57" s="237" t="s">
        <v>7055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indexed="24"/>
  </sheetPr>
  <dimension ref="A1:AU63"/>
  <sheetViews>
    <sheetView workbookViewId="0">
      <selection sqref="A1:IV65536"/>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425781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3366</v>
      </c>
      <c r="E7" s="269"/>
      <c r="F7" s="269"/>
      <c r="G7" s="269"/>
      <c r="H7" s="269" t="s">
        <v>3367</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70"/>
      <c r="AM7" s="270"/>
      <c r="AN7" s="2"/>
      <c r="AO7" s="2"/>
      <c r="AP7" s="7"/>
      <c r="AT7" s="22" t="s">
        <v>1518</v>
      </c>
      <c r="AU7" s="35" t="str">
        <f>H7</f>
        <v>DOEL-2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3303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3304</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3305</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(2 loops)</v>
      </c>
    </row>
    <row r="13" spans="1:47" ht="9.75" customHeight="1">
      <c r="A13" s="6"/>
      <c r="B13" s="1"/>
      <c r="C13" s="2"/>
      <c r="D13" s="247" t="s">
        <v>5716</v>
      </c>
      <c r="E13" s="247"/>
      <c r="F13" s="247"/>
      <c r="G13" s="247" t="s">
        <v>5709</v>
      </c>
      <c r="H13" s="247"/>
      <c r="I13" s="247" t="s">
        <v>3306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1311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454</v>
      </c>
    </row>
    <row r="17" spans="1:47" ht="11.45" customHeight="1" thickBot="1">
      <c r="A17" s="6"/>
      <c r="B17" s="1"/>
      <c r="C17" s="1"/>
      <c r="D17" s="248" t="s">
        <v>5722</v>
      </c>
      <c r="E17" s="248"/>
      <c r="F17" s="248"/>
      <c r="G17" s="247" t="s">
        <v>5709</v>
      </c>
      <c r="H17" s="247"/>
      <c r="I17" s="248" t="s">
        <v>3307</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433</v>
      </c>
    </row>
    <row r="18" spans="1:47" ht="13.5" thickBot="1">
      <c r="A18" s="6"/>
      <c r="B18" s="1"/>
      <c r="C18" s="1"/>
      <c r="D18" s="248" t="s">
        <v>185</v>
      </c>
      <c r="E18" s="248"/>
      <c r="F18" s="248"/>
      <c r="G18" s="248"/>
      <c r="H18" s="248"/>
      <c r="I18" s="248"/>
      <c r="J18" s="248"/>
      <c r="K18" s="248"/>
      <c r="L18" s="8" t="s">
        <v>5709</v>
      </c>
      <c r="M18" s="264">
        <v>1311</v>
      </c>
      <c r="N18" s="264"/>
      <c r="O18" s="264"/>
      <c r="P18" s="248" t="s">
        <v>186</v>
      </c>
      <c r="Q18" s="248"/>
      <c r="R18" s="248"/>
      <c r="S18" s="2"/>
      <c r="T18" s="2"/>
      <c r="U18" s="252" t="s">
        <v>187</v>
      </c>
      <c r="V18" s="252"/>
      <c r="W18" s="252"/>
      <c r="X18" s="252"/>
      <c r="Y18" s="252"/>
      <c r="Z18" s="252"/>
      <c r="AA18" s="252"/>
      <c r="AB18" s="247" t="s">
        <v>5709</v>
      </c>
      <c r="AC18" s="247"/>
      <c r="AD18" s="248" t="s">
        <v>3308</v>
      </c>
      <c r="AE18" s="248"/>
      <c r="AF18" s="248"/>
      <c r="AG18" s="248"/>
      <c r="AH18" s="248"/>
      <c r="AI18" s="248"/>
      <c r="AJ18" s="248"/>
      <c r="AK18" s="2"/>
      <c r="AL18" s="1"/>
      <c r="AM18" s="2"/>
      <c r="AN18" s="1"/>
      <c r="AO18" s="2"/>
      <c r="AP18" s="7"/>
      <c r="AT18" s="25" t="str">
        <f>D26</f>
        <v>Grid Date</v>
      </c>
      <c r="AU18" s="25">
        <f>M26</f>
        <v>27627</v>
      </c>
    </row>
    <row r="19" spans="1:47" ht="13.5" thickBot="1">
      <c r="A19" s="6"/>
      <c r="B19" s="1"/>
      <c r="C19" s="1"/>
      <c r="D19" s="248" t="s">
        <v>189</v>
      </c>
      <c r="E19" s="248"/>
      <c r="F19" s="248"/>
      <c r="G19" s="248"/>
      <c r="H19" s="248"/>
      <c r="I19" s="248"/>
      <c r="J19" s="248"/>
      <c r="K19" s="248"/>
      <c r="L19" s="8" t="s">
        <v>5709</v>
      </c>
      <c r="M19" s="264">
        <v>454</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45000</v>
      </c>
    </row>
    <row r="20" spans="1:47" ht="13.5" thickBot="1">
      <c r="A20" s="6"/>
      <c r="B20" s="1"/>
      <c r="C20" s="1"/>
      <c r="D20" s="248" t="s">
        <v>193</v>
      </c>
      <c r="E20" s="248"/>
      <c r="F20" s="248"/>
      <c r="G20" s="248"/>
      <c r="H20" s="248"/>
      <c r="I20" s="248"/>
      <c r="J20" s="248"/>
      <c r="K20" s="248"/>
      <c r="L20" s="8" t="s">
        <v>5709</v>
      </c>
      <c r="M20" s="264">
        <v>392</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92.44</v>
      </c>
    </row>
    <row r="21" spans="1:47" ht="13.5" thickBot="1">
      <c r="A21" s="6"/>
      <c r="B21" s="1"/>
      <c r="C21" s="1"/>
      <c r="D21" s="248" t="s">
        <v>196</v>
      </c>
      <c r="E21" s="248"/>
      <c r="F21" s="248"/>
      <c r="G21" s="248"/>
      <c r="H21" s="248"/>
      <c r="I21" s="248"/>
      <c r="J21" s="248"/>
      <c r="K21" s="248"/>
      <c r="L21" s="8" t="s">
        <v>5709</v>
      </c>
      <c r="M21" s="264">
        <v>433</v>
      </c>
      <c r="N21" s="264"/>
      <c r="O21" s="264"/>
      <c r="P21" s="248" t="s">
        <v>190</v>
      </c>
      <c r="Q21" s="248"/>
      <c r="R21" s="248"/>
      <c r="S21" s="2"/>
      <c r="T21" s="2"/>
      <c r="U21" s="252" t="s">
        <v>197</v>
      </c>
      <c r="V21" s="252"/>
      <c r="W21" s="252"/>
      <c r="X21" s="252"/>
      <c r="Y21" s="252"/>
      <c r="Z21" s="252"/>
      <c r="AA21" s="252"/>
      <c r="AB21" s="247" t="s">
        <v>5709</v>
      </c>
      <c r="AC21" s="247"/>
      <c r="AD21" s="248" t="s">
        <v>6545</v>
      </c>
      <c r="AE21" s="248"/>
      <c r="AF21" s="248"/>
      <c r="AG21" s="248"/>
      <c r="AH21" s="248"/>
      <c r="AI21" s="248"/>
      <c r="AJ21" s="248"/>
      <c r="AK21" s="2"/>
      <c r="AL21" s="1"/>
      <c r="AM21" s="2"/>
      <c r="AN21" s="1"/>
      <c r="AO21" s="2"/>
      <c r="AP21" s="7"/>
      <c r="AT21" s="23" t="str">
        <f>D57&amp;AF50</f>
        <v>LF [%]2010</v>
      </c>
      <c r="AU21" s="23">
        <f>AF57</f>
        <v>89.95</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1931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3309</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26177</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27627</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3310</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27729</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3311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3312</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3313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3314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3316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3368</v>
      </c>
      <c r="G51" s="238"/>
      <c r="H51" s="238"/>
      <c r="I51" s="238"/>
      <c r="J51" s="10" t="s">
        <v>3369</v>
      </c>
      <c r="K51" s="238" t="s">
        <v>3370</v>
      </c>
      <c r="L51" s="238"/>
      <c r="M51" s="238"/>
      <c r="N51" s="238" t="s">
        <v>3371</v>
      </c>
      <c r="O51" s="238"/>
      <c r="P51" s="238"/>
      <c r="Q51" s="238" t="s">
        <v>3372</v>
      </c>
      <c r="R51" s="238"/>
      <c r="S51" s="238"/>
      <c r="T51" s="238"/>
      <c r="U51" s="238"/>
      <c r="V51" s="238"/>
      <c r="W51" s="238" t="s">
        <v>3373</v>
      </c>
      <c r="X51" s="238"/>
      <c r="Y51" s="10" t="s">
        <v>3374</v>
      </c>
      <c r="Z51" s="10" t="s">
        <v>3375</v>
      </c>
      <c r="AA51" s="238" t="s">
        <v>3376</v>
      </c>
      <c r="AB51" s="238"/>
      <c r="AC51" s="238"/>
      <c r="AD51" s="238"/>
      <c r="AE51" s="238"/>
      <c r="AF51" s="10" t="s">
        <v>3377</v>
      </c>
      <c r="AG51" s="237" t="s">
        <v>3378</v>
      </c>
      <c r="AH51" s="237"/>
      <c r="AI51" s="237"/>
      <c r="AJ51" s="237"/>
      <c r="AK51" s="237"/>
      <c r="AL51" s="2"/>
      <c r="AM51" s="2"/>
      <c r="AN51" s="2"/>
      <c r="AO51" s="2"/>
      <c r="AP51" s="7"/>
    </row>
    <row r="52" spans="1:42" ht="13.5" thickBot="1">
      <c r="A52" s="6"/>
      <c r="B52" s="2"/>
      <c r="C52" s="2"/>
      <c r="D52" s="244" t="s">
        <v>261</v>
      </c>
      <c r="E52" s="244"/>
      <c r="F52" s="238" t="s">
        <v>3379</v>
      </c>
      <c r="G52" s="238"/>
      <c r="H52" s="238"/>
      <c r="I52" s="238"/>
      <c r="J52" s="10" t="s">
        <v>3380</v>
      </c>
      <c r="K52" s="238" t="s">
        <v>3381</v>
      </c>
      <c r="L52" s="238"/>
      <c r="M52" s="238"/>
      <c r="N52" s="238" t="s">
        <v>6671</v>
      </c>
      <c r="O52" s="238"/>
      <c r="P52" s="238"/>
      <c r="Q52" s="238" t="s">
        <v>6472</v>
      </c>
      <c r="R52" s="238"/>
      <c r="S52" s="238"/>
      <c r="T52" s="238"/>
      <c r="U52" s="238"/>
      <c r="V52" s="238"/>
      <c r="W52" s="238" t="s">
        <v>3382</v>
      </c>
      <c r="X52" s="238"/>
      <c r="Y52" s="10" t="s">
        <v>6972</v>
      </c>
      <c r="Z52" s="10" t="s">
        <v>3383</v>
      </c>
      <c r="AA52" s="238" t="s">
        <v>3384</v>
      </c>
      <c r="AB52" s="238"/>
      <c r="AC52" s="238"/>
      <c r="AD52" s="238"/>
      <c r="AE52" s="238"/>
      <c r="AF52" s="10" t="s">
        <v>3385</v>
      </c>
      <c r="AG52" s="237" t="s">
        <v>3386</v>
      </c>
      <c r="AH52" s="237"/>
      <c r="AI52" s="237"/>
      <c r="AJ52" s="237"/>
      <c r="AK52" s="237"/>
      <c r="AL52" s="2"/>
      <c r="AM52" s="2"/>
      <c r="AN52" s="2"/>
      <c r="AO52" s="2"/>
      <c r="AP52" s="7"/>
    </row>
    <row r="53" spans="1:42" ht="13.5" thickBot="1">
      <c r="A53" s="6"/>
      <c r="B53" s="2"/>
      <c r="C53" s="2"/>
      <c r="D53" s="244" t="s">
        <v>273</v>
      </c>
      <c r="E53" s="244"/>
      <c r="F53" s="238" t="s">
        <v>3387</v>
      </c>
      <c r="G53" s="238"/>
      <c r="H53" s="238"/>
      <c r="I53" s="238"/>
      <c r="J53" s="10" t="s">
        <v>6963</v>
      </c>
      <c r="K53" s="238" t="s">
        <v>6070</v>
      </c>
      <c r="L53" s="238"/>
      <c r="M53" s="238"/>
      <c r="N53" s="238" t="s">
        <v>3388</v>
      </c>
      <c r="O53" s="238"/>
      <c r="P53" s="238"/>
      <c r="Q53" s="238" t="s">
        <v>3389</v>
      </c>
      <c r="R53" s="238"/>
      <c r="S53" s="238"/>
      <c r="T53" s="238"/>
      <c r="U53" s="238"/>
      <c r="V53" s="238"/>
      <c r="W53" s="238" t="s">
        <v>1828</v>
      </c>
      <c r="X53" s="238"/>
      <c r="Y53" s="10" t="s">
        <v>3390</v>
      </c>
      <c r="Z53" s="10" t="s">
        <v>3391</v>
      </c>
      <c r="AA53" s="238" t="s">
        <v>3392</v>
      </c>
      <c r="AB53" s="238"/>
      <c r="AC53" s="238"/>
      <c r="AD53" s="238"/>
      <c r="AE53" s="238"/>
      <c r="AF53" s="10" t="s">
        <v>3393</v>
      </c>
      <c r="AG53" s="237" t="s">
        <v>3394</v>
      </c>
      <c r="AH53" s="237"/>
      <c r="AI53" s="237"/>
      <c r="AJ53" s="237"/>
      <c r="AK53" s="237"/>
      <c r="AL53" s="2"/>
      <c r="AM53" s="2"/>
      <c r="AN53" s="2"/>
      <c r="AO53" s="2"/>
      <c r="AP53" s="7"/>
    </row>
    <row r="54" spans="1:42" ht="13.5" thickBot="1">
      <c r="A54" s="6"/>
      <c r="B54" s="2"/>
      <c r="C54" s="2"/>
      <c r="D54" s="244" t="s">
        <v>285</v>
      </c>
      <c r="E54" s="244"/>
      <c r="F54" s="238" t="s">
        <v>3395</v>
      </c>
      <c r="G54" s="238"/>
      <c r="H54" s="238"/>
      <c r="I54" s="238"/>
      <c r="J54" s="10" t="s">
        <v>3396</v>
      </c>
      <c r="K54" s="238" t="s">
        <v>3397</v>
      </c>
      <c r="L54" s="238"/>
      <c r="M54" s="238"/>
      <c r="N54" s="238" t="s">
        <v>3398</v>
      </c>
      <c r="O54" s="238"/>
      <c r="P54" s="238"/>
      <c r="Q54" s="238" t="s">
        <v>6319</v>
      </c>
      <c r="R54" s="238"/>
      <c r="S54" s="238"/>
      <c r="T54" s="238"/>
      <c r="U54" s="238"/>
      <c r="V54" s="238"/>
      <c r="W54" s="238" t="s">
        <v>3399</v>
      </c>
      <c r="X54" s="238"/>
      <c r="Y54" s="10" t="s">
        <v>3400</v>
      </c>
      <c r="Z54" s="10" t="s">
        <v>3383</v>
      </c>
      <c r="AA54" s="238" t="s">
        <v>3384</v>
      </c>
      <c r="AB54" s="238"/>
      <c r="AC54" s="238"/>
      <c r="AD54" s="238"/>
      <c r="AE54" s="238"/>
      <c r="AF54" s="10" t="s">
        <v>6266</v>
      </c>
      <c r="AG54" s="237" t="s">
        <v>1833</v>
      </c>
      <c r="AH54" s="237"/>
      <c r="AI54" s="237"/>
      <c r="AJ54" s="237"/>
      <c r="AK54" s="237"/>
      <c r="AL54" s="2"/>
      <c r="AM54" s="2"/>
      <c r="AN54" s="2"/>
      <c r="AO54" s="2"/>
      <c r="AP54" s="7"/>
    </row>
    <row r="55" spans="1:42" ht="13.5" thickBot="1">
      <c r="A55" s="6"/>
      <c r="B55" s="2"/>
      <c r="C55" s="2"/>
      <c r="D55" s="244" t="s">
        <v>295</v>
      </c>
      <c r="E55" s="244"/>
      <c r="F55" s="238" t="s">
        <v>357</v>
      </c>
      <c r="G55" s="238"/>
      <c r="H55" s="238"/>
      <c r="I55" s="238"/>
      <c r="J55" s="10" t="s">
        <v>3401</v>
      </c>
      <c r="K55" s="238" t="s">
        <v>297</v>
      </c>
      <c r="L55" s="238"/>
      <c r="M55" s="238"/>
      <c r="N55" s="238" t="s">
        <v>6520</v>
      </c>
      <c r="O55" s="238"/>
      <c r="P55" s="238"/>
      <c r="Q55" s="238" t="s">
        <v>3402</v>
      </c>
      <c r="R55" s="238"/>
      <c r="S55" s="238"/>
      <c r="T55" s="238"/>
      <c r="U55" s="238"/>
      <c r="V55" s="238"/>
      <c r="W55" s="238" t="s">
        <v>6845</v>
      </c>
      <c r="X55" s="238"/>
      <c r="Y55" s="10" t="s">
        <v>6014</v>
      </c>
      <c r="Z55" s="10" t="s">
        <v>3403</v>
      </c>
      <c r="AA55" s="238" t="s">
        <v>298</v>
      </c>
      <c r="AB55" s="238"/>
      <c r="AC55" s="238"/>
      <c r="AD55" s="238"/>
      <c r="AE55" s="238"/>
      <c r="AF55" s="10" t="s">
        <v>6786</v>
      </c>
      <c r="AG55" s="237" t="s">
        <v>3404</v>
      </c>
      <c r="AH55" s="237"/>
      <c r="AI55" s="237"/>
      <c r="AJ55" s="237"/>
      <c r="AK55" s="237"/>
      <c r="AL55" s="2"/>
      <c r="AM55" s="2"/>
      <c r="AN55" s="2"/>
      <c r="AO55" s="2"/>
      <c r="AP55" s="7"/>
    </row>
    <row r="56" spans="1:42" ht="13.5" thickBot="1">
      <c r="A56" s="6"/>
      <c r="B56" s="2"/>
      <c r="C56" s="2"/>
      <c r="D56" s="244" t="s">
        <v>307</v>
      </c>
      <c r="E56" s="244"/>
      <c r="F56" s="238" t="s">
        <v>3405</v>
      </c>
      <c r="G56" s="238"/>
      <c r="H56" s="238"/>
      <c r="I56" s="238"/>
      <c r="J56" s="10" t="s">
        <v>3406</v>
      </c>
      <c r="K56" s="238" t="s">
        <v>3407</v>
      </c>
      <c r="L56" s="238"/>
      <c r="M56" s="238"/>
      <c r="N56" s="238" t="s">
        <v>3408</v>
      </c>
      <c r="O56" s="238"/>
      <c r="P56" s="238"/>
      <c r="Q56" s="238" t="s">
        <v>6027</v>
      </c>
      <c r="R56" s="238"/>
      <c r="S56" s="238"/>
      <c r="T56" s="238"/>
      <c r="U56" s="238"/>
      <c r="V56" s="238"/>
      <c r="W56" s="238" t="s">
        <v>1849</v>
      </c>
      <c r="X56" s="238"/>
      <c r="Y56" s="10" t="s">
        <v>6388</v>
      </c>
      <c r="Z56" s="10" t="s">
        <v>3409</v>
      </c>
      <c r="AA56" s="238" t="s">
        <v>6344</v>
      </c>
      <c r="AB56" s="238"/>
      <c r="AC56" s="238"/>
      <c r="AD56" s="238"/>
      <c r="AE56" s="238"/>
      <c r="AF56" s="10" t="s">
        <v>3410</v>
      </c>
      <c r="AG56" s="237" t="s">
        <v>3411</v>
      </c>
      <c r="AH56" s="237"/>
      <c r="AI56" s="237"/>
      <c r="AJ56" s="237"/>
      <c r="AK56" s="237"/>
      <c r="AL56" s="2"/>
      <c r="AM56" s="2"/>
      <c r="AN56" s="2"/>
      <c r="AO56" s="2"/>
      <c r="AP56" s="7"/>
    </row>
    <row r="57" spans="1:42" ht="13.5" thickBot="1">
      <c r="A57" s="6"/>
      <c r="B57" s="2"/>
      <c r="C57" s="2"/>
      <c r="D57" s="244" t="s">
        <v>319</v>
      </c>
      <c r="E57" s="244"/>
      <c r="F57" s="237" t="s">
        <v>6547</v>
      </c>
      <c r="G57" s="237"/>
      <c r="H57" s="237"/>
      <c r="I57" s="237"/>
      <c r="J57" s="11" t="s">
        <v>3412</v>
      </c>
      <c r="K57" s="237" t="s">
        <v>6403</v>
      </c>
      <c r="L57" s="237"/>
      <c r="M57" s="237"/>
      <c r="N57" s="237" t="s">
        <v>3413</v>
      </c>
      <c r="O57" s="237"/>
      <c r="P57" s="237"/>
      <c r="Q57" s="237">
        <v>92.44</v>
      </c>
      <c r="R57" s="237"/>
      <c r="S57" s="237"/>
      <c r="T57" s="237"/>
      <c r="U57" s="237"/>
      <c r="V57" s="237"/>
      <c r="W57" s="237" t="s">
        <v>6495</v>
      </c>
      <c r="X57" s="237"/>
      <c r="Y57" s="11" t="s">
        <v>7023</v>
      </c>
      <c r="Z57" s="11" t="s">
        <v>3415</v>
      </c>
      <c r="AA57" s="237" t="s">
        <v>3416</v>
      </c>
      <c r="AB57" s="237"/>
      <c r="AC57" s="237"/>
      <c r="AD57" s="237"/>
      <c r="AE57" s="237"/>
      <c r="AF57" s="11">
        <v>89.95</v>
      </c>
      <c r="AG57" s="237" t="s">
        <v>3417</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indexed="24"/>
  </sheetPr>
  <dimension ref="A1:AU63"/>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0.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3418</v>
      </c>
      <c r="E7" s="269"/>
      <c r="F7" s="269"/>
      <c r="G7" s="269"/>
      <c r="H7" s="269" t="s">
        <v>3419</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70"/>
      <c r="AM7" s="270"/>
      <c r="AN7" s="2"/>
      <c r="AO7" s="2"/>
      <c r="AP7" s="7"/>
      <c r="AT7" s="22" t="s">
        <v>1518</v>
      </c>
      <c r="AU7" s="35" t="str">
        <f>H7</f>
        <v>DOEL-3</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3303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3420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3421</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0.35" customHeight="1">
      <c r="A13" s="6"/>
      <c r="B13" s="1"/>
      <c r="C13" s="2"/>
      <c r="D13" s="247" t="s">
        <v>5716</v>
      </c>
      <c r="E13" s="247"/>
      <c r="F13" s="247"/>
      <c r="G13" s="247" t="s">
        <v>5709</v>
      </c>
      <c r="H13" s="247"/>
      <c r="I13" s="247" t="s">
        <v>3422</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3054</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1056</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1006</v>
      </c>
    </row>
    <row r="18" spans="1:47" ht="13.5" thickBot="1">
      <c r="A18" s="6"/>
      <c r="B18" s="1"/>
      <c r="C18" s="1"/>
      <c r="D18" s="248" t="s">
        <v>185</v>
      </c>
      <c r="E18" s="248"/>
      <c r="F18" s="248"/>
      <c r="G18" s="248"/>
      <c r="H18" s="248"/>
      <c r="I18" s="248"/>
      <c r="J18" s="248"/>
      <c r="K18" s="248"/>
      <c r="L18" s="8" t="s">
        <v>5709</v>
      </c>
      <c r="M18" s="264">
        <v>3054</v>
      </c>
      <c r="N18" s="264"/>
      <c r="O18" s="264"/>
      <c r="P18" s="248" t="s">
        <v>186</v>
      </c>
      <c r="Q18" s="248"/>
      <c r="R18" s="248"/>
      <c r="S18" s="2"/>
      <c r="T18" s="2"/>
      <c r="U18" s="252" t="s">
        <v>187</v>
      </c>
      <c r="V18" s="252"/>
      <c r="W18" s="252"/>
      <c r="X18" s="252"/>
      <c r="Y18" s="252"/>
      <c r="Z18" s="252"/>
      <c r="AA18" s="252"/>
      <c r="AB18" s="247" t="s">
        <v>5709</v>
      </c>
      <c r="AC18" s="247"/>
      <c r="AD18" s="248" t="s">
        <v>195</v>
      </c>
      <c r="AE18" s="248"/>
      <c r="AF18" s="248"/>
      <c r="AG18" s="248"/>
      <c r="AH18" s="248"/>
      <c r="AI18" s="248"/>
      <c r="AJ18" s="248"/>
      <c r="AK18" s="2"/>
      <c r="AL18" s="1"/>
      <c r="AM18" s="2"/>
      <c r="AN18" s="1"/>
      <c r="AO18" s="2"/>
      <c r="AP18" s="7"/>
      <c r="AT18" s="25" t="str">
        <f>D26</f>
        <v>Grid Date</v>
      </c>
      <c r="AU18" s="25">
        <f>M26</f>
        <v>30125</v>
      </c>
    </row>
    <row r="19" spans="1:47" ht="13.5" thickBot="1">
      <c r="A19" s="6"/>
      <c r="B19" s="1"/>
      <c r="C19" s="1"/>
      <c r="D19" s="248" t="s">
        <v>189</v>
      </c>
      <c r="E19" s="248"/>
      <c r="F19" s="248"/>
      <c r="G19" s="248"/>
      <c r="H19" s="248"/>
      <c r="I19" s="248"/>
      <c r="J19" s="248"/>
      <c r="K19" s="248"/>
      <c r="L19" s="8" t="s">
        <v>5709</v>
      </c>
      <c r="M19" s="264">
        <v>1056</v>
      </c>
      <c r="N19" s="264"/>
      <c r="O19" s="264"/>
      <c r="P19" s="248" t="s">
        <v>190</v>
      </c>
      <c r="Q19" s="248"/>
      <c r="R19" s="248"/>
      <c r="S19" s="2"/>
      <c r="T19" s="2"/>
      <c r="U19" s="252" t="s">
        <v>191</v>
      </c>
      <c r="V19" s="252"/>
      <c r="W19" s="252"/>
      <c r="X19" s="252"/>
      <c r="Y19" s="252"/>
      <c r="Z19" s="252"/>
      <c r="AA19" s="252"/>
      <c r="AB19" s="247" t="s">
        <v>5709</v>
      </c>
      <c r="AC19" s="247"/>
      <c r="AD19" s="248" t="s">
        <v>3424</v>
      </c>
      <c r="AE19" s="248"/>
      <c r="AF19" s="248"/>
      <c r="AG19" s="248"/>
      <c r="AH19" s="248"/>
      <c r="AI19" s="248"/>
      <c r="AJ19" s="248"/>
      <c r="AK19" s="2"/>
      <c r="AL19" s="1"/>
      <c r="AM19" s="2"/>
      <c r="AN19" s="1"/>
      <c r="AO19" s="2"/>
      <c r="AP19" s="7"/>
      <c r="AT19" s="23" t="str">
        <f>U21</f>
        <v>Average discharge burnup  [MWd/t]</v>
      </c>
      <c r="AU19" s="23" t="str">
        <f>AD21</f>
        <v>49000</v>
      </c>
    </row>
    <row r="20" spans="1:47" ht="13.5" thickBot="1">
      <c r="A20" s="6"/>
      <c r="B20" s="1"/>
      <c r="C20" s="1"/>
      <c r="D20" s="248" t="s">
        <v>193</v>
      </c>
      <c r="E20" s="248"/>
      <c r="F20" s="248"/>
      <c r="G20" s="248"/>
      <c r="H20" s="248"/>
      <c r="I20" s="248"/>
      <c r="J20" s="248"/>
      <c r="K20" s="248"/>
      <c r="L20" s="8" t="s">
        <v>5709</v>
      </c>
      <c r="M20" s="264">
        <v>890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90.36</v>
      </c>
    </row>
    <row r="21" spans="1:47" ht="13.5" thickBot="1">
      <c r="A21" s="6"/>
      <c r="B21" s="1"/>
      <c r="C21" s="1"/>
      <c r="D21" s="248" t="s">
        <v>196</v>
      </c>
      <c r="E21" s="248"/>
      <c r="F21" s="248"/>
      <c r="G21" s="248"/>
      <c r="H21" s="248"/>
      <c r="I21" s="248"/>
      <c r="J21" s="248"/>
      <c r="K21" s="248"/>
      <c r="L21" s="8" t="s">
        <v>5709</v>
      </c>
      <c r="M21" s="264">
        <v>1006</v>
      </c>
      <c r="N21" s="264"/>
      <c r="O21" s="264"/>
      <c r="P21" s="248" t="s">
        <v>190</v>
      </c>
      <c r="Q21" s="248"/>
      <c r="R21" s="248"/>
      <c r="S21" s="2"/>
      <c r="T21" s="2"/>
      <c r="U21" s="252" t="s">
        <v>197</v>
      </c>
      <c r="V21" s="252"/>
      <c r="W21" s="252"/>
      <c r="X21" s="252"/>
      <c r="Y21" s="252"/>
      <c r="Z21" s="252"/>
      <c r="AA21" s="252"/>
      <c r="AB21" s="247" t="s">
        <v>5709</v>
      </c>
      <c r="AC21" s="247"/>
      <c r="AD21" s="248" t="s">
        <v>3425</v>
      </c>
      <c r="AE21" s="248"/>
      <c r="AF21" s="248"/>
      <c r="AG21" s="248"/>
      <c r="AH21" s="248"/>
      <c r="AI21" s="248"/>
      <c r="AJ21" s="248"/>
      <c r="AK21" s="2"/>
      <c r="AL21" s="1"/>
      <c r="AM21" s="2"/>
      <c r="AN21" s="1"/>
      <c r="AO21" s="2"/>
      <c r="AP21" s="7"/>
      <c r="AT21" s="23" t="str">
        <f>D57&amp;AF50</f>
        <v>LF [%]2010</v>
      </c>
      <c r="AU21" s="23">
        <f>AF57</f>
        <v>88.71</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1932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27395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30125</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3428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30225</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3429</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3312</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3313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3314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1937</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3316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3430</v>
      </c>
      <c r="G51" s="238"/>
      <c r="H51" s="238"/>
      <c r="I51" s="238"/>
      <c r="J51" s="10" t="s">
        <v>3431</v>
      </c>
      <c r="K51" s="238" t="s">
        <v>3432</v>
      </c>
      <c r="L51" s="238"/>
      <c r="M51" s="238"/>
      <c r="N51" s="238" t="s">
        <v>3433</v>
      </c>
      <c r="O51" s="238"/>
      <c r="P51" s="238"/>
      <c r="Q51" s="238" t="s">
        <v>3434</v>
      </c>
      <c r="R51" s="238"/>
      <c r="S51" s="238"/>
      <c r="T51" s="238"/>
      <c r="U51" s="238"/>
      <c r="V51" s="238"/>
      <c r="W51" s="238" t="s">
        <v>3435</v>
      </c>
      <c r="X51" s="238"/>
      <c r="Y51" s="10" t="s">
        <v>3436</v>
      </c>
      <c r="Z51" s="10" t="s">
        <v>3437</v>
      </c>
      <c r="AA51" s="238" t="s">
        <v>3438</v>
      </c>
      <c r="AB51" s="238"/>
      <c r="AC51" s="238"/>
      <c r="AD51" s="238"/>
      <c r="AE51" s="238"/>
      <c r="AF51" s="10" t="s">
        <v>3439</v>
      </c>
      <c r="AG51" s="237" t="s">
        <v>3440</v>
      </c>
      <c r="AH51" s="237"/>
      <c r="AI51" s="237"/>
      <c r="AJ51" s="237"/>
      <c r="AK51" s="237"/>
      <c r="AL51" s="2"/>
      <c r="AM51" s="2"/>
      <c r="AN51" s="2"/>
      <c r="AO51" s="2"/>
      <c r="AP51" s="7"/>
    </row>
    <row r="52" spans="1:42" ht="13.5" thickBot="1">
      <c r="A52" s="6"/>
      <c r="B52" s="2"/>
      <c r="C52" s="2"/>
      <c r="D52" s="244" t="s">
        <v>261</v>
      </c>
      <c r="E52" s="244"/>
      <c r="F52" s="238" t="s">
        <v>6716</v>
      </c>
      <c r="G52" s="238"/>
      <c r="H52" s="238"/>
      <c r="I52" s="238"/>
      <c r="J52" s="10" t="s">
        <v>3441</v>
      </c>
      <c r="K52" s="238" t="s">
        <v>6299</v>
      </c>
      <c r="L52" s="238"/>
      <c r="M52" s="238"/>
      <c r="N52" s="238" t="s">
        <v>3442</v>
      </c>
      <c r="O52" s="238"/>
      <c r="P52" s="238"/>
      <c r="Q52" s="238" t="s">
        <v>6805</v>
      </c>
      <c r="R52" s="238"/>
      <c r="S52" s="238"/>
      <c r="T52" s="238"/>
      <c r="U52" s="238"/>
      <c r="V52" s="238"/>
      <c r="W52" s="238" t="s">
        <v>1772</v>
      </c>
      <c r="X52" s="238"/>
      <c r="Y52" s="10" t="s">
        <v>3443</v>
      </c>
      <c r="Z52" s="10" t="s">
        <v>3444</v>
      </c>
      <c r="AA52" s="238" t="s">
        <v>6905</v>
      </c>
      <c r="AB52" s="238"/>
      <c r="AC52" s="238"/>
      <c r="AD52" s="238"/>
      <c r="AE52" s="238"/>
      <c r="AF52" s="10" t="s">
        <v>3445</v>
      </c>
      <c r="AG52" s="237" t="s">
        <v>3446</v>
      </c>
      <c r="AH52" s="237"/>
      <c r="AI52" s="237"/>
      <c r="AJ52" s="237"/>
      <c r="AK52" s="237"/>
      <c r="AL52" s="2"/>
      <c r="AM52" s="2"/>
      <c r="AN52" s="2"/>
      <c r="AO52" s="2"/>
      <c r="AP52" s="7"/>
    </row>
    <row r="53" spans="1:42" ht="13.5" thickBot="1">
      <c r="A53" s="6"/>
      <c r="B53" s="2"/>
      <c r="C53" s="2"/>
      <c r="D53" s="244" t="s">
        <v>273</v>
      </c>
      <c r="E53" s="244"/>
      <c r="F53" s="238" t="s">
        <v>3447</v>
      </c>
      <c r="G53" s="238"/>
      <c r="H53" s="238"/>
      <c r="I53" s="238"/>
      <c r="J53" s="10" t="s">
        <v>3448</v>
      </c>
      <c r="K53" s="238" t="s">
        <v>3449</v>
      </c>
      <c r="L53" s="238"/>
      <c r="M53" s="238"/>
      <c r="N53" s="238" t="s">
        <v>3450</v>
      </c>
      <c r="O53" s="238"/>
      <c r="P53" s="238"/>
      <c r="Q53" s="238" t="s">
        <v>3451</v>
      </c>
      <c r="R53" s="238"/>
      <c r="S53" s="238"/>
      <c r="T53" s="238"/>
      <c r="U53" s="238"/>
      <c r="V53" s="238"/>
      <c r="W53" s="238" t="s">
        <v>3452</v>
      </c>
      <c r="X53" s="238"/>
      <c r="Y53" s="10" t="s">
        <v>3453</v>
      </c>
      <c r="Z53" s="10" t="s">
        <v>3454</v>
      </c>
      <c r="AA53" s="238" t="s">
        <v>3392</v>
      </c>
      <c r="AB53" s="238"/>
      <c r="AC53" s="238"/>
      <c r="AD53" s="238"/>
      <c r="AE53" s="238"/>
      <c r="AF53" s="10" t="s">
        <v>3455</v>
      </c>
      <c r="AG53" s="237" t="s">
        <v>3456</v>
      </c>
      <c r="AH53" s="237"/>
      <c r="AI53" s="237"/>
      <c r="AJ53" s="237"/>
      <c r="AK53" s="237"/>
      <c r="AL53" s="2"/>
      <c r="AM53" s="2"/>
      <c r="AN53" s="2"/>
      <c r="AO53" s="2"/>
      <c r="AP53" s="7"/>
    </row>
    <row r="54" spans="1:42" ht="13.5" thickBot="1">
      <c r="A54" s="6"/>
      <c r="B54" s="2"/>
      <c r="C54" s="2"/>
      <c r="D54" s="244" t="s">
        <v>285</v>
      </c>
      <c r="E54" s="244"/>
      <c r="F54" s="238" t="s">
        <v>1877</v>
      </c>
      <c r="G54" s="238"/>
      <c r="H54" s="238"/>
      <c r="I54" s="238"/>
      <c r="J54" s="10" t="s">
        <v>3457</v>
      </c>
      <c r="K54" s="238" t="s">
        <v>3458</v>
      </c>
      <c r="L54" s="238"/>
      <c r="M54" s="238"/>
      <c r="N54" s="238" t="s">
        <v>6473</v>
      </c>
      <c r="O54" s="238"/>
      <c r="P54" s="238"/>
      <c r="Q54" s="238" t="s">
        <v>437</v>
      </c>
      <c r="R54" s="238"/>
      <c r="S54" s="238"/>
      <c r="T54" s="238"/>
      <c r="U54" s="238"/>
      <c r="V54" s="238"/>
      <c r="W54" s="238" t="s">
        <v>3459</v>
      </c>
      <c r="X54" s="238"/>
      <c r="Y54" s="10" t="s">
        <v>3460</v>
      </c>
      <c r="Z54" s="10" t="s">
        <v>3444</v>
      </c>
      <c r="AA54" s="238" t="s">
        <v>6905</v>
      </c>
      <c r="AB54" s="238"/>
      <c r="AC54" s="238"/>
      <c r="AD54" s="238"/>
      <c r="AE54" s="238"/>
      <c r="AF54" s="10" t="s">
        <v>3461</v>
      </c>
      <c r="AG54" s="237" t="s">
        <v>6101</v>
      </c>
      <c r="AH54" s="237"/>
      <c r="AI54" s="237"/>
      <c r="AJ54" s="237"/>
      <c r="AK54" s="237"/>
      <c r="AL54" s="2"/>
      <c r="AM54" s="2"/>
      <c r="AN54" s="2"/>
      <c r="AO54" s="2"/>
      <c r="AP54" s="7"/>
    </row>
    <row r="55" spans="1:42" ht="13.5" thickBot="1">
      <c r="A55" s="6"/>
      <c r="B55" s="2"/>
      <c r="C55" s="2"/>
      <c r="D55" s="244" t="s">
        <v>295</v>
      </c>
      <c r="E55" s="244"/>
      <c r="F55" s="238" t="s">
        <v>3462</v>
      </c>
      <c r="G55" s="238"/>
      <c r="H55" s="238"/>
      <c r="I55" s="238"/>
      <c r="J55" s="10" t="s">
        <v>3463</v>
      </c>
      <c r="K55" s="238" t="s">
        <v>3464</v>
      </c>
      <c r="L55" s="238"/>
      <c r="M55" s="238"/>
      <c r="N55" s="238" t="s">
        <v>3349</v>
      </c>
      <c r="O55" s="238"/>
      <c r="P55" s="238"/>
      <c r="Q55" s="238" t="s">
        <v>3465</v>
      </c>
      <c r="R55" s="238"/>
      <c r="S55" s="238"/>
      <c r="T55" s="238"/>
      <c r="U55" s="238"/>
      <c r="V55" s="238"/>
      <c r="W55" s="238" t="s">
        <v>6014</v>
      </c>
      <c r="X55" s="238"/>
      <c r="Y55" s="10" t="s">
        <v>3466</v>
      </c>
      <c r="Z55" s="10" t="s">
        <v>3467</v>
      </c>
      <c r="AA55" s="238" t="s">
        <v>6177</v>
      </c>
      <c r="AB55" s="238"/>
      <c r="AC55" s="238"/>
      <c r="AD55" s="238"/>
      <c r="AE55" s="238"/>
      <c r="AF55" s="10" t="s">
        <v>6903</v>
      </c>
      <c r="AG55" s="237" t="s">
        <v>3468</v>
      </c>
      <c r="AH55" s="237"/>
      <c r="AI55" s="237"/>
      <c r="AJ55" s="237"/>
      <c r="AK55" s="237"/>
      <c r="AL55" s="2"/>
      <c r="AM55" s="2"/>
      <c r="AN55" s="2"/>
      <c r="AO55" s="2"/>
      <c r="AP55" s="7"/>
    </row>
    <row r="56" spans="1:42" ht="13.5" thickBot="1">
      <c r="A56" s="6"/>
      <c r="B56" s="2"/>
      <c r="C56" s="2"/>
      <c r="D56" s="244" t="s">
        <v>307</v>
      </c>
      <c r="E56" s="244"/>
      <c r="F56" s="238" t="s">
        <v>6320</v>
      </c>
      <c r="G56" s="238"/>
      <c r="H56" s="238"/>
      <c r="I56" s="238"/>
      <c r="J56" s="10" t="s">
        <v>1772</v>
      </c>
      <c r="K56" s="238" t="s">
        <v>6450</v>
      </c>
      <c r="L56" s="238"/>
      <c r="M56" s="238"/>
      <c r="N56" s="238" t="s">
        <v>1908</v>
      </c>
      <c r="O56" s="238"/>
      <c r="P56" s="238"/>
      <c r="Q56" s="238" t="s">
        <v>3469</v>
      </c>
      <c r="R56" s="238"/>
      <c r="S56" s="238"/>
      <c r="T56" s="238"/>
      <c r="U56" s="238"/>
      <c r="V56" s="238"/>
      <c r="W56" s="238" t="s">
        <v>3470</v>
      </c>
      <c r="X56" s="238"/>
      <c r="Y56" s="10" t="s">
        <v>6991</v>
      </c>
      <c r="Z56" s="10" t="s">
        <v>3471</v>
      </c>
      <c r="AA56" s="238" t="s">
        <v>1836</v>
      </c>
      <c r="AB56" s="238"/>
      <c r="AC56" s="238"/>
      <c r="AD56" s="238"/>
      <c r="AE56" s="238"/>
      <c r="AF56" s="10" t="s">
        <v>3472</v>
      </c>
      <c r="AG56" s="237" t="s">
        <v>6851</v>
      </c>
      <c r="AH56" s="237"/>
      <c r="AI56" s="237"/>
      <c r="AJ56" s="237"/>
      <c r="AK56" s="237"/>
      <c r="AL56" s="2"/>
      <c r="AM56" s="2"/>
      <c r="AN56" s="2"/>
      <c r="AO56" s="2"/>
      <c r="AP56" s="7"/>
    </row>
    <row r="57" spans="1:42" ht="13.5" thickBot="1">
      <c r="A57" s="6"/>
      <c r="B57" s="2"/>
      <c r="C57" s="2"/>
      <c r="D57" s="244" t="s">
        <v>319</v>
      </c>
      <c r="E57" s="244"/>
      <c r="F57" s="237" t="s">
        <v>3473</v>
      </c>
      <c r="G57" s="237"/>
      <c r="H57" s="237"/>
      <c r="I57" s="237"/>
      <c r="J57" s="11" t="s">
        <v>6030</v>
      </c>
      <c r="K57" s="237" t="s">
        <v>3410</v>
      </c>
      <c r="L57" s="237"/>
      <c r="M57" s="237"/>
      <c r="N57" s="237" t="s">
        <v>6823</v>
      </c>
      <c r="O57" s="237"/>
      <c r="P57" s="237"/>
      <c r="Q57" s="237">
        <v>90.36</v>
      </c>
      <c r="R57" s="237"/>
      <c r="S57" s="237"/>
      <c r="T57" s="237"/>
      <c r="U57" s="237"/>
      <c r="V57" s="237"/>
      <c r="W57" s="237" t="s">
        <v>6057</v>
      </c>
      <c r="X57" s="237"/>
      <c r="Y57" s="11" t="s">
        <v>3474</v>
      </c>
      <c r="Z57" s="11" t="s">
        <v>3475</v>
      </c>
      <c r="AA57" s="237" t="s">
        <v>6400</v>
      </c>
      <c r="AB57" s="237"/>
      <c r="AC57" s="237"/>
      <c r="AD57" s="237"/>
      <c r="AE57" s="237"/>
      <c r="AF57" s="11">
        <v>88.71</v>
      </c>
      <c r="AG57" s="237" t="s">
        <v>3477</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indexed="24"/>
  </sheetPr>
  <dimension ref="A1:AU63"/>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5" width="1" customWidth="1"/>
    <col min="46" max="46" width="34.42578125" bestFit="1" customWidth="1"/>
    <col min="47" max="47" width="10.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3478</v>
      </c>
      <c r="E7" s="269"/>
      <c r="F7" s="269"/>
      <c r="G7" s="269"/>
      <c r="H7" s="269" t="s">
        <v>3479</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70"/>
      <c r="AM7" s="270"/>
      <c r="AN7" s="2"/>
      <c r="AO7" s="2"/>
      <c r="AP7" s="7"/>
      <c r="AT7" s="22" t="s">
        <v>1518</v>
      </c>
      <c r="AU7" s="35" t="str">
        <f>H7</f>
        <v>DOEL-4</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3303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3420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3305</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0.35" customHeight="1">
      <c r="A13" s="6"/>
      <c r="B13" s="1"/>
      <c r="C13" s="2"/>
      <c r="D13" s="247" t="s">
        <v>5716</v>
      </c>
      <c r="E13" s="247"/>
      <c r="F13" s="247"/>
      <c r="G13" s="247" t="s">
        <v>5709</v>
      </c>
      <c r="H13" s="247"/>
      <c r="I13" s="247" t="s">
        <v>3480</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2988</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1090</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1039</v>
      </c>
    </row>
    <row r="18" spans="1:47" ht="13.5" thickBot="1">
      <c r="A18" s="6"/>
      <c r="B18" s="1"/>
      <c r="C18" s="1"/>
      <c r="D18" s="248" t="s">
        <v>185</v>
      </c>
      <c r="E18" s="248"/>
      <c r="F18" s="248"/>
      <c r="G18" s="248"/>
      <c r="H18" s="248"/>
      <c r="I18" s="248"/>
      <c r="J18" s="248"/>
      <c r="K18" s="248"/>
      <c r="L18" s="8" t="s">
        <v>5709</v>
      </c>
      <c r="M18" s="264">
        <v>2988</v>
      </c>
      <c r="N18" s="264"/>
      <c r="O18" s="264"/>
      <c r="P18" s="248" t="s">
        <v>186</v>
      </c>
      <c r="Q18" s="248"/>
      <c r="R18" s="248"/>
      <c r="S18" s="2"/>
      <c r="T18" s="2"/>
      <c r="U18" s="252" t="s">
        <v>187</v>
      </c>
      <c r="V18" s="252"/>
      <c r="W18" s="252"/>
      <c r="X18" s="252"/>
      <c r="Y18" s="252"/>
      <c r="Z18" s="252"/>
      <c r="AA18" s="252"/>
      <c r="AB18" s="247" t="s">
        <v>5709</v>
      </c>
      <c r="AC18" s="247"/>
      <c r="AD18" s="248" t="s">
        <v>3481</v>
      </c>
      <c r="AE18" s="248"/>
      <c r="AF18" s="248"/>
      <c r="AG18" s="248"/>
      <c r="AH18" s="248"/>
      <c r="AI18" s="248"/>
      <c r="AJ18" s="248"/>
      <c r="AK18" s="2"/>
      <c r="AL18" s="1"/>
      <c r="AM18" s="2"/>
      <c r="AN18" s="1"/>
      <c r="AO18" s="2"/>
      <c r="AP18" s="7"/>
      <c r="AT18" s="25" t="str">
        <f>D26</f>
        <v>Grid Date</v>
      </c>
      <c r="AU18" s="25">
        <f>M26</f>
        <v>31145</v>
      </c>
    </row>
    <row r="19" spans="1:47" ht="13.5" thickBot="1">
      <c r="A19" s="6"/>
      <c r="B19" s="1"/>
      <c r="C19" s="1"/>
      <c r="D19" s="248" t="s">
        <v>189</v>
      </c>
      <c r="E19" s="248"/>
      <c r="F19" s="248"/>
      <c r="G19" s="248"/>
      <c r="H19" s="248"/>
      <c r="I19" s="248"/>
      <c r="J19" s="248"/>
      <c r="K19" s="248"/>
      <c r="L19" s="8" t="s">
        <v>5709</v>
      </c>
      <c r="M19" s="264">
        <v>1090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45000</v>
      </c>
    </row>
    <row r="20" spans="1:47" ht="13.5" thickBot="1">
      <c r="A20" s="6"/>
      <c r="B20" s="1"/>
      <c r="C20" s="1"/>
      <c r="D20" s="248" t="s">
        <v>193</v>
      </c>
      <c r="E20" s="248"/>
      <c r="F20" s="248"/>
      <c r="G20" s="248"/>
      <c r="H20" s="248"/>
      <c r="I20" s="248"/>
      <c r="J20" s="248"/>
      <c r="K20" s="248"/>
      <c r="L20" s="8" t="s">
        <v>5709</v>
      </c>
      <c r="M20" s="264">
        <v>1000</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f>Q57</f>
        <v>85.69</v>
      </c>
    </row>
    <row r="21" spans="1:47" ht="13.5" thickBot="1">
      <c r="A21" s="6"/>
      <c r="B21" s="1"/>
      <c r="C21" s="1"/>
      <c r="D21" s="248" t="s">
        <v>196</v>
      </c>
      <c r="E21" s="248"/>
      <c r="F21" s="248"/>
      <c r="G21" s="248"/>
      <c r="H21" s="248"/>
      <c r="I21" s="248"/>
      <c r="J21" s="248"/>
      <c r="K21" s="248"/>
      <c r="L21" s="8" t="s">
        <v>5709</v>
      </c>
      <c r="M21" s="264">
        <v>1039</v>
      </c>
      <c r="N21" s="264"/>
      <c r="O21" s="264"/>
      <c r="P21" s="248" t="s">
        <v>190</v>
      </c>
      <c r="Q21" s="248"/>
      <c r="R21" s="248"/>
      <c r="S21" s="2"/>
      <c r="T21" s="2"/>
      <c r="U21" s="252" t="s">
        <v>197</v>
      </c>
      <c r="V21" s="252"/>
      <c r="W21" s="252"/>
      <c r="X21" s="252"/>
      <c r="Y21" s="252"/>
      <c r="Z21" s="252"/>
      <c r="AA21" s="252"/>
      <c r="AB21" s="247" t="s">
        <v>5709</v>
      </c>
      <c r="AC21" s="247"/>
      <c r="AD21" s="248" t="s">
        <v>6545</v>
      </c>
      <c r="AE21" s="248"/>
      <c r="AF21" s="248"/>
      <c r="AG21" s="248"/>
      <c r="AH21" s="248"/>
      <c r="AI21" s="248"/>
      <c r="AJ21" s="248"/>
      <c r="AK21" s="2"/>
      <c r="AL21" s="1"/>
      <c r="AM21" s="2"/>
      <c r="AN21" s="1"/>
      <c r="AO21" s="2"/>
      <c r="AP21" s="7"/>
      <c r="AT21" s="23" t="str">
        <f>D57&amp;AF50</f>
        <v>LF [%]2010</v>
      </c>
      <c r="AU21" s="23">
        <f>AF57</f>
        <v>81.27</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3482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28825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31145</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3483</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31229</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3484</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3312</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3313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3314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1937</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3485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3486</v>
      </c>
      <c r="G51" s="238"/>
      <c r="H51" s="238"/>
      <c r="I51" s="238"/>
      <c r="J51" s="10" t="s">
        <v>3487</v>
      </c>
      <c r="K51" s="238" t="s">
        <v>3488</v>
      </c>
      <c r="L51" s="238"/>
      <c r="M51" s="238"/>
      <c r="N51" s="238" t="s">
        <v>3489</v>
      </c>
      <c r="O51" s="238"/>
      <c r="P51" s="238"/>
      <c r="Q51" s="238" t="s">
        <v>3490</v>
      </c>
      <c r="R51" s="238"/>
      <c r="S51" s="238"/>
      <c r="T51" s="238"/>
      <c r="U51" s="238"/>
      <c r="V51" s="238"/>
      <c r="W51" s="238" t="s">
        <v>3491</v>
      </c>
      <c r="X51" s="238"/>
      <c r="Y51" s="10" t="s">
        <v>3492</v>
      </c>
      <c r="Z51" s="10" t="s">
        <v>3493</v>
      </c>
      <c r="AA51" s="238" t="s">
        <v>3494</v>
      </c>
      <c r="AB51" s="238"/>
      <c r="AC51" s="238"/>
      <c r="AD51" s="238"/>
      <c r="AE51" s="238"/>
      <c r="AF51" s="10" t="s">
        <v>3495</v>
      </c>
      <c r="AG51" s="237" t="s">
        <v>3496</v>
      </c>
      <c r="AH51" s="237"/>
      <c r="AI51" s="237"/>
      <c r="AJ51" s="237"/>
      <c r="AK51" s="237"/>
      <c r="AL51" s="2"/>
      <c r="AM51" s="2"/>
      <c r="AN51" s="2"/>
      <c r="AO51" s="2"/>
      <c r="AP51" s="7"/>
    </row>
    <row r="52" spans="1:42" ht="13.5" thickBot="1">
      <c r="A52" s="6"/>
      <c r="B52" s="2"/>
      <c r="C52" s="2"/>
      <c r="D52" s="244" t="s">
        <v>261</v>
      </c>
      <c r="E52" s="244"/>
      <c r="F52" s="238" t="s">
        <v>3497</v>
      </c>
      <c r="G52" s="238"/>
      <c r="H52" s="238"/>
      <c r="I52" s="238"/>
      <c r="J52" s="10" t="s">
        <v>3498</v>
      </c>
      <c r="K52" s="238" t="s">
        <v>3499</v>
      </c>
      <c r="L52" s="238"/>
      <c r="M52" s="238"/>
      <c r="N52" s="238" t="s">
        <v>3500</v>
      </c>
      <c r="O52" s="238"/>
      <c r="P52" s="238"/>
      <c r="Q52" s="238" t="s">
        <v>6858</v>
      </c>
      <c r="R52" s="238"/>
      <c r="S52" s="238"/>
      <c r="T52" s="238"/>
      <c r="U52" s="238"/>
      <c r="V52" s="238"/>
      <c r="W52" s="238" t="s">
        <v>3501</v>
      </c>
      <c r="X52" s="238"/>
      <c r="Y52" s="10" t="s">
        <v>3502</v>
      </c>
      <c r="Z52" s="10" t="s">
        <v>1896</v>
      </c>
      <c r="AA52" s="238" t="s">
        <v>7058</v>
      </c>
      <c r="AB52" s="238"/>
      <c r="AC52" s="238"/>
      <c r="AD52" s="238"/>
      <c r="AE52" s="238"/>
      <c r="AF52" s="10" t="s">
        <v>3503</v>
      </c>
      <c r="AG52" s="237" t="s">
        <v>3504</v>
      </c>
      <c r="AH52" s="237"/>
      <c r="AI52" s="237"/>
      <c r="AJ52" s="237"/>
      <c r="AK52" s="237"/>
      <c r="AL52" s="2"/>
      <c r="AM52" s="2"/>
      <c r="AN52" s="2"/>
      <c r="AO52" s="2"/>
      <c r="AP52" s="7"/>
    </row>
    <row r="53" spans="1:42" ht="13.5" thickBot="1">
      <c r="A53" s="6"/>
      <c r="B53" s="2"/>
      <c r="C53" s="2"/>
      <c r="D53" s="244" t="s">
        <v>273</v>
      </c>
      <c r="E53" s="244"/>
      <c r="F53" s="238" t="s">
        <v>3505</v>
      </c>
      <c r="G53" s="238"/>
      <c r="H53" s="238"/>
      <c r="I53" s="238"/>
      <c r="J53" s="10" t="s">
        <v>3506</v>
      </c>
      <c r="K53" s="238" t="s">
        <v>6713</v>
      </c>
      <c r="L53" s="238"/>
      <c r="M53" s="238"/>
      <c r="N53" s="238" t="s">
        <v>3456</v>
      </c>
      <c r="O53" s="238"/>
      <c r="P53" s="238"/>
      <c r="Q53" s="238" t="s">
        <v>3507</v>
      </c>
      <c r="R53" s="238"/>
      <c r="S53" s="238"/>
      <c r="T53" s="238"/>
      <c r="U53" s="238"/>
      <c r="V53" s="238"/>
      <c r="W53" s="238" t="s">
        <v>6965</v>
      </c>
      <c r="X53" s="238"/>
      <c r="Y53" s="10" t="s">
        <v>6087</v>
      </c>
      <c r="Z53" s="10" t="s">
        <v>3508</v>
      </c>
      <c r="AA53" s="238" t="s">
        <v>3509</v>
      </c>
      <c r="AB53" s="238"/>
      <c r="AC53" s="238"/>
      <c r="AD53" s="238"/>
      <c r="AE53" s="238"/>
      <c r="AF53" s="10" t="s">
        <v>6087</v>
      </c>
      <c r="AG53" s="237" t="s">
        <v>3510</v>
      </c>
      <c r="AH53" s="237"/>
      <c r="AI53" s="237"/>
      <c r="AJ53" s="237"/>
      <c r="AK53" s="237"/>
      <c r="AL53" s="2"/>
      <c r="AM53" s="2"/>
      <c r="AN53" s="2"/>
      <c r="AO53" s="2"/>
      <c r="AP53" s="7"/>
    </row>
    <row r="54" spans="1:42" ht="13.5" thickBot="1">
      <c r="A54" s="6"/>
      <c r="B54" s="2"/>
      <c r="C54" s="2"/>
      <c r="D54" s="244" t="s">
        <v>285</v>
      </c>
      <c r="E54" s="244"/>
      <c r="F54" s="238" t="s">
        <v>3511</v>
      </c>
      <c r="G54" s="238"/>
      <c r="H54" s="238"/>
      <c r="I54" s="238"/>
      <c r="J54" s="10" t="s">
        <v>6735</v>
      </c>
      <c r="K54" s="238" t="s">
        <v>3512</v>
      </c>
      <c r="L54" s="238"/>
      <c r="M54" s="238"/>
      <c r="N54" s="238" t="s">
        <v>3513</v>
      </c>
      <c r="O54" s="238"/>
      <c r="P54" s="238"/>
      <c r="Q54" s="238" t="s">
        <v>3514</v>
      </c>
      <c r="R54" s="238"/>
      <c r="S54" s="238"/>
      <c r="T54" s="238"/>
      <c r="U54" s="238"/>
      <c r="V54" s="238"/>
      <c r="W54" s="238" t="s">
        <v>3515</v>
      </c>
      <c r="X54" s="238"/>
      <c r="Y54" s="10" t="s">
        <v>3516</v>
      </c>
      <c r="Z54" s="10" t="s">
        <v>1896</v>
      </c>
      <c r="AA54" s="238" t="s">
        <v>3517</v>
      </c>
      <c r="AB54" s="238"/>
      <c r="AC54" s="238"/>
      <c r="AD54" s="238"/>
      <c r="AE54" s="238"/>
      <c r="AF54" s="10" t="s">
        <v>3503</v>
      </c>
      <c r="AG54" s="237" t="s">
        <v>6267</v>
      </c>
      <c r="AH54" s="237"/>
      <c r="AI54" s="237"/>
      <c r="AJ54" s="237"/>
      <c r="AK54" s="237"/>
      <c r="AL54" s="2"/>
      <c r="AM54" s="2"/>
      <c r="AN54" s="2"/>
      <c r="AO54" s="2"/>
      <c r="AP54" s="7"/>
    </row>
    <row r="55" spans="1:42" ht="13.5" thickBot="1">
      <c r="A55" s="6"/>
      <c r="B55" s="2"/>
      <c r="C55" s="2"/>
      <c r="D55" s="244" t="s">
        <v>295</v>
      </c>
      <c r="E55" s="244"/>
      <c r="F55" s="238" t="s">
        <v>6248</v>
      </c>
      <c r="G55" s="238"/>
      <c r="H55" s="238"/>
      <c r="I55" s="238"/>
      <c r="J55" s="10" t="s">
        <v>6459</v>
      </c>
      <c r="K55" s="238" t="s">
        <v>296</v>
      </c>
      <c r="L55" s="238"/>
      <c r="M55" s="238"/>
      <c r="N55" s="238" t="s">
        <v>6248</v>
      </c>
      <c r="O55" s="238"/>
      <c r="P55" s="238"/>
      <c r="Q55" s="238" t="s">
        <v>7017</v>
      </c>
      <c r="R55" s="238"/>
      <c r="S55" s="238"/>
      <c r="T55" s="238"/>
      <c r="U55" s="238"/>
      <c r="V55" s="238"/>
      <c r="W55" s="238" t="s">
        <v>3518</v>
      </c>
      <c r="X55" s="238"/>
      <c r="Y55" s="10" t="s">
        <v>3519</v>
      </c>
      <c r="Z55" s="10" t="s">
        <v>6177</v>
      </c>
      <c r="AA55" s="238" t="s">
        <v>3520</v>
      </c>
      <c r="AB55" s="238"/>
      <c r="AC55" s="238"/>
      <c r="AD55" s="238"/>
      <c r="AE55" s="238"/>
      <c r="AF55" s="10" t="s">
        <v>3521</v>
      </c>
      <c r="AG55" s="237" t="s">
        <v>3505</v>
      </c>
      <c r="AH55" s="237"/>
      <c r="AI55" s="237"/>
      <c r="AJ55" s="237"/>
      <c r="AK55" s="237"/>
      <c r="AL55" s="2"/>
      <c r="AM55" s="2"/>
      <c r="AN55" s="2"/>
      <c r="AO55" s="2"/>
      <c r="AP55" s="7"/>
    </row>
    <row r="56" spans="1:42" ht="13.5" thickBot="1">
      <c r="A56" s="6"/>
      <c r="B56" s="2"/>
      <c r="C56" s="2"/>
      <c r="D56" s="244" t="s">
        <v>307</v>
      </c>
      <c r="E56" s="244"/>
      <c r="F56" s="238" t="s">
        <v>3522</v>
      </c>
      <c r="G56" s="238"/>
      <c r="H56" s="238"/>
      <c r="I56" s="238"/>
      <c r="J56" s="10" t="s">
        <v>6403</v>
      </c>
      <c r="K56" s="238" t="s">
        <v>6333</v>
      </c>
      <c r="L56" s="238"/>
      <c r="M56" s="238"/>
      <c r="N56" s="238" t="s">
        <v>6952</v>
      </c>
      <c r="O56" s="238"/>
      <c r="P56" s="238"/>
      <c r="Q56" s="238" t="s">
        <v>6398</v>
      </c>
      <c r="R56" s="238"/>
      <c r="S56" s="238"/>
      <c r="T56" s="238"/>
      <c r="U56" s="238"/>
      <c r="V56" s="238"/>
      <c r="W56" s="238" t="s">
        <v>3443</v>
      </c>
      <c r="X56" s="238"/>
      <c r="Y56" s="10" t="s">
        <v>3523</v>
      </c>
      <c r="Z56" s="10" t="s">
        <v>3524</v>
      </c>
      <c r="AA56" s="238" t="s">
        <v>3525</v>
      </c>
      <c r="AB56" s="238"/>
      <c r="AC56" s="238"/>
      <c r="AD56" s="238"/>
      <c r="AE56" s="238"/>
      <c r="AF56" s="10" t="s">
        <v>3526</v>
      </c>
      <c r="AG56" s="237" t="s">
        <v>3527</v>
      </c>
      <c r="AH56" s="237"/>
      <c r="AI56" s="237"/>
      <c r="AJ56" s="237"/>
      <c r="AK56" s="237"/>
      <c r="AL56" s="2"/>
      <c r="AM56" s="2"/>
      <c r="AN56" s="2"/>
      <c r="AO56" s="2"/>
      <c r="AP56" s="7"/>
    </row>
    <row r="57" spans="1:42" ht="13.5" thickBot="1">
      <c r="A57" s="6"/>
      <c r="B57" s="2"/>
      <c r="C57" s="2"/>
      <c r="D57" s="244" t="s">
        <v>319</v>
      </c>
      <c r="E57" s="244"/>
      <c r="F57" s="237" t="s">
        <v>3528</v>
      </c>
      <c r="G57" s="237"/>
      <c r="H57" s="237"/>
      <c r="I57" s="237"/>
      <c r="J57" s="11" t="s">
        <v>3400</v>
      </c>
      <c r="K57" s="237" t="s">
        <v>6850</v>
      </c>
      <c r="L57" s="237"/>
      <c r="M57" s="237"/>
      <c r="N57" s="237" t="s">
        <v>3529</v>
      </c>
      <c r="O57" s="237"/>
      <c r="P57" s="237"/>
      <c r="Q57" s="237">
        <v>85.69</v>
      </c>
      <c r="R57" s="237"/>
      <c r="S57" s="237"/>
      <c r="T57" s="237"/>
      <c r="U57" s="237"/>
      <c r="V57" s="237"/>
      <c r="W57" s="237" t="s">
        <v>442</v>
      </c>
      <c r="X57" s="237"/>
      <c r="Y57" s="11" t="s">
        <v>3530</v>
      </c>
      <c r="Z57" s="11" t="s">
        <v>6258</v>
      </c>
      <c r="AA57" s="237" t="s">
        <v>3531</v>
      </c>
      <c r="AB57" s="237"/>
      <c r="AC57" s="237"/>
      <c r="AD57" s="237"/>
      <c r="AE57" s="237"/>
      <c r="AF57" s="11">
        <v>81.27</v>
      </c>
      <c r="AG57" s="237" t="s">
        <v>3532</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indexed="24"/>
  </sheetPr>
  <dimension ref="A1:AU61"/>
  <sheetViews>
    <sheetView topLeftCell="J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2" width="9.140625" hidden="1" customWidth="1"/>
    <col min="43" max="43" width="0" hidden="1" customWidth="1"/>
    <col min="44" max="45" width="1" customWidth="1"/>
    <col min="46" max="46" width="37.42578125" bestFit="1" customWidth="1"/>
    <col min="47" max="47" width="23.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3533</v>
      </c>
      <c r="E7" s="269"/>
      <c r="F7" s="269"/>
      <c r="G7" s="269"/>
      <c r="H7" s="269" t="s">
        <v>3534</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
      <c r="AM7" s="2"/>
      <c r="AN7" s="7"/>
      <c r="AT7" s="22" t="s">
        <v>1518</v>
      </c>
      <c r="AU7" s="35" t="str">
        <f>H7</f>
        <v>TIHANGE-1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3303</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3537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Framatome 3 loops reactor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2873</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3538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2873</v>
      </c>
      <c r="N16" s="264"/>
      <c r="O16" s="264"/>
      <c r="P16" s="248" t="s">
        <v>186</v>
      </c>
      <c r="Q16" s="248"/>
      <c r="R16" s="248"/>
      <c r="S16" s="2"/>
      <c r="T16" s="2"/>
      <c r="U16" s="252" t="s">
        <v>187</v>
      </c>
      <c r="V16" s="252"/>
      <c r="W16" s="252"/>
      <c r="X16" s="252"/>
      <c r="Y16" s="252"/>
      <c r="Z16" s="252"/>
      <c r="AA16" s="252"/>
      <c r="AB16" s="247" t="s">
        <v>5709</v>
      </c>
      <c r="AC16" s="247"/>
      <c r="AD16" s="248" t="s">
        <v>3539</v>
      </c>
      <c r="AE16" s="248"/>
      <c r="AF16" s="248"/>
      <c r="AG16" s="248"/>
      <c r="AH16" s="248"/>
      <c r="AI16" s="2"/>
      <c r="AJ16" s="1"/>
      <c r="AK16" s="2"/>
      <c r="AL16" s="1"/>
      <c r="AM16" s="2"/>
      <c r="AN16" s="7"/>
      <c r="AT16" s="24" t="str">
        <f>D17 &amp; " [MWe]"</f>
        <v>Latest gross electrical power [MWe]</v>
      </c>
      <c r="AU16" s="24">
        <f>M17</f>
        <v>1009</v>
      </c>
    </row>
    <row r="17" spans="1:47" ht="13.5" thickBot="1">
      <c r="A17" s="6"/>
      <c r="B17" s="1"/>
      <c r="C17" s="1"/>
      <c r="D17" s="248" t="s">
        <v>189</v>
      </c>
      <c r="E17" s="248"/>
      <c r="F17" s="248"/>
      <c r="G17" s="248"/>
      <c r="H17" s="248"/>
      <c r="I17" s="248"/>
      <c r="J17" s="248"/>
      <c r="K17" s="248"/>
      <c r="L17" s="8" t="s">
        <v>5709</v>
      </c>
      <c r="M17" s="264">
        <v>1009</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962</v>
      </c>
    </row>
    <row r="18" spans="1:47" ht="13.5" thickBot="1">
      <c r="A18" s="6"/>
      <c r="B18" s="1"/>
      <c r="C18" s="1"/>
      <c r="D18" s="248" t="s">
        <v>193</v>
      </c>
      <c r="E18" s="248"/>
      <c r="F18" s="248"/>
      <c r="G18" s="248"/>
      <c r="H18" s="248"/>
      <c r="I18" s="248"/>
      <c r="J18" s="248"/>
      <c r="K18" s="248"/>
      <c r="L18" s="8" t="s">
        <v>5709</v>
      </c>
      <c r="M18" s="264">
        <v>870</v>
      </c>
      <c r="N18" s="264"/>
      <c r="O18" s="264"/>
      <c r="P18" s="248" t="s">
        <v>190</v>
      </c>
      <c r="Q18" s="248"/>
      <c r="R18" s="248"/>
      <c r="S18" s="2"/>
      <c r="T18" s="2"/>
      <c r="U18" s="252" t="s">
        <v>194</v>
      </c>
      <c r="V18" s="252"/>
      <c r="W18" s="252"/>
      <c r="X18" s="252"/>
      <c r="Y18" s="252"/>
      <c r="Z18" s="252"/>
      <c r="AA18" s="252"/>
      <c r="AB18" s="247" t="s">
        <v>5709</v>
      </c>
      <c r="AC18" s="247"/>
      <c r="AD18" s="248" t="s">
        <v>1929</v>
      </c>
      <c r="AE18" s="248"/>
      <c r="AF18" s="248"/>
      <c r="AG18" s="248"/>
      <c r="AH18" s="248"/>
      <c r="AI18" s="2"/>
      <c r="AJ18" s="1"/>
      <c r="AK18" s="2"/>
      <c r="AL18" s="1"/>
      <c r="AM18" s="2"/>
      <c r="AN18" s="7"/>
      <c r="AT18" s="25" t="str">
        <f>D24</f>
        <v>Grid Date</v>
      </c>
      <c r="AU18" s="25">
        <f>M24</f>
        <v>27460</v>
      </c>
    </row>
    <row r="19" spans="1:47" ht="13.5" thickBot="1">
      <c r="A19" s="6"/>
      <c r="B19" s="1"/>
      <c r="C19" s="1"/>
      <c r="D19" s="248" t="s">
        <v>196</v>
      </c>
      <c r="E19" s="248"/>
      <c r="F19" s="248"/>
      <c r="G19" s="248"/>
      <c r="H19" s="248"/>
      <c r="I19" s="248"/>
      <c r="J19" s="248"/>
      <c r="K19" s="248"/>
      <c r="L19" s="8" t="s">
        <v>5709</v>
      </c>
      <c r="M19" s="264">
        <v>962</v>
      </c>
      <c r="N19" s="264"/>
      <c r="O19" s="264"/>
      <c r="P19" s="248" t="s">
        <v>190</v>
      </c>
      <c r="Q19" s="248"/>
      <c r="R19" s="248"/>
      <c r="S19" s="2"/>
      <c r="T19" s="2"/>
      <c r="U19" s="252" t="s">
        <v>197</v>
      </c>
      <c r="V19" s="252"/>
      <c r="W19" s="252"/>
      <c r="X19" s="252"/>
      <c r="Y19" s="252"/>
      <c r="Z19" s="252"/>
      <c r="AA19" s="252"/>
      <c r="AB19" s="247" t="s">
        <v>5709</v>
      </c>
      <c r="AC19" s="247"/>
      <c r="AD19" s="248" t="s">
        <v>6545</v>
      </c>
      <c r="AE19" s="248"/>
      <c r="AF19" s="248"/>
      <c r="AG19" s="248"/>
      <c r="AH19" s="248"/>
      <c r="AI19" s="2"/>
      <c r="AJ19" s="1"/>
      <c r="AK19" s="2"/>
      <c r="AL19" s="1"/>
      <c r="AM19" s="2"/>
      <c r="AN19" s="7"/>
      <c r="AT19" s="23" t="str">
        <f>U19</f>
        <v>Average discharge burnup  [MWd/t]</v>
      </c>
      <c r="AU19" s="23" t="str">
        <f>AD19</f>
        <v>45000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f>Q55</f>
        <v>80.819999999999993</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f>AE55</f>
        <v>86.82</v>
      </c>
    </row>
    <row r="22" spans="1:47" ht="8.85" customHeight="1" thickBot="1">
      <c r="A22" s="6"/>
      <c r="B22" s="1"/>
      <c r="C22" s="1"/>
      <c r="D22" s="248" t="s">
        <v>205</v>
      </c>
      <c r="E22" s="248"/>
      <c r="F22" s="248"/>
      <c r="G22" s="248"/>
      <c r="H22" s="248"/>
      <c r="I22" s="248"/>
      <c r="J22" s="248"/>
      <c r="K22" s="248"/>
      <c r="L22" s="247" t="s">
        <v>5709</v>
      </c>
      <c r="M22" s="259">
        <v>25720</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27460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3540</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27668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3543</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3545</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422</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3546</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3547</v>
      </c>
      <c r="G49" s="238"/>
      <c r="H49" s="238"/>
      <c r="I49" s="238"/>
      <c r="J49" s="10" t="s">
        <v>3548</v>
      </c>
      <c r="K49" s="238" t="s">
        <v>3549</v>
      </c>
      <c r="L49" s="238"/>
      <c r="M49" s="238"/>
      <c r="N49" s="238" t="s">
        <v>3550</v>
      </c>
      <c r="O49" s="238"/>
      <c r="P49" s="238"/>
      <c r="Q49" s="238" t="s">
        <v>3551</v>
      </c>
      <c r="R49" s="238"/>
      <c r="S49" s="238"/>
      <c r="T49" s="238"/>
      <c r="U49" s="238"/>
      <c r="V49" s="238"/>
      <c r="W49" s="238" t="s">
        <v>3552</v>
      </c>
      <c r="X49" s="238"/>
      <c r="Y49" s="10" t="s">
        <v>3553</v>
      </c>
      <c r="Z49" s="10" t="s">
        <v>3554</v>
      </c>
      <c r="AA49" s="238" t="s">
        <v>3555</v>
      </c>
      <c r="AB49" s="238"/>
      <c r="AC49" s="238"/>
      <c r="AD49" s="238"/>
      <c r="AE49" s="10" t="s">
        <v>3556</v>
      </c>
      <c r="AF49" s="237" t="s">
        <v>3557</v>
      </c>
      <c r="AG49" s="237"/>
      <c r="AH49" s="237"/>
      <c r="AI49" s="237"/>
      <c r="AJ49" s="2"/>
      <c r="AK49" s="2"/>
      <c r="AL49" s="2"/>
      <c r="AM49" s="2"/>
      <c r="AN49" s="7"/>
    </row>
    <row r="50" spans="1:40" ht="13.5" thickBot="1">
      <c r="A50" s="6"/>
      <c r="B50" s="2"/>
      <c r="C50" s="2"/>
      <c r="D50" s="244" t="s">
        <v>261</v>
      </c>
      <c r="E50" s="244"/>
      <c r="F50" s="238" t="s">
        <v>3558</v>
      </c>
      <c r="G50" s="238"/>
      <c r="H50" s="238"/>
      <c r="I50" s="238"/>
      <c r="J50" s="10" t="s">
        <v>3559</v>
      </c>
      <c r="K50" s="238" t="s">
        <v>3560</v>
      </c>
      <c r="L50" s="238"/>
      <c r="M50" s="238"/>
      <c r="N50" s="238" t="s">
        <v>3561</v>
      </c>
      <c r="O50" s="238"/>
      <c r="P50" s="238"/>
      <c r="Q50" s="238" t="s">
        <v>3562</v>
      </c>
      <c r="R50" s="238"/>
      <c r="S50" s="238"/>
      <c r="T50" s="238"/>
      <c r="U50" s="238"/>
      <c r="V50" s="238"/>
      <c r="W50" s="238" t="s">
        <v>3563</v>
      </c>
      <c r="X50" s="238"/>
      <c r="Y50" s="10" t="s">
        <v>3564</v>
      </c>
      <c r="Z50" s="10" t="s">
        <v>3565</v>
      </c>
      <c r="AA50" s="238" t="s">
        <v>3566</v>
      </c>
      <c r="AB50" s="238"/>
      <c r="AC50" s="238"/>
      <c r="AD50" s="238"/>
      <c r="AE50" s="10" t="s">
        <v>6363</v>
      </c>
      <c r="AF50" s="237" t="s">
        <v>6366</v>
      </c>
      <c r="AG50" s="237"/>
      <c r="AH50" s="237"/>
      <c r="AI50" s="237"/>
      <c r="AJ50" s="2"/>
      <c r="AK50" s="2"/>
      <c r="AL50" s="2"/>
      <c r="AM50" s="2"/>
      <c r="AN50" s="7"/>
    </row>
    <row r="51" spans="1:40" ht="13.5" thickBot="1">
      <c r="A51" s="6"/>
      <c r="B51" s="2"/>
      <c r="C51" s="2"/>
      <c r="D51" s="244" t="s">
        <v>273</v>
      </c>
      <c r="E51" s="244"/>
      <c r="F51" s="238" t="s">
        <v>6379</v>
      </c>
      <c r="G51" s="238"/>
      <c r="H51" s="238"/>
      <c r="I51" s="238"/>
      <c r="J51" s="10" t="s">
        <v>3567</v>
      </c>
      <c r="K51" s="238" t="s">
        <v>6087</v>
      </c>
      <c r="L51" s="238"/>
      <c r="M51" s="238"/>
      <c r="N51" s="238" t="s">
        <v>3568</v>
      </c>
      <c r="O51" s="238"/>
      <c r="P51" s="238"/>
      <c r="Q51" s="238" t="s">
        <v>3569</v>
      </c>
      <c r="R51" s="238"/>
      <c r="S51" s="238"/>
      <c r="T51" s="238"/>
      <c r="U51" s="238"/>
      <c r="V51" s="238"/>
      <c r="W51" s="238" t="s">
        <v>6087</v>
      </c>
      <c r="X51" s="238"/>
      <c r="Y51" s="10" t="s">
        <v>3570</v>
      </c>
      <c r="Z51" s="10" t="s">
        <v>3571</v>
      </c>
      <c r="AA51" s="238" t="s">
        <v>6396</v>
      </c>
      <c r="AB51" s="238"/>
      <c r="AC51" s="238"/>
      <c r="AD51" s="238"/>
      <c r="AE51" s="10" t="s">
        <v>3572</v>
      </c>
      <c r="AF51" s="237" t="s">
        <v>3573</v>
      </c>
      <c r="AG51" s="237"/>
      <c r="AH51" s="237"/>
      <c r="AI51" s="237"/>
      <c r="AJ51" s="2"/>
      <c r="AK51" s="2"/>
      <c r="AL51" s="2"/>
      <c r="AM51" s="2"/>
      <c r="AN51" s="7"/>
    </row>
    <row r="52" spans="1:40" ht="13.5" thickBot="1">
      <c r="A52" s="6"/>
      <c r="B52" s="2"/>
      <c r="C52" s="2"/>
      <c r="D52" s="244" t="s">
        <v>285</v>
      </c>
      <c r="E52" s="244"/>
      <c r="F52" s="238" t="s">
        <v>6320</v>
      </c>
      <c r="G52" s="238"/>
      <c r="H52" s="238"/>
      <c r="I52" s="238"/>
      <c r="J52" s="10" t="s">
        <v>7095</v>
      </c>
      <c r="K52" s="238" t="s">
        <v>6348</v>
      </c>
      <c r="L52" s="238"/>
      <c r="M52" s="238"/>
      <c r="N52" s="238" t="s">
        <v>3561</v>
      </c>
      <c r="O52" s="238"/>
      <c r="P52" s="238"/>
      <c r="Q52" s="238" t="s">
        <v>6429</v>
      </c>
      <c r="R52" s="238"/>
      <c r="S52" s="238"/>
      <c r="T52" s="238"/>
      <c r="U52" s="238"/>
      <c r="V52" s="238"/>
      <c r="W52" s="238" t="s">
        <v>3563</v>
      </c>
      <c r="X52" s="238"/>
      <c r="Y52" s="10" t="s">
        <v>3574</v>
      </c>
      <c r="Z52" s="10" t="s">
        <v>2674</v>
      </c>
      <c r="AA52" s="238" t="s">
        <v>2675</v>
      </c>
      <c r="AB52" s="238"/>
      <c r="AC52" s="238"/>
      <c r="AD52" s="238"/>
      <c r="AE52" s="10" t="s">
        <v>6057</v>
      </c>
      <c r="AF52" s="237" t="s">
        <v>6830</v>
      </c>
      <c r="AG52" s="237"/>
      <c r="AH52" s="237"/>
      <c r="AI52" s="237"/>
      <c r="AJ52" s="2"/>
      <c r="AK52" s="2"/>
      <c r="AL52" s="2"/>
      <c r="AM52" s="2"/>
      <c r="AN52" s="7"/>
    </row>
    <row r="53" spans="1:40" ht="13.5" thickBot="1">
      <c r="A53" s="6"/>
      <c r="B53" s="2"/>
      <c r="C53" s="2"/>
      <c r="D53" s="244" t="s">
        <v>295</v>
      </c>
      <c r="E53" s="244"/>
      <c r="F53" s="238" t="s">
        <v>6011</v>
      </c>
      <c r="G53" s="238"/>
      <c r="H53" s="238"/>
      <c r="I53" s="238"/>
      <c r="J53" s="10" t="s">
        <v>6977</v>
      </c>
      <c r="K53" s="238" t="s">
        <v>2676</v>
      </c>
      <c r="L53" s="238"/>
      <c r="M53" s="238"/>
      <c r="N53" s="238" t="s">
        <v>6981</v>
      </c>
      <c r="O53" s="238"/>
      <c r="P53" s="238"/>
      <c r="Q53" s="238" t="s">
        <v>2677</v>
      </c>
      <c r="R53" s="238"/>
      <c r="S53" s="238"/>
      <c r="T53" s="238"/>
      <c r="U53" s="238"/>
      <c r="V53" s="238"/>
      <c r="W53" s="238" t="s">
        <v>2678</v>
      </c>
      <c r="X53" s="238"/>
      <c r="Y53" s="10" t="s">
        <v>2679</v>
      </c>
      <c r="Z53" s="10" t="s">
        <v>2680</v>
      </c>
      <c r="AA53" s="238" t="s">
        <v>2681</v>
      </c>
      <c r="AB53" s="238"/>
      <c r="AC53" s="238"/>
      <c r="AD53" s="238"/>
      <c r="AE53" s="10" t="s">
        <v>6088</v>
      </c>
      <c r="AF53" s="237" t="s">
        <v>2682</v>
      </c>
      <c r="AG53" s="237"/>
      <c r="AH53" s="237"/>
      <c r="AI53" s="237"/>
      <c r="AJ53" s="2"/>
      <c r="AK53" s="2"/>
      <c r="AL53" s="2"/>
      <c r="AM53" s="2"/>
      <c r="AN53" s="7"/>
    </row>
    <row r="54" spans="1:40" ht="13.5" thickBot="1">
      <c r="A54" s="6"/>
      <c r="B54" s="2"/>
      <c r="C54" s="2"/>
      <c r="D54" s="244" t="s">
        <v>307</v>
      </c>
      <c r="E54" s="244"/>
      <c r="F54" s="238" t="s">
        <v>2683</v>
      </c>
      <c r="G54" s="238"/>
      <c r="H54" s="238"/>
      <c r="I54" s="238"/>
      <c r="J54" s="10" t="s">
        <v>2684</v>
      </c>
      <c r="K54" s="238" t="s">
        <v>7024</v>
      </c>
      <c r="L54" s="238"/>
      <c r="M54" s="238"/>
      <c r="N54" s="238" t="s">
        <v>2685</v>
      </c>
      <c r="O54" s="238"/>
      <c r="P54" s="238"/>
      <c r="Q54" s="238" t="s">
        <v>442</v>
      </c>
      <c r="R54" s="238"/>
      <c r="S54" s="238"/>
      <c r="T54" s="238"/>
      <c r="U54" s="238"/>
      <c r="V54" s="238"/>
      <c r="W54" s="238" t="s">
        <v>2686</v>
      </c>
      <c r="X54" s="238"/>
      <c r="Y54" s="10" t="s">
        <v>6700</v>
      </c>
      <c r="Z54" s="10" t="s">
        <v>445</v>
      </c>
      <c r="AA54" s="238" t="s">
        <v>2687</v>
      </c>
      <c r="AB54" s="238"/>
      <c r="AC54" s="238"/>
      <c r="AD54" s="238"/>
      <c r="AE54" s="10" t="s">
        <v>6077</v>
      </c>
      <c r="AF54" s="237" t="s">
        <v>2688</v>
      </c>
      <c r="AG54" s="237"/>
      <c r="AH54" s="237"/>
      <c r="AI54" s="237"/>
      <c r="AJ54" s="2"/>
      <c r="AK54" s="2"/>
      <c r="AL54" s="2"/>
      <c r="AM54" s="2"/>
      <c r="AN54" s="7"/>
    </row>
    <row r="55" spans="1:40" ht="13.5" thickBot="1">
      <c r="A55" s="6"/>
      <c r="B55" s="2"/>
      <c r="C55" s="2"/>
      <c r="D55" s="244" t="s">
        <v>319</v>
      </c>
      <c r="E55" s="244"/>
      <c r="F55" s="237" t="s">
        <v>2689</v>
      </c>
      <c r="G55" s="237"/>
      <c r="H55" s="237"/>
      <c r="I55" s="237"/>
      <c r="J55" s="11" t="s">
        <v>2690</v>
      </c>
      <c r="K55" s="237" t="s">
        <v>2691</v>
      </c>
      <c r="L55" s="237"/>
      <c r="M55" s="237"/>
      <c r="N55" s="237" t="s">
        <v>2692</v>
      </c>
      <c r="O55" s="237"/>
      <c r="P55" s="237"/>
      <c r="Q55" s="237">
        <v>80.819999999999993</v>
      </c>
      <c r="R55" s="237"/>
      <c r="S55" s="237"/>
      <c r="T55" s="237"/>
      <c r="U55" s="237"/>
      <c r="V55" s="237"/>
      <c r="W55" s="237" t="s">
        <v>2694</v>
      </c>
      <c r="X55" s="237"/>
      <c r="Y55" s="11" t="s">
        <v>2695</v>
      </c>
      <c r="Z55" s="11" t="s">
        <v>2696</v>
      </c>
      <c r="AA55" s="237" t="s">
        <v>397</v>
      </c>
      <c r="AB55" s="237"/>
      <c r="AC55" s="237"/>
      <c r="AD55" s="237"/>
      <c r="AE55" s="11">
        <v>86.82</v>
      </c>
      <c r="AF55" s="237" t="s">
        <v>6342</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indexed="24"/>
  </sheetPr>
  <dimension ref="A1:AU61"/>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42578125" customWidth="1"/>
    <col min="44" max="45" width="1" customWidth="1"/>
    <col min="46" max="46" width="37.42578125" bestFit="1" customWidth="1"/>
    <col min="47" max="47" width="10.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2698</v>
      </c>
      <c r="E7" s="269"/>
      <c r="F7" s="269"/>
      <c r="G7" s="269"/>
      <c r="H7" s="269" t="s">
        <v>2699</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
      <c r="AM7" s="2"/>
      <c r="AN7" s="7"/>
      <c r="AT7" s="22" t="s">
        <v>1518</v>
      </c>
      <c r="AU7" s="35" t="str">
        <f>H7</f>
        <v>TIHANGE-2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3303</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3303</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3421</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2700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WE 3-loops</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3064</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3423</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3064</v>
      </c>
      <c r="N16" s="264"/>
      <c r="O16" s="264"/>
      <c r="P16" s="248" t="s">
        <v>186</v>
      </c>
      <c r="Q16" s="248"/>
      <c r="R16" s="248"/>
      <c r="S16" s="2"/>
      <c r="T16" s="2"/>
      <c r="U16" s="252" t="s">
        <v>187</v>
      </c>
      <c r="V16" s="252"/>
      <c r="W16" s="252"/>
      <c r="X16" s="252"/>
      <c r="Y16" s="252"/>
      <c r="Z16" s="252"/>
      <c r="AA16" s="252"/>
      <c r="AB16" s="247" t="s">
        <v>5709</v>
      </c>
      <c r="AC16" s="247"/>
      <c r="AD16" s="248" t="s">
        <v>2701</v>
      </c>
      <c r="AE16" s="248"/>
      <c r="AF16" s="248"/>
      <c r="AG16" s="248"/>
      <c r="AH16" s="248"/>
      <c r="AI16" s="2"/>
      <c r="AJ16" s="1"/>
      <c r="AK16" s="2"/>
      <c r="AL16" s="1"/>
      <c r="AM16" s="2"/>
      <c r="AN16" s="7"/>
      <c r="AT16" s="24" t="str">
        <f>D17 &amp; " [MWe]"</f>
        <v>Latest gross electrical power [MWe]</v>
      </c>
      <c r="AU16" s="24">
        <f>M17</f>
        <v>1055</v>
      </c>
    </row>
    <row r="17" spans="1:47" ht="13.5" thickBot="1">
      <c r="A17" s="6"/>
      <c r="B17" s="1"/>
      <c r="C17" s="1"/>
      <c r="D17" s="248" t="s">
        <v>189</v>
      </c>
      <c r="E17" s="248"/>
      <c r="F17" s="248"/>
      <c r="G17" s="248"/>
      <c r="H17" s="248"/>
      <c r="I17" s="248"/>
      <c r="J17" s="248"/>
      <c r="K17" s="248"/>
      <c r="L17" s="8" t="s">
        <v>5709</v>
      </c>
      <c r="M17" s="264">
        <v>1055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1008</v>
      </c>
    </row>
    <row r="18" spans="1:47" ht="13.5" thickBot="1">
      <c r="A18" s="6"/>
      <c r="B18" s="1"/>
      <c r="C18" s="1"/>
      <c r="D18" s="248" t="s">
        <v>193</v>
      </c>
      <c r="E18" s="248"/>
      <c r="F18" s="248"/>
      <c r="G18" s="248"/>
      <c r="H18" s="248"/>
      <c r="I18" s="248"/>
      <c r="J18" s="248"/>
      <c r="K18" s="248"/>
      <c r="L18" s="8" t="s">
        <v>5709</v>
      </c>
      <c r="M18" s="264">
        <v>900</v>
      </c>
      <c r="N18" s="264"/>
      <c r="O18" s="264"/>
      <c r="P18" s="248" t="s">
        <v>190</v>
      </c>
      <c r="Q18" s="248"/>
      <c r="R18" s="248"/>
      <c r="S18" s="2"/>
      <c r="T18" s="2"/>
      <c r="U18" s="252" t="s">
        <v>194</v>
      </c>
      <c r="V18" s="252"/>
      <c r="W18" s="252"/>
      <c r="X18" s="252"/>
      <c r="Y18" s="252"/>
      <c r="Z18" s="252"/>
      <c r="AA18" s="252"/>
      <c r="AB18" s="247" t="s">
        <v>5709</v>
      </c>
      <c r="AC18" s="247"/>
      <c r="AD18" s="248" t="s">
        <v>1929</v>
      </c>
      <c r="AE18" s="248"/>
      <c r="AF18" s="248"/>
      <c r="AG18" s="248"/>
      <c r="AH18" s="248"/>
      <c r="AI18" s="2"/>
      <c r="AJ18" s="1"/>
      <c r="AK18" s="2"/>
      <c r="AL18" s="1"/>
      <c r="AM18" s="2"/>
      <c r="AN18" s="7"/>
      <c r="AT18" s="25" t="str">
        <f>D24</f>
        <v>Grid Date</v>
      </c>
      <c r="AU18" s="25">
        <f>M24</f>
        <v>30237</v>
      </c>
    </row>
    <row r="19" spans="1:47" ht="13.5" thickBot="1">
      <c r="A19" s="6"/>
      <c r="B19" s="1"/>
      <c r="C19" s="1"/>
      <c r="D19" s="248" t="s">
        <v>196</v>
      </c>
      <c r="E19" s="248"/>
      <c r="F19" s="248"/>
      <c r="G19" s="248"/>
      <c r="H19" s="248"/>
      <c r="I19" s="248"/>
      <c r="J19" s="248"/>
      <c r="K19" s="248"/>
      <c r="L19" s="8" t="s">
        <v>5709</v>
      </c>
      <c r="M19" s="264">
        <v>1008</v>
      </c>
      <c r="N19" s="264"/>
      <c r="O19" s="264"/>
      <c r="P19" s="248" t="s">
        <v>190</v>
      </c>
      <c r="Q19" s="248"/>
      <c r="R19" s="248"/>
      <c r="S19" s="2"/>
      <c r="T19" s="2"/>
      <c r="U19" s="252" t="s">
        <v>197</v>
      </c>
      <c r="V19" s="252"/>
      <c r="W19" s="252"/>
      <c r="X19" s="252"/>
      <c r="Y19" s="252"/>
      <c r="Z19" s="252"/>
      <c r="AA19" s="252"/>
      <c r="AB19" s="247" t="s">
        <v>5709</v>
      </c>
      <c r="AC19" s="247"/>
      <c r="AD19" s="248" t="s">
        <v>6545</v>
      </c>
      <c r="AE19" s="248"/>
      <c r="AF19" s="248"/>
      <c r="AG19" s="248"/>
      <c r="AH19" s="248"/>
      <c r="AI19" s="2"/>
      <c r="AJ19" s="1"/>
      <c r="AK19" s="2"/>
      <c r="AL19" s="1"/>
      <c r="AM19" s="2"/>
      <c r="AN19" s="7"/>
      <c r="AT19" s="23" t="str">
        <f>U19</f>
        <v>Average discharge burnup  [MWd/t]</v>
      </c>
      <c r="AU19" s="23" t="str">
        <f>AD19</f>
        <v>45000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f>Q55</f>
        <v>89.35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f>AE55</f>
        <v>99.93</v>
      </c>
    </row>
    <row r="22" spans="1:47" ht="8.85" customHeight="1" thickBot="1">
      <c r="A22" s="6"/>
      <c r="B22" s="1"/>
      <c r="C22" s="1"/>
      <c r="D22" s="248" t="s">
        <v>205</v>
      </c>
      <c r="E22" s="248"/>
      <c r="F22" s="248"/>
      <c r="G22" s="248"/>
      <c r="H22" s="248"/>
      <c r="I22" s="248"/>
      <c r="J22" s="248"/>
      <c r="K22" s="248"/>
      <c r="L22" s="247" t="s">
        <v>5709</v>
      </c>
      <c r="M22" s="259">
        <v>27851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30237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2702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30468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3429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2703</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2704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2705</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2706</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2707</v>
      </c>
      <c r="G49" s="238"/>
      <c r="H49" s="238"/>
      <c r="I49" s="238"/>
      <c r="J49" s="10" t="s">
        <v>2708</v>
      </c>
      <c r="K49" s="238" t="s">
        <v>2709</v>
      </c>
      <c r="L49" s="238"/>
      <c r="M49" s="238"/>
      <c r="N49" s="238" t="s">
        <v>2710</v>
      </c>
      <c r="O49" s="238"/>
      <c r="P49" s="238"/>
      <c r="Q49" s="238" t="s">
        <v>2711</v>
      </c>
      <c r="R49" s="238"/>
      <c r="S49" s="238"/>
      <c r="T49" s="238"/>
      <c r="U49" s="238"/>
      <c r="V49" s="238"/>
      <c r="W49" s="238" t="s">
        <v>2712</v>
      </c>
      <c r="X49" s="238"/>
      <c r="Y49" s="10" t="s">
        <v>2713</v>
      </c>
      <c r="Z49" s="10" t="s">
        <v>2714</v>
      </c>
      <c r="AA49" s="238" t="s">
        <v>2715</v>
      </c>
      <c r="AB49" s="238"/>
      <c r="AC49" s="238"/>
      <c r="AD49" s="238"/>
      <c r="AE49" s="10" t="s">
        <v>2716</v>
      </c>
      <c r="AF49" s="237" t="s">
        <v>2717</v>
      </c>
      <c r="AG49" s="237"/>
      <c r="AH49" s="237"/>
      <c r="AI49" s="237"/>
      <c r="AJ49" s="2"/>
      <c r="AK49" s="2"/>
      <c r="AL49" s="2"/>
      <c r="AM49" s="2"/>
      <c r="AN49" s="7"/>
    </row>
    <row r="50" spans="1:40" ht="13.5" thickBot="1">
      <c r="A50" s="6"/>
      <c r="B50" s="2"/>
      <c r="C50" s="2"/>
      <c r="D50" s="244" t="s">
        <v>261</v>
      </c>
      <c r="E50" s="244"/>
      <c r="F50" s="238" t="s">
        <v>2718</v>
      </c>
      <c r="G50" s="238"/>
      <c r="H50" s="238"/>
      <c r="I50" s="238"/>
      <c r="J50" s="10" t="s">
        <v>6917</v>
      </c>
      <c r="K50" s="238" t="s">
        <v>2719</v>
      </c>
      <c r="L50" s="238"/>
      <c r="M50" s="238"/>
      <c r="N50" s="238" t="s">
        <v>2720</v>
      </c>
      <c r="O50" s="238"/>
      <c r="P50" s="238"/>
      <c r="Q50" s="238" t="s">
        <v>2721</v>
      </c>
      <c r="R50" s="238"/>
      <c r="S50" s="238"/>
      <c r="T50" s="238"/>
      <c r="U50" s="238"/>
      <c r="V50" s="238"/>
      <c r="W50" s="238" t="s">
        <v>1837</v>
      </c>
      <c r="X50" s="238"/>
      <c r="Y50" s="10" t="s">
        <v>2722</v>
      </c>
      <c r="Z50" s="10" t="s">
        <v>2723</v>
      </c>
      <c r="AA50" s="238" t="s">
        <v>6970</v>
      </c>
      <c r="AB50" s="238"/>
      <c r="AC50" s="238"/>
      <c r="AD50" s="238"/>
      <c r="AE50" s="10" t="s">
        <v>2724</v>
      </c>
      <c r="AF50" s="237" t="s">
        <v>2725</v>
      </c>
      <c r="AG50" s="237"/>
      <c r="AH50" s="237"/>
      <c r="AI50" s="237"/>
      <c r="AJ50" s="2"/>
      <c r="AK50" s="2"/>
      <c r="AL50" s="2"/>
      <c r="AM50" s="2"/>
      <c r="AN50" s="7"/>
    </row>
    <row r="51" spans="1:40" ht="13.5" thickBot="1">
      <c r="A51" s="6"/>
      <c r="B51" s="2"/>
      <c r="C51" s="2"/>
      <c r="D51" s="244" t="s">
        <v>273</v>
      </c>
      <c r="E51" s="244"/>
      <c r="F51" s="238" t="s">
        <v>2726</v>
      </c>
      <c r="G51" s="238"/>
      <c r="H51" s="238"/>
      <c r="I51" s="238"/>
      <c r="J51" s="10" t="s">
        <v>2727</v>
      </c>
      <c r="K51" s="238" t="s">
        <v>6279</v>
      </c>
      <c r="L51" s="238"/>
      <c r="M51" s="238"/>
      <c r="N51" s="238" t="s">
        <v>6087</v>
      </c>
      <c r="O51" s="238"/>
      <c r="P51" s="238"/>
      <c r="Q51" s="238" t="s">
        <v>2728</v>
      </c>
      <c r="R51" s="238"/>
      <c r="S51" s="238"/>
      <c r="T51" s="238"/>
      <c r="U51" s="238"/>
      <c r="V51" s="238"/>
      <c r="W51" s="238" t="s">
        <v>2729</v>
      </c>
      <c r="X51" s="238"/>
      <c r="Y51" s="10" t="s">
        <v>6087</v>
      </c>
      <c r="Z51" s="10" t="s">
        <v>6643</v>
      </c>
      <c r="AA51" s="238" t="s">
        <v>2730</v>
      </c>
      <c r="AB51" s="238"/>
      <c r="AC51" s="238"/>
      <c r="AD51" s="238"/>
      <c r="AE51" s="10" t="s">
        <v>6087</v>
      </c>
      <c r="AF51" s="237" t="s">
        <v>3454</v>
      </c>
      <c r="AG51" s="237"/>
      <c r="AH51" s="237"/>
      <c r="AI51" s="237"/>
      <c r="AJ51" s="2"/>
      <c r="AK51" s="2"/>
      <c r="AL51" s="2"/>
      <c r="AM51" s="2"/>
      <c r="AN51" s="7"/>
    </row>
    <row r="52" spans="1:40" ht="13.5" thickBot="1">
      <c r="A52" s="6"/>
      <c r="B52" s="2"/>
      <c r="C52" s="2"/>
      <c r="D52" s="244" t="s">
        <v>285</v>
      </c>
      <c r="E52" s="244"/>
      <c r="F52" s="238" t="s">
        <v>2731</v>
      </c>
      <c r="G52" s="238"/>
      <c r="H52" s="238"/>
      <c r="I52" s="238"/>
      <c r="J52" s="10" t="s">
        <v>6026</v>
      </c>
      <c r="K52" s="238" t="s">
        <v>6533</v>
      </c>
      <c r="L52" s="238"/>
      <c r="M52" s="238"/>
      <c r="N52" s="238" t="s">
        <v>2732</v>
      </c>
      <c r="O52" s="238"/>
      <c r="P52" s="238"/>
      <c r="Q52" s="238" t="s">
        <v>6798</v>
      </c>
      <c r="R52" s="238"/>
      <c r="S52" s="238"/>
      <c r="T52" s="238"/>
      <c r="U52" s="238"/>
      <c r="V52" s="238"/>
      <c r="W52" s="238" t="s">
        <v>2733</v>
      </c>
      <c r="X52" s="238"/>
      <c r="Y52" s="10" t="s">
        <v>2734</v>
      </c>
      <c r="Z52" s="10" t="s">
        <v>7084</v>
      </c>
      <c r="AA52" s="238" t="s">
        <v>2735</v>
      </c>
      <c r="AB52" s="238"/>
      <c r="AC52" s="238"/>
      <c r="AD52" s="238"/>
      <c r="AE52" s="10" t="s">
        <v>2736</v>
      </c>
      <c r="AF52" s="237" t="s">
        <v>2737</v>
      </c>
      <c r="AG52" s="237"/>
      <c r="AH52" s="237"/>
      <c r="AI52" s="237"/>
      <c r="AJ52" s="2"/>
      <c r="AK52" s="2"/>
      <c r="AL52" s="2"/>
      <c r="AM52" s="2"/>
      <c r="AN52" s="7"/>
    </row>
    <row r="53" spans="1:40" ht="13.5" thickBot="1">
      <c r="A53" s="6"/>
      <c r="B53" s="2"/>
      <c r="C53" s="2"/>
      <c r="D53" s="244" t="s">
        <v>295</v>
      </c>
      <c r="E53" s="244"/>
      <c r="F53" s="238" t="s">
        <v>2738</v>
      </c>
      <c r="G53" s="238"/>
      <c r="H53" s="238"/>
      <c r="I53" s="238"/>
      <c r="J53" s="10" t="s">
        <v>6720</v>
      </c>
      <c r="K53" s="238" t="s">
        <v>2739</v>
      </c>
      <c r="L53" s="238"/>
      <c r="M53" s="238"/>
      <c r="N53" s="238" t="s">
        <v>2740</v>
      </c>
      <c r="O53" s="238"/>
      <c r="P53" s="238"/>
      <c r="Q53" s="238" t="s">
        <v>1842</v>
      </c>
      <c r="R53" s="238"/>
      <c r="S53" s="238"/>
      <c r="T53" s="238"/>
      <c r="U53" s="238"/>
      <c r="V53" s="238"/>
      <c r="W53" s="238" t="s">
        <v>2741</v>
      </c>
      <c r="X53" s="238"/>
      <c r="Y53" s="10" t="s">
        <v>378</v>
      </c>
      <c r="Z53" s="10" t="s">
        <v>6902</v>
      </c>
      <c r="AA53" s="238" t="s">
        <v>306</v>
      </c>
      <c r="AB53" s="238"/>
      <c r="AC53" s="238"/>
      <c r="AD53" s="238"/>
      <c r="AE53" s="10" t="s">
        <v>6015</v>
      </c>
      <c r="AF53" s="237" t="s">
        <v>2742</v>
      </c>
      <c r="AG53" s="237"/>
      <c r="AH53" s="237"/>
      <c r="AI53" s="237"/>
      <c r="AJ53" s="2"/>
      <c r="AK53" s="2"/>
      <c r="AL53" s="2"/>
      <c r="AM53" s="2"/>
      <c r="AN53" s="7"/>
    </row>
    <row r="54" spans="1:40" ht="13.5" thickBot="1">
      <c r="A54" s="6"/>
      <c r="B54" s="2"/>
      <c r="C54" s="2"/>
      <c r="D54" s="244" t="s">
        <v>307</v>
      </c>
      <c r="E54" s="244"/>
      <c r="F54" s="238" t="s">
        <v>1857</v>
      </c>
      <c r="G54" s="238"/>
      <c r="H54" s="238"/>
      <c r="I54" s="238"/>
      <c r="J54" s="10" t="s">
        <v>6952</v>
      </c>
      <c r="K54" s="238" t="s">
        <v>2743</v>
      </c>
      <c r="L54" s="238"/>
      <c r="M54" s="238"/>
      <c r="N54" s="238" t="s">
        <v>2744</v>
      </c>
      <c r="O54" s="238"/>
      <c r="P54" s="238"/>
      <c r="Q54" s="238" t="s">
        <v>2745</v>
      </c>
      <c r="R54" s="238"/>
      <c r="S54" s="238"/>
      <c r="T54" s="238"/>
      <c r="U54" s="238"/>
      <c r="V54" s="238"/>
      <c r="W54" s="238" t="s">
        <v>6342</v>
      </c>
      <c r="X54" s="238"/>
      <c r="Y54" s="10" t="s">
        <v>2746</v>
      </c>
      <c r="Z54" s="10" t="s">
        <v>2747</v>
      </c>
      <c r="AA54" s="238" t="s">
        <v>2748</v>
      </c>
      <c r="AB54" s="238"/>
      <c r="AC54" s="238"/>
      <c r="AD54" s="238"/>
      <c r="AE54" s="10" t="s">
        <v>2749</v>
      </c>
      <c r="AF54" s="237" t="s">
        <v>2750</v>
      </c>
      <c r="AG54" s="237"/>
      <c r="AH54" s="237"/>
      <c r="AI54" s="237"/>
      <c r="AJ54" s="2"/>
      <c r="AK54" s="2"/>
      <c r="AL54" s="2"/>
      <c r="AM54" s="2"/>
      <c r="AN54" s="7"/>
    </row>
    <row r="55" spans="1:40" ht="13.5" thickBot="1">
      <c r="A55" s="6"/>
      <c r="B55" s="2"/>
      <c r="C55" s="2"/>
      <c r="D55" s="244" t="s">
        <v>319</v>
      </c>
      <c r="E55" s="244"/>
      <c r="F55" s="237" t="s">
        <v>3357</v>
      </c>
      <c r="G55" s="237"/>
      <c r="H55" s="237"/>
      <c r="I55" s="237"/>
      <c r="J55" s="11" t="s">
        <v>3476</v>
      </c>
      <c r="K55" s="237" t="s">
        <v>3514</v>
      </c>
      <c r="L55" s="237"/>
      <c r="M55" s="237"/>
      <c r="N55" s="237" t="s">
        <v>2751</v>
      </c>
      <c r="O55" s="237"/>
      <c r="P55" s="237"/>
      <c r="Q55" s="237">
        <v>89.35</v>
      </c>
      <c r="R55" s="237"/>
      <c r="S55" s="237"/>
      <c r="T55" s="237"/>
      <c r="U55" s="237"/>
      <c r="V55" s="237"/>
      <c r="W55" s="237" t="s">
        <v>2753</v>
      </c>
      <c r="X55" s="237"/>
      <c r="Y55" s="11" t="s">
        <v>2754</v>
      </c>
      <c r="Z55" s="11" t="s">
        <v>2755</v>
      </c>
      <c r="AA55" s="237" t="s">
        <v>6726</v>
      </c>
      <c r="AB55" s="237"/>
      <c r="AC55" s="237"/>
      <c r="AD55" s="237"/>
      <c r="AE55" s="11">
        <v>99.93</v>
      </c>
      <c r="AF55" s="237" t="s">
        <v>2757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indexed="24"/>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2" width="9.140625" hidden="1" customWidth="1"/>
    <col min="43" max="43" width="0" hidden="1" customWidth="1"/>
    <col min="44" max="45" width="1" customWidth="1"/>
    <col min="46" max="46" width="37.42578125" bestFit="1" customWidth="1"/>
    <col min="47" max="47" width="10.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2758</v>
      </c>
      <c r="E7" s="269"/>
      <c r="F7" s="269"/>
      <c r="G7" s="269"/>
      <c r="H7" s="269" t="s">
        <v>2759</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
      <c r="AM7" s="2"/>
      <c r="AN7" s="7"/>
      <c r="AT7" s="22" t="s">
        <v>1518</v>
      </c>
      <c r="AU7" s="35" t="str">
        <f>H7</f>
        <v>TIHANGE-3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3303</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3303</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3305</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2760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WE 3-loops</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3000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3423</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3000</v>
      </c>
      <c r="N16" s="264"/>
      <c r="O16" s="264"/>
      <c r="P16" s="248" t="s">
        <v>186</v>
      </c>
      <c r="Q16" s="248"/>
      <c r="R16" s="248"/>
      <c r="S16" s="2"/>
      <c r="T16" s="2"/>
      <c r="U16" s="252" t="s">
        <v>187</v>
      </c>
      <c r="V16" s="252"/>
      <c r="W16" s="252"/>
      <c r="X16" s="252"/>
      <c r="Y16" s="252"/>
      <c r="Z16" s="252"/>
      <c r="AA16" s="252"/>
      <c r="AB16" s="247" t="s">
        <v>5709</v>
      </c>
      <c r="AC16" s="247"/>
      <c r="AD16" s="248" t="s">
        <v>2761</v>
      </c>
      <c r="AE16" s="248"/>
      <c r="AF16" s="248"/>
      <c r="AG16" s="248"/>
      <c r="AH16" s="248"/>
      <c r="AI16" s="2"/>
      <c r="AJ16" s="1"/>
      <c r="AK16" s="2"/>
      <c r="AL16" s="1"/>
      <c r="AM16" s="2"/>
      <c r="AN16" s="7"/>
      <c r="AT16" s="24" t="str">
        <f>D17 &amp; " [MWe]"</f>
        <v>Latest gross electrical power [MWe]</v>
      </c>
      <c r="AU16" s="24">
        <f>M17</f>
        <v>1094</v>
      </c>
    </row>
    <row r="17" spans="1:47" ht="13.5" thickBot="1">
      <c r="A17" s="6"/>
      <c r="B17" s="1"/>
      <c r="C17" s="1"/>
      <c r="D17" s="248" t="s">
        <v>189</v>
      </c>
      <c r="E17" s="248"/>
      <c r="F17" s="248"/>
      <c r="G17" s="248"/>
      <c r="H17" s="248"/>
      <c r="I17" s="248"/>
      <c r="J17" s="248"/>
      <c r="K17" s="248"/>
      <c r="L17" s="8" t="s">
        <v>5709</v>
      </c>
      <c r="M17" s="264">
        <v>1094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1046</v>
      </c>
    </row>
    <row r="18" spans="1:47" ht="13.5" thickBot="1">
      <c r="A18" s="6"/>
      <c r="B18" s="1"/>
      <c r="C18" s="1"/>
      <c r="D18" s="248" t="s">
        <v>193</v>
      </c>
      <c r="E18" s="248"/>
      <c r="F18" s="248"/>
      <c r="G18" s="248"/>
      <c r="H18" s="248"/>
      <c r="I18" s="248"/>
      <c r="J18" s="248"/>
      <c r="K18" s="248"/>
      <c r="L18" s="8" t="s">
        <v>5709</v>
      </c>
      <c r="M18" s="264">
        <v>1020</v>
      </c>
      <c r="N18" s="264"/>
      <c r="O18" s="264"/>
      <c r="P18" s="248" t="s">
        <v>190</v>
      </c>
      <c r="Q18" s="248"/>
      <c r="R18" s="248"/>
      <c r="S18" s="2"/>
      <c r="T18" s="2"/>
      <c r="U18" s="252" t="s">
        <v>194</v>
      </c>
      <c r="V18" s="252"/>
      <c r="W18" s="252"/>
      <c r="X18" s="252"/>
      <c r="Y18" s="252"/>
      <c r="Z18" s="252"/>
      <c r="AA18" s="252"/>
      <c r="AB18" s="247" t="s">
        <v>5709</v>
      </c>
      <c r="AC18" s="247"/>
      <c r="AD18" s="248" t="s">
        <v>1929</v>
      </c>
      <c r="AE18" s="248"/>
      <c r="AF18" s="248"/>
      <c r="AG18" s="248"/>
      <c r="AH18" s="248"/>
      <c r="AI18" s="2"/>
      <c r="AJ18" s="1"/>
      <c r="AK18" s="2"/>
      <c r="AL18" s="1"/>
      <c r="AM18" s="2"/>
      <c r="AN18" s="7"/>
      <c r="AT18" s="25" t="str">
        <f>D24</f>
        <v>Grid Date</v>
      </c>
      <c r="AU18" s="25">
        <f>M24</f>
        <v>31213</v>
      </c>
    </row>
    <row r="19" spans="1:47" ht="13.5" thickBot="1">
      <c r="A19" s="6"/>
      <c r="B19" s="1"/>
      <c r="C19" s="1"/>
      <c r="D19" s="248" t="s">
        <v>196</v>
      </c>
      <c r="E19" s="248"/>
      <c r="F19" s="248"/>
      <c r="G19" s="248"/>
      <c r="H19" s="248"/>
      <c r="I19" s="248"/>
      <c r="J19" s="248"/>
      <c r="K19" s="248"/>
      <c r="L19" s="8" t="s">
        <v>5709</v>
      </c>
      <c r="M19" s="264">
        <v>1046</v>
      </c>
      <c r="N19" s="264"/>
      <c r="O19" s="264"/>
      <c r="P19" s="248" t="s">
        <v>190</v>
      </c>
      <c r="Q19" s="248"/>
      <c r="R19" s="248"/>
      <c r="S19" s="2"/>
      <c r="T19" s="2"/>
      <c r="U19" s="252" t="s">
        <v>197</v>
      </c>
      <c r="V19" s="252"/>
      <c r="W19" s="252"/>
      <c r="X19" s="252"/>
      <c r="Y19" s="252"/>
      <c r="Z19" s="252"/>
      <c r="AA19" s="252"/>
      <c r="AB19" s="247" t="s">
        <v>5709</v>
      </c>
      <c r="AC19" s="247"/>
      <c r="AD19" s="248" t="s">
        <v>6545</v>
      </c>
      <c r="AE19" s="248"/>
      <c r="AF19" s="248"/>
      <c r="AG19" s="248"/>
      <c r="AH19" s="248"/>
      <c r="AI19" s="2"/>
      <c r="AJ19" s="1"/>
      <c r="AK19" s="2"/>
      <c r="AL19" s="1"/>
      <c r="AM19" s="2"/>
      <c r="AN19" s="7"/>
      <c r="AT19" s="23" t="str">
        <f>U19</f>
        <v>Average discharge burnup  [MWd/t]</v>
      </c>
      <c r="AU19" s="23" t="str">
        <f>AD19</f>
        <v>45000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f>Q55</f>
        <v>97.93</v>
      </c>
    </row>
    <row r="21" spans="1:47" ht="11.2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f>AE55</f>
        <v>82.02</v>
      </c>
    </row>
    <row r="22" spans="1:47" ht="8.85" customHeight="1" thickBot="1">
      <c r="A22" s="6"/>
      <c r="B22" s="1"/>
      <c r="C22" s="1"/>
      <c r="D22" s="248" t="s">
        <v>205</v>
      </c>
      <c r="E22" s="248"/>
      <c r="F22" s="248"/>
      <c r="G22" s="248"/>
      <c r="H22" s="248"/>
      <c r="I22" s="248"/>
      <c r="J22" s="248"/>
      <c r="K22" s="248"/>
      <c r="L22" s="247" t="s">
        <v>5709</v>
      </c>
      <c r="M22" s="259">
        <v>28795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31213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3483</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31291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3484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2703</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2762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2763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3485</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2764</v>
      </c>
      <c r="G49" s="238"/>
      <c r="H49" s="238"/>
      <c r="I49" s="238"/>
      <c r="J49" s="10" t="s">
        <v>2765</v>
      </c>
      <c r="K49" s="238" t="s">
        <v>2766</v>
      </c>
      <c r="L49" s="238"/>
      <c r="M49" s="238"/>
      <c r="N49" s="238" t="s">
        <v>2767</v>
      </c>
      <c r="O49" s="238"/>
      <c r="P49" s="238"/>
      <c r="Q49" s="238" t="s">
        <v>2768</v>
      </c>
      <c r="R49" s="238"/>
      <c r="S49" s="238"/>
      <c r="T49" s="238"/>
      <c r="U49" s="238"/>
      <c r="V49" s="238"/>
      <c r="W49" s="238" t="s">
        <v>2769</v>
      </c>
      <c r="X49" s="238"/>
      <c r="Y49" s="10" t="s">
        <v>2770</v>
      </c>
      <c r="Z49" s="10" t="s">
        <v>2771</v>
      </c>
      <c r="AA49" s="238" t="s">
        <v>2772</v>
      </c>
      <c r="AB49" s="238"/>
      <c r="AC49" s="238"/>
      <c r="AD49" s="238"/>
      <c r="AE49" s="10" t="s">
        <v>2773</v>
      </c>
      <c r="AF49" s="237" t="s">
        <v>2774</v>
      </c>
      <c r="AG49" s="237"/>
      <c r="AH49" s="237"/>
      <c r="AI49" s="237"/>
      <c r="AJ49" s="2"/>
      <c r="AK49" s="2"/>
      <c r="AL49" s="2"/>
      <c r="AM49" s="2"/>
      <c r="AN49" s="7"/>
    </row>
    <row r="50" spans="1:40" ht="13.5" thickBot="1">
      <c r="A50" s="6"/>
      <c r="B50" s="2"/>
      <c r="C50" s="2"/>
      <c r="D50" s="244" t="s">
        <v>261</v>
      </c>
      <c r="E50" s="244"/>
      <c r="F50" s="238" t="s">
        <v>2775</v>
      </c>
      <c r="G50" s="238"/>
      <c r="H50" s="238"/>
      <c r="I50" s="238"/>
      <c r="J50" s="10" t="s">
        <v>6406</v>
      </c>
      <c r="K50" s="238" t="s">
        <v>438</v>
      </c>
      <c r="L50" s="238"/>
      <c r="M50" s="238"/>
      <c r="N50" s="238" t="s">
        <v>3362</v>
      </c>
      <c r="O50" s="238"/>
      <c r="P50" s="238"/>
      <c r="Q50" s="238" t="s">
        <v>2776</v>
      </c>
      <c r="R50" s="238"/>
      <c r="S50" s="238"/>
      <c r="T50" s="238"/>
      <c r="U50" s="238"/>
      <c r="V50" s="238"/>
      <c r="W50" s="238" t="s">
        <v>2777</v>
      </c>
      <c r="X50" s="238"/>
      <c r="Y50" s="10" t="s">
        <v>1833</v>
      </c>
      <c r="Z50" s="10" t="s">
        <v>2778</v>
      </c>
      <c r="AA50" s="238" t="s">
        <v>6349</v>
      </c>
      <c r="AB50" s="238"/>
      <c r="AC50" s="238"/>
      <c r="AD50" s="238"/>
      <c r="AE50" s="10" t="s">
        <v>2779</v>
      </c>
      <c r="AF50" s="237" t="s">
        <v>2780</v>
      </c>
      <c r="AG50" s="237"/>
      <c r="AH50" s="237"/>
      <c r="AI50" s="237"/>
      <c r="AJ50" s="2"/>
      <c r="AK50" s="2"/>
      <c r="AL50" s="2"/>
      <c r="AM50" s="2"/>
      <c r="AN50" s="7"/>
    </row>
    <row r="51" spans="1:40" ht="13.5" thickBot="1">
      <c r="A51" s="6"/>
      <c r="B51" s="2"/>
      <c r="C51" s="2"/>
      <c r="D51" s="244" t="s">
        <v>273</v>
      </c>
      <c r="E51" s="244"/>
      <c r="F51" s="238" t="s">
        <v>6773</v>
      </c>
      <c r="G51" s="238"/>
      <c r="H51" s="238"/>
      <c r="I51" s="238"/>
      <c r="J51" s="10" t="s">
        <v>2781</v>
      </c>
      <c r="K51" s="238" t="s">
        <v>2782</v>
      </c>
      <c r="L51" s="238"/>
      <c r="M51" s="238"/>
      <c r="N51" s="238" t="s">
        <v>2783</v>
      </c>
      <c r="O51" s="238"/>
      <c r="P51" s="238"/>
      <c r="Q51" s="238" t="s">
        <v>6087</v>
      </c>
      <c r="R51" s="238"/>
      <c r="S51" s="238"/>
      <c r="T51" s="238"/>
      <c r="U51" s="238"/>
      <c r="V51" s="238"/>
      <c r="W51" s="238" t="s">
        <v>2784</v>
      </c>
      <c r="X51" s="238"/>
      <c r="Y51" s="10" t="s">
        <v>2785</v>
      </c>
      <c r="Z51" s="10" t="s">
        <v>2786</v>
      </c>
      <c r="AA51" s="238" t="s">
        <v>6595</v>
      </c>
      <c r="AB51" s="238"/>
      <c r="AC51" s="238"/>
      <c r="AD51" s="238"/>
      <c r="AE51" s="10" t="s">
        <v>2787</v>
      </c>
      <c r="AF51" s="237" t="s">
        <v>2788</v>
      </c>
      <c r="AG51" s="237"/>
      <c r="AH51" s="237"/>
      <c r="AI51" s="237"/>
      <c r="AJ51" s="2"/>
      <c r="AK51" s="2"/>
      <c r="AL51" s="2"/>
      <c r="AM51" s="2"/>
      <c r="AN51" s="7"/>
    </row>
    <row r="52" spans="1:40" ht="13.5" thickBot="1">
      <c r="A52" s="6"/>
      <c r="B52" s="2"/>
      <c r="C52" s="2"/>
      <c r="D52" s="244" t="s">
        <v>285</v>
      </c>
      <c r="E52" s="244"/>
      <c r="F52" s="238" t="s">
        <v>2789</v>
      </c>
      <c r="G52" s="238"/>
      <c r="H52" s="238"/>
      <c r="I52" s="238"/>
      <c r="J52" s="10" t="s">
        <v>2790</v>
      </c>
      <c r="K52" s="238" t="s">
        <v>2791</v>
      </c>
      <c r="L52" s="238"/>
      <c r="M52" s="238"/>
      <c r="N52" s="238" t="s">
        <v>6512</v>
      </c>
      <c r="O52" s="238"/>
      <c r="P52" s="238"/>
      <c r="Q52" s="238" t="s">
        <v>2792</v>
      </c>
      <c r="R52" s="238"/>
      <c r="S52" s="238"/>
      <c r="T52" s="238"/>
      <c r="U52" s="238"/>
      <c r="V52" s="238"/>
      <c r="W52" s="238" t="s">
        <v>2793</v>
      </c>
      <c r="X52" s="238"/>
      <c r="Y52" s="10" t="s">
        <v>2794</v>
      </c>
      <c r="Z52" s="10" t="s">
        <v>6060</v>
      </c>
      <c r="AA52" s="238" t="s">
        <v>1850</v>
      </c>
      <c r="AB52" s="238"/>
      <c r="AC52" s="238"/>
      <c r="AD52" s="238"/>
      <c r="AE52" s="10" t="s">
        <v>2795</v>
      </c>
      <c r="AF52" s="237" t="s">
        <v>2796</v>
      </c>
      <c r="AG52" s="237"/>
      <c r="AH52" s="237"/>
      <c r="AI52" s="237"/>
      <c r="AJ52" s="2"/>
      <c r="AK52" s="2"/>
      <c r="AL52" s="2"/>
      <c r="AM52" s="2"/>
      <c r="AN52" s="7"/>
    </row>
    <row r="53" spans="1:40" ht="13.5" thickBot="1">
      <c r="A53" s="6"/>
      <c r="B53" s="2"/>
      <c r="C53" s="2"/>
      <c r="D53" s="244" t="s">
        <v>295</v>
      </c>
      <c r="E53" s="244"/>
      <c r="F53" s="238" t="s">
        <v>2797</v>
      </c>
      <c r="G53" s="238"/>
      <c r="H53" s="238"/>
      <c r="I53" s="238"/>
      <c r="J53" s="10" t="s">
        <v>299</v>
      </c>
      <c r="K53" s="238" t="s">
        <v>304</v>
      </c>
      <c r="L53" s="238"/>
      <c r="M53" s="238"/>
      <c r="N53" s="238" t="s">
        <v>6848</v>
      </c>
      <c r="O53" s="238"/>
      <c r="P53" s="238"/>
      <c r="Q53" s="238" t="s">
        <v>3347</v>
      </c>
      <c r="R53" s="238"/>
      <c r="S53" s="238"/>
      <c r="T53" s="238"/>
      <c r="U53" s="238"/>
      <c r="V53" s="238"/>
      <c r="W53" s="238" t="s">
        <v>2798</v>
      </c>
      <c r="X53" s="238"/>
      <c r="Y53" s="10" t="s">
        <v>2799</v>
      </c>
      <c r="Z53" s="10" t="s">
        <v>2800</v>
      </c>
      <c r="AA53" s="238" t="s">
        <v>3347</v>
      </c>
      <c r="AB53" s="238"/>
      <c r="AC53" s="238"/>
      <c r="AD53" s="238"/>
      <c r="AE53" s="10" t="s">
        <v>3462</v>
      </c>
      <c r="AF53" s="237" t="s">
        <v>7018</v>
      </c>
      <c r="AG53" s="237"/>
      <c r="AH53" s="237"/>
      <c r="AI53" s="237"/>
      <c r="AJ53" s="2"/>
      <c r="AK53" s="2"/>
      <c r="AL53" s="2"/>
      <c r="AM53" s="2"/>
      <c r="AN53" s="7"/>
    </row>
    <row r="54" spans="1:40" ht="13.5" thickBot="1">
      <c r="A54" s="6"/>
      <c r="B54" s="2"/>
      <c r="C54" s="2"/>
      <c r="D54" s="244" t="s">
        <v>307</v>
      </c>
      <c r="E54" s="244"/>
      <c r="F54" s="238" t="s">
        <v>6450</v>
      </c>
      <c r="G54" s="238"/>
      <c r="H54" s="238"/>
      <c r="I54" s="238"/>
      <c r="J54" s="10" t="s">
        <v>2801</v>
      </c>
      <c r="K54" s="238" t="s">
        <v>6430</v>
      </c>
      <c r="L54" s="238"/>
      <c r="M54" s="238"/>
      <c r="N54" s="238" t="s">
        <v>1836</v>
      </c>
      <c r="O54" s="238"/>
      <c r="P54" s="238"/>
      <c r="Q54" s="238" t="s">
        <v>2802</v>
      </c>
      <c r="R54" s="238"/>
      <c r="S54" s="238"/>
      <c r="T54" s="238"/>
      <c r="U54" s="238"/>
      <c r="V54" s="238"/>
      <c r="W54" s="238" t="s">
        <v>2803</v>
      </c>
      <c r="X54" s="238"/>
      <c r="Y54" s="10" t="s">
        <v>2804</v>
      </c>
      <c r="Z54" s="10" t="s">
        <v>2805</v>
      </c>
      <c r="AA54" s="238" t="s">
        <v>2806</v>
      </c>
      <c r="AB54" s="238"/>
      <c r="AC54" s="238"/>
      <c r="AD54" s="238"/>
      <c r="AE54" s="10" t="s">
        <v>3331</v>
      </c>
      <c r="AF54" s="237" t="s">
        <v>3353</v>
      </c>
      <c r="AG54" s="237"/>
      <c r="AH54" s="237"/>
      <c r="AI54" s="237"/>
      <c r="AJ54" s="2"/>
      <c r="AK54" s="2"/>
      <c r="AL54" s="2"/>
      <c r="AM54" s="2"/>
      <c r="AN54" s="7"/>
    </row>
    <row r="55" spans="1:40" ht="13.5" thickBot="1">
      <c r="A55" s="6"/>
      <c r="B55" s="2"/>
      <c r="C55" s="2"/>
      <c r="D55" s="244" t="s">
        <v>319</v>
      </c>
      <c r="E55" s="244"/>
      <c r="F55" s="237" t="s">
        <v>6385</v>
      </c>
      <c r="G55" s="237"/>
      <c r="H55" s="237"/>
      <c r="I55" s="237"/>
      <c r="J55" s="11" t="s">
        <v>266</v>
      </c>
      <c r="K55" s="237" t="s">
        <v>2807</v>
      </c>
      <c r="L55" s="237"/>
      <c r="M55" s="237"/>
      <c r="N55" s="237" t="s">
        <v>2808</v>
      </c>
      <c r="O55" s="237"/>
      <c r="P55" s="237"/>
      <c r="Q55" s="237">
        <v>97.93</v>
      </c>
      <c r="R55" s="237"/>
      <c r="S55" s="237"/>
      <c r="T55" s="237"/>
      <c r="U55" s="237"/>
      <c r="V55" s="237"/>
      <c r="W55" s="237" t="s">
        <v>2809</v>
      </c>
      <c r="X55" s="237"/>
      <c r="Y55" s="11" t="s">
        <v>2810</v>
      </c>
      <c r="Z55" s="11" t="s">
        <v>2811</v>
      </c>
      <c r="AA55" s="237" t="s">
        <v>2812</v>
      </c>
      <c r="AB55" s="237"/>
      <c r="AC55" s="237"/>
      <c r="AD55" s="237"/>
      <c r="AE55" s="11">
        <v>82.02</v>
      </c>
      <c r="AF55" s="237" t="s">
        <v>6731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indexed="41"/>
    <outlinePr summaryBelow="0" summaryRight="0"/>
  </sheetPr>
  <dimension ref="A1:AU63"/>
  <sheetViews>
    <sheetView showGridLines="0" topLeftCell="I1" workbookViewId="0">
      <pane ySplit="1" topLeftCell="A2" activePane="bottomLeft" state="frozenSplit"/>
      <selection activeCell="AT32" sqref="AT32"/>
      <selection pane="bottomLeft" activeCell="AU28" sqref="AU28"/>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8554687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403</v>
      </c>
      <c r="E7" s="269"/>
      <c r="F7" s="269"/>
      <c r="G7" s="269"/>
      <c r="H7" s="269" t="s">
        <v>404</v>
      </c>
      <c r="I7" s="269"/>
      <c r="J7" s="269"/>
      <c r="K7" s="269"/>
      <c r="L7" s="269"/>
      <c r="M7" s="269"/>
      <c r="N7" s="269"/>
      <c r="O7" s="269"/>
      <c r="P7" s="269"/>
      <c r="Q7" s="269"/>
      <c r="R7" s="269"/>
      <c r="S7" s="269"/>
      <c r="T7" s="269"/>
      <c r="U7" s="269"/>
      <c r="V7" s="269"/>
      <c r="W7" s="269"/>
      <c r="X7" s="270" t="s">
        <v>5707</v>
      </c>
      <c r="Y7" s="270"/>
      <c r="Z7" s="270"/>
      <c r="AA7" s="270"/>
      <c r="AB7" s="270"/>
      <c r="AC7" s="270"/>
      <c r="AD7" s="270"/>
      <c r="AE7" s="270"/>
      <c r="AF7" s="270"/>
      <c r="AG7" s="270"/>
      <c r="AH7" s="270"/>
      <c r="AI7" s="270"/>
      <c r="AJ7" s="270"/>
      <c r="AK7" s="270"/>
      <c r="AL7" s="270"/>
      <c r="AM7" s="270"/>
      <c r="AN7" s="2"/>
      <c r="AO7" s="2"/>
      <c r="AP7" s="7"/>
      <c r="AT7" s="22" t="s">
        <v>1518</v>
      </c>
      <c r="AU7" s="35" t="str">
        <f>H7</f>
        <v>LOVIISA-1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405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405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406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406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1500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510</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488</v>
      </c>
    </row>
    <row r="18" spans="1:47" ht="13.5" thickBot="1">
      <c r="A18" s="6"/>
      <c r="B18" s="1"/>
      <c r="C18" s="1"/>
      <c r="D18" s="248" t="s">
        <v>185</v>
      </c>
      <c r="E18" s="248"/>
      <c r="F18" s="248"/>
      <c r="G18" s="248"/>
      <c r="H18" s="248"/>
      <c r="I18" s="248"/>
      <c r="J18" s="248"/>
      <c r="K18" s="248"/>
      <c r="L18" s="8" t="s">
        <v>5709</v>
      </c>
      <c r="M18" s="264">
        <v>1500</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28164</v>
      </c>
    </row>
    <row r="19" spans="1:47" ht="13.5" thickBot="1">
      <c r="A19" s="6"/>
      <c r="B19" s="1"/>
      <c r="C19" s="1"/>
      <c r="D19" s="248" t="s">
        <v>189</v>
      </c>
      <c r="E19" s="248"/>
      <c r="F19" s="248"/>
      <c r="G19" s="248"/>
      <c r="H19" s="248"/>
      <c r="I19" s="248"/>
      <c r="J19" s="248"/>
      <c r="K19" s="248"/>
      <c r="L19" s="8" t="s">
        <v>5709</v>
      </c>
      <c r="M19" s="264">
        <v>510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40000</v>
      </c>
    </row>
    <row r="20" spans="1:47" ht="13.5" thickBot="1">
      <c r="A20" s="6"/>
      <c r="B20" s="1"/>
      <c r="C20" s="1"/>
      <c r="D20" s="248" t="s">
        <v>193</v>
      </c>
      <c r="E20" s="248"/>
      <c r="F20" s="248"/>
      <c r="G20" s="248"/>
      <c r="H20" s="248"/>
      <c r="I20" s="248"/>
      <c r="J20" s="248"/>
      <c r="K20" s="248"/>
      <c r="L20" s="8" t="s">
        <v>5709</v>
      </c>
      <c r="M20" s="264">
        <v>420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95.03</v>
      </c>
    </row>
    <row r="21" spans="1:47" ht="13.5" thickBot="1">
      <c r="A21" s="6"/>
      <c r="B21" s="1"/>
      <c r="C21" s="1"/>
      <c r="D21" s="248" t="s">
        <v>196</v>
      </c>
      <c r="E21" s="248"/>
      <c r="F21" s="248"/>
      <c r="G21" s="248"/>
      <c r="H21" s="248"/>
      <c r="I21" s="248"/>
      <c r="J21" s="248"/>
      <c r="K21" s="248"/>
      <c r="L21" s="8" t="s">
        <v>5709</v>
      </c>
      <c r="M21" s="264">
        <v>488</v>
      </c>
      <c r="N21" s="264"/>
      <c r="O21" s="264"/>
      <c r="P21" s="248" t="s">
        <v>190</v>
      </c>
      <c r="Q21" s="248"/>
      <c r="R21" s="248"/>
      <c r="S21" s="2"/>
      <c r="T21" s="2"/>
      <c r="U21" s="252" t="s">
        <v>197</v>
      </c>
      <c r="V21" s="252"/>
      <c r="W21" s="252"/>
      <c r="X21" s="252"/>
      <c r="Y21" s="252"/>
      <c r="Z21" s="252"/>
      <c r="AA21" s="252"/>
      <c r="AB21" s="247" t="s">
        <v>5709</v>
      </c>
      <c r="AC21" s="247"/>
      <c r="AD21" s="248" t="s">
        <v>410</v>
      </c>
      <c r="AE21" s="248"/>
      <c r="AF21" s="248"/>
      <c r="AG21" s="248"/>
      <c r="AH21" s="248"/>
      <c r="AI21" s="248"/>
      <c r="AJ21" s="248"/>
      <c r="AK21" s="2"/>
      <c r="AL21" s="1"/>
      <c r="AM21" s="2"/>
      <c r="AN21" s="1"/>
      <c r="AO21" s="2"/>
      <c r="AP21" s="7"/>
      <c r="AT21" s="23" t="str">
        <f>D57&amp;AF50</f>
        <v>LF [%]2010</v>
      </c>
      <c r="AU21" s="23">
        <f>AF57</f>
        <v>92.53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412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26054</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28164</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414</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28254</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417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418</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419</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423</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424</v>
      </c>
      <c r="G51" s="238"/>
      <c r="H51" s="238"/>
      <c r="I51" s="238"/>
      <c r="J51" s="10" t="s">
        <v>425</v>
      </c>
      <c r="K51" s="238" t="s">
        <v>426</v>
      </c>
      <c r="L51" s="238"/>
      <c r="M51" s="238"/>
      <c r="N51" s="238" t="s">
        <v>427</v>
      </c>
      <c r="O51" s="238"/>
      <c r="P51" s="238"/>
      <c r="Q51" s="238" t="s">
        <v>428</v>
      </c>
      <c r="R51" s="238"/>
      <c r="S51" s="238"/>
      <c r="T51" s="238"/>
      <c r="U51" s="238"/>
      <c r="V51" s="238"/>
      <c r="W51" s="238" t="s">
        <v>429</v>
      </c>
      <c r="X51" s="238"/>
      <c r="Y51" s="10" t="s">
        <v>430</v>
      </c>
      <c r="Z51" s="10" t="s">
        <v>431</v>
      </c>
      <c r="AA51" s="238" t="s">
        <v>432</v>
      </c>
      <c r="AB51" s="238"/>
      <c r="AC51" s="238"/>
      <c r="AD51" s="238"/>
      <c r="AE51" s="238"/>
      <c r="AF51" s="10" t="s">
        <v>433</v>
      </c>
      <c r="AG51" s="237" t="s">
        <v>434</v>
      </c>
      <c r="AH51" s="237"/>
      <c r="AI51" s="237"/>
      <c r="AJ51" s="237"/>
      <c r="AK51" s="237"/>
      <c r="AL51" s="2"/>
      <c r="AM51" s="2"/>
      <c r="AN51" s="2"/>
      <c r="AO51" s="2"/>
      <c r="AP51" s="7"/>
    </row>
    <row r="52" spans="1:42" ht="13.5" thickBot="1">
      <c r="A52" s="6"/>
      <c r="B52" s="2"/>
      <c r="C52" s="2"/>
      <c r="D52" s="244" t="s">
        <v>261</v>
      </c>
      <c r="E52" s="244"/>
      <c r="F52" s="238" t="s">
        <v>435</v>
      </c>
      <c r="G52" s="238"/>
      <c r="H52" s="238"/>
      <c r="I52" s="238"/>
      <c r="J52" s="10" t="s">
        <v>436</v>
      </c>
      <c r="K52" s="238" t="s">
        <v>437</v>
      </c>
      <c r="L52" s="238"/>
      <c r="M52" s="238"/>
      <c r="N52" s="238" t="s">
        <v>438</v>
      </c>
      <c r="O52" s="238"/>
      <c r="P52" s="238"/>
      <c r="Q52" s="238" t="s">
        <v>439</v>
      </c>
      <c r="R52" s="238"/>
      <c r="S52" s="238"/>
      <c r="T52" s="238"/>
      <c r="U52" s="238"/>
      <c r="V52" s="238"/>
      <c r="W52" s="238" t="s">
        <v>440</v>
      </c>
      <c r="X52" s="238"/>
      <c r="Y52" s="10" t="s">
        <v>441</v>
      </c>
      <c r="Z52" s="10" t="s">
        <v>442</v>
      </c>
      <c r="AA52" s="238" t="s">
        <v>443</v>
      </c>
      <c r="AB52" s="238"/>
      <c r="AC52" s="238"/>
      <c r="AD52" s="238"/>
      <c r="AE52" s="238"/>
      <c r="AF52" s="10" t="s">
        <v>444</v>
      </c>
      <c r="AG52" s="237" t="s">
        <v>445</v>
      </c>
      <c r="AH52" s="237"/>
      <c r="AI52" s="237"/>
      <c r="AJ52" s="237"/>
      <c r="AK52" s="237"/>
      <c r="AL52" s="2"/>
      <c r="AM52" s="2"/>
      <c r="AN52" s="2"/>
      <c r="AO52" s="2"/>
      <c r="AP52" s="7"/>
    </row>
    <row r="53" spans="1:42" ht="13.5" thickBot="1">
      <c r="A53" s="6"/>
      <c r="B53" s="2"/>
      <c r="C53" s="2"/>
      <c r="D53" s="244" t="s">
        <v>273</v>
      </c>
      <c r="E53" s="244"/>
      <c r="F53" s="238" t="s">
        <v>446</v>
      </c>
      <c r="G53" s="238"/>
      <c r="H53" s="238"/>
      <c r="I53" s="238"/>
      <c r="J53" s="10" t="s">
        <v>447</v>
      </c>
      <c r="K53" s="238" t="s">
        <v>448</v>
      </c>
      <c r="L53" s="238"/>
      <c r="M53" s="238"/>
      <c r="N53" s="238" t="s">
        <v>449</v>
      </c>
      <c r="O53" s="238"/>
      <c r="P53" s="238"/>
      <c r="Q53" s="238" t="s">
        <v>450</v>
      </c>
      <c r="R53" s="238"/>
      <c r="S53" s="238"/>
      <c r="T53" s="238"/>
      <c r="U53" s="238"/>
      <c r="V53" s="238"/>
      <c r="W53" s="238" t="s">
        <v>451</v>
      </c>
      <c r="X53" s="238"/>
      <c r="Y53" s="10" t="s">
        <v>284</v>
      </c>
      <c r="Z53" s="10" t="s">
        <v>452</v>
      </c>
      <c r="AA53" s="238" t="s">
        <v>5994</v>
      </c>
      <c r="AB53" s="238"/>
      <c r="AC53" s="238"/>
      <c r="AD53" s="238"/>
      <c r="AE53" s="238"/>
      <c r="AF53" s="10" t="s">
        <v>5995</v>
      </c>
      <c r="AG53" s="237" t="s">
        <v>5996</v>
      </c>
      <c r="AH53" s="237"/>
      <c r="AI53" s="237"/>
      <c r="AJ53" s="237"/>
      <c r="AK53" s="237"/>
      <c r="AL53" s="2"/>
      <c r="AM53" s="2"/>
      <c r="AN53" s="2"/>
      <c r="AO53" s="2"/>
      <c r="AP53" s="7"/>
    </row>
    <row r="54" spans="1:42" ht="13.5" thickBot="1">
      <c r="A54" s="6"/>
      <c r="B54" s="2"/>
      <c r="C54" s="2"/>
      <c r="D54" s="244" t="s">
        <v>285</v>
      </c>
      <c r="E54" s="244"/>
      <c r="F54" s="238" t="s">
        <v>5997</v>
      </c>
      <c r="G54" s="238"/>
      <c r="H54" s="238"/>
      <c r="I54" s="238"/>
      <c r="J54" s="10" t="s">
        <v>5998</v>
      </c>
      <c r="K54" s="238" t="s">
        <v>5999</v>
      </c>
      <c r="L54" s="238"/>
      <c r="M54" s="238"/>
      <c r="N54" s="238" t="s">
        <v>6000</v>
      </c>
      <c r="O54" s="238"/>
      <c r="P54" s="238"/>
      <c r="Q54" s="238" t="s">
        <v>6001</v>
      </c>
      <c r="R54" s="238"/>
      <c r="S54" s="238"/>
      <c r="T54" s="238"/>
      <c r="U54" s="238"/>
      <c r="V54" s="238"/>
      <c r="W54" s="238" t="s">
        <v>6002</v>
      </c>
      <c r="X54" s="238"/>
      <c r="Y54" s="10" t="s">
        <v>6003</v>
      </c>
      <c r="Z54" s="10" t="s">
        <v>6004</v>
      </c>
      <c r="AA54" s="238" t="s">
        <v>6005</v>
      </c>
      <c r="AB54" s="238"/>
      <c r="AC54" s="238"/>
      <c r="AD54" s="238"/>
      <c r="AE54" s="238"/>
      <c r="AF54" s="10" t="s">
        <v>6006</v>
      </c>
      <c r="AG54" s="237" t="s">
        <v>6007</v>
      </c>
      <c r="AH54" s="237"/>
      <c r="AI54" s="237"/>
      <c r="AJ54" s="237"/>
      <c r="AK54" s="237"/>
      <c r="AL54" s="2"/>
      <c r="AM54" s="2"/>
      <c r="AN54" s="2"/>
      <c r="AO54" s="2"/>
      <c r="AP54" s="7"/>
    </row>
    <row r="55" spans="1:42" ht="13.5" thickBot="1">
      <c r="A55" s="6"/>
      <c r="B55" s="2"/>
      <c r="C55" s="2"/>
      <c r="D55" s="244" t="s">
        <v>295</v>
      </c>
      <c r="E55" s="244"/>
      <c r="F55" s="238" t="s">
        <v>6008</v>
      </c>
      <c r="G55" s="238"/>
      <c r="H55" s="238"/>
      <c r="I55" s="238"/>
      <c r="J55" s="10" t="s">
        <v>6009</v>
      </c>
      <c r="K55" s="238" t="s">
        <v>6010</v>
      </c>
      <c r="L55" s="238"/>
      <c r="M55" s="238"/>
      <c r="N55" s="238" t="s">
        <v>6011</v>
      </c>
      <c r="O55" s="238"/>
      <c r="P55" s="238"/>
      <c r="Q55" s="238" t="s">
        <v>6012</v>
      </c>
      <c r="R55" s="238"/>
      <c r="S55" s="238"/>
      <c r="T55" s="238"/>
      <c r="U55" s="238"/>
      <c r="V55" s="238"/>
      <c r="W55" s="238" t="s">
        <v>377</v>
      </c>
      <c r="X55" s="238"/>
      <c r="Y55" s="10" t="s">
        <v>6013</v>
      </c>
      <c r="Z55" s="10" t="s">
        <v>6014</v>
      </c>
      <c r="AA55" s="238" t="s">
        <v>378</v>
      </c>
      <c r="AB55" s="238"/>
      <c r="AC55" s="238"/>
      <c r="AD55" s="238"/>
      <c r="AE55" s="238"/>
      <c r="AF55" s="10" t="s">
        <v>6015</v>
      </c>
      <c r="AG55" s="237" t="s">
        <v>6016</v>
      </c>
      <c r="AH55" s="237"/>
      <c r="AI55" s="237"/>
      <c r="AJ55" s="237"/>
      <c r="AK55" s="237"/>
      <c r="AL55" s="2"/>
      <c r="AM55" s="2"/>
      <c r="AN55" s="2"/>
      <c r="AO55" s="2"/>
      <c r="AP55" s="7"/>
    </row>
    <row r="56" spans="1:42" ht="13.5" thickBot="1">
      <c r="A56" s="6"/>
      <c r="B56" s="2"/>
      <c r="C56" s="2"/>
      <c r="D56" s="244" t="s">
        <v>307</v>
      </c>
      <c r="E56" s="244"/>
      <c r="F56" s="238" t="s">
        <v>6017</v>
      </c>
      <c r="G56" s="238"/>
      <c r="H56" s="238"/>
      <c r="I56" s="238"/>
      <c r="J56" s="10" t="s">
        <v>6018</v>
      </c>
      <c r="K56" s="238" t="s">
        <v>399</v>
      </c>
      <c r="L56" s="238"/>
      <c r="M56" s="238"/>
      <c r="N56" s="238" t="s">
        <v>6019</v>
      </c>
      <c r="O56" s="238"/>
      <c r="P56" s="238"/>
      <c r="Q56" s="238" t="s">
        <v>6020</v>
      </c>
      <c r="R56" s="238"/>
      <c r="S56" s="238"/>
      <c r="T56" s="238"/>
      <c r="U56" s="238"/>
      <c r="V56" s="238"/>
      <c r="W56" s="238" t="s">
        <v>6021</v>
      </c>
      <c r="X56" s="238"/>
      <c r="Y56" s="10" t="s">
        <v>6022</v>
      </c>
      <c r="Z56" s="10" t="s">
        <v>6023</v>
      </c>
      <c r="AA56" s="238" t="s">
        <v>6024</v>
      </c>
      <c r="AB56" s="238"/>
      <c r="AC56" s="238"/>
      <c r="AD56" s="238"/>
      <c r="AE56" s="238"/>
      <c r="AF56" s="10" t="s">
        <v>6025</v>
      </c>
      <c r="AG56" s="237" t="s">
        <v>6026</v>
      </c>
      <c r="AH56" s="237"/>
      <c r="AI56" s="237"/>
      <c r="AJ56" s="237"/>
      <c r="AK56" s="237"/>
      <c r="AL56" s="2"/>
      <c r="AM56" s="2"/>
      <c r="AN56" s="2"/>
      <c r="AO56" s="2"/>
      <c r="AP56" s="7"/>
    </row>
    <row r="57" spans="1:42" ht="13.5" thickBot="1">
      <c r="A57" s="6"/>
      <c r="B57" s="2"/>
      <c r="C57" s="2"/>
      <c r="D57" s="244" t="s">
        <v>319</v>
      </c>
      <c r="E57" s="244"/>
      <c r="F57" s="237" t="s">
        <v>6027</v>
      </c>
      <c r="G57" s="237"/>
      <c r="H57" s="237"/>
      <c r="I57" s="237"/>
      <c r="J57" s="11" t="s">
        <v>6028</v>
      </c>
      <c r="K57" s="237" t="s">
        <v>6029</v>
      </c>
      <c r="L57" s="237"/>
      <c r="M57" s="237"/>
      <c r="N57" s="237" t="s">
        <v>6030</v>
      </c>
      <c r="O57" s="237"/>
      <c r="P57" s="237"/>
      <c r="Q57" s="237">
        <v>95.03</v>
      </c>
      <c r="R57" s="237"/>
      <c r="S57" s="237"/>
      <c r="T57" s="237"/>
      <c r="U57" s="237"/>
      <c r="V57" s="237"/>
      <c r="W57" s="237" t="s">
        <v>6032</v>
      </c>
      <c r="X57" s="237"/>
      <c r="Y57" s="11" t="s">
        <v>6033</v>
      </c>
      <c r="Z57" s="11" t="s">
        <v>6034</v>
      </c>
      <c r="AA57" s="237" t="s">
        <v>6035</v>
      </c>
      <c r="AB57" s="237"/>
      <c r="AC57" s="237"/>
      <c r="AD57" s="237"/>
      <c r="AE57" s="237"/>
      <c r="AF57" s="11">
        <v>92.53</v>
      </c>
      <c r="AG57" s="237" t="s">
        <v>6036</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I17:R17"/>
    <mergeCell ref="U17:AA17"/>
    <mergeCell ref="AB15:AC15"/>
    <mergeCell ref="AD15:AJ15"/>
    <mergeCell ref="AB16:AC16"/>
    <mergeCell ref="AD16:AJ16"/>
    <mergeCell ref="I16:R16"/>
    <mergeCell ref="U16:AA16"/>
    <mergeCell ref="D15:R15"/>
    <mergeCell ref="U15:AA15"/>
    <mergeCell ref="M18:O18"/>
    <mergeCell ref="P18:R18"/>
    <mergeCell ref="U18:AA18"/>
    <mergeCell ref="D19:K19"/>
    <mergeCell ref="M19:O19"/>
    <mergeCell ref="P19:R19"/>
    <mergeCell ref="U19:AA19"/>
    <mergeCell ref="G17:H17"/>
    <mergeCell ref="P21:R21"/>
    <mergeCell ref="U21:AA21"/>
    <mergeCell ref="P20:R20"/>
    <mergeCell ref="U20:AA20"/>
    <mergeCell ref="D20:K20"/>
    <mergeCell ref="M20:O20"/>
    <mergeCell ref="D21:K21"/>
    <mergeCell ref="M21:O21"/>
    <mergeCell ref="D18:K18"/>
    <mergeCell ref="AD18:AJ18"/>
    <mergeCell ref="AB19:AC19"/>
    <mergeCell ref="AD19:AJ19"/>
    <mergeCell ref="AB20:AC20"/>
    <mergeCell ref="AD20:AJ20"/>
    <mergeCell ref="AB18:AC18"/>
    <mergeCell ref="AD25:AJ26"/>
    <mergeCell ref="D26:K27"/>
    <mergeCell ref="L26:L27"/>
    <mergeCell ref="M26:O27"/>
    <mergeCell ref="P26:R27"/>
    <mergeCell ref="U25:AA26"/>
    <mergeCell ref="AB25:AC26"/>
    <mergeCell ref="D24:K25"/>
    <mergeCell ref="L24:L25"/>
    <mergeCell ref="M24:O25"/>
    <mergeCell ref="AB21:AC21"/>
    <mergeCell ref="AD21:AJ21"/>
    <mergeCell ref="P22:R23"/>
    <mergeCell ref="U22:AA22"/>
    <mergeCell ref="AB22:AC22"/>
    <mergeCell ref="AD22:AJ22"/>
    <mergeCell ref="U23:AA24"/>
    <mergeCell ref="AB23:AC24"/>
    <mergeCell ref="AD23:AJ24"/>
    <mergeCell ref="P24:R25"/>
    <mergeCell ref="D22:D23"/>
    <mergeCell ref="E22:K23"/>
    <mergeCell ref="L22:L23"/>
    <mergeCell ref="M22:O23"/>
    <mergeCell ref="U27:AA28"/>
    <mergeCell ref="AB27:AC28"/>
    <mergeCell ref="AD27:AJ28"/>
    <mergeCell ref="D28:K29"/>
    <mergeCell ref="L28:L29"/>
    <mergeCell ref="M28:O29"/>
    <mergeCell ref="P28:R29"/>
    <mergeCell ref="U29:AA31"/>
    <mergeCell ref="AB29:AC31"/>
    <mergeCell ref="AD29:AJ31"/>
    <mergeCell ref="D35:Q37"/>
    <mergeCell ref="U36:AA36"/>
    <mergeCell ref="AB36:AC36"/>
    <mergeCell ref="AD36:AJ36"/>
    <mergeCell ref="U37:AA38"/>
    <mergeCell ref="AB37:AC38"/>
    <mergeCell ref="AD37:AJ38"/>
    <mergeCell ref="D38:Q47"/>
    <mergeCell ref="AD40:AJ40"/>
    <mergeCell ref="U45:AA45"/>
    <mergeCell ref="U32:AA32"/>
    <mergeCell ref="AB32:AC32"/>
    <mergeCell ref="AD32:AJ32"/>
    <mergeCell ref="U33:AA35"/>
    <mergeCell ref="AB33:AC35"/>
    <mergeCell ref="AD33:AJ35"/>
    <mergeCell ref="AB45:AC45"/>
    <mergeCell ref="AD45:AJ45"/>
    <mergeCell ref="U46:AA46"/>
    <mergeCell ref="AB46:AC46"/>
    <mergeCell ref="U39:AA39"/>
    <mergeCell ref="AB39:AC39"/>
    <mergeCell ref="AD39:AJ39"/>
    <mergeCell ref="U40:AA40"/>
    <mergeCell ref="AB40:AC40"/>
    <mergeCell ref="AB42:AC42"/>
    <mergeCell ref="AD42:AJ42"/>
    <mergeCell ref="U43:AA43"/>
    <mergeCell ref="AB43:AC43"/>
    <mergeCell ref="AD43:AJ43"/>
    <mergeCell ref="U41:AA41"/>
    <mergeCell ref="AB41:AC41"/>
    <mergeCell ref="AD41:AJ41"/>
    <mergeCell ref="U42:AA42"/>
    <mergeCell ref="U44:AA44"/>
    <mergeCell ref="AB44:AC44"/>
    <mergeCell ref="AD44:AJ44"/>
    <mergeCell ref="D50:E50"/>
    <mergeCell ref="F50:I50"/>
    <mergeCell ref="K50:M50"/>
    <mergeCell ref="N50:P50"/>
    <mergeCell ref="Q50:V50"/>
    <mergeCell ref="AD46:AJ46"/>
    <mergeCell ref="W50:X50"/>
    <mergeCell ref="D51:E51"/>
    <mergeCell ref="F51:I51"/>
    <mergeCell ref="K51:M51"/>
    <mergeCell ref="N51:P51"/>
    <mergeCell ref="Q51:V51"/>
    <mergeCell ref="D48:N49"/>
    <mergeCell ref="V49:AI49"/>
    <mergeCell ref="AA50:AE50"/>
    <mergeCell ref="AG50:AK50"/>
    <mergeCell ref="W52:X52"/>
    <mergeCell ref="D52:E52"/>
    <mergeCell ref="F52:I52"/>
    <mergeCell ref="K52:M52"/>
    <mergeCell ref="N52:P52"/>
    <mergeCell ref="AA52:AE52"/>
    <mergeCell ref="W54:X54"/>
    <mergeCell ref="AA53:AE53"/>
    <mergeCell ref="F53:I53"/>
    <mergeCell ref="K53:M53"/>
    <mergeCell ref="AA51:AE51"/>
    <mergeCell ref="AG51:AK51"/>
    <mergeCell ref="AG53:AK53"/>
    <mergeCell ref="AG52:AK52"/>
    <mergeCell ref="W51:X51"/>
    <mergeCell ref="Q52:V52"/>
    <mergeCell ref="AA56:AE56"/>
    <mergeCell ref="D54:E54"/>
    <mergeCell ref="F54:I54"/>
    <mergeCell ref="K54:M54"/>
    <mergeCell ref="N54:P54"/>
    <mergeCell ref="Q53:V53"/>
    <mergeCell ref="W53:X53"/>
    <mergeCell ref="D53:E53"/>
    <mergeCell ref="N53:P53"/>
    <mergeCell ref="Q54:V54"/>
    <mergeCell ref="F56:I56"/>
    <mergeCell ref="N56:P56"/>
    <mergeCell ref="D55:E55"/>
    <mergeCell ref="AA54:AE54"/>
    <mergeCell ref="AG56:AK56"/>
    <mergeCell ref="Q55:V55"/>
    <mergeCell ref="W55:X55"/>
    <mergeCell ref="AA55:AE55"/>
    <mergeCell ref="AG55:AK55"/>
    <mergeCell ref="W56:X56"/>
    <mergeCell ref="W57:X57"/>
    <mergeCell ref="AG54:AK54"/>
    <mergeCell ref="F57:I57"/>
    <mergeCell ref="K57:M57"/>
    <mergeCell ref="AG57:AK57"/>
    <mergeCell ref="D57:E57"/>
    <mergeCell ref="F55:I55"/>
    <mergeCell ref="K55:M55"/>
    <mergeCell ref="N55:P55"/>
    <mergeCell ref="D56:E56"/>
    <mergeCell ref="AA57:AE57"/>
    <mergeCell ref="K56:M56"/>
    <mergeCell ref="N57:P57"/>
    <mergeCell ref="Q56:V56"/>
    <mergeCell ref="D63:AI63"/>
    <mergeCell ref="D60:Q60"/>
    <mergeCell ref="T60:AH60"/>
    <mergeCell ref="D61:Q61"/>
    <mergeCell ref="T61:AH61"/>
    <mergeCell ref="Q57:V57"/>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indexed="41"/>
    <outlinePr summaryBelow="0" summaryRight="0"/>
  </sheetPr>
  <dimension ref="A1:AU63"/>
  <sheetViews>
    <sheetView showGridLines="0" topLeftCell="E1" workbookViewId="0">
      <pane ySplit="1" topLeftCell="A2" activePane="bottomLeft" state="frozenSplit"/>
      <selection activeCell="AT32" sqref="AT32"/>
      <selection pane="bottomLeft"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425781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6037</v>
      </c>
      <c r="E7" s="269"/>
      <c r="F7" s="269"/>
      <c r="G7" s="269"/>
      <c r="H7" s="269" t="s">
        <v>6038</v>
      </c>
      <c r="I7" s="269"/>
      <c r="J7" s="269"/>
      <c r="K7" s="269"/>
      <c r="L7" s="269"/>
      <c r="M7" s="269"/>
      <c r="N7" s="269"/>
      <c r="O7" s="269"/>
      <c r="P7" s="269"/>
      <c r="Q7" s="269"/>
      <c r="R7" s="269"/>
      <c r="S7" s="269"/>
      <c r="T7" s="269"/>
      <c r="U7" s="269"/>
      <c r="V7" s="269"/>
      <c r="W7" s="269"/>
      <c r="X7" s="270" t="s">
        <v>5707</v>
      </c>
      <c r="Y7" s="270"/>
      <c r="Z7" s="270"/>
      <c r="AA7" s="270"/>
      <c r="AB7" s="270"/>
      <c r="AC7" s="270"/>
      <c r="AD7" s="270"/>
      <c r="AE7" s="270"/>
      <c r="AF7" s="270"/>
      <c r="AG7" s="270"/>
      <c r="AH7" s="270"/>
      <c r="AI7" s="270"/>
      <c r="AJ7" s="270"/>
      <c r="AK7" s="270"/>
      <c r="AL7" s="270"/>
      <c r="AM7" s="270"/>
      <c r="AN7" s="2"/>
      <c r="AO7" s="2"/>
      <c r="AP7" s="7"/>
      <c r="AT7" s="22" t="s">
        <v>1518</v>
      </c>
      <c r="AU7" s="35" t="str">
        <f>H7</f>
        <v>LOVIISA-2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405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405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406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406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1500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510</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488</v>
      </c>
    </row>
    <row r="18" spans="1:47" ht="13.5" thickBot="1">
      <c r="A18" s="6"/>
      <c r="B18" s="1"/>
      <c r="C18" s="1"/>
      <c r="D18" s="248" t="s">
        <v>185</v>
      </c>
      <c r="E18" s="248"/>
      <c r="F18" s="248"/>
      <c r="G18" s="248"/>
      <c r="H18" s="248"/>
      <c r="I18" s="248"/>
      <c r="J18" s="248"/>
      <c r="K18" s="248"/>
      <c r="L18" s="8" t="s">
        <v>5709</v>
      </c>
      <c r="M18" s="264">
        <v>1500</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29529</v>
      </c>
    </row>
    <row r="19" spans="1:47" ht="13.5" thickBot="1">
      <c r="A19" s="6"/>
      <c r="B19" s="1"/>
      <c r="C19" s="1"/>
      <c r="D19" s="248" t="s">
        <v>189</v>
      </c>
      <c r="E19" s="248"/>
      <c r="F19" s="248"/>
      <c r="G19" s="248"/>
      <c r="H19" s="248"/>
      <c r="I19" s="248"/>
      <c r="J19" s="248"/>
      <c r="K19" s="248"/>
      <c r="L19" s="8" t="s">
        <v>5709</v>
      </c>
      <c r="M19" s="264">
        <v>510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40000</v>
      </c>
    </row>
    <row r="20" spans="1:47" ht="13.5" thickBot="1">
      <c r="A20" s="6"/>
      <c r="B20" s="1"/>
      <c r="C20" s="1"/>
      <c r="D20" s="248" t="s">
        <v>193</v>
      </c>
      <c r="E20" s="248"/>
      <c r="F20" s="248"/>
      <c r="G20" s="248"/>
      <c r="H20" s="248"/>
      <c r="I20" s="248"/>
      <c r="J20" s="248"/>
      <c r="K20" s="248"/>
      <c r="L20" s="8" t="s">
        <v>5709</v>
      </c>
      <c r="M20" s="264">
        <v>420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95.35</v>
      </c>
    </row>
    <row r="21" spans="1:47" ht="13.5" thickBot="1">
      <c r="A21" s="6"/>
      <c r="B21" s="1"/>
      <c r="C21" s="1"/>
      <c r="D21" s="248" t="s">
        <v>196</v>
      </c>
      <c r="E21" s="248"/>
      <c r="F21" s="248"/>
      <c r="G21" s="248"/>
      <c r="H21" s="248"/>
      <c r="I21" s="248"/>
      <c r="J21" s="248"/>
      <c r="K21" s="248"/>
      <c r="L21" s="8" t="s">
        <v>5709</v>
      </c>
      <c r="M21" s="264">
        <v>488</v>
      </c>
      <c r="N21" s="264"/>
      <c r="O21" s="264"/>
      <c r="P21" s="248" t="s">
        <v>190</v>
      </c>
      <c r="Q21" s="248"/>
      <c r="R21" s="248"/>
      <c r="S21" s="2"/>
      <c r="T21" s="2"/>
      <c r="U21" s="252" t="s">
        <v>197</v>
      </c>
      <c r="V21" s="252"/>
      <c r="W21" s="252"/>
      <c r="X21" s="252"/>
      <c r="Y21" s="252"/>
      <c r="Z21" s="252"/>
      <c r="AA21" s="252"/>
      <c r="AB21" s="247" t="s">
        <v>5709</v>
      </c>
      <c r="AC21" s="247"/>
      <c r="AD21" s="248" t="s">
        <v>410</v>
      </c>
      <c r="AE21" s="248"/>
      <c r="AF21" s="248"/>
      <c r="AG21" s="248"/>
      <c r="AH21" s="248"/>
      <c r="AI21" s="248"/>
      <c r="AJ21" s="248"/>
      <c r="AK21" s="2"/>
      <c r="AL21" s="1"/>
      <c r="AM21" s="2"/>
      <c r="AN21" s="1"/>
      <c r="AO21" s="2"/>
      <c r="AP21" s="7"/>
      <c r="AT21" s="23" t="str">
        <f>D57&amp;AF50</f>
        <v>LF [%]2010</v>
      </c>
      <c r="AU21" s="23">
        <f>AF57</f>
        <v>88.64</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412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26512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29529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414</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29591</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417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6039</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6040</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423</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6041</v>
      </c>
      <c r="G51" s="238"/>
      <c r="H51" s="238"/>
      <c r="I51" s="238"/>
      <c r="J51" s="10" t="s">
        <v>6042</v>
      </c>
      <c r="K51" s="238" t="s">
        <v>6043</v>
      </c>
      <c r="L51" s="238"/>
      <c r="M51" s="238"/>
      <c r="N51" s="238" t="s">
        <v>6044</v>
      </c>
      <c r="O51" s="238"/>
      <c r="P51" s="238"/>
      <c r="Q51" s="238" t="s">
        <v>6045</v>
      </c>
      <c r="R51" s="238"/>
      <c r="S51" s="238"/>
      <c r="T51" s="238"/>
      <c r="U51" s="238"/>
      <c r="V51" s="238"/>
      <c r="W51" s="238" t="s">
        <v>6046</v>
      </c>
      <c r="X51" s="238"/>
      <c r="Y51" s="10" t="s">
        <v>6047</v>
      </c>
      <c r="Z51" s="10" t="s">
        <v>6048</v>
      </c>
      <c r="AA51" s="238" t="s">
        <v>6049</v>
      </c>
      <c r="AB51" s="238"/>
      <c r="AC51" s="238"/>
      <c r="AD51" s="238"/>
      <c r="AE51" s="238"/>
      <c r="AF51" s="10" t="s">
        <v>6050</v>
      </c>
      <c r="AG51" s="237" t="s">
        <v>6051</v>
      </c>
      <c r="AH51" s="237"/>
      <c r="AI51" s="237"/>
      <c r="AJ51" s="237"/>
      <c r="AK51" s="237"/>
      <c r="AL51" s="2"/>
      <c r="AM51" s="2"/>
      <c r="AN51" s="2"/>
      <c r="AO51" s="2"/>
      <c r="AP51" s="7"/>
    </row>
    <row r="52" spans="1:42" ht="13.5" thickBot="1">
      <c r="A52" s="6"/>
      <c r="B52" s="2"/>
      <c r="C52" s="2"/>
      <c r="D52" s="244" t="s">
        <v>261</v>
      </c>
      <c r="E52" s="244"/>
      <c r="F52" s="238" t="s">
        <v>6052</v>
      </c>
      <c r="G52" s="238"/>
      <c r="H52" s="238"/>
      <c r="I52" s="238"/>
      <c r="J52" s="10" t="s">
        <v>6053</v>
      </c>
      <c r="K52" s="238" t="s">
        <v>6054</v>
      </c>
      <c r="L52" s="238"/>
      <c r="M52" s="238"/>
      <c r="N52" s="238" t="s">
        <v>6055</v>
      </c>
      <c r="O52" s="238"/>
      <c r="P52" s="238"/>
      <c r="Q52" s="238" t="s">
        <v>6056</v>
      </c>
      <c r="R52" s="238"/>
      <c r="S52" s="238"/>
      <c r="T52" s="238"/>
      <c r="U52" s="238"/>
      <c r="V52" s="238"/>
      <c r="W52" s="238" t="s">
        <v>6057</v>
      </c>
      <c r="X52" s="238"/>
      <c r="Y52" s="10" t="s">
        <v>6058</v>
      </c>
      <c r="Z52" s="10" t="s">
        <v>6059</v>
      </c>
      <c r="AA52" s="238" t="s">
        <v>6060</v>
      </c>
      <c r="AB52" s="238"/>
      <c r="AC52" s="238"/>
      <c r="AD52" s="238"/>
      <c r="AE52" s="238"/>
      <c r="AF52" s="10" t="s">
        <v>6061</v>
      </c>
      <c r="AG52" s="237" t="s">
        <v>6062</v>
      </c>
      <c r="AH52" s="237"/>
      <c r="AI52" s="237"/>
      <c r="AJ52" s="237"/>
      <c r="AK52" s="237"/>
      <c r="AL52" s="2"/>
      <c r="AM52" s="2"/>
      <c r="AN52" s="2"/>
      <c r="AO52" s="2"/>
      <c r="AP52" s="7"/>
    </row>
    <row r="53" spans="1:42" ht="13.5" thickBot="1">
      <c r="A53" s="6"/>
      <c r="B53" s="2"/>
      <c r="C53" s="2"/>
      <c r="D53" s="244" t="s">
        <v>273</v>
      </c>
      <c r="E53" s="244"/>
      <c r="F53" s="238" t="s">
        <v>6063</v>
      </c>
      <c r="G53" s="238"/>
      <c r="H53" s="238"/>
      <c r="I53" s="238"/>
      <c r="J53" s="10" t="s">
        <v>6064</v>
      </c>
      <c r="K53" s="238" t="s">
        <v>6065</v>
      </c>
      <c r="L53" s="238"/>
      <c r="M53" s="238"/>
      <c r="N53" s="238" t="s">
        <v>6066</v>
      </c>
      <c r="O53" s="238"/>
      <c r="P53" s="238"/>
      <c r="Q53" s="238" t="s">
        <v>6067</v>
      </c>
      <c r="R53" s="238"/>
      <c r="S53" s="238"/>
      <c r="T53" s="238"/>
      <c r="U53" s="238"/>
      <c r="V53" s="238"/>
      <c r="W53" s="238" t="s">
        <v>6068</v>
      </c>
      <c r="X53" s="238"/>
      <c r="Y53" s="10" t="s">
        <v>6069</v>
      </c>
      <c r="Z53" s="10" t="s">
        <v>6070</v>
      </c>
      <c r="AA53" s="238" t="s">
        <v>6071</v>
      </c>
      <c r="AB53" s="238"/>
      <c r="AC53" s="238"/>
      <c r="AD53" s="238"/>
      <c r="AE53" s="238"/>
      <c r="AF53" s="10" t="s">
        <v>6072</v>
      </c>
      <c r="AG53" s="237" t="s">
        <v>6073</v>
      </c>
      <c r="AH53" s="237"/>
      <c r="AI53" s="237"/>
      <c r="AJ53" s="237"/>
      <c r="AK53" s="237"/>
      <c r="AL53" s="2"/>
      <c r="AM53" s="2"/>
      <c r="AN53" s="2"/>
      <c r="AO53" s="2"/>
      <c r="AP53" s="7"/>
    </row>
    <row r="54" spans="1:42" ht="13.5" thickBot="1">
      <c r="A54" s="6"/>
      <c r="B54" s="2"/>
      <c r="C54" s="2"/>
      <c r="D54" s="244" t="s">
        <v>285</v>
      </c>
      <c r="E54" s="244"/>
      <c r="F54" s="238" t="s">
        <v>6074</v>
      </c>
      <c r="G54" s="238"/>
      <c r="H54" s="238"/>
      <c r="I54" s="238"/>
      <c r="J54" s="10" t="s">
        <v>442</v>
      </c>
      <c r="K54" s="238" t="s">
        <v>6075</v>
      </c>
      <c r="L54" s="238"/>
      <c r="M54" s="238"/>
      <c r="N54" s="238" t="s">
        <v>371</v>
      </c>
      <c r="O54" s="238"/>
      <c r="P54" s="238"/>
      <c r="Q54" s="238" t="s">
        <v>6076</v>
      </c>
      <c r="R54" s="238"/>
      <c r="S54" s="238"/>
      <c r="T54" s="238"/>
      <c r="U54" s="238"/>
      <c r="V54" s="238"/>
      <c r="W54" s="238" t="s">
        <v>6077</v>
      </c>
      <c r="X54" s="238"/>
      <c r="Y54" s="10" t="s">
        <v>6078</v>
      </c>
      <c r="Z54" s="10" t="s">
        <v>6079</v>
      </c>
      <c r="AA54" s="238" t="s">
        <v>271</v>
      </c>
      <c r="AB54" s="238"/>
      <c r="AC54" s="238"/>
      <c r="AD54" s="238"/>
      <c r="AE54" s="238"/>
      <c r="AF54" s="10" t="s">
        <v>6062</v>
      </c>
      <c r="AG54" s="237" t="s">
        <v>6080</v>
      </c>
      <c r="AH54" s="237"/>
      <c r="AI54" s="237"/>
      <c r="AJ54" s="237"/>
      <c r="AK54" s="237"/>
      <c r="AL54" s="2"/>
      <c r="AM54" s="2"/>
      <c r="AN54" s="2"/>
      <c r="AO54" s="2"/>
      <c r="AP54" s="7"/>
    </row>
    <row r="55" spans="1:42" ht="13.5" thickBot="1">
      <c r="A55" s="6"/>
      <c r="B55" s="2"/>
      <c r="C55" s="2"/>
      <c r="D55" s="244" t="s">
        <v>295</v>
      </c>
      <c r="E55" s="244"/>
      <c r="F55" s="238" t="s">
        <v>6081</v>
      </c>
      <c r="G55" s="238"/>
      <c r="H55" s="238"/>
      <c r="I55" s="238"/>
      <c r="J55" s="10" t="s">
        <v>6082</v>
      </c>
      <c r="K55" s="238" t="s">
        <v>6083</v>
      </c>
      <c r="L55" s="238"/>
      <c r="M55" s="238"/>
      <c r="N55" s="238" t="s">
        <v>6084</v>
      </c>
      <c r="O55" s="238"/>
      <c r="P55" s="238"/>
      <c r="Q55" s="238" t="s">
        <v>6010</v>
      </c>
      <c r="R55" s="238"/>
      <c r="S55" s="238"/>
      <c r="T55" s="238"/>
      <c r="U55" s="238"/>
      <c r="V55" s="238"/>
      <c r="W55" s="238" t="s">
        <v>6085</v>
      </c>
      <c r="X55" s="238"/>
      <c r="Y55" s="10" t="s">
        <v>6011</v>
      </c>
      <c r="Z55" s="10" t="s">
        <v>6086</v>
      </c>
      <c r="AA55" s="238" t="s">
        <v>377</v>
      </c>
      <c r="AB55" s="238"/>
      <c r="AC55" s="238"/>
      <c r="AD55" s="238"/>
      <c r="AE55" s="238"/>
      <c r="AF55" s="10" t="s">
        <v>6087</v>
      </c>
      <c r="AG55" s="237" t="s">
        <v>6088</v>
      </c>
      <c r="AH55" s="237"/>
      <c r="AI55" s="237"/>
      <c r="AJ55" s="237"/>
      <c r="AK55" s="237"/>
      <c r="AL55" s="2"/>
      <c r="AM55" s="2"/>
      <c r="AN55" s="2"/>
      <c r="AO55" s="2"/>
      <c r="AP55" s="7"/>
    </row>
    <row r="56" spans="1:42" ht="13.5" thickBot="1">
      <c r="A56" s="6"/>
      <c r="B56" s="2"/>
      <c r="C56" s="2"/>
      <c r="D56" s="244" t="s">
        <v>307</v>
      </c>
      <c r="E56" s="244"/>
      <c r="F56" s="238" t="s">
        <v>6089</v>
      </c>
      <c r="G56" s="238"/>
      <c r="H56" s="238"/>
      <c r="I56" s="238"/>
      <c r="J56" s="10" t="s">
        <v>6090</v>
      </c>
      <c r="K56" s="238" t="s">
        <v>6091</v>
      </c>
      <c r="L56" s="238"/>
      <c r="M56" s="238"/>
      <c r="N56" s="238" t="s">
        <v>6092</v>
      </c>
      <c r="O56" s="238"/>
      <c r="P56" s="238"/>
      <c r="Q56" s="238" t="s">
        <v>384</v>
      </c>
      <c r="R56" s="238"/>
      <c r="S56" s="238"/>
      <c r="T56" s="238"/>
      <c r="U56" s="238"/>
      <c r="V56" s="238"/>
      <c r="W56" s="238" t="s">
        <v>6093</v>
      </c>
      <c r="X56" s="238"/>
      <c r="Y56" s="10" t="s">
        <v>6094</v>
      </c>
      <c r="Z56" s="10" t="s">
        <v>6095</v>
      </c>
      <c r="AA56" s="238" t="s">
        <v>6096</v>
      </c>
      <c r="AB56" s="238"/>
      <c r="AC56" s="238"/>
      <c r="AD56" s="238"/>
      <c r="AE56" s="238"/>
      <c r="AF56" s="10" t="s">
        <v>6097</v>
      </c>
      <c r="AG56" s="237" t="s">
        <v>6098</v>
      </c>
      <c r="AH56" s="237"/>
      <c r="AI56" s="237"/>
      <c r="AJ56" s="237"/>
      <c r="AK56" s="237"/>
      <c r="AL56" s="2"/>
      <c r="AM56" s="2"/>
      <c r="AN56" s="2"/>
      <c r="AO56" s="2"/>
      <c r="AP56" s="7"/>
    </row>
    <row r="57" spans="1:42" ht="13.5" thickBot="1">
      <c r="A57" s="6"/>
      <c r="B57" s="2"/>
      <c r="C57" s="2"/>
      <c r="D57" s="244" t="s">
        <v>319</v>
      </c>
      <c r="E57" s="244"/>
      <c r="F57" s="237" t="s">
        <v>6099</v>
      </c>
      <c r="G57" s="237"/>
      <c r="H57" s="237"/>
      <c r="I57" s="237"/>
      <c r="J57" s="11" t="s">
        <v>6100</v>
      </c>
      <c r="K57" s="237" t="s">
        <v>6101</v>
      </c>
      <c r="L57" s="237"/>
      <c r="M57" s="237"/>
      <c r="N57" s="237" t="s">
        <v>6102</v>
      </c>
      <c r="O57" s="237"/>
      <c r="P57" s="237"/>
      <c r="Q57" s="237">
        <v>95.35</v>
      </c>
      <c r="R57" s="237"/>
      <c r="S57" s="237"/>
      <c r="T57" s="237"/>
      <c r="U57" s="237"/>
      <c r="V57" s="237"/>
      <c r="W57" s="237" t="s">
        <v>6104</v>
      </c>
      <c r="X57" s="237"/>
      <c r="Y57" s="11" t="s">
        <v>6105</v>
      </c>
      <c r="Z57" s="11" t="s">
        <v>6106</v>
      </c>
      <c r="AA57" s="237" t="s">
        <v>6107</v>
      </c>
      <c r="AB57" s="237"/>
      <c r="AC57" s="237"/>
      <c r="AD57" s="237"/>
      <c r="AE57" s="237"/>
      <c r="AF57" s="11">
        <v>88.64</v>
      </c>
      <c r="AG57" s="237" t="s">
        <v>6109</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I17:R17"/>
    <mergeCell ref="U17:AA17"/>
    <mergeCell ref="AB15:AC15"/>
    <mergeCell ref="AD15:AJ15"/>
    <mergeCell ref="AB16:AC16"/>
    <mergeCell ref="AD16:AJ16"/>
    <mergeCell ref="I16:R16"/>
    <mergeCell ref="U16:AA16"/>
    <mergeCell ref="D15:R15"/>
    <mergeCell ref="U15:AA15"/>
    <mergeCell ref="M18:O18"/>
    <mergeCell ref="P18:R18"/>
    <mergeCell ref="U18:AA18"/>
    <mergeCell ref="D19:K19"/>
    <mergeCell ref="M19:O19"/>
    <mergeCell ref="P19:R19"/>
    <mergeCell ref="U19:AA19"/>
    <mergeCell ref="G17:H17"/>
    <mergeCell ref="P21:R21"/>
    <mergeCell ref="U21:AA21"/>
    <mergeCell ref="P20:R20"/>
    <mergeCell ref="U20:AA20"/>
    <mergeCell ref="D20:K20"/>
    <mergeCell ref="M20:O20"/>
    <mergeCell ref="D21:K21"/>
    <mergeCell ref="M21:O21"/>
    <mergeCell ref="D18:K18"/>
    <mergeCell ref="AD18:AJ18"/>
    <mergeCell ref="AB19:AC19"/>
    <mergeCell ref="AD19:AJ19"/>
    <mergeCell ref="AB20:AC20"/>
    <mergeCell ref="AD20:AJ20"/>
    <mergeCell ref="AB18:AC18"/>
    <mergeCell ref="AD25:AJ26"/>
    <mergeCell ref="D26:K27"/>
    <mergeCell ref="L26:L27"/>
    <mergeCell ref="M26:O27"/>
    <mergeCell ref="P26:R27"/>
    <mergeCell ref="U25:AA26"/>
    <mergeCell ref="AB25:AC26"/>
    <mergeCell ref="D24:K25"/>
    <mergeCell ref="L24:L25"/>
    <mergeCell ref="M24:O25"/>
    <mergeCell ref="AB21:AC21"/>
    <mergeCell ref="AD21:AJ21"/>
    <mergeCell ref="P22:R23"/>
    <mergeCell ref="U22:AA22"/>
    <mergeCell ref="AB22:AC22"/>
    <mergeCell ref="AD22:AJ22"/>
    <mergeCell ref="U23:AA24"/>
    <mergeCell ref="AB23:AC24"/>
    <mergeCell ref="AD23:AJ24"/>
    <mergeCell ref="P24:R25"/>
    <mergeCell ref="D22:D23"/>
    <mergeCell ref="E22:K23"/>
    <mergeCell ref="L22:L23"/>
    <mergeCell ref="M22:O23"/>
    <mergeCell ref="U27:AA28"/>
    <mergeCell ref="AB27:AC28"/>
    <mergeCell ref="AD27:AJ28"/>
    <mergeCell ref="D28:K29"/>
    <mergeCell ref="L28:L29"/>
    <mergeCell ref="M28:O29"/>
    <mergeCell ref="P28:R29"/>
    <mergeCell ref="U29:AA31"/>
    <mergeCell ref="AB29:AC31"/>
    <mergeCell ref="AD29:AJ31"/>
    <mergeCell ref="D35:Q37"/>
    <mergeCell ref="U36:AA36"/>
    <mergeCell ref="AB36:AC36"/>
    <mergeCell ref="AD36:AJ36"/>
    <mergeCell ref="U37:AA38"/>
    <mergeCell ref="AB37:AC38"/>
    <mergeCell ref="AD37:AJ38"/>
    <mergeCell ref="D38:Q47"/>
    <mergeCell ref="AD40:AJ40"/>
    <mergeCell ref="U45:AA45"/>
    <mergeCell ref="U32:AA32"/>
    <mergeCell ref="AB32:AC32"/>
    <mergeCell ref="AD32:AJ32"/>
    <mergeCell ref="U33:AA35"/>
    <mergeCell ref="AB33:AC35"/>
    <mergeCell ref="AD33:AJ35"/>
    <mergeCell ref="AB45:AC45"/>
    <mergeCell ref="AD45:AJ45"/>
    <mergeCell ref="U46:AA46"/>
    <mergeCell ref="AB46:AC46"/>
    <mergeCell ref="U39:AA39"/>
    <mergeCell ref="AB39:AC39"/>
    <mergeCell ref="AD39:AJ39"/>
    <mergeCell ref="U40:AA40"/>
    <mergeCell ref="AB40:AC40"/>
    <mergeCell ref="AB42:AC42"/>
    <mergeCell ref="AD42:AJ42"/>
    <mergeCell ref="U43:AA43"/>
    <mergeCell ref="AB43:AC43"/>
    <mergeCell ref="AD43:AJ43"/>
    <mergeCell ref="U41:AA41"/>
    <mergeCell ref="AB41:AC41"/>
    <mergeCell ref="AD41:AJ41"/>
    <mergeCell ref="U42:AA42"/>
    <mergeCell ref="U44:AA44"/>
    <mergeCell ref="AB44:AC44"/>
    <mergeCell ref="AD44:AJ44"/>
    <mergeCell ref="D50:E50"/>
    <mergeCell ref="F50:I50"/>
    <mergeCell ref="K50:M50"/>
    <mergeCell ref="N50:P50"/>
    <mergeCell ref="Q50:V50"/>
    <mergeCell ref="AD46:AJ46"/>
    <mergeCell ref="W50:X50"/>
    <mergeCell ref="D51:E51"/>
    <mergeCell ref="F51:I51"/>
    <mergeCell ref="K51:M51"/>
    <mergeCell ref="N51:P51"/>
    <mergeCell ref="Q51:V51"/>
    <mergeCell ref="D48:N49"/>
    <mergeCell ref="V49:AI49"/>
    <mergeCell ref="AA50:AE50"/>
    <mergeCell ref="AG50:AK50"/>
    <mergeCell ref="W52:X52"/>
    <mergeCell ref="D52:E52"/>
    <mergeCell ref="F52:I52"/>
    <mergeCell ref="K52:M52"/>
    <mergeCell ref="N52:P52"/>
    <mergeCell ref="AA52:AE52"/>
    <mergeCell ref="W54:X54"/>
    <mergeCell ref="AA53:AE53"/>
    <mergeCell ref="F53:I53"/>
    <mergeCell ref="K53:M53"/>
    <mergeCell ref="AA51:AE51"/>
    <mergeCell ref="AG51:AK51"/>
    <mergeCell ref="AG53:AK53"/>
    <mergeCell ref="AG52:AK52"/>
    <mergeCell ref="W51:X51"/>
    <mergeCell ref="Q52:V52"/>
    <mergeCell ref="AA56:AE56"/>
    <mergeCell ref="D54:E54"/>
    <mergeCell ref="F54:I54"/>
    <mergeCell ref="K54:M54"/>
    <mergeCell ref="N54:P54"/>
    <mergeCell ref="Q53:V53"/>
    <mergeCell ref="W53:X53"/>
    <mergeCell ref="D53:E53"/>
    <mergeCell ref="N53:P53"/>
    <mergeCell ref="Q54:V54"/>
    <mergeCell ref="F56:I56"/>
    <mergeCell ref="N56:P56"/>
    <mergeCell ref="D55:E55"/>
    <mergeCell ref="AA54:AE54"/>
    <mergeCell ref="AG56:AK56"/>
    <mergeCell ref="Q55:V55"/>
    <mergeCell ref="W55:X55"/>
    <mergeCell ref="AA55:AE55"/>
    <mergeCell ref="AG55:AK55"/>
    <mergeCell ref="W56:X56"/>
    <mergeCell ref="W57:X57"/>
    <mergeCell ref="AG54:AK54"/>
    <mergeCell ref="F57:I57"/>
    <mergeCell ref="K57:M57"/>
    <mergeCell ref="AG57:AK57"/>
    <mergeCell ref="D57:E57"/>
    <mergeCell ref="F55:I55"/>
    <mergeCell ref="K55:M55"/>
    <mergeCell ref="N55:P55"/>
    <mergeCell ref="D56:E56"/>
    <mergeCell ref="AA57:AE57"/>
    <mergeCell ref="K56:M56"/>
    <mergeCell ref="N57:P57"/>
    <mergeCell ref="Q56:V56"/>
    <mergeCell ref="D63:AI63"/>
    <mergeCell ref="D60:Q60"/>
    <mergeCell ref="T60:AH60"/>
    <mergeCell ref="D61:Q61"/>
    <mergeCell ref="T61:AH61"/>
    <mergeCell ref="Q57:V57"/>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indexed="41"/>
    <outlinePr summaryBelow="0" summaryRight="0"/>
  </sheetPr>
  <dimension ref="A1:AU63"/>
  <sheetViews>
    <sheetView showGridLines="0" topLeftCell="E1" workbookViewId="0">
      <pane ySplit="1" topLeftCell="A2" activePane="bottomLeft" state="frozenSplit"/>
      <selection activeCell="AT32" sqref="AT32"/>
      <selection pane="bottomLeft"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42578125" customWidth="1"/>
    <col min="44" max="45" width="1" customWidth="1"/>
    <col min="46" max="46" width="34.42578125" bestFit="1" customWidth="1"/>
    <col min="47" max="47" width="12.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330</v>
      </c>
      <c r="E7" s="269"/>
      <c r="F7" s="269"/>
      <c r="G7" s="269"/>
      <c r="H7" s="269" t="s">
        <v>331</v>
      </c>
      <c r="I7" s="269"/>
      <c r="J7" s="269"/>
      <c r="K7" s="269"/>
      <c r="L7" s="269"/>
      <c r="M7" s="269"/>
      <c r="N7" s="269"/>
      <c r="O7" s="269"/>
      <c r="P7" s="269"/>
      <c r="Q7" s="269"/>
      <c r="R7" s="269"/>
      <c r="S7" s="269"/>
      <c r="T7" s="269"/>
      <c r="U7" s="269"/>
      <c r="V7" s="269"/>
      <c r="W7" s="269"/>
      <c r="X7" s="270" t="s">
        <v>5707</v>
      </c>
      <c r="Y7" s="270"/>
      <c r="Z7" s="270"/>
      <c r="AA7" s="270"/>
      <c r="AB7" s="270"/>
      <c r="AC7" s="270"/>
      <c r="AD7" s="270"/>
      <c r="AE7" s="270"/>
      <c r="AF7" s="270"/>
      <c r="AG7" s="270"/>
      <c r="AH7" s="270"/>
      <c r="AI7" s="270"/>
      <c r="AJ7" s="270"/>
      <c r="AK7" s="270"/>
      <c r="AL7" s="270"/>
      <c r="AM7" s="270"/>
      <c r="AN7" s="2"/>
      <c r="AO7" s="2"/>
      <c r="AP7" s="7"/>
      <c r="AT7" s="22" t="s">
        <v>1518</v>
      </c>
      <c r="AU7" s="35" t="str">
        <f>H7</f>
        <v>OLKILUOTO-1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5712</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5712</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5715</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 2500</v>
      </c>
    </row>
    <row r="13" spans="1:47" ht="10.35" customHeight="1">
      <c r="A13" s="6"/>
      <c r="B13" s="1"/>
      <c r="C13" s="2"/>
      <c r="D13" s="247" t="s">
        <v>5716</v>
      </c>
      <c r="E13" s="247"/>
      <c r="F13" s="247"/>
      <c r="G13" s="247" t="s">
        <v>5709</v>
      </c>
      <c r="H13" s="247"/>
      <c r="I13" s="247" t="s">
        <v>5715</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2500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910</v>
      </c>
    </row>
    <row r="17" spans="1:47" ht="11.45" customHeight="1" thickBot="1">
      <c r="A17" s="6"/>
      <c r="B17" s="1"/>
      <c r="C17" s="1"/>
      <c r="D17" s="248" t="s">
        <v>5722</v>
      </c>
      <c r="E17" s="248"/>
      <c r="F17" s="248"/>
      <c r="G17" s="247" t="s">
        <v>5709</v>
      </c>
      <c r="H17" s="247"/>
      <c r="I17" s="248" t="s">
        <v>5723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880</v>
      </c>
    </row>
    <row r="18" spans="1:47" ht="13.5" thickBot="1">
      <c r="A18" s="6"/>
      <c r="B18" s="1"/>
      <c r="C18" s="1"/>
      <c r="D18" s="248" t="s">
        <v>185</v>
      </c>
      <c r="E18" s="248"/>
      <c r="F18" s="248"/>
      <c r="G18" s="248"/>
      <c r="H18" s="248"/>
      <c r="I18" s="248"/>
      <c r="J18" s="248"/>
      <c r="K18" s="248"/>
      <c r="L18" s="8" t="s">
        <v>5709</v>
      </c>
      <c r="M18" s="264">
        <v>2500</v>
      </c>
      <c r="N18" s="264"/>
      <c r="O18" s="264"/>
      <c r="P18" s="248" t="s">
        <v>186</v>
      </c>
      <c r="Q18" s="248"/>
      <c r="R18" s="248"/>
      <c r="S18" s="2"/>
      <c r="T18" s="2"/>
      <c r="U18" s="252" t="s">
        <v>187</v>
      </c>
      <c r="V18" s="252"/>
      <c r="W18" s="252"/>
      <c r="X18" s="252"/>
      <c r="Y18" s="252"/>
      <c r="Z18" s="252"/>
      <c r="AA18" s="252"/>
      <c r="AB18" s="247" t="s">
        <v>5709</v>
      </c>
      <c r="AC18" s="247"/>
      <c r="AD18" s="248" t="s">
        <v>188</v>
      </c>
      <c r="AE18" s="248"/>
      <c r="AF18" s="248"/>
      <c r="AG18" s="248"/>
      <c r="AH18" s="248"/>
      <c r="AI18" s="248"/>
      <c r="AJ18" s="248"/>
      <c r="AK18" s="2"/>
      <c r="AL18" s="1"/>
      <c r="AM18" s="2"/>
      <c r="AN18" s="1"/>
      <c r="AO18" s="2"/>
      <c r="AP18" s="7"/>
      <c r="AT18" s="25" t="str">
        <f>D26</f>
        <v>Grid Date</v>
      </c>
      <c r="AU18" s="25">
        <f>M26</f>
        <v>28735</v>
      </c>
    </row>
    <row r="19" spans="1:47" ht="13.5" thickBot="1">
      <c r="A19" s="6"/>
      <c r="B19" s="1"/>
      <c r="C19" s="1"/>
      <c r="D19" s="248" t="s">
        <v>189</v>
      </c>
      <c r="E19" s="248"/>
      <c r="F19" s="248"/>
      <c r="G19" s="248"/>
      <c r="H19" s="248"/>
      <c r="I19" s="248"/>
      <c r="J19" s="248"/>
      <c r="K19" s="248"/>
      <c r="L19" s="8" t="s">
        <v>5709</v>
      </c>
      <c r="M19" s="264">
        <v>910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37000</v>
      </c>
    </row>
    <row r="20" spans="1:47" ht="13.5" thickBot="1">
      <c r="A20" s="6"/>
      <c r="B20" s="1"/>
      <c r="C20" s="1"/>
      <c r="D20" s="248" t="s">
        <v>193</v>
      </c>
      <c r="E20" s="248"/>
      <c r="F20" s="248"/>
      <c r="G20" s="248"/>
      <c r="H20" s="248"/>
      <c r="I20" s="248"/>
      <c r="J20" s="248"/>
      <c r="K20" s="248"/>
      <c r="L20" s="8" t="s">
        <v>5709</v>
      </c>
      <c r="M20" s="264">
        <v>660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98.13</v>
      </c>
    </row>
    <row r="21" spans="1:47" ht="13.5" thickBot="1">
      <c r="A21" s="6"/>
      <c r="B21" s="1"/>
      <c r="C21" s="1"/>
      <c r="D21" s="248" t="s">
        <v>196</v>
      </c>
      <c r="E21" s="248"/>
      <c r="F21" s="248"/>
      <c r="G21" s="248"/>
      <c r="H21" s="248"/>
      <c r="I21" s="248"/>
      <c r="J21" s="248"/>
      <c r="K21" s="248"/>
      <c r="L21" s="8" t="s">
        <v>5709</v>
      </c>
      <c r="M21" s="264">
        <v>880</v>
      </c>
      <c r="N21" s="264"/>
      <c r="O21" s="264"/>
      <c r="P21" s="248" t="s">
        <v>190</v>
      </c>
      <c r="Q21" s="248"/>
      <c r="R21" s="248"/>
      <c r="S21" s="2"/>
      <c r="T21" s="2"/>
      <c r="U21" s="252" t="s">
        <v>197</v>
      </c>
      <c r="V21" s="252"/>
      <c r="W21" s="252"/>
      <c r="X21" s="252"/>
      <c r="Y21" s="252"/>
      <c r="Z21" s="252"/>
      <c r="AA21" s="252"/>
      <c r="AB21" s="247" t="s">
        <v>5709</v>
      </c>
      <c r="AC21" s="247"/>
      <c r="AD21" s="248" t="s">
        <v>198</v>
      </c>
      <c r="AE21" s="248"/>
      <c r="AF21" s="248"/>
      <c r="AG21" s="248"/>
      <c r="AH21" s="248"/>
      <c r="AI21" s="248"/>
      <c r="AJ21" s="248"/>
      <c r="AK21" s="2"/>
      <c r="AL21" s="1"/>
      <c r="AM21" s="2"/>
      <c r="AN21" s="1"/>
      <c r="AO21" s="2"/>
      <c r="AP21" s="7"/>
      <c r="AT21" s="23" t="str">
        <f>D57&amp;AF50</f>
        <v>LF [%]2010</v>
      </c>
      <c r="AU21" s="23">
        <f>AF57</f>
        <v>91.54</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202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204</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27061</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207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28735</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332</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29138</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213</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215</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220</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224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235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333</v>
      </c>
      <c r="G51" s="238"/>
      <c r="H51" s="238"/>
      <c r="I51" s="238"/>
      <c r="J51" s="10" t="s">
        <v>334</v>
      </c>
      <c r="K51" s="238" t="s">
        <v>335</v>
      </c>
      <c r="L51" s="238"/>
      <c r="M51" s="238"/>
      <c r="N51" s="238" t="s">
        <v>336</v>
      </c>
      <c r="O51" s="238"/>
      <c r="P51" s="238"/>
      <c r="Q51" s="238" t="s">
        <v>337</v>
      </c>
      <c r="R51" s="238"/>
      <c r="S51" s="238"/>
      <c r="T51" s="238"/>
      <c r="U51" s="238"/>
      <c r="V51" s="238"/>
      <c r="W51" s="238" t="s">
        <v>338</v>
      </c>
      <c r="X51" s="238"/>
      <c r="Y51" s="10" t="s">
        <v>339</v>
      </c>
      <c r="Z51" s="10" t="s">
        <v>340</v>
      </c>
      <c r="AA51" s="238" t="s">
        <v>341</v>
      </c>
      <c r="AB51" s="238"/>
      <c r="AC51" s="238"/>
      <c r="AD51" s="238"/>
      <c r="AE51" s="238"/>
      <c r="AF51" s="10" t="s">
        <v>342</v>
      </c>
      <c r="AG51" s="237" t="s">
        <v>343</v>
      </c>
      <c r="AH51" s="237"/>
      <c r="AI51" s="237"/>
      <c r="AJ51" s="237"/>
      <c r="AK51" s="237"/>
      <c r="AL51" s="2"/>
      <c r="AM51" s="2"/>
      <c r="AN51" s="2"/>
      <c r="AO51" s="2"/>
      <c r="AP51" s="7"/>
    </row>
    <row r="52" spans="1:42" ht="13.5" thickBot="1">
      <c r="A52" s="6"/>
      <c r="B52" s="2"/>
      <c r="C52" s="2"/>
      <c r="D52" s="244" t="s">
        <v>261</v>
      </c>
      <c r="E52" s="244"/>
      <c r="F52" s="238" t="s">
        <v>344</v>
      </c>
      <c r="G52" s="238"/>
      <c r="H52" s="238"/>
      <c r="I52" s="238"/>
      <c r="J52" s="10" t="s">
        <v>345</v>
      </c>
      <c r="K52" s="238" t="s">
        <v>346</v>
      </c>
      <c r="L52" s="238"/>
      <c r="M52" s="238"/>
      <c r="N52" s="238" t="s">
        <v>347</v>
      </c>
      <c r="O52" s="238"/>
      <c r="P52" s="238"/>
      <c r="Q52" s="238" t="s">
        <v>348</v>
      </c>
      <c r="R52" s="238"/>
      <c r="S52" s="238"/>
      <c r="T52" s="238"/>
      <c r="U52" s="238"/>
      <c r="V52" s="238"/>
      <c r="W52" s="238" t="s">
        <v>349</v>
      </c>
      <c r="X52" s="238"/>
      <c r="Y52" s="10" t="s">
        <v>350</v>
      </c>
      <c r="Z52" s="10" t="s">
        <v>351</v>
      </c>
      <c r="AA52" s="238" t="s">
        <v>352</v>
      </c>
      <c r="AB52" s="238"/>
      <c r="AC52" s="238"/>
      <c r="AD52" s="238"/>
      <c r="AE52" s="238"/>
      <c r="AF52" s="10" t="s">
        <v>353</v>
      </c>
      <c r="AG52" s="237" t="s">
        <v>354</v>
      </c>
      <c r="AH52" s="237"/>
      <c r="AI52" s="237"/>
      <c r="AJ52" s="237"/>
      <c r="AK52" s="237"/>
      <c r="AL52" s="2"/>
      <c r="AM52" s="2"/>
      <c r="AN52" s="2"/>
      <c r="AO52" s="2"/>
      <c r="AP52" s="7"/>
    </row>
    <row r="53" spans="1:42" ht="13.5" thickBot="1">
      <c r="A53" s="6"/>
      <c r="B53" s="2"/>
      <c r="C53" s="2"/>
      <c r="D53" s="244" t="s">
        <v>273</v>
      </c>
      <c r="E53" s="244"/>
      <c r="F53" s="238" t="s">
        <v>355</v>
      </c>
      <c r="G53" s="238"/>
      <c r="H53" s="238"/>
      <c r="I53" s="238"/>
      <c r="J53" s="10" t="s">
        <v>356</v>
      </c>
      <c r="K53" s="238" t="s">
        <v>357</v>
      </c>
      <c r="L53" s="238"/>
      <c r="M53" s="238"/>
      <c r="N53" s="238" t="s">
        <v>358</v>
      </c>
      <c r="O53" s="238"/>
      <c r="P53" s="238"/>
      <c r="Q53" s="238" t="s">
        <v>359</v>
      </c>
      <c r="R53" s="238"/>
      <c r="S53" s="238"/>
      <c r="T53" s="238"/>
      <c r="U53" s="238"/>
      <c r="V53" s="238"/>
      <c r="W53" s="238" t="s">
        <v>360</v>
      </c>
      <c r="X53" s="238"/>
      <c r="Y53" s="10" t="s">
        <v>361</v>
      </c>
      <c r="Z53" s="10" t="s">
        <v>362</v>
      </c>
      <c r="AA53" s="238" t="s">
        <v>357</v>
      </c>
      <c r="AB53" s="238"/>
      <c r="AC53" s="238"/>
      <c r="AD53" s="238"/>
      <c r="AE53" s="238"/>
      <c r="AF53" s="10" t="s">
        <v>363</v>
      </c>
      <c r="AG53" s="237" t="s">
        <v>364</v>
      </c>
      <c r="AH53" s="237"/>
      <c r="AI53" s="237"/>
      <c r="AJ53" s="237"/>
      <c r="AK53" s="237"/>
      <c r="AL53" s="2"/>
      <c r="AM53" s="2"/>
      <c r="AN53" s="2"/>
      <c r="AO53" s="2"/>
      <c r="AP53" s="7"/>
    </row>
    <row r="54" spans="1:42" ht="13.5" thickBot="1">
      <c r="A54" s="6"/>
      <c r="B54" s="2"/>
      <c r="C54" s="2"/>
      <c r="D54" s="244" t="s">
        <v>285</v>
      </c>
      <c r="E54" s="244"/>
      <c r="F54" s="238" t="s">
        <v>365</v>
      </c>
      <c r="G54" s="238"/>
      <c r="H54" s="238"/>
      <c r="I54" s="238"/>
      <c r="J54" s="10" t="s">
        <v>366</v>
      </c>
      <c r="K54" s="238" t="s">
        <v>367</v>
      </c>
      <c r="L54" s="238"/>
      <c r="M54" s="238"/>
      <c r="N54" s="238" t="s">
        <v>347</v>
      </c>
      <c r="O54" s="238"/>
      <c r="P54" s="238"/>
      <c r="Q54" s="238" t="s">
        <v>368</v>
      </c>
      <c r="R54" s="238"/>
      <c r="S54" s="238"/>
      <c r="T54" s="238"/>
      <c r="U54" s="238"/>
      <c r="V54" s="238"/>
      <c r="W54" s="238" t="s">
        <v>369</v>
      </c>
      <c r="X54" s="238"/>
      <c r="Y54" s="10" t="s">
        <v>370</v>
      </c>
      <c r="Z54" s="10" t="s">
        <v>371</v>
      </c>
      <c r="AA54" s="238" t="s">
        <v>372</v>
      </c>
      <c r="AB54" s="238"/>
      <c r="AC54" s="238"/>
      <c r="AD54" s="238"/>
      <c r="AE54" s="238"/>
      <c r="AF54" s="10" t="s">
        <v>373</v>
      </c>
      <c r="AG54" s="237" t="s">
        <v>374</v>
      </c>
      <c r="AH54" s="237"/>
      <c r="AI54" s="237"/>
      <c r="AJ54" s="237"/>
      <c r="AK54" s="237"/>
      <c r="AL54" s="2"/>
      <c r="AM54" s="2"/>
      <c r="AN54" s="2"/>
      <c r="AO54" s="2"/>
      <c r="AP54" s="7"/>
    </row>
    <row r="55" spans="1:42" ht="13.5" thickBot="1">
      <c r="A55" s="6"/>
      <c r="B55" s="2"/>
      <c r="C55" s="2"/>
      <c r="D55" s="244" t="s">
        <v>295</v>
      </c>
      <c r="E55" s="244"/>
      <c r="F55" s="238" t="s">
        <v>375</v>
      </c>
      <c r="G55" s="238"/>
      <c r="H55" s="238"/>
      <c r="I55" s="238"/>
      <c r="J55" s="10" t="s">
        <v>376</v>
      </c>
      <c r="K55" s="238" t="s">
        <v>377</v>
      </c>
      <c r="L55" s="238"/>
      <c r="M55" s="238"/>
      <c r="N55" s="238" t="s">
        <v>303</v>
      </c>
      <c r="O55" s="238"/>
      <c r="P55" s="238"/>
      <c r="Q55" s="238" t="s">
        <v>378</v>
      </c>
      <c r="R55" s="238"/>
      <c r="S55" s="238"/>
      <c r="T55" s="238"/>
      <c r="U55" s="238"/>
      <c r="V55" s="238"/>
      <c r="W55" s="238" t="s">
        <v>379</v>
      </c>
      <c r="X55" s="238"/>
      <c r="Y55" s="10" t="s">
        <v>380</v>
      </c>
      <c r="Z55" s="10" t="s">
        <v>381</v>
      </c>
      <c r="AA55" s="238" t="s">
        <v>382</v>
      </c>
      <c r="AB55" s="238"/>
      <c r="AC55" s="238"/>
      <c r="AD55" s="238"/>
      <c r="AE55" s="238"/>
      <c r="AF55" s="10" t="s">
        <v>376</v>
      </c>
      <c r="AG55" s="237" t="s">
        <v>383</v>
      </c>
      <c r="AH55" s="237"/>
      <c r="AI55" s="237"/>
      <c r="AJ55" s="237"/>
      <c r="AK55" s="237"/>
      <c r="AL55" s="2"/>
      <c r="AM55" s="2"/>
      <c r="AN55" s="2"/>
      <c r="AO55" s="2"/>
      <c r="AP55" s="7"/>
    </row>
    <row r="56" spans="1:42" ht="13.5" thickBot="1">
      <c r="A56" s="6"/>
      <c r="B56" s="2"/>
      <c r="C56" s="2"/>
      <c r="D56" s="244" t="s">
        <v>307</v>
      </c>
      <c r="E56" s="244"/>
      <c r="F56" s="238" t="s">
        <v>348</v>
      </c>
      <c r="G56" s="238"/>
      <c r="H56" s="238"/>
      <c r="I56" s="238"/>
      <c r="J56" s="10" t="s">
        <v>384</v>
      </c>
      <c r="K56" s="238" t="s">
        <v>385</v>
      </c>
      <c r="L56" s="238"/>
      <c r="M56" s="238"/>
      <c r="N56" s="238" t="s">
        <v>386</v>
      </c>
      <c r="O56" s="238"/>
      <c r="P56" s="238"/>
      <c r="Q56" s="238" t="s">
        <v>387</v>
      </c>
      <c r="R56" s="238"/>
      <c r="S56" s="238"/>
      <c r="T56" s="238"/>
      <c r="U56" s="238"/>
      <c r="V56" s="238"/>
      <c r="W56" s="238" t="s">
        <v>388</v>
      </c>
      <c r="X56" s="238"/>
      <c r="Y56" s="10" t="s">
        <v>389</v>
      </c>
      <c r="Z56" s="10" t="s">
        <v>390</v>
      </c>
      <c r="AA56" s="238" t="s">
        <v>391</v>
      </c>
      <c r="AB56" s="238"/>
      <c r="AC56" s="238"/>
      <c r="AD56" s="238"/>
      <c r="AE56" s="238"/>
      <c r="AF56" s="10" t="s">
        <v>392</v>
      </c>
      <c r="AG56" s="237" t="s">
        <v>393</v>
      </c>
      <c r="AH56" s="237"/>
      <c r="AI56" s="237"/>
      <c r="AJ56" s="237"/>
      <c r="AK56" s="237"/>
      <c r="AL56" s="2"/>
      <c r="AM56" s="2"/>
      <c r="AN56" s="2"/>
      <c r="AO56" s="2"/>
      <c r="AP56" s="7"/>
    </row>
    <row r="57" spans="1:42" ht="13.5" thickBot="1">
      <c r="A57" s="6"/>
      <c r="B57" s="2"/>
      <c r="C57" s="2"/>
      <c r="D57" s="244" t="s">
        <v>319</v>
      </c>
      <c r="E57" s="244"/>
      <c r="F57" s="237" t="s">
        <v>394</v>
      </c>
      <c r="G57" s="237"/>
      <c r="H57" s="237"/>
      <c r="I57" s="237"/>
      <c r="J57" s="11" t="s">
        <v>395</v>
      </c>
      <c r="K57" s="237" t="s">
        <v>396</v>
      </c>
      <c r="L57" s="237"/>
      <c r="M57" s="237"/>
      <c r="N57" s="237" t="s">
        <v>326</v>
      </c>
      <c r="O57" s="237"/>
      <c r="P57" s="237"/>
      <c r="Q57" s="237">
        <v>98.13</v>
      </c>
      <c r="R57" s="237"/>
      <c r="S57" s="237"/>
      <c r="T57" s="237"/>
      <c r="U57" s="237"/>
      <c r="V57" s="237"/>
      <c r="W57" s="237" t="s">
        <v>398</v>
      </c>
      <c r="X57" s="237"/>
      <c r="Y57" s="11" t="s">
        <v>394</v>
      </c>
      <c r="Z57" s="11" t="s">
        <v>399</v>
      </c>
      <c r="AA57" s="237" t="s">
        <v>400</v>
      </c>
      <c r="AB57" s="237"/>
      <c r="AC57" s="237"/>
      <c r="AD57" s="237"/>
      <c r="AE57" s="237"/>
      <c r="AF57" s="11">
        <v>91.54</v>
      </c>
      <c r="AG57" s="237" t="s">
        <v>402</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I17:R17"/>
    <mergeCell ref="U17:AA17"/>
    <mergeCell ref="AB15:AC15"/>
    <mergeCell ref="AD15:AJ15"/>
    <mergeCell ref="AB16:AC16"/>
    <mergeCell ref="AD16:AJ16"/>
    <mergeCell ref="I16:R16"/>
    <mergeCell ref="U16:AA16"/>
    <mergeCell ref="D15:R15"/>
    <mergeCell ref="U15:AA15"/>
    <mergeCell ref="M18:O18"/>
    <mergeCell ref="P18:R18"/>
    <mergeCell ref="U18:AA18"/>
    <mergeCell ref="D19:K19"/>
    <mergeCell ref="M19:O19"/>
    <mergeCell ref="P19:R19"/>
    <mergeCell ref="U19:AA19"/>
    <mergeCell ref="G17:H17"/>
    <mergeCell ref="P21:R21"/>
    <mergeCell ref="U21:AA21"/>
    <mergeCell ref="P20:R20"/>
    <mergeCell ref="U20:AA20"/>
    <mergeCell ref="D20:K20"/>
    <mergeCell ref="M20:O20"/>
    <mergeCell ref="D21:K21"/>
    <mergeCell ref="M21:O21"/>
    <mergeCell ref="D18:K18"/>
    <mergeCell ref="AD18:AJ18"/>
    <mergeCell ref="AB19:AC19"/>
    <mergeCell ref="AD19:AJ19"/>
    <mergeCell ref="AB20:AC20"/>
    <mergeCell ref="AD20:AJ20"/>
    <mergeCell ref="AB18:AC18"/>
    <mergeCell ref="AD25:AJ26"/>
    <mergeCell ref="D26:K27"/>
    <mergeCell ref="L26:L27"/>
    <mergeCell ref="M26:O27"/>
    <mergeCell ref="P26:R27"/>
    <mergeCell ref="U25:AA26"/>
    <mergeCell ref="AB25:AC26"/>
    <mergeCell ref="D24:K25"/>
    <mergeCell ref="L24:L25"/>
    <mergeCell ref="M24:O25"/>
    <mergeCell ref="AB21:AC21"/>
    <mergeCell ref="AD21:AJ21"/>
    <mergeCell ref="P22:R23"/>
    <mergeCell ref="U22:AA22"/>
    <mergeCell ref="AB22:AC22"/>
    <mergeCell ref="AD22:AJ22"/>
    <mergeCell ref="U23:AA24"/>
    <mergeCell ref="AB23:AC24"/>
    <mergeCell ref="AD23:AJ24"/>
    <mergeCell ref="P24:R25"/>
    <mergeCell ref="D22:D23"/>
    <mergeCell ref="E22:K23"/>
    <mergeCell ref="L22:L23"/>
    <mergeCell ref="M22:O23"/>
    <mergeCell ref="U27:AA28"/>
    <mergeCell ref="AB27:AC28"/>
    <mergeCell ref="AD27:AJ28"/>
    <mergeCell ref="D28:K29"/>
    <mergeCell ref="L28:L29"/>
    <mergeCell ref="M28:O29"/>
    <mergeCell ref="P28:R29"/>
    <mergeCell ref="U29:AA31"/>
    <mergeCell ref="AB29:AC31"/>
    <mergeCell ref="AD29:AJ31"/>
    <mergeCell ref="D35:Q37"/>
    <mergeCell ref="U36:AA36"/>
    <mergeCell ref="AB36:AC36"/>
    <mergeCell ref="AD36:AJ36"/>
    <mergeCell ref="U37:AA38"/>
    <mergeCell ref="AB37:AC38"/>
    <mergeCell ref="AD37:AJ38"/>
    <mergeCell ref="D38:Q47"/>
    <mergeCell ref="AD40:AJ40"/>
    <mergeCell ref="U45:AA45"/>
    <mergeCell ref="U32:AA32"/>
    <mergeCell ref="AB32:AC32"/>
    <mergeCell ref="AD32:AJ32"/>
    <mergeCell ref="U33:AA35"/>
    <mergeCell ref="AB33:AC35"/>
    <mergeCell ref="AD33:AJ35"/>
    <mergeCell ref="AB45:AC45"/>
    <mergeCell ref="AD45:AJ45"/>
    <mergeCell ref="U46:AA46"/>
    <mergeCell ref="AB46:AC46"/>
    <mergeCell ref="U39:AA39"/>
    <mergeCell ref="AB39:AC39"/>
    <mergeCell ref="AD39:AJ39"/>
    <mergeCell ref="U40:AA40"/>
    <mergeCell ref="AB40:AC40"/>
    <mergeCell ref="AB42:AC42"/>
    <mergeCell ref="AD42:AJ42"/>
    <mergeCell ref="U43:AA43"/>
    <mergeCell ref="AB43:AC43"/>
    <mergeCell ref="AD43:AJ43"/>
    <mergeCell ref="U41:AA41"/>
    <mergeCell ref="AB41:AC41"/>
    <mergeCell ref="AD41:AJ41"/>
    <mergeCell ref="U42:AA42"/>
    <mergeCell ref="U44:AA44"/>
    <mergeCell ref="AB44:AC44"/>
    <mergeCell ref="AD44:AJ44"/>
    <mergeCell ref="D50:E50"/>
    <mergeCell ref="F50:I50"/>
    <mergeCell ref="K50:M50"/>
    <mergeCell ref="N50:P50"/>
    <mergeCell ref="Q50:V50"/>
    <mergeCell ref="AD46:AJ46"/>
    <mergeCell ref="W50:X50"/>
    <mergeCell ref="D51:E51"/>
    <mergeCell ref="F51:I51"/>
    <mergeCell ref="K51:M51"/>
    <mergeCell ref="N51:P51"/>
    <mergeCell ref="Q51:V51"/>
    <mergeCell ref="D48:N49"/>
    <mergeCell ref="V49:AI49"/>
    <mergeCell ref="AA50:AE50"/>
    <mergeCell ref="AG50:AK50"/>
    <mergeCell ref="W52:X52"/>
    <mergeCell ref="D52:E52"/>
    <mergeCell ref="F52:I52"/>
    <mergeCell ref="K52:M52"/>
    <mergeCell ref="N52:P52"/>
    <mergeCell ref="AA52:AE52"/>
    <mergeCell ref="W54:X54"/>
    <mergeCell ref="AA53:AE53"/>
    <mergeCell ref="F53:I53"/>
    <mergeCell ref="K53:M53"/>
    <mergeCell ref="AA51:AE51"/>
    <mergeCell ref="AG51:AK51"/>
    <mergeCell ref="AG53:AK53"/>
    <mergeCell ref="AG52:AK52"/>
    <mergeCell ref="W51:X51"/>
    <mergeCell ref="Q52:V52"/>
    <mergeCell ref="AA56:AE56"/>
    <mergeCell ref="D54:E54"/>
    <mergeCell ref="F54:I54"/>
    <mergeCell ref="K54:M54"/>
    <mergeCell ref="N54:P54"/>
    <mergeCell ref="Q53:V53"/>
    <mergeCell ref="W53:X53"/>
    <mergeCell ref="D53:E53"/>
    <mergeCell ref="N53:P53"/>
    <mergeCell ref="Q54:V54"/>
    <mergeCell ref="F56:I56"/>
    <mergeCell ref="N56:P56"/>
    <mergeCell ref="D55:E55"/>
    <mergeCell ref="AA54:AE54"/>
    <mergeCell ref="AG56:AK56"/>
    <mergeCell ref="Q55:V55"/>
    <mergeCell ref="W55:X55"/>
    <mergeCell ref="AA55:AE55"/>
    <mergeCell ref="AG55:AK55"/>
    <mergeCell ref="W56:X56"/>
    <mergeCell ref="W57:X57"/>
    <mergeCell ref="AG54:AK54"/>
    <mergeCell ref="F57:I57"/>
    <mergeCell ref="K57:M57"/>
    <mergeCell ref="AG57:AK57"/>
    <mergeCell ref="D57:E57"/>
    <mergeCell ref="F55:I55"/>
    <mergeCell ref="K55:M55"/>
    <mergeCell ref="N55:P55"/>
    <mergeCell ref="D56:E56"/>
    <mergeCell ref="AA57:AE57"/>
    <mergeCell ref="K56:M56"/>
    <mergeCell ref="N57:P57"/>
    <mergeCell ref="Q56:V56"/>
    <mergeCell ref="D63:AI63"/>
    <mergeCell ref="D60:Q60"/>
    <mergeCell ref="T60:AH60"/>
    <mergeCell ref="D61:Q61"/>
    <mergeCell ref="T61:AH61"/>
    <mergeCell ref="Q57:V57"/>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indexed="41"/>
    <outlinePr summaryBelow="0" summaryRight="0"/>
  </sheetPr>
  <dimension ref="A1:AU63"/>
  <sheetViews>
    <sheetView showGridLines="0" workbookViewId="0">
      <pane ySplit="1" topLeftCell="A2" activePane="bottomLeft" state="frozenSplit"/>
      <selection activeCell="AT32" sqref="AT32"/>
      <selection pane="bottomLeft"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42578125" customWidth="1"/>
    <col min="44" max="45" width="1" customWidth="1"/>
    <col min="46" max="46" width="34.42578125" bestFit="1" customWidth="1"/>
    <col min="47" max="47" width="12.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5705</v>
      </c>
      <c r="E7" s="269"/>
      <c r="F7" s="269"/>
      <c r="G7" s="269"/>
      <c r="H7" s="269" t="s">
        <v>5706</v>
      </c>
      <c r="I7" s="269"/>
      <c r="J7" s="269"/>
      <c r="K7" s="269"/>
      <c r="L7" s="269"/>
      <c r="M7" s="269"/>
      <c r="N7" s="269"/>
      <c r="O7" s="269"/>
      <c r="P7" s="269"/>
      <c r="Q7" s="269"/>
      <c r="R7" s="269"/>
      <c r="S7" s="269"/>
      <c r="T7" s="269"/>
      <c r="U7" s="269"/>
      <c r="V7" s="269"/>
      <c r="W7" s="269"/>
      <c r="X7" s="270" t="s">
        <v>5707</v>
      </c>
      <c r="Y7" s="270"/>
      <c r="Z7" s="270"/>
      <c r="AA7" s="270"/>
      <c r="AB7" s="270"/>
      <c r="AC7" s="270"/>
      <c r="AD7" s="270"/>
      <c r="AE7" s="270"/>
      <c r="AF7" s="270"/>
      <c r="AG7" s="270"/>
      <c r="AH7" s="270"/>
      <c r="AI7" s="270"/>
      <c r="AJ7" s="270"/>
      <c r="AK7" s="270"/>
      <c r="AL7" s="270"/>
      <c r="AM7" s="270"/>
      <c r="AN7" s="2"/>
      <c r="AO7" s="2"/>
      <c r="AP7" s="7"/>
      <c r="AT7" s="22" t="s">
        <v>1518</v>
      </c>
      <c r="AU7" s="35" t="str">
        <f>H7</f>
        <v>OLKILUOTO-2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5712</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5712</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5715</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 2500</v>
      </c>
    </row>
    <row r="13" spans="1:47" ht="10.35" customHeight="1">
      <c r="A13" s="6"/>
      <c r="B13" s="1"/>
      <c r="C13" s="2"/>
      <c r="D13" s="247" t="s">
        <v>5716</v>
      </c>
      <c r="E13" s="247"/>
      <c r="F13" s="247"/>
      <c r="G13" s="247" t="s">
        <v>5709</v>
      </c>
      <c r="H13" s="247"/>
      <c r="I13" s="247" t="s">
        <v>5715</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2500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890</v>
      </c>
    </row>
    <row r="17" spans="1:47" ht="11.45" customHeight="1" thickBot="1">
      <c r="A17" s="6"/>
      <c r="B17" s="1"/>
      <c r="C17" s="1"/>
      <c r="D17" s="248" t="s">
        <v>5722</v>
      </c>
      <c r="E17" s="248"/>
      <c r="F17" s="248"/>
      <c r="G17" s="247" t="s">
        <v>5709</v>
      </c>
      <c r="H17" s="247"/>
      <c r="I17" s="248" t="s">
        <v>5723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860</v>
      </c>
    </row>
    <row r="18" spans="1:47" ht="13.5" thickBot="1">
      <c r="A18" s="6"/>
      <c r="B18" s="1"/>
      <c r="C18" s="1"/>
      <c r="D18" s="248" t="s">
        <v>185</v>
      </c>
      <c r="E18" s="248"/>
      <c r="F18" s="248"/>
      <c r="G18" s="248"/>
      <c r="H18" s="248"/>
      <c r="I18" s="248"/>
      <c r="J18" s="248"/>
      <c r="K18" s="248"/>
      <c r="L18" s="8" t="s">
        <v>5709</v>
      </c>
      <c r="M18" s="264">
        <v>2500</v>
      </c>
      <c r="N18" s="264"/>
      <c r="O18" s="264"/>
      <c r="P18" s="248" t="s">
        <v>186</v>
      </c>
      <c r="Q18" s="248"/>
      <c r="R18" s="248"/>
      <c r="S18" s="2"/>
      <c r="T18" s="2"/>
      <c r="U18" s="252" t="s">
        <v>187</v>
      </c>
      <c r="V18" s="252"/>
      <c r="W18" s="252"/>
      <c r="X18" s="252"/>
      <c r="Y18" s="252"/>
      <c r="Z18" s="252"/>
      <c r="AA18" s="252"/>
      <c r="AB18" s="247" t="s">
        <v>5709</v>
      </c>
      <c r="AC18" s="247"/>
      <c r="AD18" s="248" t="s">
        <v>188</v>
      </c>
      <c r="AE18" s="248"/>
      <c r="AF18" s="248"/>
      <c r="AG18" s="248"/>
      <c r="AH18" s="248"/>
      <c r="AI18" s="248"/>
      <c r="AJ18" s="248"/>
      <c r="AK18" s="2"/>
      <c r="AL18" s="1"/>
      <c r="AM18" s="2"/>
      <c r="AN18" s="1"/>
      <c r="AO18" s="2"/>
      <c r="AP18" s="7"/>
      <c r="AT18" s="25" t="str">
        <f>D26</f>
        <v>Grid Date</v>
      </c>
      <c r="AU18" s="25">
        <f>M26</f>
        <v>29269</v>
      </c>
    </row>
    <row r="19" spans="1:47" ht="13.5" thickBot="1">
      <c r="A19" s="6"/>
      <c r="B19" s="1"/>
      <c r="C19" s="1"/>
      <c r="D19" s="248" t="s">
        <v>189</v>
      </c>
      <c r="E19" s="248"/>
      <c r="F19" s="248"/>
      <c r="G19" s="248"/>
      <c r="H19" s="248"/>
      <c r="I19" s="248"/>
      <c r="J19" s="248"/>
      <c r="K19" s="248"/>
      <c r="L19" s="8" t="s">
        <v>5709</v>
      </c>
      <c r="M19" s="264">
        <v>890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37000</v>
      </c>
    </row>
    <row r="20" spans="1:47" ht="13.5" thickBot="1">
      <c r="A20" s="6"/>
      <c r="B20" s="1"/>
      <c r="C20" s="1"/>
      <c r="D20" s="248" t="s">
        <v>193</v>
      </c>
      <c r="E20" s="248"/>
      <c r="F20" s="248"/>
      <c r="G20" s="248"/>
      <c r="H20" s="248"/>
      <c r="I20" s="248"/>
      <c r="J20" s="248"/>
      <c r="K20" s="248"/>
      <c r="L20" s="8" t="s">
        <v>5709</v>
      </c>
      <c r="M20" s="264">
        <v>660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93.96</v>
      </c>
    </row>
    <row r="21" spans="1:47" ht="13.5" thickBot="1">
      <c r="A21" s="6"/>
      <c r="B21" s="1"/>
      <c r="C21" s="1"/>
      <c r="D21" s="248" t="s">
        <v>196</v>
      </c>
      <c r="E21" s="248"/>
      <c r="F21" s="248"/>
      <c r="G21" s="248"/>
      <c r="H21" s="248"/>
      <c r="I21" s="248"/>
      <c r="J21" s="248"/>
      <c r="K21" s="248"/>
      <c r="L21" s="8" t="s">
        <v>5709</v>
      </c>
      <c r="M21" s="264">
        <v>860</v>
      </c>
      <c r="N21" s="264"/>
      <c r="O21" s="264"/>
      <c r="P21" s="248" t="s">
        <v>190</v>
      </c>
      <c r="Q21" s="248"/>
      <c r="R21" s="248"/>
      <c r="S21" s="2"/>
      <c r="T21" s="2"/>
      <c r="U21" s="252" t="s">
        <v>197</v>
      </c>
      <c r="V21" s="252"/>
      <c r="W21" s="252"/>
      <c r="X21" s="252"/>
      <c r="Y21" s="252"/>
      <c r="Z21" s="252"/>
      <c r="AA21" s="252"/>
      <c r="AB21" s="247" t="s">
        <v>5709</v>
      </c>
      <c r="AC21" s="247"/>
      <c r="AD21" s="248" t="s">
        <v>198</v>
      </c>
      <c r="AE21" s="248"/>
      <c r="AF21" s="248"/>
      <c r="AG21" s="248"/>
      <c r="AH21" s="248"/>
      <c r="AI21" s="248"/>
      <c r="AJ21" s="248"/>
      <c r="AK21" s="2"/>
      <c r="AL21" s="1"/>
      <c r="AM21" s="2"/>
      <c r="AN21" s="1"/>
      <c r="AO21" s="2"/>
      <c r="AP21" s="7"/>
      <c r="AT21" s="23" t="str">
        <f>D57&amp;AF50</f>
        <v>LF [%]2010</v>
      </c>
      <c r="AU21" s="23">
        <f>AF57</f>
        <v>95.14</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202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204</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27699</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207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29269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210</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30142</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213</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215</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220</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224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235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250</v>
      </c>
      <c r="G51" s="238"/>
      <c r="H51" s="238"/>
      <c r="I51" s="238"/>
      <c r="J51" s="10" t="s">
        <v>251</v>
      </c>
      <c r="K51" s="238" t="s">
        <v>252</v>
      </c>
      <c r="L51" s="238"/>
      <c r="M51" s="238"/>
      <c r="N51" s="238" t="s">
        <v>253</v>
      </c>
      <c r="O51" s="238"/>
      <c r="P51" s="238"/>
      <c r="Q51" s="238" t="s">
        <v>254</v>
      </c>
      <c r="R51" s="238"/>
      <c r="S51" s="238"/>
      <c r="T51" s="238"/>
      <c r="U51" s="238"/>
      <c r="V51" s="238"/>
      <c r="W51" s="238" t="s">
        <v>255</v>
      </c>
      <c r="X51" s="238"/>
      <c r="Y51" s="10" t="s">
        <v>256</v>
      </c>
      <c r="Z51" s="10" t="s">
        <v>257</v>
      </c>
      <c r="AA51" s="238" t="s">
        <v>258</v>
      </c>
      <c r="AB51" s="238"/>
      <c r="AC51" s="238"/>
      <c r="AD51" s="238"/>
      <c r="AE51" s="238"/>
      <c r="AF51" s="10" t="s">
        <v>259</v>
      </c>
      <c r="AG51" s="237" t="s">
        <v>260</v>
      </c>
      <c r="AH51" s="237"/>
      <c r="AI51" s="237"/>
      <c r="AJ51" s="237"/>
      <c r="AK51" s="237"/>
      <c r="AL51" s="2"/>
      <c r="AM51" s="2"/>
      <c r="AN51" s="2"/>
      <c r="AO51" s="2"/>
      <c r="AP51" s="7"/>
    </row>
    <row r="52" spans="1:42" ht="13.5" thickBot="1">
      <c r="A52" s="6"/>
      <c r="B52" s="2"/>
      <c r="C52" s="2"/>
      <c r="D52" s="244" t="s">
        <v>261</v>
      </c>
      <c r="E52" s="244"/>
      <c r="F52" s="238" t="s">
        <v>262</v>
      </c>
      <c r="G52" s="238"/>
      <c r="H52" s="238"/>
      <c r="I52" s="238"/>
      <c r="J52" s="10" t="s">
        <v>263</v>
      </c>
      <c r="K52" s="238" t="s">
        <v>264</v>
      </c>
      <c r="L52" s="238"/>
      <c r="M52" s="238"/>
      <c r="N52" s="238" t="s">
        <v>265</v>
      </c>
      <c r="O52" s="238"/>
      <c r="P52" s="238"/>
      <c r="Q52" s="238" t="s">
        <v>266</v>
      </c>
      <c r="R52" s="238"/>
      <c r="S52" s="238"/>
      <c r="T52" s="238"/>
      <c r="U52" s="238"/>
      <c r="V52" s="238"/>
      <c r="W52" s="238" t="s">
        <v>267</v>
      </c>
      <c r="X52" s="238"/>
      <c r="Y52" s="10" t="s">
        <v>268</v>
      </c>
      <c r="Z52" s="10" t="s">
        <v>269</v>
      </c>
      <c r="AA52" s="238" t="s">
        <v>270</v>
      </c>
      <c r="AB52" s="238"/>
      <c r="AC52" s="238"/>
      <c r="AD52" s="238"/>
      <c r="AE52" s="238"/>
      <c r="AF52" s="10" t="s">
        <v>271</v>
      </c>
      <c r="AG52" s="237" t="s">
        <v>272</v>
      </c>
      <c r="AH52" s="237"/>
      <c r="AI52" s="237"/>
      <c r="AJ52" s="237"/>
      <c r="AK52" s="237"/>
      <c r="AL52" s="2"/>
      <c r="AM52" s="2"/>
      <c r="AN52" s="2"/>
      <c r="AO52" s="2"/>
      <c r="AP52" s="7"/>
    </row>
    <row r="53" spans="1:42" ht="13.5" thickBot="1">
      <c r="A53" s="6"/>
      <c r="B53" s="2"/>
      <c r="C53" s="2"/>
      <c r="D53" s="244" t="s">
        <v>273</v>
      </c>
      <c r="E53" s="244"/>
      <c r="F53" s="238" t="s">
        <v>274</v>
      </c>
      <c r="G53" s="238"/>
      <c r="H53" s="238"/>
      <c r="I53" s="238"/>
      <c r="J53" s="10" t="s">
        <v>275</v>
      </c>
      <c r="K53" s="238" t="s">
        <v>276</v>
      </c>
      <c r="L53" s="238"/>
      <c r="M53" s="238"/>
      <c r="N53" s="238" t="s">
        <v>277</v>
      </c>
      <c r="O53" s="238"/>
      <c r="P53" s="238"/>
      <c r="Q53" s="238" t="s">
        <v>278</v>
      </c>
      <c r="R53" s="238"/>
      <c r="S53" s="238"/>
      <c r="T53" s="238"/>
      <c r="U53" s="238"/>
      <c r="V53" s="238"/>
      <c r="W53" s="238" t="s">
        <v>279</v>
      </c>
      <c r="X53" s="238"/>
      <c r="Y53" s="10" t="s">
        <v>280</v>
      </c>
      <c r="Z53" s="10" t="s">
        <v>281</v>
      </c>
      <c r="AA53" s="238" t="s">
        <v>282</v>
      </c>
      <c r="AB53" s="238"/>
      <c r="AC53" s="238"/>
      <c r="AD53" s="238"/>
      <c r="AE53" s="238"/>
      <c r="AF53" s="10" t="s">
        <v>283</v>
      </c>
      <c r="AG53" s="237" t="s">
        <v>284</v>
      </c>
      <c r="AH53" s="237"/>
      <c r="AI53" s="237"/>
      <c r="AJ53" s="237"/>
      <c r="AK53" s="237"/>
      <c r="AL53" s="2"/>
      <c r="AM53" s="2"/>
      <c r="AN53" s="2"/>
      <c r="AO53" s="2"/>
      <c r="AP53" s="7"/>
    </row>
    <row r="54" spans="1:42" ht="13.5" thickBot="1">
      <c r="A54" s="6"/>
      <c r="B54" s="2"/>
      <c r="C54" s="2"/>
      <c r="D54" s="244" t="s">
        <v>285</v>
      </c>
      <c r="E54" s="244"/>
      <c r="F54" s="238" t="s">
        <v>262</v>
      </c>
      <c r="G54" s="238"/>
      <c r="H54" s="238"/>
      <c r="I54" s="238"/>
      <c r="J54" s="10" t="s">
        <v>286</v>
      </c>
      <c r="K54" s="238" t="s">
        <v>287</v>
      </c>
      <c r="L54" s="238"/>
      <c r="M54" s="238"/>
      <c r="N54" s="238" t="s">
        <v>265</v>
      </c>
      <c r="O54" s="238"/>
      <c r="P54" s="238"/>
      <c r="Q54" s="238" t="s">
        <v>288</v>
      </c>
      <c r="R54" s="238"/>
      <c r="S54" s="238"/>
      <c r="T54" s="238"/>
      <c r="U54" s="238"/>
      <c r="V54" s="238"/>
      <c r="W54" s="238" t="s">
        <v>289</v>
      </c>
      <c r="X54" s="238"/>
      <c r="Y54" s="10" t="s">
        <v>290</v>
      </c>
      <c r="Z54" s="10" t="s">
        <v>291</v>
      </c>
      <c r="AA54" s="238" t="s">
        <v>292</v>
      </c>
      <c r="AB54" s="238"/>
      <c r="AC54" s="238"/>
      <c r="AD54" s="238"/>
      <c r="AE54" s="238"/>
      <c r="AF54" s="10" t="s">
        <v>293</v>
      </c>
      <c r="AG54" s="237" t="s">
        <v>294</v>
      </c>
      <c r="AH54" s="237"/>
      <c r="AI54" s="237"/>
      <c r="AJ54" s="237"/>
      <c r="AK54" s="237"/>
      <c r="AL54" s="2"/>
      <c r="AM54" s="2"/>
      <c r="AN54" s="2"/>
      <c r="AO54" s="2"/>
      <c r="AP54" s="7"/>
    </row>
    <row r="55" spans="1:42" ht="13.5" thickBot="1">
      <c r="A55" s="6"/>
      <c r="B55" s="2"/>
      <c r="C55" s="2"/>
      <c r="D55" s="244" t="s">
        <v>295</v>
      </c>
      <c r="E55" s="244"/>
      <c r="F55" s="238" t="s">
        <v>296</v>
      </c>
      <c r="G55" s="238"/>
      <c r="H55" s="238"/>
      <c r="I55" s="238"/>
      <c r="J55" s="10" t="s">
        <v>297</v>
      </c>
      <c r="K55" s="238" t="s">
        <v>298</v>
      </c>
      <c r="L55" s="238"/>
      <c r="M55" s="238"/>
      <c r="N55" s="238" t="s">
        <v>299</v>
      </c>
      <c r="O55" s="238"/>
      <c r="P55" s="238"/>
      <c r="Q55" s="238" t="s">
        <v>300</v>
      </c>
      <c r="R55" s="238"/>
      <c r="S55" s="238"/>
      <c r="T55" s="238"/>
      <c r="U55" s="238"/>
      <c r="V55" s="238"/>
      <c r="W55" s="238" t="s">
        <v>301</v>
      </c>
      <c r="X55" s="238"/>
      <c r="Y55" s="10" t="s">
        <v>302</v>
      </c>
      <c r="Z55" s="10" t="s">
        <v>303</v>
      </c>
      <c r="AA55" s="238" t="s">
        <v>304</v>
      </c>
      <c r="AB55" s="238"/>
      <c r="AC55" s="238"/>
      <c r="AD55" s="238"/>
      <c r="AE55" s="238"/>
      <c r="AF55" s="10" t="s">
        <v>305</v>
      </c>
      <c r="AG55" s="237" t="s">
        <v>306</v>
      </c>
      <c r="AH55" s="237"/>
      <c r="AI55" s="237"/>
      <c r="AJ55" s="237"/>
      <c r="AK55" s="237"/>
      <c r="AL55" s="2"/>
      <c r="AM55" s="2"/>
      <c r="AN55" s="2"/>
      <c r="AO55" s="2"/>
      <c r="AP55" s="7"/>
    </row>
    <row r="56" spans="1:42" ht="13.5" thickBot="1">
      <c r="A56" s="6"/>
      <c r="B56" s="2"/>
      <c r="C56" s="2"/>
      <c r="D56" s="244" t="s">
        <v>307</v>
      </c>
      <c r="E56" s="244"/>
      <c r="F56" s="238" t="s">
        <v>308</v>
      </c>
      <c r="G56" s="238"/>
      <c r="H56" s="238"/>
      <c r="I56" s="238"/>
      <c r="J56" s="10" t="s">
        <v>309</v>
      </c>
      <c r="K56" s="238" t="s">
        <v>310</v>
      </c>
      <c r="L56" s="238"/>
      <c r="M56" s="238"/>
      <c r="N56" s="238" t="s">
        <v>311</v>
      </c>
      <c r="O56" s="238"/>
      <c r="P56" s="238"/>
      <c r="Q56" s="238" t="s">
        <v>312</v>
      </c>
      <c r="R56" s="238"/>
      <c r="S56" s="238"/>
      <c r="T56" s="238"/>
      <c r="U56" s="238"/>
      <c r="V56" s="238"/>
      <c r="W56" s="238" t="s">
        <v>313</v>
      </c>
      <c r="X56" s="238"/>
      <c r="Y56" s="10" t="s">
        <v>314</v>
      </c>
      <c r="Z56" s="10" t="s">
        <v>315</v>
      </c>
      <c r="AA56" s="238" t="s">
        <v>316</v>
      </c>
      <c r="AB56" s="238"/>
      <c r="AC56" s="238"/>
      <c r="AD56" s="238"/>
      <c r="AE56" s="238"/>
      <c r="AF56" s="10" t="s">
        <v>317</v>
      </c>
      <c r="AG56" s="237" t="s">
        <v>318</v>
      </c>
      <c r="AH56" s="237"/>
      <c r="AI56" s="237"/>
      <c r="AJ56" s="237"/>
      <c r="AK56" s="237"/>
      <c r="AL56" s="2"/>
      <c r="AM56" s="2"/>
      <c r="AN56" s="2"/>
      <c r="AO56" s="2"/>
      <c r="AP56" s="7"/>
    </row>
    <row r="57" spans="1:42" ht="13.5" thickBot="1">
      <c r="A57" s="6"/>
      <c r="B57" s="2"/>
      <c r="C57" s="2"/>
      <c r="D57" s="244" t="s">
        <v>319</v>
      </c>
      <c r="E57" s="244"/>
      <c r="F57" s="237" t="s">
        <v>320</v>
      </c>
      <c r="G57" s="237"/>
      <c r="H57" s="237"/>
      <c r="I57" s="237"/>
      <c r="J57" s="11" t="s">
        <v>321</v>
      </c>
      <c r="K57" s="237" t="s">
        <v>316</v>
      </c>
      <c r="L57" s="237"/>
      <c r="M57" s="237"/>
      <c r="N57" s="237" t="s">
        <v>322</v>
      </c>
      <c r="O57" s="237"/>
      <c r="P57" s="237"/>
      <c r="Q57" s="237">
        <v>93.96</v>
      </c>
      <c r="R57" s="237"/>
      <c r="S57" s="237"/>
      <c r="T57" s="237"/>
      <c r="U57" s="237"/>
      <c r="V57" s="237"/>
      <c r="W57" s="237" t="s">
        <v>324</v>
      </c>
      <c r="X57" s="237"/>
      <c r="Y57" s="11" t="s">
        <v>325</v>
      </c>
      <c r="Z57" s="11" t="s">
        <v>324</v>
      </c>
      <c r="AA57" s="237" t="s">
        <v>326</v>
      </c>
      <c r="AB57" s="237"/>
      <c r="AC57" s="237"/>
      <c r="AD57" s="237"/>
      <c r="AE57" s="237"/>
      <c r="AF57" s="11">
        <v>95.14</v>
      </c>
      <c r="AG57" s="237" t="s">
        <v>327</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I17:R17"/>
    <mergeCell ref="U17:AA17"/>
    <mergeCell ref="AB15:AC15"/>
    <mergeCell ref="AD15:AJ15"/>
    <mergeCell ref="AB16:AC16"/>
    <mergeCell ref="AD16:AJ16"/>
    <mergeCell ref="I16:R16"/>
    <mergeCell ref="U16:AA16"/>
    <mergeCell ref="D15:R15"/>
    <mergeCell ref="U15:AA15"/>
    <mergeCell ref="M18:O18"/>
    <mergeCell ref="P18:R18"/>
    <mergeCell ref="U18:AA18"/>
    <mergeCell ref="D19:K19"/>
    <mergeCell ref="M19:O19"/>
    <mergeCell ref="P19:R19"/>
    <mergeCell ref="U19:AA19"/>
    <mergeCell ref="G17:H17"/>
    <mergeCell ref="P21:R21"/>
    <mergeCell ref="U21:AA21"/>
    <mergeCell ref="P20:R20"/>
    <mergeCell ref="U20:AA20"/>
    <mergeCell ref="D20:K20"/>
    <mergeCell ref="M20:O20"/>
    <mergeCell ref="D21:K21"/>
    <mergeCell ref="M21:O21"/>
    <mergeCell ref="D18:K18"/>
    <mergeCell ref="AD18:AJ18"/>
    <mergeCell ref="AB19:AC19"/>
    <mergeCell ref="AD19:AJ19"/>
    <mergeCell ref="AB20:AC20"/>
    <mergeCell ref="AD20:AJ20"/>
    <mergeCell ref="AB18:AC18"/>
    <mergeCell ref="AD25:AJ26"/>
    <mergeCell ref="D26:K27"/>
    <mergeCell ref="L26:L27"/>
    <mergeCell ref="M26:O27"/>
    <mergeCell ref="P26:R27"/>
    <mergeCell ref="U25:AA26"/>
    <mergeCell ref="AB25:AC26"/>
    <mergeCell ref="D24:K25"/>
    <mergeCell ref="L24:L25"/>
    <mergeCell ref="M24:O25"/>
    <mergeCell ref="AB21:AC21"/>
    <mergeCell ref="AD21:AJ21"/>
    <mergeCell ref="P22:R23"/>
    <mergeCell ref="U22:AA22"/>
    <mergeCell ref="AB22:AC22"/>
    <mergeCell ref="AD22:AJ22"/>
    <mergeCell ref="U23:AA24"/>
    <mergeCell ref="AB23:AC24"/>
    <mergeCell ref="AD23:AJ24"/>
    <mergeCell ref="P24:R25"/>
    <mergeCell ref="D22:D23"/>
    <mergeCell ref="E22:K23"/>
    <mergeCell ref="L22:L23"/>
    <mergeCell ref="M22:O23"/>
    <mergeCell ref="U27:AA28"/>
    <mergeCell ref="AB27:AC28"/>
    <mergeCell ref="AD27:AJ28"/>
    <mergeCell ref="D28:K29"/>
    <mergeCell ref="L28:L29"/>
    <mergeCell ref="M28:O29"/>
    <mergeCell ref="P28:R29"/>
    <mergeCell ref="U29:AA31"/>
    <mergeCell ref="AB29:AC31"/>
    <mergeCell ref="AD29:AJ31"/>
    <mergeCell ref="D35:Q37"/>
    <mergeCell ref="U36:AA36"/>
    <mergeCell ref="AB36:AC36"/>
    <mergeCell ref="AD36:AJ36"/>
    <mergeCell ref="U37:AA38"/>
    <mergeCell ref="AB37:AC38"/>
    <mergeCell ref="AD37:AJ38"/>
    <mergeCell ref="D38:Q47"/>
    <mergeCell ref="AD40:AJ40"/>
    <mergeCell ref="U45:AA45"/>
    <mergeCell ref="U32:AA32"/>
    <mergeCell ref="AB32:AC32"/>
    <mergeCell ref="AD32:AJ32"/>
    <mergeCell ref="U33:AA35"/>
    <mergeCell ref="AB33:AC35"/>
    <mergeCell ref="AD33:AJ35"/>
    <mergeCell ref="AB45:AC45"/>
    <mergeCell ref="AD45:AJ45"/>
    <mergeCell ref="U46:AA46"/>
    <mergeCell ref="AB46:AC46"/>
    <mergeCell ref="U39:AA39"/>
    <mergeCell ref="AB39:AC39"/>
    <mergeCell ref="AD39:AJ39"/>
    <mergeCell ref="U40:AA40"/>
    <mergeCell ref="AB40:AC40"/>
    <mergeCell ref="AB42:AC42"/>
    <mergeCell ref="AD42:AJ42"/>
    <mergeCell ref="U43:AA43"/>
    <mergeCell ref="AB43:AC43"/>
    <mergeCell ref="AD43:AJ43"/>
    <mergeCell ref="U41:AA41"/>
    <mergeCell ref="AB41:AC41"/>
    <mergeCell ref="AD41:AJ41"/>
    <mergeCell ref="U42:AA42"/>
    <mergeCell ref="U44:AA44"/>
    <mergeCell ref="AB44:AC44"/>
    <mergeCell ref="AD44:AJ44"/>
    <mergeCell ref="D50:E50"/>
    <mergeCell ref="F50:I50"/>
    <mergeCell ref="K50:M50"/>
    <mergeCell ref="N50:P50"/>
    <mergeCell ref="Q50:V50"/>
    <mergeCell ref="AD46:AJ46"/>
    <mergeCell ref="W50:X50"/>
    <mergeCell ref="D51:E51"/>
    <mergeCell ref="F51:I51"/>
    <mergeCell ref="K51:M51"/>
    <mergeCell ref="N51:P51"/>
    <mergeCell ref="Q51:V51"/>
    <mergeCell ref="D48:N49"/>
    <mergeCell ref="V49:AI49"/>
    <mergeCell ref="AA50:AE50"/>
    <mergeCell ref="AG50:AK50"/>
    <mergeCell ref="W52:X52"/>
    <mergeCell ref="D52:E52"/>
    <mergeCell ref="F52:I52"/>
    <mergeCell ref="K52:M52"/>
    <mergeCell ref="N52:P52"/>
    <mergeCell ref="AA52:AE52"/>
    <mergeCell ref="W54:X54"/>
    <mergeCell ref="AA53:AE53"/>
    <mergeCell ref="F53:I53"/>
    <mergeCell ref="K53:M53"/>
    <mergeCell ref="AA51:AE51"/>
    <mergeCell ref="AG51:AK51"/>
    <mergeCell ref="AG53:AK53"/>
    <mergeCell ref="AG52:AK52"/>
    <mergeCell ref="W51:X51"/>
    <mergeCell ref="Q52:V52"/>
    <mergeCell ref="AA56:AE56"/>
    <mergeCell ref="D54:E54"/>
    <mergeCell ref="F54:I54"/>
    <mergeCell ref="K54:M54"/>
    <mergeCell ref="N54:P54"/>
    <mergeCell ref="Q53:V53"/>
    <mergeCell ref="W53:X53"/>
    <mergeCell ref="D53:E53"/>
    <mergeCell ref="N53:P53"/>
    <mergeCell ref="Q54:V54"/>
    <mergeCell ref="F56:I56"/>
    <mergeCell ref="N56:P56"/>
    <mergeCell ref="D55:E55"/>
    <mergeCell ref="AA54:AE54"/>
    <mergeCell ref="AG56:AK56"/>
    <mergeCell ref="Q55:V55"/>
    <mergeCell ref="W55:X55"/>
    <mergeCell ref="AA55:AE55"/>
    <mergeCell ref="AG55:AK55"/>
    <mergeCell ref="W56:X56"/>
    <mergeCell ref="W57:X57"/>
    <mergeCell ref="AG54:AK54"/>
    <mergeCell ref="F57:I57"/>
    <mergeCell ref="K57:M57"/>
    <mergeCell ref="AG57:AK57"/>
    <mergeCell ref="D57:E57"/>
    <mergeCell ref="F55:I55"/>
    <mergeCell ref="K55:M55"/>
    <mergeCell ref="N55:P55"/>
    <mergeCell ref="D56:E56"/>
    <mergeCell ref="AA57:AE57"/>
    <mergeCell ref="K56:M56"/>
    <mergeCell ref="N57:P57"/>
    <mergeCell ref="Q56:V56"/>
    <mergeCell ref="D63:AI63"/>
    <mergeCell ref="D60:Q60"/>
    <mergeCell ref="T60:AH60"/>
    <mergeCell ref="D61:Q61"/>
    <mergeCell ref="T61:AH61"/>
    <mergeCell ref="Q57:V57"/>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indexed="10"/>
  </sheetPr>
  <dimension ref="A1:AU63"/>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3" width="0.140625" customWidth="1"/>
    <col min="44" max="45" width="1" customWidth="1"/>
    <col min="46" max="46" width="34.42578125" bestFit="1" customWidth="1"/>
    <col min="47" max="47" width="13.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4532</v>
      </c>
      <c r="E7" s="269"/>
      <c r="F7" s="269"/>
      <c r="G7" s="269"/>
      <c r="H7" s="269" t="s">
        <v>4533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70"/>
      <c r="AM7" s="270"/>
      <c r="AN7" s="2"/>
      <c r="AO7" s="2"/>
      <c r="AP7" s="7"/>
      <c r="AT7" s="22" t="s">
        <v>1518</v>
      </c>
      <c r="AU7" s="35" t="str">
        <f>H7</f>
        <v>BELLEVILLE-1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4535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P'4 REP 1300</v>
      </c>
    </row>
    <row r="13" spans="1:47" ht="12.75" customHeight="1">
      <c r="A13" s="6"/>
      <c r="B13" s="1"/>
      <c r="C13" s="2"/>
      <c r="D13" s="247" t="s">
        <v>5716</v>
      </c>
      <c r="E13" s="247"/>
      <c r="F13" s="247"/>
      <c r="G13" s="247" t="s">
        <v>5709</v>
      </c>
      <c r="H13" s="247"/>
      <c r="I13" s="247" t="s">
        <v>4537</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3817</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1363</v>
      </c>
    </row>
    <row r="17" spans="1:47" ht="11.45" customHeight="1" thickBot="1">
      <c r="A17" s="6"/>
      <c r="B17" s="1"/>
      <c r="C17" s="1"/>
      <c r="D17" s="248" t="s">
        <v>5722</v>
      </c>
      <c r="E17" s="248"/>
      <c r="F17" s="248"/>
      <c r="G17" s="247" t="s">
        <v>5709</v>
      </c>
      <c r="H17" s="247"/>
      <c r="I17" s="248" t="s">
        <v>4538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1310</v>
      </c>
    </row>
    <row r="18" spans="1:47" ht="13.5" thickBot="1">
      <c r="A18" s="6"/>
      <c r="B18" s="1"/>
      <c r="C18" s="1"/>
      <c r="D18" s="248" t="s">
        <v>185</v>
      </c>
      <c r="E18" s="248"/>
      <c r="F18" s="248"/>
      <c r="G18" s="248"/>
      <c r="H18" s="248"/>
      <c r="I18" s="248"/>
      <c r="J18" s="248"/>
      <c r="K18" s="248"/>
      <c r="L18" s="8" t="s">
        <v>5709</v>
      </c>
      <c r="M18" s="264">
        <v>3817</v>
      </c>
      <c r="N18" s="264"/>
      <c r="O18" s="264"/>
      <c r="P18" s="248" t="s">
        <v>186</v>
      </c>
      <c r="Q18" s="248"/>
      <c r="R18" s="248"/>
      <c r="S18" s="2"/>
      <c r="T18" s="2"/>
      <c r="U18" s="252" t="s">
        <v>187</v>
      </c>
      <c r="V18" s="252"/>
      <c r="W18" s="252"/>
      <c r="X18" s="252"/>
      <c r="Y18" s="252"/>
      <c r="Z18" s="252"/>
      <c r="AA18" s="252"/>
      <c r="AB18" s="247" t="s">
        <v>5709</v>
      </c>
      <c r="AC18" s="247"/>
      <c r="AD18" s="248" t="s">
        <v>4539</v>
      </c>
      <c r="AE18" s="248"/>
      <c r="AF18" s="248"/>
      <c r="AG18" s="248"/>
      <c r="AH18" s="248"/>
      <c r="AI18" s="248"/>
      <c r="AJ18" s="248"/>
      <c r="AK18" s="2"/>
      <c r="AL18" s="1"/>
      <c r="AM18" s="2"/>
      <c r="AN18" s="1"/>
      <c r="AO18" s="2"/>
      <c r="AP18" s="7"/>
      <c r="AT18" s="25" t="str">
        <f>D26</f>
        <v>Grid Date</v>
      </c>
      <c r="AU18" s="25">
        <f>M26</f>
        <v>32064</v>
      </c>
    </row>
    <row r="19" spans="1:47" ht="13.5" thickBot="1">
      <c r="A19" s="6"/>
      <c r="B19" s="1"/>
      <c r="C19" s="1"/>
      <c r="D19" s="248" t="s">
        <v>189</v>
      </c>
      <c r="E19" s="248"/>
      <c r="F19" s="248"/>
      <c r="G19" s="248"/>
      <c r="H19" s="248"/>
      <c r="I19" s="248"/>
      <c r="J19" s="248"/>
      <c r="K19" s="248"/>
      <c r="L19" s="8" t="s">
        <v>5709</v>
      </c>
      <c r="M19" s="264">
        <v>1363</v>
      </c>
      <c r="N19" s="264"/>
      <c r="O19" s="264"/>
      <c r="P19" s="248" t="s">
        <v>190</v>
      </c>
      <c r="Q19" s="248"/>
      <c r="R19" s="248"/>
      <c r="S19" s="2"/>
      <c r="T19" s="2"/>
      <c r="U19" s="252" t="s">
        <v>191</v>
      </c>
      <c r="V19" s="252"/>
      <c r="W19" s="252"/>
      <c r="X19" s="252"/>
      <c r="Y19" s="252"/>
      <c r="Z19" s="252"/>
      <c r="AA19" s="252"/>
      <c r="AB19" s="247" t="s">
        <v>5709</v>
      </c>
      <c r="AC19" s="247"/>
      <c r="AD19" s="248" t="s">
        <v>3424</v>
      </c>
      <c r="AE19" s="248"/>
      <c r="AF19" s="248"/>
      <c r="AG19" s="248"/>
      <c r="AH19" s="248"/>
      <c r="AI19" s="248"/>
      <c r="AJ19" s="248"/>
      <c r="AK19" s="2"/>
      <c r="AL19" s="1"/>
      <c r="AM19" s="2"/>
      <c r="AN19" s="1"/>
      <c r="AO19" s="2"/>
      <c r="AP19" s="7"/>
      <c r="AT19" s="23" t="str">
        <f>U21</f>
        <v>Average discharge burnup  [MWd/t]</v>
      </c>
      <c r="AU19" s="23" t="str">
        <f>AD21</f>
        <v>33000</v>
      </c>
    </row>
    <row r="20" spans="1:47" ht="13.5" thickBot="1">
      <c r="A20" s="6"/>
      <c r="B20" s="1"/>
      <c r="C20" s="1"/>
      <c r="D20" s="248" t="s">
        <v>193</v>
      </c>
      <c r="E20" s="248"/>
      <c r="F20" s="248"/>
      <c r="G20" s="248"/>
      <c r="H20" s="248"/>
      <c r="I20" s="248"/>
      <c r="J20" s="248"/>
      <c r="K20" s="248"/>
      <c r="L20" s="8" t="s">
        <v>5709</v>
      </c>
      <c r="M20" s="264">
        <v>1310</v>
      </c>
      <c r="N20" s="264"/>
      <c r="O20" s="264"/>
      <c r="P20" s="248" t="s">
        <v>190</v>
      </c>
      <c r="Q20" s="248"/>
      <c r="R20" s="248"/>
      <c r="S20" s="2"/>
      <c r="T20" s="2"/>
      <c r="U20" s="252" t="s">
        <v>194</v>
      </c>
      <c r="V20" s="252"/>
      <c r="W20" s="252"/>
      <c r="X20" s="252"/>
      <c r="Y20" s="252"/>
      <c r="Z20" s="252"/>
      <c r="AA20" s="252"/>
      <c r="AB20" s="247" t="s">
        <v>5709</v>
      </c>
      <c r="AC20" s="247"/>
      <c r="AD20" s="248" t="s">
        <v>6132</v>
      </c>
      <c r="AE20" s="248"/>
      <c r="AF20" s="248"/>
      <c r="AG20" s="248"/>
      <c r="AH20" s="248"/>
      <c r="AI20" s="248"/>
      <c r="AJ20" s="248"/>
      <c r="AK20" s="2"/>
      <c r="AL20" s="1"/>
      <c r="AM20" s="2"/>
      <c r="AN20" s="1"/>
      <c r="AO20" s="2"/>
      <c r="AP20" s="7"/>
      <c r="AT20" s="23" t="str">
        <f>D57 &amp; Q50</f>
        <v>LF [%]2005</v>
      </c>
      <c r="AU20" s="23" t="str">
        <f>Q57</f>
        <v>89.19</v>
      </c>
    </row>
    <row r="21" spans="1:47" ht="13.5" thickBot="1">
      <c r="A21" s="6"/>
      <c r="B21" s="1"/>
      <c r="C21" s="1"/>
      <c r="D21" s="248" t="s">
        <v>196</v>
      </c>
      <c r="E21" s="248"/>
      <c r="F21" s="248"/>
      <c r="G21" s="248"/>
      <c r="H21" s="248"/>
      <c r="I21" s="248"/>
      <c r="J21" s="248"/>
      <c r="K21" s="248"/>
      <c r="L21" s="8" t="s">
        <v>5709</v>
      </c>
      <c r="M21" s="264">
        <v>1310</v>
      </c>
      <c r="N21" s="264"/>
      <c r="O21" s="264"/>
      <c r="P21" s="248" t="s">
        <v>190</v>
      </c>
      <c r="Q21" s="248"/>
      <c r="R21" s="248"/>
      <c r="S21" s="2"/>
      <c r="T21" s="2"/>
      <c r="U21" s="252" t="s">
        <v>197</v>
      </c>
      <c r="V21" s="252"/>
      <c r="W21" s="252"/>
      <c r="X21" s="252"/>
      <c r="Y21" s="252"/>
      <c r="Z21" s="252"/>
      <c r="AA21" s="252"/>
      <c r="AB21" s="247" t="s">
        <v>5709</v>
      </c>
      <c r="AC21" s="247"/>
      <c r="AD21" s="248" t="s">
        <v>3197</v>
      </c>
      <c r="AE21" s="248"/>
      <c r="AF21" s="248"/>
      <c r="AG21" s="248"/>
      <c r="AH21" s="248"/>
      <c r="AI21" s="248"/>
      <c r="AJ21" s="248"/>
      <c r="AK21" s="2"/>
      <c r="AL21" s="1"/>
      <c r="AM21" s="2"/>
      <c r="AN21" s="1"/>
      <c r="AO21" s="2"/>
      <c r="AP21" s="7"/>
      <c r="AT21" s="23" t="str">
        <f>D57&amp;AF50</f>
        <v>LF [%]2010</v>
      </c>
      <c r="AU21" s="23" t="str">
        <f>AF57</f>
        <v>57.95</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73</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4540</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29342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2825</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32064</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4541</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32295</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4542</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2827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4543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4544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1937</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4319</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4545</v>
      </c>
      <c r="G51" s="238"/>
      <c r="H51" s="238"/>
      <c r="I51" s="238"/>
      <c r="J51" s="10" t="s">
        <v>4546</v>
      </c>
      <c r="K51" s="238" t="s">
        <v>4547</v>
      </c>
      <c r="L51" s="238"/>
      <c r="M51" s="238"/>
      <c r="N51" s="238" t="s">
        <v>4548</v>
      </c>
      <c r="O51" s="238"/>
      <c r="P51" s="238"/>
      <c r="Q51" s="238" t="s">
        <v>4549</v>
      </c>
      <c r="R51" s="238"/>
      <c r="S51" s="238"/>
      <c r="T51" s="238"/>
      <c r="U51" s="238"/>
      <c r="V51" s="238"/>
      <c r="W51" s="238" t="s">
        <v>4550</v>
      </c>
      <c r="X51" s="238"/>
      <c r="Y51" s="10" t="s">
        <v>4551</v>
      </c>
      <c r="Z51" s="10" t="s">
        <v>4552</v>
      </c>
      <c r="AA51" s="238" t="s">
        <v>4553</v>
      </c>
      <c r="AB51" s="238"/>
      <c r="AC51" s="238"/>
      <c r="AD51" s="238"/>
      <c r="AE51" s="238"/>
      <c r="AF51" s="10" t="s">
        <v>4554</v>
      </c>
      <c r="AG51" s="237" t="s">
        <v>4555</v>
      </c>
      <c r="AH51" s="237"/>
      <c r="AI51" s="237"/>
      <c r="AJ51" s="237"/>
      <c r="AK51" s="237"/>
      <c r="AL51" s="2"/>
      <c r="AM51" s="2"/>
      <c r="AN51" s="2"/>
      <c r="AO51" s="2"/>
      <c r="AP51" s="7"/>
    </row>
    <row r="52" spans="1:42" ht="13.5" thickBot="1">
      <c r="A52" s="6"/>
      <c r="B52" s="2"/>
      <c r="C52" s="2"/>
      <c r="D52" s="244" t="s">
        <v>261</v>
      </c>
      <c r="E52" s="244"/>
      <c r="F52" s="238" t="s">
        <v>4556</v>
      </c>
      <c r="G52" s="238"/>
      <c r="H52" s="238"/>
      <c r="I52" s="238"/>
      <c r="J52" s="10" t="s">
        <v>6955</v>
      </c>
      <c r="K52" s="238" t="s">
        <v>4902</v>
      </c>
      <c r="L52" s="238"/>
      <c r="M52" s="238"/>
      <c r="N52" s="238" t="s">
        <v>6852</v>
      </c>
      <c r="O52" s="238"/>
      <c r="P52" s="238"/>
      <c r="Q52" s="238" t="s">
        <v>5046</v>
      </c>
      <c r="R52" s="238"/>
      <c r="S52" s="238"/>
      <c r="T52" s="238"/>
      <c r="U52" s="238"/>
      <c r="V52" s="238"/>
      <c r="W52" s="238" t="s">
        <v>6589</v>
      </c>
      <c r="X52" s="238"/>
      <c r="Y52" s="10" t="s">
        <v>6802</v>
      </c>
      <c r="Z52" s="10" t="s">
        <v>4557</v>
      </c>
      <c r="AA52" s="238" t="s">
        <v>440</v>
      </c>
      <c r="AB52" s="238"/>
      <c r="AC52" s="238"/>
      <c r="AD52" s="238"/>
      <c r="AE52" s="238"/>
      <c r="AF52" s="10" t="s">
        <v>4558</v>
      </c>
      <c r="AG52" s="237" t="s">
        <v>6611</v>
      </c>
      <c r="AH52" s="237"/>
      <c r="AI52" s="237"/>
      <c r="AJ52" s="237"/>
      <c r="AK52" s="237"/>
      <c r="AL52" s="2"/>
      <c r="AM52" s="2"/>
      <c r="AN52" s="2"/>
      <c r="AO52" s="2"/>
      <c r="AP52" s="7"/>
    </row>
    <row r="53" spans="1:42" ht="13.5" thickBot="1">
      <c r="A53" s="6"/>
      <c r="B53" s="2"/>
      <c r="C53" s="2"/>
      <c r="D53" s="244" t="s">
        <v>273</v>
      </c>
      <c r="E53" s="244"/>
      <c r="F53" s="238" t="s">
        <v>3338</v>
      </c>
      <c r="G53" s="238"/>
      <c r="H53" s="238"/>
      <c r="I53" s="238"/>
      <c r="J53" s="10" t="s">
        <v>6013</v>
      </c>
      <c r="K53" s="238" t="s">
        <v>4559</v>
      </c>
      <c r="L53" s="238"/>
      <c r="M53" s="238"/>
      <c r="N53" s="238" t="s">
        <v>1887</v>
      </c>
      <c r="O53" s="238"/>
      <c r="P53" s="238"/>
      <c r="Q53" s="238" t="s">
        <v>6086</v>
      </c>
      <c r="R53" s="238"/>
      <c r="S53" s="238"/>
      <c r="T53" s="238"/>
      <c r="U53" s="238"/>
      <c r="V53" s="238"/>
      <c r="W53" s="238" t="s">
        <v>4560</v>
      </c>
      <c r="X53" s="238"/>
      <c r="Y53" s="10" t="s">
        <v>4561</v>
      </c>
      <c r="Z53" s="10" t="s">
        <v>5481</v>
      </c>
      <c r="AA53" s="238" t="s">
        <v>380</v>
      </c>
      <c r="AB53" s="238"/>
      <c r="AC53" s="238"/>
      <c r="AD53" s="238"/>
      <c r="AE53" s="238"/>
      <c r="AF53" s="10" t="s">
        <v>4562</v>
      </c>
      <c r="AG53" s="237" t="s">
        <v>4563</v>
      </c>
      <c r="AH53" s="237"/>
      <c r="AI53" s="237"/>
      <c r="AJ53" s="237"/>
      <c r="AK53" s="237"/>
      <c r="AL53" s="2"/>
      <c r="AM53" s="2"/>
      <c r="AN53" s="2"/>
      <c r="AO53" s="2"/>
      <c r="AP53" s="7"/>
    </row>
    <row r="54" spans="1:42" ht="13.5" thickBot="1">
      <c r="A54" s="6"/>
      <c r="B54" s="2"/>
      <c r="C54" s="2"/>
      <c r="D54" s="244" t="s">
        <v>285</v>
      </c>
      <c r="E54" s="244"/>
      <c r="F54" s="238" t="s">
        <v>4943</v>
      </c>
      <c r="G54" s="238"/>
      <c r="H54" s="238"/>
      <c r="I54" s="238"/>
      <c r="J54" s="10" t="s">
        <v>4564</v>
      </c>
      <c r="K54" s="238" t="s">
        <v>4565</v>
      </c>
      <c r="L54" s="238"/>
      <c r="M54" s="238"/>
      <c r="N54" s="238" t="s">
        <v>4834</v>
      </c>
      <c r="O54" s="238"/>
      <c r="P54" s="238"/>
      <c r="Q54" s="238" t="s">
        <v>4787</v>
      </c>
      <c r="R54" s="238"/>
      <c r="S54" s="238"/>
      <c r="T54" s="238"/>
      <c r="U54" s="238"/>
      <c r="V54" s="238"/>
      <c r="W54" s="238" t="s">
        <v>4566</v>
      </c>
      <c r="X54" s="238"/>
      <c r="Y54" s="10" t="s">
        <v>4567</v>
      </c>
      <c r="Z54" s="10" t="s">
        <v>4568</v>
      </c>
      <c r="AA54" s="238" t="s">
        <v>1981</v>
      </c>
      <c r="AB54" s="238"/>
      <c r="AC54" s="238"/>
      <c r="AD54" s="238"/>
      <c r="AE54" s="238"/>
      <c r="AF54" s="10" t="s">
        <v>4569</v>
      </c>
      <c r="AG54" s="237" t="s">
        <v>5144</v>
      </c>
      <c r="AH54" s="237"/>
      <c r="AI54" s="237"/>
      <c r="AJ54" s="237"/>
      <c r="AK54" s="237"/>
      <c r="AL54" s="2"/>
      <c r="AM54" s="2"/>
      <c r="AN54" s="2"/>
      <c r="AO54" s="2"/>
      <c r="AP54" s="7"/>
    </row>
    <row r="55" spans="1:42" ht="13.5" thickBot="1">
      <c r="A55" s="6"/>
      <c r="B55" s="2"/>
      <c r="C55" s="2"/>
      <c r="D55" s="244" t="s">
        <v>295</v>
      </c>
      <c r="E55" s="244"/>
      <c r="F55" s="238" t="s">
        <v>4570</v>
      </c>
      <c r="G55" s="238"/>
      <c r="H55" s="238"/>
      <c r="I55" s="238"/>
      <c r="J55" s="10" t="s">
        <v>7010</v>
      </c>
      <c r="K55" s="238" t="s">
        <v>4571</v>
      </c>
      <c r="L55" s="238"/>
      <c r="M55" s="238"/>
      <c r="N55" s="238" t="s">
        <v>6087</v>
      </c>
      <c r="O55" s="238"/>
      <c r="P55" s="238"/>
      <c r="Q55" s="238" t="s">
        <v>2678</v>
      </c>
      <c r="R55" s="238"/>
      <c r="S55" s="238"/>
      <c r="T55" s="238"/>
      <c r="U55" s="238"/>
      <c r="V55" s="238"/>
      <c r="W55" s="238" t="s">
        <v>4572</v>
      </c>
      <c r="X55" s="238"/>
      <c r="Y55" s="10" t="s">
        <v>1886</v>
      </c>
      <c r="Z55" s="10" t="s">
        <v>4573</v>
      </c>
      <c r="AA55" s="238" t="s">
        <v>4574</v>
      </c>
      <c r="AB55" s="238"/>
      <c r="AC55" s="238"/>
      <c r="AD55" s="238"/>
      <c r="AE55" s="238"/>
      <c r="AF55" s="10" t="s">
        <v>4575</v>
      </c>
      <c r="AG55" s="237" t="s">
        <v>4145</v>
      </c>
      <c r="AH55" s="237"/>
      <c r="AI55" s="237"/>
      <c r="AJ55" s="237"/>
      <c r="AK55" s="237"/>
      <c r="AL55" s="2"/>
      <c r="AM55" s="2"/>
      <c r="AN55" s="2"/>
      <c r="AO55" s="2"/>
      <c r="AP55" s="7"/>
    </row>
    <row r="56" spans="1:42" ht="13.5" thickBot="1">
      <c r="A56" s="6"/>
      <c r="B56" s="2"/>
      <c r="C56" s="2"/>
      <c r="D56" s="244" t="s">
        <v>307</v>
      </c>
      <c r="E56" s="244"/>
      <c r="F56" s="238" t="s">
        <v>5618</v>
      </c>
      <c r="G56" s="238"/>
      <c r="H56" s="238"/>
      <c r="I56" s="238"/>
      <c r="J56" s="10" t="s">
        <v>2732</v>
      </c>
      <c r="K56" s="238" t="s">
        <v>5272</v>
      </c>
      <c r="L56" s="238"/>
      <c r="M56" s="238"/>
      <c r="N56" s="238" t="s">
        <v>4576</v>
      </c>
      <c r="O56" s="238"/>
      <c r="P56" s="238"/>
      <c r="Q56" s="238" t="s">
        <v>7022</v>
      </c>
      <c r="R56" s="238"/>
      <c r="S56" s="238"/>
      <c r="T56" s="238"/>
      <c r="U56" s="238"/>
      <c r="V56" s="238"/>
      <c r="W56" s="238" t="s">
        <v>4087</v>
      </c>
      <c r="X56" s="238"/>
      <c r="Y56" s="10" t="s">
        <v>4577</v>
      </c>
      <c r="Z56" s="10" t="s">
        <v>4578</v>
      </c>
      <c r="AA56" s="238" t="s">
        <v>2918</v>
      </c>
      <c r="AB56" s="238"/>
      <c r="AC56" s="238"/>
      <c r="AD56" s="238"/>
      <c r="AE56" s="238"/>
      <c r="AF56" s="10" t="s">
        <v>4579</v>
      </c>
      <c r="AG56" s="237" t="s">
        <v>4580</v>
      </c>
      <c r="AH56" s="237"/>
      <c r="AI56" s="237"/>
      <c r="AJ56" s="237"/>
      <c r="AK56" s="237"/>
      <c r="AL56" s="2"/>
      <c r="AM56" s="2"/>
      <c r="AN56" s="2"/>
      <c r="AO56" s="2"/>
      <c r="AP56" s="7"/>
    </row>
    <row r="57" spans="1:42" ht="13.5" thickBot="1">
      <c r="A57" s="6"/>
      <c r="B57" s="2"/>
      <c r="C57" s="2"/>
      <c r="D57" s="244" t="s">
        <v>319</v>
      </c>
      <c r="E57" s="244"/>
      <c r="F57" s="237" t="s">
        <v>6500</v>
      </c>
      <c r="G57" s="237"/>
      <c r="H57" s="237"/>
      <c r="I57" s="237"/>
      <c r="J57" s="11" t="s">
        <v>3532</v>
      </c>
      <c r="K57" s="237" t="s">
        <v>4581</v>
      </c>
      <c r="L57" s="237"/>
      <c r="M57" s="237"/>
      <c r="N57" s="237" t="s">
        <v>7073</v>
      </c>
      <c r="O57" s="237"/>
      <c r="P57" s="237"/>
      <c r="Q57" s="237" t="s">
        <v>3329</v>
      </c>
      <c r="R57" s="237"/>
      <c r="S57" s="237"/>
      <c r="T57" s="237"/>
      <c r="U57" s="237"/>
      <c r="V57" s="237"/>
      <c r="W57" s="237" t="s">
        <v>4582</v>
      </c>
      <c r="X57" s="237"/>
      <c r="Y57" s="11" t="s">
        <v>4583</v>
      </c>
      <c r="Z57" s="11" t="s">
        <v>4584</v>
      </c>
      <c r="AA57" s="237" t="s">
        <v>6344</v>
      </c>
      <c r="AB57" s="237"/>
      <c r="AC57" s="237"/>
      <c r="AD57" s="237"/>
      <c r="AE57" s="237"/>
      <c r="AF57" s="11" t="s">
        <v>3846</v>
      </c>
      <c r="AG57" s="237" t="s">
        <v>4585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G17:H17"/>
    <mergeCell ref="I17:R17"/>
    <mergeCell ref="U17:AA17"/>
    <mergeCell ref="AB15:AC15"/>
    <mergeCell ref="AD15:AJ15"/>
    <mergeCell ref="AB16:AC16"/>
    <mergeCell ref="AD16:AJ16"/>
    <mergeCell ref="I16:R16"/>
    <mergeCell ref="U16:AA16"/>
    <mergeCell ref="D15:R15"/>
    <mergeCell ref="U15:AA15"/>
    <mergeCell ref="D18:K18"/>
    <mergeCell ref="M18:O18"/>
    <mergeCell ref="P18:R18"/>
    <mergeCell ref="U18:AA18"/>
    <mergeCell ref="U21:AA21"/>
    <mergeCell ref="P20:R20"/>
    <mergeCell ref="U20:AA20"/>
    <mergeCell ref="D19:K19"/>
    <mergeCell ref="M19:O19"/>
    <mergeCell ref="P19:R19"/>
    <mergeCell ref="U19:AA19"/>
    <mergeCell ref="D20:K20"/>
    <mergeCell ref="M20:O20"/>
    <mergeCell ref="D21:K21"/>
    <mergeCell ref="M21:O21"/>
    <mergeCell ref="AD18:AJ18"/>
    <mergeCell ref="AB19:AC19"/>
    <mergeCell ref="AD19:AJ19"/>
    <mergeCell ref="AB20:AC20"/>
    <mergeCell ref="AD20:AJ20"/>
    <mergeCell ref="AB18:AC18"/>
    <mergeCell ref="AB21:AC21"/>
    <mergeCell ref="AD21:AJ21"/>
    <mergeCell ref="P22:R23"/>
    <mergeCell ref="U22:AA22"/>
    <mergeCell ref="AB22:AC22"/>
    <mergeCell ref="AD22:AJ22"/>
    <mergeCell ref="U23:AA24"/>
    <mergeCell ref="AB23:AC24"/>
    <mergeCell ref="AD23:AJ24"/>
    <mergeCell ref="P21:R21"/>
    <mergeCell ref="AD29:AJ31"/>
    <mergeCell ref="D22:D23"/>
    <mergeCell ref="E22:K23"/>
    <mergeCell ref="L22:L23"/>
    <mergeCell ref="M22:O23"/>
    <mergeCell ref="P28:R29"/>
    <mergeCell ref="U25:AA26"/>
    <mergeCell ref="AB25:AC26"/>
    <mergeCell ref="M24:O25"/>
    <mergeCell ref="P24:R25"/>
    <mergeCell ref="U29:AA31"/>
    <mergeCell ref="AB29:AC31"/>
    <mergeCell ref="L24:L25"/>
    <mergeCell ref="D28:K29"/>
    <mergeCell ref="L28:L29"/>
    <mergeCell ref="M28:O29"/>
    <mergeCell ref="AD25:AJ26"/>
    <mergeCell ref="D26:K27"/>
    <mergeCell ref="L26:L27"/>
    <mergeCell ref="M26:O27"/>
    <mergeCell ref="P26:R27"/>
    <mergeCell ref="U27:AA28"/>
    <mergeCell ref="AB27:AC28"/>
    <mergeCell ref="AD27:AJ28"/>
    <mergeCell ref="D24:K25"/>
    <mergeCell ref="U39:AA39"/>
    <mergeCell ref="AB39:AC39"/>
    <mergeCell ref="AD39:AJ39"/>
    <mergeCell ref="AG51:AK51"/>
    <mergeCell ref="D35:Q37"/>
    <mergeCell ref="U36:AA36"/>
    <mergeCell ref="AB36:AC36"/>
    <mergeCell ref="AD36:AJ36"/>
    <mergeCell ref="U37:AA38"/>
    <mergeCell ref="AD44:AJ44"/>
    <mergeCell ref="AB37:AC38"/>
    <mergeCell ref="AD37:AJ38"/>
    <mergeCell ref="D38:Q47"/>
    <mergeCell ref="U33:AA35"/>
    <mergeCell ref="AD46:AJ46"/>
    <mergeCell ref="U32:AA32"/>
    <mergeCell ref="AB32:AC32"/>
    <mergeCell ref="AD32:AJ32"/>
    <mergeCell ref="AB33:AC35"/>
    <mergeCell ref="AD33:AJ35"/>
    <mergeCell ref="AD45:AJ45"/>
    <mergeCell ref="U42:AA42"/>
    <mergeCell ref="AB42:AC42"/>
    <mergeCell ref="AD42:AJ42"/>
    <mergeCell ref="U40:AA40"/>
    <mergeCell ref="U45:AA45"/>
    <mergeCell ref="AB45:AC45"/>
    <mergeCell ref="AD43:AJ43"/>
    <mergeCell ref="U46:AA46"/>
    <mergeCell ref="AB46:AC46"/>
    <mergeCell ref="U43:AA43"/>
    <mergeCell ref="AB43:AC43"/>
    <mergeCell ref="U44:AA44"/>
    <mergeCell ref="AB44:AC44"/>
    <mergeCell ref="AG50:AK50"/>
    <mergeCell ref="D50:E50"/>
    <mergeCell ref="F50:I50"/>
    <mergeCell ref="K50:M50"/>
    <mergeCell ref="N50:P50"/>
    <mergeCell ref="N51:P51"/>
    <mergeCell ref="Q50:V50"/>
    <mergeCell ref="W50:X50"/>
    <mergeCell ref="AA50:AE50"/>
    <mergeCell ref="Q51:V51"/>
    <mergeCell ref="W51:X51"/>
    <mergeCell ref="AA51:AE51"/>
    <mergeCell ref="D51:E51"/>
    <mergeCell ref="D48:N49"/>
    <mergeCell ref="V49:AI49"/>
    <mergeCell ref="AB40:AC40"/>
    <mergeCell ref="AD40:AJ40"/>
    <mergeCell ref="U41:AA41"/>
    <mergeCell ref="AB41:AC41"/>
    <mergeCell ref="AD41:AJ41"/>
    <mergeCell ref="F51:I51"/>
    <mergeCell ref="K51:M51"/>
    <mergeCell ref="AG53:AK53"/>
    <mergeCell ref="D53:E53"/>
    <mergeCell ref="AG52:AK52"/>
    <mergeCell ref="D52:E52"/>
    <mergeCell ref="F52:I52"/>
    <mergeCell ref="K52:M52"/>
    <mergeCell ref="N52:P52"/>
    <mergeCell ref="W52:X52"/>
    <mergeCell ref="AG54:AK54"/>
    <mergeCell ref="D54:E54"/>
    <mergeCell ref="F54:I54"/>
    <mergeCell ref="K54:M54"/>
    <mergeCell ref="N54:P54"/>
    <mergeCell ref="Q53:V53"/>
    <mergeCell ref="W53:X53"/>
    <mergeCell ref="AA53:AE53"/>
    <mergeCell ref="F53:I53"/>
    <mergeCell ref="K53:M53"/>
    <mergeCell ref="N53:P53"/>
    <mergeCell ref="Q52:V52"/>
    <mergeCell ref="Q54:V54"/>
    <mergeCell ref="W54:X54"/>
    <mergeCell ref="AA54:AE54"/>
    <mergeCell ref="AA52:AE52"/>
    <mergeCell ref="AG56:AK56"/>
    <mergeCell ref="Q55:V55"/>
    <mergeCell ref="W55:X55"/>
    <mergeCell ref="AA55:AE55"/>
    <mergeCell ref="AG55:AK55"/>
    <mergeCell ref="AG57:AK57"/>
    <mergeCell ref="W56:X56"/>
    <mergeCell ref="AA56:AE56"/>
    <mergeCell ref="Q56:V56"/>
    <mergeCell ref="D57:E57"/>
    <mergeCell ref="F55:I55"/>
    <mergeCell ref="K55:M55"/>
    <mergeCell ref="N55:P55"/>
    <mergeCell ref="D56:E56"/>
    <mergeCell ref="F56:I56"/>
    <mergeCell ref="K56:M56"/>
    <mergeCell ref="N56:P56"/>
    <mergeCell ref="D55:E55"/>
    <mergeCell ref="N57:P57"/>
    <mergeCell ref="D63:AI63"/>
    <mergeCell ref="D60:Q60"/>
    <mergeCell ref="T60:AH60"/>
    <mergeCell ref="D61:Q61"/>
    <mergeCell ref="T61:AH61"/>
    <mergeCell ref="Q57:V57"/>
    <mergeCell ref="W57:X57"/>
    <mergeCell ref="AA57:AE57"/>
    <mergeCell ref="F57:I57"/>
    <mergeCell ref="K57:M57"/>
  </mergeCells>
  <phoneticPr fontId="13" type="noConversion"/>
  <pageMargins left="0.75" right="0.75" top="1" bottom="1" header="0.5" footer="0.5"/>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indexed="10"/>
  </sheetPr>
  <dimension ref="A1:AU63"/>
  <sheetViews>
    <sheetView workbookViewId="0">
      <selection activeCell="AU32" sqref="AU32"/>
    </sheetView>
  </sheetViews>
  <sheetFormatPr defaultColWidth="8.85546875" defaultRowHeight="12.75"/>
  <cols>
    <col min="1" max="2" width="0.28515625" customWidth="1"/>
    <col min="3" max="3" width="0.140625" customWidth="1"/>
    <col min="4" max="4" width="8.7109375" bestFit="1" customWidth="1"/>
    <col min="5" max="5" width="2" customWidth="1"/>
    <col min="6" max="6" width="3.85546875" customWidth="1"/>
    <col min="7" max="7" width="1.42578125" customWidth="1"/>
    <col min="8" max="8" width="0.140625" customWidth="1"/>
    <col min="9" max="9" width="2.28515625" customWidth="1"/>
    <col min="10" max="10" width="5.7109375" bestFit="1"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5.7109375" bestFit="1" customWidth="1"/>
    <col min="27" max="27" width="3" customWidth="1"/>
    <col min="28" max="28" width="0.28515625" customWidth="1"/>
    <col min="29" max="29" width="1.140625" customWidth="1"/>
    <col min="30" max="31" width="1.42578125" customWidth="1"/>
    <col min="32" max="32" width="5.7109375" bestFit="1" customWidth="1"/>
    <col min="33"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3.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4586</v>
      </c>
      <c r="E7" s="269"/>
      <c r="F7" s="269"/>
      <c r="G7" s="269"/>
      <c r="H7" s="269" t="s">
        <v>4587</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70"/>
      <c r="AM7" s="270"/>
      <c r="AN7" s="2"/>
      <c r="AO7" s="2"/>
      <c r="AP7" s="7"/>
      <c r="AT7" s="22" t="s">
        <v>1518</v>
      </c>
      <c r="AU7" s="35" t="str">
        <f>H7</f>
        <v>BELLEVILLE-2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4535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P'4 REP 1300</v>
      </c>
    </row>
    <row r="13" spans="1:47" ht="11.25" customHeight="1">
      <c r="A13" s="6"/>
      <c r="B13" s="1"/>
      <c r="C13" s="2"/>
      <c r="D13" s="247" t="s">
        <v>5716</v>
      </c>
      <c r="E13" s="247"/>
      <c r="F13" s="247"/>
      <c r="G13" s="247" t="s">
        <v>5709</v>
      </c>
      <c r="H13" s="247"/>
      <c r="I13" s="247" t="s">
        <v>4537</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3817</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1363</v>
      </c>
    </row>
    <row r="17" spans="1:47" ht="11.45" customHeight="1" thickBot="1">
      <c r="A17" s="6"/>
      <c r="B17" s="1"/>
      <c r="C17" s="1"/>
      <c r="D17" s="248" t="s">
        <v>5722</v>
      </c>
      <c r="E17" s="248"/>
      <c r="F17" s="248"/>
      <c r="G17" s="247" t="s">
        <v>5709</v>
      </c>
      <c r="H17" s="247"/>
      <c r="I17" s="248" t="s">
        <v>4538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1310</v>
      </c>
    </row>
    <row r="18" spans="1:47" ht="13.5" thickBot="1">
      <c r="A18" s="6"/>
      <c r="B18" s="1"/>
      <c r="C18" s="1"/>
      <c r="D18" s="248" t="s">
        <v>185</v>
      </c>
      <c r="E18" s="248"/>
      <c r="F18" s="248"/>
      <c r="G18" s="248"/>
      <c r="H18" s="248"/>
      <c r="I18" s="248"/>
      <c r="J18" s="248"/>
      <c r="K18" s="248"/>
      <c r="L18" s="8" t="s">
        <v>5709</v>
      </c>
      <c r="M18" s="264">
        <v>3817</v>
      </c>
      <c r="N18" s="264"/>
      <c r="O18" s="264"/>
      <c r="P18" s="248" t="s">
        <v>186</v>
      </c>
      <c r="Q18" s="248"/>
      <c r="R18" s="248"/>
      <c r="S18" s="2"/>
      <c r="T18" s="2"/>
      <c r="U18" s="252" t="s">
        <v>187</v>
      </c>
      <c r="V18" s="252"/>
      <c r="W18" s="252"/>
      <c r="X18" s="252"/>
      <c r="Y18" s="252"/>
      <c r="Z18" s="252"/>
      <c r="AA18" s="252"/>
      <c r="AB18" s="247" t="s">
        <v>5709</v>
      </c>
      <c r="AC18" s="247"/>
      <c r="AD18" s="248" t="s">
        <v>4539</v>
      </c>
      <c r="AE18" s="248"/>
      <c r="AF18" s="248"/>
      <c r="AG18" s="248"/>
      <c r="AH18" s="248"/>
      <c r="AI18" s="248"/>
      <c r="AJ18" s="248"/>
      <c r="AK18" s="2"/>
      <c r="AL18" s="1"/>
      <c r="AM18" s="2"/>
      <c r="AN18" s="1"/>
      <c r="AO18" s="2"/>
      <c r="AP18" s="7"/>
      <c r="AT18" s="25" t="str">
        <f>D26</f>
        <v>Grid Date</v>
      </c>
      <c r="AU18" s="25">
        <f>M26</f>
        <v>32330</v>
      </c>
    </row>
    <row r="19" spans="1:47" ht="13.5" thickBot="1">
      <c r="A19" s="6"/>
      <c r="B19" s="1"/>
      <c r="C19" s="1"/>
      <c r="D19" s="248" t="s">
        <v>189</v>
      </c>
      <c r="E19" s="248"/>
      <c r="F19" s="248"/>
      <c r="G19" s="248"/>
      <c r="H19" s="248"/>
      <c r="I19" s="248"/>
      <c r="J19" s="248"/>
      <c r="K19" s="248"/>
      <c r="L19" s="8" t="s">
        <v>5709</v>
      </c>
      <c r="M19" s="264">
        <v>1363</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33000</v>
      </c>
    </row>
    <row r="20" spans="1:47" ht="13.5" thickBot="1">
      <c r="A20" s="6"/>
      <c r="B20" s="1"/>
      <c r="C20" s="1"/>
      <c r="D20" s="248" t="s">
        <v>193</v>
      </c>
      <c r="E20" s="248"/>
      <c r="F20" s="248"/>
      <c r="G20" s="248"/>
      <c r="H20" s="248"/>
      <c r="I20" s="248"/>
      <c r="J20" s="248"/>
      <c r="K20" s="248"/>
      <c r="L20" s="8" t="s">
        <v>5709</v>
      </c>
      <c r="M20" s="264">
        <v>1310</v>
      </c>
      <c r="N20" s="264"/>
      <c r="O20" s="264"/>
      <c r="P20" s="248" t="s">
        <v>190</v>
      </c>
      <c r="Q20" s="248"/>
      <c r="R20" s="248"/>
      <c r="S20" s="2"/>
      <c r="T20" s="2"/>
      <c r="U20" s="252" t="s">
        <v>194</v>
      </c>
      <c r="V20" s="252"/>
      <c r="W20" s="252"/>
      <c r="X20" s="252"/>
      <c r="Y20" s="252"/>
      <c r="Z20" s="252"/>
      <c r="AA20" s="252"/>
      <c r="AB20" s="247" t="s">
        <v>5709</v>
      </c>
      <c r="AC20" s="247"/>
      <c r="AD20" s="248" t="s">
        <v>6132</v>
      </c>
      <c r="AE20" s="248"/>
      <c r="AF20" s="248"/>
      <c r="AG20" s="248"/>
      <c r="AH20" s="248"/>
      <c r="AI20" s="248"/>
      <c r="AJ20" s="248"/>
      <c r="AK20" s="2"/>
      <c r="AL20" s="1"/>
      <c r="AM20" s="2"/>
      <c r="AN20" s="1"/>
      <c r="AO20" s="2"/>
      <c r="AP20" s="7"/>
      <c r="AT20" s="23" t="str">
        <f>D57 &amp; Q50</f>
        <v>LF [%]2005</v>
      </c>
      <c r="AU20" s="23" t="str">
        <f>Q57</f>
        <v>80.53</v>
      </c>
    </row>
    <row r="21" spans="1:47" ht="13.5" thickBot="1">
      <c r="A21" s="6"/>
      <c r="B21" s="1"/>
      <c r="C21" s="1"/>
      <c r="D21" s="248" t="s">
        <v>196</v>
      </c>
      <c r="E21" s="248"/>
      <c r="F21" s="248"/>
      <c r="G21" s="248"/>
      <c r="H21" s="248"/>
      <c r="I21" s="248"/>
      <c r="J21" s="248"/>
      <c r="K21" s="248"/>
      <c r="L21" s="8" t="s">
        <v>5709</v>
      </c>
      <c r="M21" s="264">
        <v>1310</v>
      </c>
      <c r="N21" s="264"/>
      <c r="O21" s="264"/>
      <c r="P21" s="248" t="s">
        <v>190</v>
      </c>
      <c r="Q21" s="248"/>
      <c r="R21" s="248"/>
      <c r="S21" s="2"/>
      <c r="T21" s="2"/>
      <c r="U21" s="252" t="s">
        <v>197</v>
      </c>
      <c r="V21" s="252"/>
      <c r="W21" s="252"/>
      <c r="X21" s="252"/>
      <c r="Y21" s="252"/>
      <c r="Z21" s="252"/>
      <c r="AA21" s="252"/>
      <c r="AB21" s="247" t="s">
        <v>5709</v>
      </c>
      <c r="AC21" s="247"/>
      <c r="AD21" s="248" t="s">
        <v>3197</v>
      </c>
      <c r="AE21" s="248"/>
      <c r="AF21" s="248"/>
      <c r="AG21" s="248"/>
      <c r="AH21" s="248"/>
      <c r="AI21" s="248"/>
      <c r="AJ21" s="248"/>
      <c r="AK21" s="2"/>
      <c r="AL21" s="1"/>
      <c r="AM21" s="2"/>
      <c r="AN21" s="1"/>
      <c r="AO21" s="2"/>
      <c r="AP21" s="7"/>
      <c r="AT21" s="23" t="str">
        <f>D57&amp;AF50</f>
        <v>LF [%]2010</v>
      </c>
      <c r="AU21" s="23" t="str">
        <f>AF57</f>
        <v>68.58</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73</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4540</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29434</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2825</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32330</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4588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32509</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4589</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2827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4543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4544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1937</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4319</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4590</v>
      </c>
      <c r="G51" s="238"/>
      <c r="H51" s="238"/>
      <c r="I51" s="238"/>
      <c r="J51" s="10" t="s">
        <v>4591</v>
      </c>
      <c r="K51" s="238" t="s">
        <v>4592</v>
      </c>
      <c r="L51" s="238"/>
      <c r="M51" s="238"/>
      <c r="N51" s="238" t="s">
        <v>4593</v>
      </c>
      <c r="O51" s="238"/>
      <c r="P51" s="238"/>
      <c r="Q51" s="238" t="s">
        <v>4594</v>
      </c>
      <c r="R51" s="238"/>
      <c r="S51" s="238"/>
      <c r="T51" s="238"/>
      <c r="U51" s="238"/>
      <c r="V51" s="238"/>
      <c r="W51" s="238" t="s">
        <v>4595</v>
      </c>
      <c r="X51" s="238"/>
      <c r="Y51" s="10" t="s">
        <v>4596</v>
      </c>
      <c r="Z51" s="10" t="s">
        <v>4597</v>
      </c>
      <c r="AA51" s="238" t="s">
        <v>4598</v>
      </c>
      <c r="AB51" s="238"/>
      <c r="AC51" s="238"/>
      <c r="AD51" s="238"/>
      <c r="AE51" s="238"/>
      <c r="AF51" s="10" t="s">
        <v>4599</v>
      </c>
      <c r="AG51" s="237" t="s">
        <v>4600</v>
      </c>
      <c r="AH51" s="237"/>
      <c r="AI51" s="237"/>
      <c r="AJ51" s="237"/>
      <c r="AK51" s="237"/>
      <c r="AL51" s="2"/>
      <c r="AM51" s="2"/>
      <c r="AN51" s="2"/>
      <c r="AO51" s="2"/>
      <c r="AP51" s="7"/>
    </row>
    <row r="52" spans="1:42" ht="13.5" thickBot="1">
      <c r="A52" s="6"/>
      <c r="B52" s="2"/>
      <c r="C52" s="2"/>
      <c r="D52" s="244" t="s">
        <v>261</v>
      </c>
      <c r="E52" s="244"/>
      <c r="F52" s="238" t="s">
        <v>3475</v>
      </c>
      <c r="G52" s="238"/>
      <c r="H52" s="238"/>
      <c r="I52" s="238"/>
      <c r="J52" s="10" t="s">
        <v>4601</v>
      </c>
      <c r="K52" s="238" t="s">
        <v>7072</v>
      </c>
      <c r="L52" s="238"/>
      <c r="M52" s="238"/>
      <c r="N52" s="238" t="s">
        <v>4602</v>
      </c>
      <c r="O52" s="238"/>
      <c r="P52" s="238"/>
      <c r="Q52" s="238" t="s">
        <v>4325</v>
      </c>
      <c r="R52" s="238"/>
      <c r="S52" s="238"/>
      <c r="T52" s="238"/>
      <c r="U52" s="238"/>
      <c r="V52" s="238"/>
      <c r="W52" s="238" t="s">
        <v>4603</v>
      </c>
      <c r="X52" s="238"/>
      <c r="Y52" s="10" t="s">
        <v>3470</v>
      </c>
      <c r="Z52" s="10" t="s">
        <v>3949</v>
      </c>
      <c r="AA52" s="238" t="s">
        <v>4604</v>
      </c>
      <c r="AB52" s="238"/>
      <c r="AC52" s="238"/>
      <c r="AD52" s="238"/>
      <c r="AE52" s="238"/>
      <c r="AF52" s="10" t="s">
        <v>4605</v>
      </c>
      <c r="AG52" s="237" t="s">
        <v>5120</v>
      </c>
      <c r="AH52" s="237"/>
      <c r="AI52" s="237"/>
      <c r="AJ52" s="237"/>
      <c r="AK52" s="237"/>
      <c r="AL52" s="2"/>
      <c r="AM52" s="2"/>
      <c r="AN52" s="2"/>
      <c r="AO52" s="2"/>
      <c r="AP52" s="7"/>
    </row>
    <row r="53" spans="1:42" ht="13.5" thickBot="1">
      <c r="A53" s="6"/>
      <c r="B53" s="2"/>
      <c r="C53" s="2"/>
      <c r="D53" s="244" t="s">
        <v>273</v>
      </c>
      <c r="E53" s="244"/>
      <c r="F53" s="238" t="s">
        <v>4606</v>
      </c>
      <c r="G53" s="238"/>
      <c r="H53" s="238"/>
      <c r="I53" s="238"/>
      <c r="J53" s="10" t="s">
        <v>4607</v>
      </c>
      <c r="K53" s="238" t="s">
        <v>4608</v>
      </c>
      <c r="L53" s="238"/>
      <c r="M53" s="238"/>
      <c r="N53" s="238" t="s">
        <v>378</v>
      </c>
      <c r="O53" s="238"/>
      <c r="P53" s="238"/>
      <c r="Q53" s="238" t="s">
        <v>1884</v>
      </c>
      <c r="R53" s="238"/>
      <c r="S53" s="238"/>
      <c r="T53" s="238"/>
      <c r="U53" s="238"/>
      <c r="V53" s="238"/>
      <c r="W53" s="238" t="s">
        <v>3852</v>
      </c>
      <c r="X53" s="238"/>
      <c r="Y53" s="10" t="s">
        <v>447</v>
      </c>
      <c r="Z53" s="10" t="s">
        <v>3465</v>
      </c>
      <c r="AA53" s="238" t="s">
        <v>4609</v>
      </c>
      <c r="AB53" s="238"/>
      <c r="AC53" s="238"/>
      <c r="AD53" s="238"/>
      <c r="AE53" s="238"/>
      <c r="AF53" s="10" t="s">
        <v>4610</v>
      </c>
      <c r="AG53" s="237" t="s">
        <v>72</v>
      </c>
      <c r="AH53" s="237"/>
      <c r="AI53" s="237"/>
      <c r="AJ53" s="237"/>
      <c r="AK53" s="237"/>
      <c r="AL53" s="2"/>
      <c r="AM53" s="2"/>
      <c r="AN53" s="2"/>
      <c r="AO53" s="2"/>
      <c r="AP53" s="7"/>
    </row>
    <row r="54" spans="1:42" ht="13.5" thickBot="1">
      <c r="A54" s="6"/>
      <c r="B54" s="2"/>
      <c r="C54" s="2"/>
      <c r="D54" s="244" t="s">
        <v>285</v>
      </c>
      <c r="E54" s="244"/>
      <c r="F54" s="238" t="s">
        <v>4611</v>
      </c>
      <c r="G54" s="238"/>
      <c r="H54" s="238"/>
      <c r="I54" s="238"/>
      <c r="J54" s="10" t="s">
        <v>3696</v>
      </c>
      <c r="K54" s="238" t="s">
        <v>5317</v>
      </c>
      <c r="L54" s="238"/>
      <c r="M54" s="238"/>
      <c r="N54" s="238" t="s">
        <v>4612</v>
      </c>
      <c r="O54" s="238"/>
      <c r="P54" s="238"/>
      <c r="Q54" s="238" t="s">
        <v>3529</v>
      </c>
      <c r="R54" s="238"/>
      <c r="S54" s="238"/>
      <c r="T54" s="238"/>
      <c r="U54" s="238"/>
      <c r="V54" s="238"/>
      <c r="W54" s="238" t="s">
        <v>4613</v>
      </c>
      <c r="X54" s="238"/>
      <c r="Y54" s="10" t="s">
        <v>4614</v>
      </c>
      <c r="Z54" s="10" t="s">
        <v>5570</v>
      </c>
      <c r="AA54" s="238" t="s">
        <v>4615</v>
      </c>
      <c r="AB54" s="238"/>
      <c r="AC54" s="238"/>
      <c r="AD54" s="238"/>
      <c r="AE54" s="238"/>
      <c r="AF54" s="10" t="s">
        <v>4616</v>
      </c>
      <c r="AG54" s="237" t="s">
        <v>7083</v>
      </c>
      <c r="AH54" s="237"/>
      <c r="AI54" s="237"/>
      <c r="AJ54" s="237"/>
      <c r="AK54" s="237"/>
      <c r="AL54" s="2"/>
      <c r="AM54" s="2"/>
      <c r="AN54" s="2"/>
      <c r="AO54" s="2"/>
      <c r="AP54" s="7"/>
    </row>
    <row r="55" spans="1:42" ht="13.5" thickBot="1">
      <c r="A55" s="6"/>
      <c r="B55" s="2"/>
      <c r="C55" s="2"/>
      <c r="D55" s="244" t="s">
        <v>295</v>
      </c>
      <c r="E55" s="244"/>
      <c r="F55" s="238" t="s">
        <v>4617</v>
      </c>
      <c r="G55" s="238"/>
      <c r="H55" s="238"/>
      <c r="I55" s="238"/>
      <c r="J55" s="10" t="s">
        <v>4570</v>
      </c>
      <c r="K55" s="238" t="s">
        <v>4618</v>
      </c>
      <c r="L55" s="238"/>
      <c r="M55" s="238"/>
      <c r="N55" s="238" t="s">
        <v>6459</v>
      </c>
      <c r="O55" s="238"/>
      <c r="P55" s="238"/>
      <c r="Q55" s="238" t="s">
        <v>6982</v>
      </c>
      <c r="R55" s="238"/>
      <c r="S55" s="238"/>
      <c r="T55" s="238"/>
      <c r="U55" s="238"/>
      <c r="V55" s="238"/>
      <c r="W55" s="238" t="s">
        <v>4619</v>
      </c>
      <c r="X55" s="238"/>
      <c r="Y55" s="10" t="s">
        <v>5163</v>
      </c>
      <c r="Z55" s="10" t="s">
        <v>4620</v>
      </c>
      <c r="AA55" s="238" t="s">
        <v>305</v>
      </c>
      <c r="AB55" s="238"/>
      <c r="AC55" s="238"/>
      <c r="AD55" s="238"/>
      <c r="AE55" s="238"/>
      <c r="AF55" s="10" t="s">
        <v>2741</v>
      </c>
      <c r="AG55" s="237" t="s">
        <v>6711</v>
      </c>
      <c r="AH55" s="237"/>
      <c r="AI55" s="237"/>
      <c r="AJ55" s="237"/>
      <c r="AK55" s="237"/>
      <c r="AL55" s="2"/>
      <c r="AM55" s="2"/>
      <c r="AN55" s="2"/>
      <c r="AO55" s="2"/>
      <c r="AP55" s="7"/>
    </row>
    <row r="56" spans="1:42" ht="13.5" thickBot="1">
      <c r="A56" s="6"/>
      <c r="B56" s="2"/>
      <c r="C56" s="2"/>
      <c r="D56" s="244" t="s">
        <v>307</v>
      </c>
      <c r="E56" s="244"/>
      <c r="F56" s="238" t="s">
        <v>4621</v>
      </c>
      <c r="G56" s="238"/>
      <c r="H56" s="238"/>
      <c r="I56" s="238"/>
      <c r="J56" s="10" t="s">
        <v>4622</v>
      </c>
      <c r="K56" s="238" t="s">
        <v>4623</v>
      </c>
      <c r="L56" s="238"/>
      <c r="M56" s="238"/>
      <c r="N56" s="238" t="s">
        <v>4624</v>
      </c>
      <c r="O56" s="238"/>
      <c r="P56" s="238"/>
      <c r="Q56" s="238" t="s">
        <v>6949</v>
      </c>
      <c r="R56" s="238"/>
      <c r="S56" s="238"/>
      <c r="T56" s="238"/>
      <c r="U56" s="238"/>
      <c r="V56" s="238"/>
      <c r="W56" s="238" t="s">
        <v>6461</v>
      </c>
      <c r="X56" s="238"/>
      <c r="Y56" s="10" t="s">
        <v>3381</v>
      </c>
      <c r="Z56" s="10" t="s">
        <v>443</v>
      </c>
      <c r="AA56" s="238" t="s">
        <v>4625</v>
      </c>
      <c r="AB56" s="238"/>
      <c r="AC56" s="238"/>
      <c r="AD56" s="238"/>
      <c r="AE56" s="238"/>
      <c r="AF56" s="10" t="s">
        <v>4626</v>
      </c>
      <c r="AG56" s="237" t="s">
        <v>7117</v>
      </c>
      <c r="AH56" s="237"/>
      <c r="AI56" s="237"/>
      <c r="AJ56" s="237"/>
      <c r="AK56" s="237"/>
      <c r="AL56" s="2"/>
      <c r="AM56" s="2"/>
      <c r="AN56" s="2"/>
      <c r="AO56" s="2"/>
      <c r="AP56" s="7"/>
    </row>
    <row r="57" spans="1:42" ht="13.5" thickBot="1">
      <c r="A57" s="6"/>
      <c r="B57" s="2"/>
      <c r="C57" s="2"/>
      <c r="D57" s="244" t="s">
        <v>319</v>
      </c>
      <c r="E57" s="244"/>
      <c r="F57" s="237" t="s">
        <v>4420</v>
      </c>
      <c r="G57" s="237"/>
      <c r="H57" s="237"/>
      <c r="I57" s="237"/>
      <c r="J57" s="11" t="s">
        <v>4627</v>
      </c>
      <c r="K57" s="237" t="s">
        <v>4628</v>
      </c>
      <c r="L57" s="237"/>
      <c r="M57" s="237"/>
      <c r="N57" s="237" t="s">
        <v>6028</v>
      </c>
      <c r="O57" s="237"/>
      <c r="P57" s="237"/>
      <c r="Q57" s="237" t="s">
        <v>4629</v>
      </c>
      <c r="R57" s="237"/>
      <c r="S57" s="237"/>
      <c r="T57" s="237"/>
      <c r="U57" s="237"/>
      <c r="V57" s="237"/>
      <c r="W57" s="237" t="s">
        <v>5249</v>
      </c>
      <c r="X57" s="237"/>
      <c r="Y57" s="11" t="s">
        <v>4630</v>
      </c>
      <c r="Z57" s="11" t="s">
        <v>4001</v>
      </c>
      <c r="AA57" s="237" t="s">
        <v>4631</v>
      </c>
      <c r="AB57" s="237"/>
      <c r="AC57" s="237"/>
      <c r="AD57" s="237"/>
      <c r="AE57" s="237"/>
      <c r="AF57" s="11" t="s">
        <v>4632</v>
      </c>
      <c r="AG57" s="237" t="s">
        <v>4633</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G17:H17"/>
    <mergeCell ref="I17:R17"/>
    <mergeCell ref="U17:AA17"/>
    <mergeCell ref="AB15:AC15"/>
    <mergeCell ref="AD15:AJ15"/>
    <mergeCell ref="AB16:AC16"/>
    <mergeCell ref="AD16:AJ16"/>
    <mergeCell ref="I16:R16"/>
    <mergeCell ref="U16:AA16"/>
    <mergeCell ref="D15:R15"/>
    <mergeCell ref="U15:AA15"/>
    <mergeCell ref="D18:K18"/>
    <mergeCell ref="M18:O18"/>
    <mergeCell ref="P18:R18"/>
    <mergeCell ref="U18:AA18"/>
    <mergeCell ref="U21:AA21"/>
    <mergeCell ref="P20:R20"/>
    <mergeCell ref="U20:AA20"/>
    <mergeCell ref="D19:K19"/>
    <mergeCell ref="M19:O19"/>
    <mergeCell ref="P19:R19"/>
    <mergeCell ref="U19:AA19"/>
    <mergeCell ref="D20:K20"/>
    <mergeCell ref="M20:O20"/>
    <mergeCell ref="D21:K21"/>
    <mergeCell ref="M21:O21"/>
    <mergeCell ref="AD18:AJ18"/>
    <mergeCell ref="AB19:AC19"/>
    <mergeCell ref="AD19:AJ19"/>
    <mergeCell ref="AB20:AC20"/>
    <mergeCell ref="AD20:AJ20"/>
    <mergeCell ref="AB18:AC18"/>
    <mergeCell ref="AB21:AC21"/>
    <mergeCell ref="AD21:AJ21"/>
    <mergeCell ref="P22:R23"/>
    <mergeCell ref="U22:AA22"/>
    <mergeCell ref="AB22:AC22"/>
    <mergeCell ref="AD22:AJ22"/>
    <mergeCell ref="U23:AA24"/>
    <mergeCell ref="AB23:AC24"/>
    <mergeCell ref="AD23:AJ24"/>
    <mergeCell ref="P21:R21"/>
    <mergeCell ref="AD29:AJ31"/>
    <mergeCell ref="D22:D23"/>
    <mergeCell ref="E22:K23"/>
    <mergeCell ref="L22:L23"/>
    <mergeCell ref="M22:O23"/>
    <mergeCell ref="P28:R29"/>
    <mergeCell ref="U25:AA26"/>
    <mergeCell ref="AB25:AC26"/>
    <mergeCell ref="M24:O25"/>
    <mergeCell ref="P24:R25"/>
    <mergeCell ref="U29:AA31"/>
    <mergeCell ref="AB29:AC31"/>
    <mergeCell ref="L24:L25"/>
    <mergeCell ref="D28:K29"/>
    <mergeCell ref="L28:L29"/>
    <mergeCell ref="M28:O29"/>
    <mergeCell ref="AD25:AJ26"/>
    <mergeCell ref="D26:K27"/>
    <mergeCell ref="L26:L27"/>
    <mergeCell ref="M26:O27"/>
    <mergeCell ref="P26:R27"/>
    <mergeCell ref="U27:AA28"/>
    <mergeCell ref="AB27:AC28"/>
    <mergeCell ref="AD27:AJ28"/>
    <mergeCell ref="D24:K25"/>
    <mergeCell ref="U39:AA39"/>
    <mergeCell ref="AB39:AC39"/>
    <mergeCell ref="AD39:AJ39"/>
    <mergeCell ref="AG51:AK51"/>
    <mergeCell ref="D35:Q37"/>
    <mergeCell ref="U36:AA36"/>
    <mergeCell ref="AB36:AC36"/>
    <mergeCell ref="AD36:AJ36"/>
    <mergeCell ref="U37:AA38"/>
    <mergeCell ref="AD44:AJ44"/>
    <mergeCell ref="AB37:AC38"/>
    <mergeCell ref="AD37:AJ38"/>
    <mergeCell ref="D38:Q47"/>
    <mergeCell ref="U33:AA35"/>
    <mergeCell ref="AD46:AJ46"/>
    <mergeCell ref="U32:AA32"/>
    <mergeCell ref="AB32:AC32"/>
    <mergeCell ref="AD32:AJ32"/>
    <mergeCell ref="AB33:AC35"/>
    <mergeCell ref="AD33:AJ35"/>
    <mergeCell ref="AD45:AJ45"/>
    <mergeCell ref="U42:AA42"/>
    <mergeCell ref="AB42:AC42"/>
    <mergeCell ref="AD42:AJ42"/>
    <mergeCell ref="U40:AA40"/>
    <mergeCell ref="U45:AA45"/>
    <mergeCell ref="AB45:AC45"/>
    <mergeCell ref="AD43:AJ43"/>
    <mergeCell ref="U46:AA46"/>
    <mergeCell ref="AB46:AC46"/>
    <mergeCell ref="U43:AA43"/>
    <mergeCell ref="AB43:AC43"/>
    <mergeCell ref="U44:AA44"/>
    <mergeCell ref="AB44:AC44"/>
    <mergeCell ref="AG50:AK50"/>
    <mergeCell ref="D50:E50"/>
    <mergeCell ref="F50:I50"/>
    <mergeCell ref="K50:M50"/>
    <mergeCell ref="N50:P50"/>
    <mergeCell ref="N51:P51"/>
    <mergeCell ref="Q50:V50"/>
    <mergeCell ref="W50:X50"/>
    <mergeCell ref="AA50:AE50"/>
    <mergeCell ref="Q51:V51"/>
    <mergeCell ref="W51:X51"/>
    <mergeCell ref="AA51:AE51"/>
    <mergeCell ref="D51:E51"/>
    <mergeCell ref="D48:N49"/>
    <mergeCell ref="V49:AI49"/>
    <mergeCell ref="AB40:AC40"/>
    <mergeCell ref="AD40:AJ40"/>
    <mergeCell ref="U41:AA41"/>
    <mergeCell ref="AB41:AC41"/>
    <mergeCell ref="AD41:AJ41"/>
    <mergeCell ref="F51:I51"/>
    <mergeCell ref="K51:M51"/>
    <mergeCell ref="AG53:AK53"/>
    <mergeCell ref="D53:E53"/>
    <mergeCell ref="AG52:AK52"/>
    <mergeCell ref="D52:E52"/>
    <mergeCell ref="F52:I52"/>
    <mergeCell ref="K52:M52"/>
    <mergeCell ref="N52:P52"/>
    <mergeCell ref="W52:X52"/>
    <mergeCell ref="AG54:AK54"/>
    <mergeCell ref="D54:E54"/>
    <mergeCell ref="F54:I54"/>
    <mergeCell ref="K54:M54"/>
    <mergeCell ref="N54:P54"/>
    <mergeCell ref="Q53:V53"/>
    <mergeCell ref="W53:X53"/>
    <mergeCell ref="AA53:AE53"/>
    <mergeCell ref="F53:I53"/>
    <mergeCell ref="K53:M53"/>
    <mergeCell ref="N53:P53"/>
    <mergeCell ref="Q52:V52"/>
    <mergeCell ref="Q54:V54"/>
    <mergeCell ref="W54:X54"/>
    <mergeCell ref="AA54:AE54"/>
    <mergeCell ref="AA52:AE52"/>
    <mergeCell ref="AG56:AK56"/>
    <mergeCell ref="Q55:V55"/>
    <mergeCell ref="W55:X55"/>
    <mergeCell ref="AA55:AE55"/>
    <mergeCell ref="AG55:AK55"/>
    <mergeCell ref="AG57:AK57"/>
    <mergeCell ref="W56:X56"/>
    <mergeCell ref="AA56:AE56"/>
    <mergeCell ref="Q56:V56"/>
    <mergeCell ref="D57:E57"/>
    <mergeCell ref="F55:I55"/>
    <mergeCell ref="K55:M55"/>
    <mergeCell ref="N55:P55"/>
    <mergeCell ref="D56:E56"/>
    <mergeCell ref="F56:I56"/>
    <mergeCell ref="K56:M56"/>
    <mergeCell ref="N56:P56"/>
    <mergeCell ref="D55:E55"/>
    <mergeCell ref="N57:P57"/>
    <mergeCell ref="D63:AI63"/>
    <mergeCell ref="D60:Q60"/>
    <mergeCell ref="T60:AH60"/>
    <mergeCell ref="D61:Q61"/>
    <mergeCell ref="T61:AH61"/>
    <mergeCell ref="Q57:V57"/>
    <mergeCell ref="W57:X57"/>
    <mergeCell ref="AA57:AE57"/>
    <mergeCell ref="F57:I57"/>
    <mergeCell ref="K57:M57"/>
  </mergeCells>
  <phoneticPr fontId="13" type="noConversion"/>
  <pageMargins left="0.75" right="0.75" top="1" bottom="1" header="0.5" footer="0.5"/>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indexed="10"/>
  </sheetPr>
  <dimension ref="A1:AU61"/>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4634</v>
      </c>
      <c r="E7" s="269"/>
      <c r="F7" s="269"/>
      <c r="G7" s="269"/>
      <c r="H7" s="269" t="s">
        <v>4635</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BLAYAIS-1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4340</v>
      </c>
      <c r="AE18" s="248"/>
      <c r="AF18" s="248"/>
      <c r="AG18" s="248"/>
      <c r="AH18" s="248"/>
      <c r="AI18" s="2"/>
      <c r="AJ18" s="1"/>
      <c r="AK18" s="2"/>
      <c r="AL18" s="1"/>
      <c r="AM18" s="2"/>
      <c r="AN18" s="7"/>
      <c r="AT18" s="25" t="str">
        <f>D24</f>
        <v>Grid Date</v>
      </c>
      <c r="AU18" s="25">
        <f>M24</f>
        <v>29749</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86.34</v>
      </c>
    </row>
    <row r="21" spans="1:47" ht="11.2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83.23</v>
      </c>
    </row>
    <row r="22" spans="1:47" ht="8.85" customHeight="1" thickBot="1">
      <c r="A22" s="6"/>
      <c r="B22" s="1"/>
      <c r="C22" s="1"/>
      <c r="D22" s="248" t="s">
        <v>205</v>
      </c>
      <c r="E22" s="248"/>
      <c r="F22" s="248"/>
      <c r="G22" s="248"/>
      <c r="H22" s="248"/>
      <c r="I22" s="248"/>
      <c r="J22" s="248"/>
      <c r="K22" s="248"/>
      <c r="L22" s="247" t="s">
        <v>5709</v>
      </c>
      <c r="M22" s="259">
        <v>28126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29749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29921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3484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4639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4640</v>
      </c>
      <c r="G49" s="238"/>
      <c r="H49" s="238"/>
      <c r="I49" s="238"/>
      <c r="J49" s="10" t="s">
        <v>4641</v>
      </c>
      <c r="K49" s="238" t="s">
        <v>4642</v>
      </c>
      <c r="L49" s="238"/>
      <c r="M49" s="238"/>
      <c r="N49" s="238" t="s">
        <v>4643</v>
      </c>
      <c r="O49" s="238"/>
      <c r="P49" s="238"/>
      <c r="Q49" s="238" t="s">
        <v>4644</v>
      </c>
      <c r="R49" s="238"/>
      <c r="S49" s="238"/>
      <c r="T49" s="238"/>
      <c r="U49" s="238"/>
      <c r="V49" s="238"/>
      <c r="W49" s="238" t="s">
        <v>4645</v>
      </c>
      <c r="X49" s="238"/>
      <c r="Y49" s="10" t="s">
        <v>4646</v>
      </c>
      <c r="Z49" s="10" t="s">
        <v>4647</v>
      </c>
      <c r="AA49" s="238" t="s">
        <v>4648</v>
      </c>
      <c r="AB49" s="238"/>
      <c r="AC49" s="238"/>
      <c r="AD49" s="238"/>
      <c r="AE49" s="10" t="s">
        <v>4649</v>
      </c>
      <c r="AF49" s="237" t="s">
        <v>4650</v>
      </c>
      <c r="AG49" s="237"/>
      <c r="AH49" s="237"/>
      <c r="AI49" s="237"/>
      <c r="AJ49" s="2"/>
      <c r="AK49" s="2"/>
      <c r="AL49" s="2"/>
      <c r="AM49" s="2"/>
      <c r="AN49" s="7"/>
    </row>
    <row r="50" spans="1:40" ht="13.5" thickBot="1">
      <c r="A50" s="6"/>
      <c r="B50" s="2"/>
      <c r="C50" s="2"/>
      <c r="D50" s="244" t="s">
        <v>261</v>
      </c>
      <c r="E50" s="244"/>
      <c r="F50" s="238" t="s">
        <v>4651</v>
      </c>
      <c r="G50" s="238"/>
      <c r="H50" s="238"/>
      <c r="I50" s="238"/>
      <c r="J50" s="10" t="s">
        <v>3060</v>
      </c>
      <c r="K50" s="238" t="s">
        <v>3</v>
      </c>
      <c r="L50" s="238"/>
      <c r="M50" s="238"/>
      <c r="N50" s="238" t="s">
        <v>3796</v>
      </c>
      <c r="O50" s="238"/>
      <c r="P50" s="238"/>
      <c r="Q50" s="238" t="s">
        <v>2697</v>
      </c>
      <c r="R50" s="238"/>
      <c r="S50" s="238"/>
      <c r="T50" s="238"/>
      <c r="U50" s="238"/>
      <c r="V50" s="238"/>
      <c r="W50" s="238" t="s">
        <v>2747</v>
      </c>
      <c r="X50" s="238"/>
      <c r="Y50" s="10" t="s">
        <v>4652</v>
      </c>
      <c r="Z50" s="10" t="s">
        <v>6332</v>
      </c>
      <c r="AA50" s="238" t="s">
        <v>4653</v>
      </c>
      <c r="AB50" s="238"/>
      <c r="AC50" s="238"/>
      <c r="AD50" s="238"/>
      <c r="AE50" s="10" t="s">
        <v>3446</v>
      </c>
      <c r="AF50" s="237" t="s">
        <v>4900</v>
      </c>
      <c r="AG50" s="237"/>
      <c r="AH50" s="237"/>
      <c r="AI50" s="237"/>
      <c r="AJ50" s="2"/>
      <c r="AK50" s="2"/>
      <c r="AL50" s="2"/>
      <c r="AM50" s="2"/>
      <c r="AN50" s="7"/>
    </row>
    <row r="51" spans="1:40" ht="13.5" thickBot="1">
      <c r="A51" s="6"/>
      <c r="B51" s="2"/>
      <c r="C51" s="2"/>
      <c r="D51" s="244" t="s">
        <v>273</v>
      </c>
      <c r="E51" s="244"/>
      <c r="F51" s="238" t="s">
        <v>6766</v>
      </c>
      <c r="G51" s="238"/>
      <c r="H51" s="238"/>
      <c r="I51" s="238"/>
      <c r="J51" s="10" t="s">
        <v>5270</v>
      </c>
      <c r="K51" s="238" t="s">
        <v>4654</v>
      </c>
      <c r="L51" s="238"/>
      <c r="M51" s="238"/>
      <c r="N51" s="238" t="s">
        <v>3993</v>
      </c>
      <c r="O51" s="238"/>
      <c r="P51" s="238"/>
      <c r="Q51" s="238" t="s">
        <v>5525</v>
      </c>
      <c r="R51" s="238"/>
      <c r="S51" s="238"/>
      <c r="T51" s="238"/>
      <c r="U51" s="238"/>
      <c r="V51" s="238"/>
      <c r="W51" s="238" t="s">
        <v>6507</v>
      </c>
      <c r="X51" s="238"/>
      <c r="Y51" s="10" t="s">
        <v>4655</v>
      </c>
      <c r="Z51" s="10" t="s">
        <v>4377</v>
      </c>
      <c r="AA51" s="238" t="s">
        <v>4656</v>
      </c>
      <c r="AB51" s="238"/>
      <c r="AC51" s="238"/>
      <c r="AD51" s="238"/>
      <c r="AE51" s="10" t="s">
        <v>4657</v>
      </c>
      <c r="AF51" s="237" t="s">
        <v>4658</v>
      </c>
      <c r="AG51" s="237"/>
      <c r="AH51" s="237"/>
      <c r="AI51" s="237"/>
      <c r="AJ51" s="2"/>
      <c r="AK51" s="2"/>
      <c r="AL51" s="2"/>
      <c r="AM51" s="2"/>
      <c r="AN51" s="7"/>
    </row>
    <row r="52" spans="1:40" ht="13.5" thickBot="1">
      <c r="A52" s="6"/>
      <c r="B52" s="2"/>
      <c r="C52" s="2"/>
      <c r="D52" s="244" t="s">
        <v>285</v>
      </c>
      <c r="E52" s="244"/>
      <c r="F52" s="238" t="s">
        <v>4659</v>
      </c>
      <c r="G52" s="238"/>
      <c r="H52" s="238"/>
      <c r="I52" s="238"/>
      <c r="J52" s="10" t="s">
        <v>4660</v>
      </c>
      <c r="K52" s="238" t="s">
        <v>4661</v>
      </c>
      <c r="L52" s="238"/>
      <c r="M52" s="238"/>
      <c r="N52" s="238" t="s">
        <v>4951</v>
      </c>
      <c r="O52" s="238"/>
      <c r="P52" s="238"/>
      <c r="Q52" s="238" t="s">
        <v>6153</v>
      </c>
      <c r="R52" s="238"/>
      <c r="S52" s="238"/>
      <c r="T52" s="238"/>
      <c r="U52" s="238"/>
      <c r="V52" s="238"/>
      <c r="W52" s="238" t="s">
        <v>3945</v>
      </c>
      <c r="X52" s="238"/>
      <c r="Y52" s="10" t="s">
        <v>4662</v>
      </c>
      <c r="Z52" s="10" t="s">
        <v>3446</v>
      </c>
      <c r="AA52" s="238" t="s">
        <v>4663</v>
      </c>
      <c r="AB52" s="238"/>
      <c r="AC52" s="238"/>
      <c r="AD52" s="238"/>
      <c r="AE52" s="10" t="s">
        <v>6733</v>
      </c>
      <c r="AF52" s="237" t="s">
        <v>4664</v>
      </c>
      <c r="AG52" s="237"/>
      <c r="AH52" s="237"/>
      <c r="AI52" s="237"/>
      <c r="AJ52" s="2"/>
      <c r="AK52" s="2"/>
      <c r="AL52" s="2"/>
      <c r="AM52" s="2"/>
      <c r="AN52" s="7"/>
    </row>
    <row r="53" spans="1:40" ht="13.5" thickBot="1">
      <c r="A53" s="6"/>
      <c r="B53" s="2"/>
      <c r="C53" s="2"/>
      <c r="D53" s="244" t="s">
        <v>295</v>
      </c>
      <c r="E53" s="244"/>
      <c r="F53" s="238" t="s">
        <v>4665</v>
      </c>
      <c r="G53" s="238"/>
      <c r="H53" s="238"/>
      <c r="I53" s="238"/>
      <c r="J53" s="10" t="s">
        <v>4666</v>
      </c>
      <c r="K53" s="238" t="s">
        <v>5217</v>
      </c>
      <c r="L53" s="238"/>
      <c r="M53" s="238"/>
      <c r="N53" s="238" t="s">
        <v>2960</v>
      </c>
      <c r="O53" s="238"/>
      <c r="P53" s="238"/>
      <c r="Q53" s="238" t="s">
        <v>359</v>
      </c>
      <c r="R53" s="238"/>
      <c r="S53" s="238"/>
      <c r="T53" s="238"/>
      <c r="U53" s="238"/>
      <c r="V53" s="238"/>
      <c r="W53" s="238" t="s">
        <v>4840</v>
      </c>
      <c r="X53" s="238"/>
      <c r="Y53" s="10" t="s">
        <v>6656</v>
      </c>
      <c r="Z53" s="10" t="s">
        <v>4667</v>
      </c>
      <c r="AA53" s="238" t="s">
        <v>6085</v>
      </c>
      <c r="AB53" s="238"/>
      <c r="AC53" s="238"/>
      <c r="AD53" s="238"/>
      <c r="AE53" s="10" t="s">
        <v>1780</v>
      </c>
      <c r="AF53" s="237" t="s">
        <v>4668</v>
      </c>
      <c r="AG53" s="237"/>
      <c r="AH53" s="237"/>
      <c r="AI53" s="237"/>
      <c r="AJ53" s="2"/>
      <c r="AK53" s="2"/>
      <c r="AL53" s="2"/>
      <c r="AM53" s="2"/>
      <c r="AN53" s="7"/>
    </row>
    <row r="54" spans="1:40" ht="13.5" thickBot="1">
      <c r="A54" s="6"/>
      <c r="B54" s="2"/>
      <c r="C54" s="2"/>
      <c r="D54" s="244" t="s">
        <v>307</v>
      </c>
      <c r="E54" s="244"/>
      <c r="F54" s="238" t="s">
        <v>4669</v>
      </c>
      <c r="G54" s="238"/>
      <c r="H54" s="238"/>
      <c r="I54" s="238"/>
      <c r="J54" s="10" t="s">
        <v>7021</v>
      </c>
      <c r="K54" s="238" t="s">
        <v>4670</v>
      </c>
      <c r="L54" s="238"/>
      <c r="M54" s="238"/>
      <c r="N54" s="238" t="s">
        <v>1854</v>
      </c>
      <c r="O54" s="238"/>
      <c r="P54" s="238"/>
      <c r="Q54" s="238" t="s">
        <v>5052</v>
      </c>
      <c r="R54" s="238"/>
      <c r="S54" s="238"/>
      <c r="T54" s="238"/>
      <c r="U54" s="238"/>
      <c r="V54" s="238"/>
      <c r="W54" s="238" t="s">
        <v>3260</v>
      </c>
      <c r="X54" s="238"/>
      <c r="Y54" s="10" t="s">
        <v>1969</v>
      </c>
      <c r="Z54" s="10" t="s">
        <v>4231</v>
      </c>
      <c r="AA54" s="238" t="s">
        <v>6760</v>
      </c>
      <c r="AB54" s="238"/>
      <c r="AC54" s="238"/>
      <c r="AD54" s="238"/>
      <c r="AE54" s="10" t="s">
        <v>2688</v>
      </c>
      <c r="AF54" s="237" t="s">
        <v>4882</v>
      </c>
      <c r="AG54" s="237"/>
      <c r="AH54" s="237"/>
      <c r="AI54" s="237"/>
      <c r="AJ54" s="2"/>
      <c r="AK54" s="2"/>
      <c r="AL54" s="2"/>
      <c r="AM54" s="2"/>
      <c r="AN54" s="7"/>
    </row>
    <row r="55" spans="1:40" ht="13.5" thickBot="1">
      <c r="A55" s="6"/>
      <c r="B55" s="2"/>
      <c r="C55" s="2"/>
      <c r="D55" s="244" t="s">
        <v>319</v>
      </c>
      <c r="E55" s="244"/>
      <c r="F55" s="237" t="s">
        <v>4671</v>
      </c>
      <c r="G55" s="237"/>
      <c r="H55" s="237"/>
      <c r="I55" s="237"/>
      <c r="J55" s="11" t="s">
        <v>4672</v>
      </c>
      <c r="K55" s="237" t="s">
        <v>4673</v>
      </c>
      <c r="L55" s="237"/>
      <c r="M55" s="237"/>
      <c r="N55" s="237" t="s">
        <v>4674</v>
      </c>
      <c r="O55" s="237"/>
      <c r="P55" s="237"/>
      <c r="Q55" s="237" t="s">
        <v>6533</v>
      </c>
      <c r="R55" s="237"/>
      <c r="S55" s="237"/>
      <c r="T55" s="237"/>
      <c r="U55" s="237"/>
      <c r="V55" s="237"/>
      <c r="W55" s="237" t="s">
        <v>4675</v>
      </c>
      <c r="X55" s="237"/>
      <c r="Y55" s="11" t="s">
        <v>4826</v>
      </c>
      <c r="Z55" s="11" t="s">
        <v>4676</v>
      </c>
      <c r="AA55" s="237" t="s">
        <v>4677</v>
      </c>
      <c r="AB55" s="237"/>
      <c r="AC55" s="237"/>
      <c r="AD55" s="237"/>
      <c r="AE55" s="11" t="s">
        <v>6648</v>
      </c>
      <c r="AF55" s="237" t="s">
        <v>4678</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4679</v>
      </c>
      <c r="E7" s="269"/>
      <c r="F7" s="269"/>
      <c r="G7" s="269"/>
      <c r="H7" s="269" t="s">
        <v>4680</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BLAYAIS-2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4340</v>
      </c>
      <c r="AE18" s="248"/>
      <c r="AF18" s="248"/>
      <c r="AG18" s="248"/>
      <c r="AH18" s="248"/>
      <c r="AI18" s="2"/>
      <c r="AJ18" s="1"/>
      <c r="AK18" s="2"/>
      <c r="AL18" s="1"/>
      <c r="AM18" s="2"/>
      <c r="AN18" s="7"/>
      <c r="AT18" s="25" t="str">
        <f>D24</f>
        <v>Grid Date</v>
      </c>
      <c r="AU18" s="25">
        <f>M24</f>
        <v>30149</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4394</v>
      </c>
      <c r="AE20" s="248"/>
      <c r="AF20" s="248"/>
      <c r="AG20" s="248"/>
      <c r="AH20" s="248"/>
      <c r="AI20" s="2"/>
      <c r="AJ20" s="1"/>
      <c r="AK20" s="2"/>
      <c r="AL20" s="1"/>
      <c r="AM20" s="2"/>
      <c r="AN20" s="7"/>
      <c r="AT20" s="23" t="str">
        <f>D55 &amp; Q48</f>
        <v>LF [%]2005</v>
      </c>
      <c r="AU20" s="26" t="str">
        <f>Q55</f>
        <v>86.78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79.55</v>
      </c>
    </row>
    <row r="22" spans="1:47" ht="8.85" customHeight="1" thickBot="1">
      <c r="A22" s="6"/>
      <c r="B22" s="1"/>
      <c r="C22" s="1"/>
      <c r="D22" s="248" t="s">
        <v>205</v>
      </c>
      <c r="E22" s="248"/>
      <c r="F22" s="248"/>
      <c r="G22" s="248"/>
      <c r="H22" s="248"/>
      <c r="I22" s="248"/>
      <c r="J22" s="248"/>
      <c r="K22" s="248"/>
      <c r="L22" s="247" t="s">
        <v>5709</v>
      </c>
      <c r="M22" s="259">
        <v>28126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30149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30348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3484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4639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4681</v>
      </c>
      <c r="G49" s="238"/>
      <c r="H49" s="238"/>
      <c r="I49" s="238"/>
      <c r="J49" s="10" t="s">
        <v>4682</v>
      </c>
      <c r="K49" s="238" t="s">
        <v>4683</v>
      </c>
      <c r="L49" s="238"/>
      <c r="M49" s="238"/>
      <c r="N49" s="238" t="s">
        <v>4684</v>
      </c>
      <c r="O49" s="238"/>
      <c r="P49" s="238"/>
      <c r="Q49" s="238" t="s">
        <v>4685</v>
      </c>
      <c r="R49" s="238"/>
      <c r="S49" s="238"/>
      <c r="T49" s="238"/>
      <c r="U49" s="238"/>
      <c r="V49" s="238"/>
      <c r="W49" s="238" t="s">
        <v>4686</v>
      </c>
      <c r="X49" s="238"/>
      <c r="Y49" s="10" t="s">
        <v>4687</v>
      </c>
      <c r="Z49" s="10" t="s">
        <v>4688</v>
      </c>
      <c r="AA49" s="238" t="s">
        <v>4689</v>
      </c>
      <c r="AB49" s="238"/>
      <c r="AC49" s="238"/>
      <c r="AD49" s="238"/>
      <c r="AE49" s="10" t="s">
        <v>4690</v>
      </c>
      <c r="AF49" s="237" t="s">
        <v>4691</v>
      </c>
      <c r="AG49" s="237"/>
      <c r="AH49" s="237"/>
      <c r="AI49" s="237"/>
      <c r="AJ49" s="2"/>
      <c r="AK49" s="2"/>
      <c r="AL49" s="2"/>
      <c r="AM49" s="2"/>
      <c r="AN49" s="7"/>
    </row>
    <row r="50" spans="1:40" ht="13.5" thickBot="1">
      <c r="A50" s="6"/>
      <c r="B50" s="2"/>
      <c r="C50" s="2"/>
      <c r="D50" s="244" t="s">
        <v>261</v>
      </c>
      <c r="E50" s="244"/>
      <c r="F50" s="238" t="s">
        <v>4692</v>
      </c>
      <c r="G50" s="238"/>
      <c r="H50" s="238"/>
      <c r="I50" s="238"/>
      <c r="J50" s="10" t="s">
        <v>4693</v>
      </c>
      <c r="K50" s="238" t="s">
        <v>4694</v>
      </c>
      <c r="L50" s="238"/>
      <c r="M50" s="238"/>
      <c r="N50" s="238" t="s">
        <v>1857</v>
      </c>
      <c r="O50" s="238"/>
      <c r="P50" s="238"/>
      <c r="Q50" s="238" t="s">
        <v>4695</v>
      </c>
      <c r="R50" s="238"/>
      <c r="S50" s="238"/>
      <c r="T50" s="238"/>
      <c r="U50" s="238"/>
      <c r="V50" s="238"/>
      <c r="W50" s="238" t="s">
        <v>5369</v>
      </c>
      <c r="X50" s="238"/>
      <c r="Y50" s="10" t="s">
        <v>4696</v>
      </c>
      <c r="Z50" s="10" t="s">
        <v>3365</v>
      </c>
      <c r="AA50" s="238" t="s">
        <v>4697</v>
      </c>
      <c r="AB50" s="238"/>
      <c r="AC50" s="238"/>
      <c r="AD50" s="238"/>
      <c r="AE50" s="10" t="s">
        <v>4698</v>
      </c>
      <c r="AF50" s="237" t="s">
        <v>4699</v>
      </c>
      <c r="AG50" s="237"/>
      <c r="AH50" s="237"/>
      <c r="AI50" s="237"/>
      <c r="AJ50" s="2"/>
      <c r="AK50" s="2"/>
      <c r="AL50" s="2"/>
      <c r="AM50" s="2"/>
      <c r="AN50" s="7"/>
    </row>
    <row r="51" spans="1:40" ht="13.5" thickBot="1">
      <c r="A51" s="6"/>
      <c r="B51" s="2"/>
      <c r="C51" s="2"/>
      <c r="D51" s="244" t="s">
        <v>273</v>
      </c>
      <c r="E51" s="244"/>
      <c r="F51" s="238" t="s">
        <v>4700</v>
      </c>
      <c r="G51" s="238"/>
      <c r="H51" s="238"/>
      <c r="I51" s="238"/>
      <c r="J51" s="10" t="s">
        <v>4701</v>
      </c>
      <c r="K51" s="238" t="s">
        <v>4702</v>
      </c>
      <c r="L51" s="238"/>
      <c r="M51" s="238"/>
      <c r="N51" s="238" t="s">
        <v>4266</v>
      </c>
      <c r="O51" s="238"/>
      <c r="P51" s="238"/>
      <c r="Q51" s="238" t="s">
        <v>4703</v>
      </c>
      <c r="R51" s="238"/>
      <c r="S51" s="238"/>
      <c r="T51" s="238"/>
      <c r="U51" s="238"/>
      <c r="V51" s="238"/>
      <c r="W51" s="238" t="s">
        <v>6165</v>
      </c>
      <c r="X51" s="238"/>
      <c r="Y51" s="10" t="s">
        <v>4704</v>
      </c>
      <c r="Z51" s="10" t="s">
        <v>3217</v>
      </c>
      <c r="AA51" s="238" t="s">
        <v>6163</v>
      </c>
      <c r="AB51" s="238"/>
      <c r="AC51" s="238"/>
      <c r="AD51" s="238"/>
      <c r="AE51" s="10" t="s">
        <v>5442</v>
      </c>
      <c r="AF51" s="237" t="s">
        <v>4705</v>
      </c>
      <c r="AG51" s="237"/>
      <c r="AH51" s="237"/>
      <c r="AI51" s="237"/>
      <c r="AJ51" s="2"/>
      <c r="AK51" s="2"/>
      <c r="AL51" s="2"/>
      <c r="AM51" s="2"/>
      <c r="AN51" s="7"/>
    </row>
    <row r="52" spans="1:40" ht="13.5" thickBot="1">
      <c r="A52" s="6"/>
      <c r="B52" s="2"/>
      <c r="C52" s="2"/>
      <c r="D52" s="244" t="s">
        <v>285</v>
      </c>
      <c r="E52" s="244"/>
      <c r="F52" s="238" t="s">
        <v>6304</v>
      </c>
      <c r="G52" s="238"/>
      <c r="H52" s="238"/>
      <c r="I52" s="238"/>
      <c r="J52" s="10" t="s">
        <v>7112</v>
      </c>
      <c r="K52" s="238" t="s">
        <v>4706</v>
      </c>
      <c r="L52" s="238"/>
      <c r="M52" s="238"/>
      <c r="N52" s="238" t="s">
        <v>4707</v>
      </c>
      <c r="O52" s="238"/>
      <c r="P52" s="238"/>
      <c r="Q52" s="238" t="s">
        <v>3973</v>
      </c>
      <c r="R52" s="238"/>
      <c r="S52" s="238"/>
      <c r="T52" s="238"/>
      <c r="U52" s="238"/>
      <c r="V52" s="238"/>
      <c r="W52" s="238" t="s">
        <v>4708</v>
      </c>
      <c r="X52" s="238"/>
      <c r="Y52" s="10" t="s">
        <v>6802</v>
      </c>
      <c r="Z52" s="10" t="s">
        <v>4709</v>
      </c>
      <c r="AA52" s="238" t="s">
        <v>4676</v>
      </c>
      <c r="AB52" s="238"/>
      <c r="AC52" s="238"/>
      <c r="AD52" s="238"/>
      <c r="AE52" s="10" t="s">
        <v>4710</v>
      </c>
      <c r="AF52" s="237" t="s">
        <v>4711</v>
      </c>
      <c r="AG52" s="237"/>
      <c r="AH52" s="237"/>
      <c r="AI52" s="237"/>
      <c r="AJ52" s="2"/>
      <c r="AK52" s="2"/>
      <c r="AL52" s="2"/>
      <c r="AM52" s="2"/>
      <c r="AN52" s="7"/>
    </row>
    <row r="53" spans="1:40" ht="13.5" thickBot="1">
      <c r="A53" s="6"/>
      <c r="B53" s="2"/>
      <c r="C53" s="2"/>
      <c r="D53" s="244" t="s">
        <v>295</v>
      </c>
      <c r="E53" s="244"/>
      <c r="F53" s="238" t="s">
        <v>4712</v>
      </c>
      <c r="G53" s="238"/>
      <c r="H53" s="238"/>
      <c r="I53" s="238"/>
      <c r="J53" s="10" t="s">
        <v>6968</v>
      </c>
      <c r="K53" s="238" t="s">
        <v>4713</v>
      </c>
      <c r="L53" s="238"/>
      <c r="M53" s="238"/>
      <c r="N53" s="238" t="s">
        <v>2902</v>
      </c>
      <c r="O53" s="238"/>
      <c r="P53" s="238"/>
      <c r="Q53" s="238" t="s">
        <v>1842</v>
      </c>
      <c r="R53" s="238"/>
      <c r="S53" s="238"/>
      <c r="T53" s="238"/>
      <c r="U53" s="238"/>
      <c r="V53" s="238"/>
      <c r="W53" s="238" t="s">
        <v>4841</v>
      </c>
      <c r="X53" s="238"/>
      <c r="Y53" s="10" t="s">
        <v>6395</v>
      </c>
      <c r="Z53" s="10" t="s">
        <v>380</v>
      </c>
      <c r="AA53" s="238" t="s">
        <v>3789</v>
      </c>
      <c r="AB53" s="238"/>
      <c r="AC53" s="238"/>
      <c r="AD53" s="238"/>
      <c r="AE53" s="10" t="s">
        <v>4714</v>
      </c>
      <c r="AF53" s="237" t="s">
        <v>4715</v>
      </c>
      <c r="AG53" s="237"/>
      <c r="AH53" s="237"/>
      <c r="AI53" s="237"/>
      <c r="AJ53" s="2"/>
      <c r="AK53" s="2"/>
      <c r="AL53" s="2"/>
      <c r="AM53" s="2"/>
      <c r="AN53" s="7"/>
    </row>
    <row r="54" spans="1:40" ht="13.5" thickBot="1">
      <c r="A54" s="6"/>
      <c r="B54" s="2"/>
      <c r="C54" s="2"/>
      <c r="D54" s="244" t="s">
        <v>307</v>
      </c>
      <c r="E54" s="244"/>
      <c r="F54" s="238" t="s">
        <v>6456</v>
      </c>
      <c r="G54" s="238"/>
      <c r="H54" s="238"/>
      <c r="I54" s="238"/>
      <c r="J54" s="10" t="s">
        <v>4716</v>
      </c>
      <c r="K54" s="238" t="s">
        <v>4706</v>
      </c>
      <c r="L54" s="238"/>
      <c r="M54" s="238"/>
      <c r="N54" s="238" t="s">
        <v>5460</v>
      </c>
      <c r="O54" s="238"/>
      <c r="P54" s="238"/>
      <c r="Q54" s="238" t="s">
        <v>138</v>
      </c>
      <c r="R54" s="238"/>
      <c r="S54" s="238"/>
      <c r="T54" s="238"/>
      <c r="U54" s="238"/>
      <c r="V54" s="238"/>
      <c r="W54" s="238" t="s">
        <v>4314</v>
      </c>
      <c r="X54" s="238"/>
      <c r="Y54" s="10" t="s">
        <v>6651</v>
      </c>
      <c r="Z54" s="10" t="s">
        <v>4717</v>
      </c>
      <c r="AA54" s="238" t="s">
        <v>4718</v>
      </c>
      <c r="AB54" s="238"/>
      <c r="AC54" s="238"/>
      <c r="AD54" s="238"/>
      <c r="AE54" s="10" t="s">
        <v>4719</v>
      </c>
      <c r="AF54" s="237" t="s">
        <v>2718</v>
      </c>
      <c r="AG54" s="237"/>
      <c r="AH54" s="237"/>
      <c r="AI54" s="237"/>
      <c r="AJ54" s="2"/>
      <c r="AK54" s="2"/>
      <c r="AL54" s="2"/>
      <c r="AM54" s="2"/>
      <c r="AN54" s="7"/>
    </row>
    <row r="55" spans="1:40" ht="13.5" thickBot="1">
      <c r="A55" s="6"/>
      <c r="B55" s="2"/>
      <c r="C55" s="2"/>
      <c r="D55" s="244" t="s">
        <v>319</v>
      </c>
      <c r="E55" s="244"/>
      <c r="F55" s="237" t="s">
        <v>4720</v>
      </c>
      <c r="G55" s="237"/>
      <c r="H55" s="237"/>
      <c r="I55" s="237"/>
      <c r="J55" s="11" t="s">
        <v>3928</v>
      </c>
      <c r="K55" s="237" t="s">
        <v>4721</v>
      </c>
      <c r="L55" s="237"/>
      <c r="M55" s="237"/>
      <c r="N55" s="237" t="s">
        <v>4722</v>
      </c>
      <c r="O55" s="237"/>
      <c r="P55" s="237"/>
      <c r="Q55" s="237" t="s">
        <v>4205</v>
      </c>
      <c r="R55" s="237"/>
      <c r="S55" s="237"/>
      <c r="T55" s="237"/>
      <c r="U55" s="237"/>
      <c r="V55" s="237"/>
      <c r="W55" s="237" t="s">
        <v>4271</v>
      </c>
      <c r="X55" s="237"/>
      <c r="Y55" s="11" t="s">
        <v>3701</v>
      </c>
      <c r="Z55" s="11" t="s">
        <v>3231</v>
      </c>
      <c r="AA55" s="237" t="s">
        <v>4723</v>
      </c>
      <c r="AB55" s="237"/>
      <c r="AC55" s="237"/>
      <c r="AD55" s="237"/>
      <c r="AE55" s="11" t="s">
        <v>6433</v>
      </c>
      <c r="AF55" s="237" t="s">
        <v>7048</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4724</v>
      </c>
      <c r="E7" s="269"/>
      <c r="F7" s="269"/>
      <c r="G7" s="269"/>
      <c r="H7" s="269" t="s">
        <v>4725</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BLAYAIS-3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4340</v>
      </c>
      <c r="AE18" s="248"/>
      <c r="AF18" s="248"/>
      <c r="AG18" s="248"/>
      <c r="AH18" s="248"/>
      <c r="AI18" s="2"/>
      <c r="AJ18" s="1"/>
      <c r="AK18" s="2"/>
      <c r="AL18" s="1"/>
      <c r="AM18" s="2"/>
      <c r="AN18" s="7"/>
      <c r="AT18" s="25" t="str">
        <f>D24</f>
        <v>Grid Date</v>
      </c>
      <c r="AU18" s="25">
        <f>M24</f>
        <v>30545</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4394</v>
      </c>
      <c r="AE20" s="248"/>
      <c r="AF20" s="248"/>
      <c r="AG20" s="248"/>
      <c r="AH20" s="248"/>
      <c r="AI20" s="2"/>
      <c r="AJ20" s="1"/>
      <c r="AK20" s="2"/>
      <c r="AL20" s="1"/>
      <c r="AM20" s="2"/>
      <c r="AN20" s="7"/>
      <c r="AT20" s="23" t="str">
        <f>D55 &amp; Q48</f>
        <v>LF [%]2005</v>
      </c>
      <c r="AU20" s="26" t="str">
        <f>Q55</f>
        <v>73.61</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83.79</v>
      </c>
    </row>
    <row r="22" spans="1:47" ht="8.85" customHeight="1" thickBot="1">
      <c r="A22" s="6"/>
      <c r="B22" s="1"/>
      <c r="C22" s="1"/>
      <c r="D22" s="248" t="s">
        <v>205</v>
      </c>
      <c r="E22" s="248"/>
      <c r="F22" s="248"/>
      <c r="G22" s="248"/>
      <c r="H22" s="248"/>
      <c r="I22" s="248"/>
      <c r="J22" s="248"/>
      <c r="K22" s="248"/>
      <c r="L22" s="247" t="s">
        <v>5709</v>
      </c>
      <c r="M22" s="259">
        <v>28581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30545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30634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3484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4639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4726</v>
      </c>
      <c r="G49" s="238"/>
      <c r="H49" s="238"/>
      <c r="I49" s="238"/>
      <c r="J49" s="10" t="s">
        <v>4727</v>
      </c>
      <c r="K49" s="238" t="s">
        <v>4728</v>
      </c>
      <c r="L49" s="238"/>
      <c r="M49" s="238"/>
      <c r="N49" s="238" t="s">
        <v>4729</v>
      </c>
      <c r="O49" s="238"/>
      <c r="P49" s="238"/>
      <c r="Q49" s="238" t="s">
        <v>4730</v>
      </c>
      <c r="R49" s="238"/>
      <c r="S49" s="238"/>
      <c r="T49" s="238"/>
      <c r="U49" s="238"/>
      <c r="V49" s="238"/>
      <c r="W49" s="238" t="s">
        <v>4731</v>
      </c>
      <c r="X49" s="238"/>
      <c r="Y49" s="10" t="s">
        <v>4732</v>
      </c>
      <c r="Z49" s="10" t="s">
        <v>4733</v>
      </c>
      <c r="AA49" s="238" t="s">
        <v>4734</v>
      </c>
      <c r="AB49" s="238"/>
      <c r="AC49" s="238"/>
      <c r="AD49" s="238"/>
      <c r="AE49" s="10" t="s">
        <v>4735</v>
      </c>
      <c r="AF49" s="237" t="s">
        <v>4736</v>
      </c>
      <c r="AG49" s="237"/>
      <c r="AH49" s="237"/>
      <c r="AI49" s="237"/>
      <c r="AJ49" s="2"/>
      <c r="AK49" s="2"/>
      <c r="AL49" s="2"/>
      <c r="AM49" s="2"/>
      <c r="AN49" s="7"/>
    </row>
    <row r="50" spans="1:40" ht="13.5" thickBot="1">
      <c r="A50" s="6"/>
      <c r="B50" s="2"/>
      <c r="C50" s="2"/>
      <c r="D50" s="244" t="s">
        <v>261</v>
      </c>
      <c r="E50" s="244"/>
      <c r="F50" s="238" t="s">
        <v>6519</v>
      </c>
      <c r="G50" s="238"/>
      <c r="H50" s="238"/>
      <c r="I50" s="238"/>
      <c r="J50" s="10" t="s">
        <v>4225</v>
      </c>
      <c r="K50" s="238" t="s">
        <v>4737</v>
      </c>
      <c r="L50" s="238"/>
      <c r="M50" s="238"/>
      <c r="N50" s="238" t="s">
        <v>4738</v>
      </c>
      <c r="O50" s="238"/>
      <c r="P50" s="238"/>
      <c r="Q50" s="238" t="s">
        <v>5414</v>
      </c>
      <c r="R50" s="238"/>
      <c r="S50" s="238"/>
      <c r="T50" s="238"/>
      <c r="U50" s="238"/>
      <c r="V50" s="238"/>
      <c r="W50" s="238" t="s">
        <v>4739</v>
      </c>
      <c r="X50" s="238"/>
      <c r="Y50" s="10" t="s">
        <v>1877</v>
      </c>
      <c r="Z50" s="10" t="s">
        <v>6739</v>
      </c>
      <c r="AA50" s="238" t="s">
        <v>4740</v>
      </c>
      <c r="AB50" s="238"/>
      <c r="AC50" s="238"/>
      <c r="AD50" s="238"/>
      <c r="AE50" s="10" t="s">
        <v>4741</v>
      </c>
      <c r="AF50" s="237" t="s">
        <v>5368</v>
      </c>
      <c r="AG50" s="237"/>
      <c r="AH50" s="237"/>
      <c r="AI50" s="237"/>
      <c r="AJ50" s="2"/>
      <c r="AK50" s="2"/>
      <c r="AL50" s="2"/>
      <c r="AM50" s="2"/>
      <c r="AN50" s="7"/>
    </row>
    <row r="51" spans="1:40" ht="13.5" thickBot="1">
      <c r="A51" s="6"/>
      <c r="B51" s="2"/>
      <c r="C51" s="2"/>
      <c r="D51" s="244" t="s">
        <v>273</v>
      </c>
      <c r="E51" s="244"/>
      <c r="F51" s="238" t="s">
        <v>4742</v>
      </c>
      <c r="G51" s="238"/>
      <c r="H51" s="238"/>
      <c r="I51" s="238"/>
      <c r="J51" s="10" t="s">
        <v>2955</v>
      </c>
      <c r="K51" s="238" t="s">
        <v>4743</v>
      </c>
      <c r="L51" s="238"/>
      <c r="M51" s="238"/>
      <c r="N51" s="238" t="s">
        <v>4744</v>
      </c>
      <c r="O51" s="238"/>
      <c r="P51" s="238"/>
      <c r="Q51" s="238" t="s">
        <v>4745</v>
      </c>
      <c r="R51" s="238"/>
      <c r="S51" s="238"/>
      <c r="T51" s="238"/>
      <c r="U51" s="238"/>
      <c r="V51" s="238"/>
      <c r="W51" s="238" t="s">
        <v>4746</v>
      </c>
      <c r="X51" s="238"/>
      <c r="Y51" s="10" t="s">
        <v>4747</v>
      </c>
      <c r="Z51" s="10" t="s">
        <v>4748</v>
      </c>
      <c r="AA51" s="238" t="s">
        <v>5164</v>
      </c>
      <c r="AB51" s="238"/>
      <c r="AC51" s="238"/>
      <c r="AD51" s="238"/>
      <c r="AE51" s="10" t="s">
        <v>7065</v>
      </c>
      <c r="AF51" s="237" t="s">
        <v>4749</v>
      </c>
      <c r="AG51" s="237"/>
      <c r="AH51" s="237"/>
      <c r="AI51" s="237"/>
      <c r="AJ51" s="2"/>
      <c r="AK51" s="2"/>
      <c r="AL51" s="2"/>
      <c r="AM51" s="2"/>
      <c r="AN51" s="7"/>
    </row>
    <row r="52" spans="1:40" ht="13.5" thickBot="1">
      <c r="A52" s="6"/>
      <c r="B52" s="2"/>
      <c r="C52" s="2"/>
      <c r="D52" s="244" t="s">
        <v>285</v>
      </c>
      <c r="E52" s="244"/>
      <c r="F52" s="238" t="s">
        <v>4750</v>
      </c>
      <c r="G52" s="238"/>
      <c r="H52" s="238"/>
      <c r="I52" s="238"/>
      <c r="J52" s="10" t="s">
        <v>6897</v>
      </c>
      <c r="K52" s="238" t="s">
        <v>438</v>
      </c>
      <c r="L52" s="238"/>
      <c r="M52" s="238"/>
      <c r="N52" s="238" t="s">
        <v>4751</v>
      </c>
      <c r="O52" s="238"/>
      <c r="P52" s="238"/>
      <c r="Q52" s="238" t="s">
        <v>3996</v>
      </c>
      <c r="R52" s="238"/>
      <c r="S52" s="238"/>
      <c r="T52" s="238"/>
      <c r="U52" s="238"/>
      <c r="V52" s="238"/>
      <c r="W52" s="238" t="s">
        <v>4752</v>
      </c>
      <c r="X52" s="238"/>
      <c r="Y52" s="10" t="s">
        <v>4327</v>
      </c>
      <c r="Z52" s="10" t="s">
        <v>4576</v>
      </c>
      <c r="AA52" s="238" t="s">
        <v>445</v>
      </c>
      <c r="AB52" s="238"/>
      <c r="AC52" s="238"/>
      <c r="AD52" s="238"/>
      <c r="AE52" s="10" t="s">
        <v>6879</v>
      </c>
      <c r="AF52" s="237" t="s">
        <v>4753</v>
      </c>
      <c r="AG52" s="237"/>
      <c r="AH52" s="237"/>
      <c r="AI52" s="237"/>
      <c r="AJ52" s="2"/>
      <c r="AK52" s="2"/>
      <c r="AL52" s="2"/>
      <c r="AM52" s="2"/>
      <c r="AN52" s="7"/>
    </row>
    <row r="53" spans="1:40" ht="13.5" thickBot="1">
      <c r="A53" s="6"/>
      <c r="B53" s="2"/>
      <c r="C53" s="2"/>
      <c r="D53" s="244" t="s">
        <v>295</v>
      </c>
      <c r="E53" s="244"/>
      <c r="F53" s="238" t="s">
        <v>3291</v>
      </c>
      <c r="G53" s="238"/>
      <c r="H53" s="238"/>
      <c r="I53" s="238"/>
      <c r="J53" s="10" t="s">
        <v>4754</v>
      </c>
      <c r="K53" s="238" t="s">
        <v>357</v>
      </c>
      <c r="L53" s="238"/>
      <c r="M53" s="238"/>
      <c r="N53" s="238" t="s">
        <v>3102</v>
      </c>
      <c r="O53" s="238"/>
      <c r="P53" s="238"/>
      <c r="Q53" s="238" t="s">
        <v>5615</v>
      </c>
      <c r="R53" s="238"/>
      <c r="S53" s="238"/>
      <c r="T53" s="238"/>
      <c r="U53" s="238"/>
      <c r="V53" s="238"/>
      <c r="W53" s="238" t="s">
        <v>6844</v>
      </c>
      <c r="X53" s="238"/>
      <c r="Y53" s="10" t="s">
        <v>1900</v>
      </c>
      <c r="Z53" s="10" t="s">
        <v>380</v>
      </c>
      <c r="AA53" s="238" t="s">
        <v>94</v>
      </c>
      <c r="AB53" s="238"/>
      <c r="AC53" s="238"/>
      <c r="AD53" s="238"/>
      <c r="AE53" s="10" t="s">
        <v>3241</v>
      </c>
      <c r="AF53" s="237" t="s">
        <v>4755</v>
      </c>
      <c r="AG53" s="237"/>
      <c r="AH53" s="237"/>
      <c r="AI53" s="237"/>
      <c r="AJ53" s="2"/>
      <c r="AK53" s="2"/>
      <c r="AL53" s="2"/>
      <c r="AM53" s="2"/>
      <c r="AN53" s="7"/>
    </row>
    <row r="54" spans="1:40" ht="13.5" thickBot="1">
      <c r="A54" s="6"/>
      <c r="B54" s="2"/>
      <c r="C54" s="2"/>
      <c r="D54" s="244" t="s">
        <v>307</v>
      </c>
      <c r="E54" s="244"/>
      <c r="F54" s="238" t="s">
        <v>4672</v>
      </c>
      <c r="G54" s="238"/>
      <c r="H54" s="238"/>
      <c r="I54" s="238"/>
      <c r="J54" s="10" t="s">
        <v>5053</v>
      </c>
      <c r="K54" s="238" t="s">
        <v>3935</v>
      </c>
      <c r="L54" s="238"/>
      <c r="M54" s="238"/>
      <c r="N54" s="238" t="s">
        <v>6779</v>
      </c>
      <c r="O54" s="238"/>
      <c r="P54" s="238"/>
      <c r="Q54" s="238" t="s">
        <v>4756</v>
      </c>
      <c r="R54" s="238"/>
      <c r="S54" s="238"/>
      <c r="T54" s="238"/>
      <c r="U54" s="238"/>
      <c r="V54" s="238"/>
      <c r="W54" s="238" t="s">
        <v>4757</v>
      </c>
      <c r="X54" s="238"/>
      <c r="Y54" s="10" t="s">
        <v>6027</v>
      </c>
      <c r="Z54" s="10" t="s">
        <v>3091</v>
      </c>
      <c r="AA54" s="238" t="s">
        <v>4758</v>
      </c>
      <c r="AB54" s="238"/>
      <c r="AC54" s="238"/>
      <c r="AD54" s="238"/>
      <c r="AE54" s="10" t="s">
        <v>6324</v>
      </c>
      <c r="AF54" s="237" t="s">
        <v>6650</v>
      </c>
      <c r="AG54" s="237"/>
      <c r="AH54" s="237"/>
      <c r="AI54" s="237"/>
      <c r="AJ54" s="2"/>
      <c r="AK54" s="2"/>
      <c r="AL54" s="2"/>
      <c r="AM54" s="2"/>
      <c r="AN54" s="7"/>
    </row>
    <row r="55" spans="1:40" ht="13.5" thickBot="1">
      <c r="A55" s="6"/>
      <c r="B55" s="2"/>
      <c r="C55" s="2"/>
      <c r="D55" s="244" t="s">
        <v>319</v>
      </c>
      <c r="E55" s="244"/>
      <c r="F55" s="237" t="s">
        <v>4759</v>
      </c>
      <c r="G55" s="237"/>
      <c r="H55" s="237"/>
      <c r="I55" s="237"/>
      <c r="J55" s="11" t="s">
        <v>5112</v>
      </c>
      <c r="K55" s="237" t="s">
        <v>4760</v>
      </c>
      <c r="L55" s="237"/>
      <c r="M55" s="237"/>
      <c r="N55" s="237" t="s">
        <v>4361</v>
      </c>
      <c r="O55" s="237"/>
      <c r="P55" s="237"/>
      <c r="Q55" s="237" t="s">
        <v>4761</v>
      </c>
      <c r="R55" s="237"/>
      <c r="S55" s="237"/>
      <c r="T55" s="237"/>
      <c r="U55" s="237"/>
      <c r="V55" s="237"/>
      <c r="W55" s="237" t="s">
        <v>4762</v>
      </c>
      <c r="X55" s="237"/>
      <c r="Y55" s="11" t="s">
        <v>4763</v>
      </c>
      <c r="Z55" s="11" t="s">
        <v>5571</v>
      </c>
      <c r="AA55" s="237" t="s">
        <v>1771</v>
      </c>
      <c r="AB55" s="237"/>
      <c r="AC55" s="237"/>
      <c r="AD55" s="237"/>
      <c r="AE55" s="11" t="s">
        <v>4208</v>
      </c>
      <c r="AF55" s="237" t="s">
        <v>3948</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4764</v>
      </c>
      <c r="E7" s="269"/>
      <c r="F7" s="269"/>
      <c r="G7" s="269"/>
      <c r="H7" s="269" t="s">
        <v>4765</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BLAYAIS-4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4340</v>
      </c>
      <c r="AE18" s="248"/>
      <c r="AF18" s="248"/>
      <c r="AG18" s="248"/>
      <c r="AH18" s="248"/>
      <c r="AI18" s="2"/>
      <c r="AJ18" s="1"/>
      <c r="AK18" s="2"/>
      <c r="AL18" s="1"/>
      <c r="AM18" s="2"/>
      <c r="AN18" s="7"/>
      <c r="AT18" s="25" t="str">
        <f>D24</f>
        <v>Grid Date</v>
      </c>
      <c r="AU18" s="25">
        <f>M24</f>
        <v>30452</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4394</v>
      </c>
      <c r="AE20" s="248"/>
      <c r="AF20" s="248"/>
      <c r="AG20" s="248"/>
      <c r="AH20" s="248"/>
      <c r="AI20" s="2"/>
      <c r="AJ20" s="1"/>
      <c r="AK20" s="2"/>
      <c r="AL20" s="1"/>
      <c r="AM20" s="2"/>
      <c r="AN20" s="7"/>
      <c r="AT20" s="23" t="str">
        <f>D55 &amp; Q48</f>
        <v>LF [%]2005</v>
      </c>
      <c r="AU20" s="26" t="str">
        <f>Q55</f>
        <v>68.43</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84.35</v>
      </c>
    </row>
    <row r="22" spans="1:47" ht="8.85" customHeight="1" thickBot="1">
      <c r="A22" s="6"/>
      <c r="B22" s="1"/>
      <c r="C22" s="1"/>
      <c r="D22" s="248" t="s">
        <v>205</v>
      </c>
      <c r="E22" s="248"/>
      <c r="F22" s="248"/>
      <c r="G22" s="248"/>
      <c r="H22" s="248"/>
      <c r="I22" s="248"/>
      <c r="J22" s="248"/>
      <c r="K22" s="248"/>
      <c r="L22" s="247" t="s">
        <v>5709</v>
      </c>
      <c r="M22" s="259">
        <v>28581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30452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30590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3484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4639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4766</v>
      </c>
      <c r="G49" s="238"/>
      <c r="H49" s="238"/>
      <c r="I49" s="238"/>
      <c r="J49" s="10" t="s">
        <v>4767</v>
      </c>
      <c r="K49" s="238" t="s">
        <v>453</v>
      </c>
      <c r="L49" s="238"/>
      <c r="M49" s="238"/>
      <c r="N49" s="238" t="s">
        <v>454</v>
      </c>
      <c r="O49" s="238"/>
      <c r="P49" s="238"/>
      <c r="Q49" s="238" t="s">
        <v>455</v>
      </c>
      <c r="R49" s="238"/>
      <c r="S49" s="238"/>
      <c r="T49" s="238"/>
      <c r="U49" s="238"/>
      <c r="V49" s="238"/>
      <c r="W49" s="238" t="s">
        <v>456</v>
      </c>
      <c r="X49" s="238"/>
      <c r="Y49" s="10" t="s">
        <v>457</v>
      </c>
      <c r="Z49" s="10" t="s">
        <v>458</v>
      </c>
      <c r="AA49" s="238" t="s">
        <v>459</v>
      </c>
      <c r="AB49" s="238"/>
      <c r="AC49" s="238"/>
      <c r="AD49" s="238"/>
      <c r="AE49" s="10" t="s">
        <v>460</v>
      </c>
      <c r="AF49" s="237" t="s">
        <v>461</v>
      </c>
      <c r="AG49" s="237"/>
      <c r="AH49" s="237"/>
      <c r="AI49" s="237"/>
      <c r="AJ49" s="2"/>
      <c r="AK49" s="2"/>
      <c r="AL49" s="2"/>
      <c r="AM49" s="2"/>
      <c r="AN49" s="7"/>
    </row>
    <row r="50" spans="1:40" ht="13.5" thickBot="1">
      <c r="A50" s="6"/>
      <c r="B50" s="2"/>
      <c r="C50" s="2"/>
      <c r="D50" s="244" t="s">
        <v>261</v>
      </c>
      <c r="E50" s="244"/>
      <c r="F50" s="238" t="s">
        <v>462</v>
      </c>
      <c r="G50" s="238"/>
      <c r="H50" s="238"/>
      <c r="I50" s="238"/>
      <c r="J50" s="10" t="s">
        <v>463</v>
      </c>
      <c r="K50" s="238" t="s">
        <v>464</v>
      </c>
      <c r="L50" s="238"/>
      <c r="M50" s="238"/>
      <c r="N50" s="238" t="s">
        <v>6799</v>
      </c>
      <c r="O50" s="238"/>
      <c r="P50" s="238"/>
      <c r="Q50" s="238" t="s">
        <v>4506</v>
      </c>
      <c r="R50" s="238"/>
      <c r="S50" s="238"/>
      <c r="T50" s="238"/>
      <c r="U50" s="238"/>
      <c r="V50" s="238"/>
      <c r="W50" s="238" t="s">
        <v>6408</v>
      </c>
      <c r="X50" s="238"/>
      <c r="Y50" s="10" t="s">
        <v>6628</v>
      </c>
      <c r="Z50" s="10" t="s">
        <v>3972</v>
      </c>
      <c r="AA50" s="238" t="s">
        <v>465</v>
      </c>
      <c r="AB50" s="238"/>
      <c r="AC50" s="238"/>
      <c r="AD50" s="238"/>
      <c r="AE50" s="10" t="s">
        <v>3331</v>
      </c>
      <c r="AF50" s="237" t="s">
        <v>466</v>
      </c>
      <c r="AG50" s="237"/>
      <c r="AH50" s="237"/>
      <c r="AI50" s="237"/>
      <c r="AJ50" s="2"/>
      <c r="AK50" s="2"/>
      <c r="AL50" s="2"/>
      <c r="AM50" s="2"/>
      <c r="AN50" s="7"/>
    </row>
    <row r="51" spans="1:40" ht="13.5" thickBot="1">
      <c r="A51" s="6"/>
      <c r="B51" s="2"/>
      <c r="C51" s="2"/>
      <c r="D51" s="244" t="s">
        <v>273</v>
      </c>
      <c r="E51" s="244"/>
      <c r="F51" s="238" t="s">
        <v>467</v>
      </c>
      <c r="G51" s="238"/>
      <c r="H51" s="238"/>
      <c r="I51" s="238"/>
      <c r="J51" s="10" t="s">
        <v>3572</v>
      </c>
      <c r="K51" s="238" t="s">
        <v>468</v>
      </c>
      <c r="L51" s="238"/>
      <c r="M51" s="238"/>
      <c r="N51" s="238" t="s">
        <v>469</v>
      </c>
      <c r="O51" s="238"/>
      <c r="P51" s="238"/>
      <c r="Q51" s="238" t="s">
        <v>470</v>
      </c>
      <c r="R51" s="238"/>
      <c r="S51" s="238"/>
      <c r="T51" s="238"/>
      <c r="U51" s="238"/>
      <c r="V51" s="238"/>
      <c r="W51" s="238" t="s">
        <v>471</v>
      </c>
      <c r="X51" s="238"/>
      <c r="Y51" s="10" t="s">
        <v>6768</v>
      </c>
      <c r="Z51" s="10" t="s">
        <v>3048</v>
      </c>
      <c r="AA51" s="238" t="s">
        <v>472</v>
      </c>
      <c r="AB51" s="238"/>
      <c r="AC51" s="238"/>
      <c r="AD51" s="238"/>
      <c r="AE51" s="10" t="s">
        <v>3049</v>
      </c>
      <c r="AF51" s="237" t="s">
        <v>6960</v>
      </c>
      <c r="AG51" s="237"/>
      <c r="AH51" s="237"/>
      <c r="AI51" s="237"/>
      <c r="AJ51" s="2"/>
      <c r="AK51" s="2"/>
      <c r="AL51" s="2"/>
      <c r="AM51" s="2"/>
      <c r="AN51" s="7"/>
    </row>
    <row r="52" spans="1:40" ht="13.5" thickBot="1">
      <c r="A52" s="6"/>
      <c r="B52" s="2"/>
      <c r="C52" s="2"/>
      <c r="D52" s="244" t="s">
        <v>285</v>
      </c>
      <c r="E52" s="244"/>
      <c r="F52" s="238" t="s">
        <v>473</v>
      </c>
      <c r="G52" s="238"/>
      <c r="H52" s="238"/>
      <c r="I52" s="238"/>
      <c r="J52" s="10" t="s">
        <v>6023</v>
      </c>
      <c r="K52" s="238" t="s">
        <v>474</v>
      </c>
      <c r="L52" s="238"/>
      <c r="M52" s="238"/>
      <c r="N52" s="238" t="s">
        <v>1785</v>
      </c>
      <c r="O52" s="238"/>
      <c r="P52" s="238"/>
      <c r="Q52" s="238" t="s">
        <v>475</v>
      </c>
      <c r="R52" s="238"/>
      <c r="S52" s="238"/>
      <c r="T52" s="238"/>
      <c r="U52" s="238"/>
      <c r="V52" s="238"/>
      <c r="W52" s="238" t="s">
        <v>6077</v>
      </c>
      <c r="X52" s="238"/>
      <c r="Y52" s="10" t="s">
        <v>5118</v>
      </c>
      <c r="Z52" s="10" t="s">
        <v>2780</v>
      </c>
      <c r="AA52" s="238" t="s">
        <v>476</v>
      </c>
      <c r="AB52" s="238"/>
      <c r="AC52" s="238"/>
      <c r="AD52" s="238"/>
      <c r="AE52" s="10" t="s">
        <v>477</v>
      </c>
      <c r="AF52" s="237" t="s">
        <v>6390</v>
      </c>
      <c r="AG52" s="237"/>
      <c r="AH52" s="237"/>
      <c r="AI52" s="237"/>
      <c r="AJ52" s="2"/>
      <c r="AK52" s="2"/>
      <c r="AL52" s="2"/>
      <c r="AM52" s="2"/>
      <c r="AN52" s="7"/>
    </row>
    <row r="53" spans="1:40" ht="13.5" thickBot="1">
      <c r="A53" s="6"/>
      <c r="B53" s="2"/>
      <c r="C53" s="2"/>
      <c r="D53" s="244" t="s">
        <v>295</v>
      </c>
      <c r="E53" s="244"/>
      <c r="F53" s="238" t="s">
        <v>2998</v>
      </c>
      <c r="G53" s="238"/>
      <c r="H53" s="238"/>
      <c r="I53" s="238"/>
      <c r="J53" s="10" t="s">
        <v>5443</v>
      </c>
      <c r="K53" s="238" t="s">
        <v>478</v>
      </c>
      <c r="L53" s="238"/>
      <c r="M53" s="238"/>
      <c r="N53" s="238" t="s">
        <v>4784</v>
      </c>
      <c r="O53" s="238"/>
      <c r="P53" s="238"/>
      <c r="Q53" s="238" t="s">
        <v>479</v>
      </c>
      <c r="R53" s="238"/>
      <c r="S53" s="238"/>
      <c r="T53" s="238"/>
      <c r="U53" s="238"/>
      <c r="V53" s="238"/>
      <c r="W53" s="238" t="s">
        <v>4375</v>
      </c>
      <c r="X53" s="238"/>
      <c r="Y53" s="10" t="s">
        <v>480</v>
      </c>
      <c r="Z53" s="10" t="s">
        <v>5</v>
      </c>
      <c r="AA53" s="238" t="s">
        <v>4259</v>
      </c>
      <c r="AB53" s="238"/>
      <c r="AC53" s="238"/>
      <c r="AD53" s="238"/>
      <c r="AE53" s="10" t="s">
        <v>5038</v>
      </c>
      <c r="AF53" s="237" t="s">
        <v>481</v>
      </c>
      <c r="AG53" s="237"/>
      <c r="AH53" s="237"/>
      <c r="AI53" s="237"/>
      <c r="AJ53" s="2"/>
      <c r="AK53" s="2"/>
      <c r="AL53" s="2"/>
      <c r="AM53" s="2"/>
      <c r="AN53" s="7"/>
    </row>
    <row r="54" spans="1:40" ht="13.5" thickBot="1">
      <c r="A54" s="6"/>
      <c r="B54" s="2"/>
      <c r="C54" s="2"/>
      <c r="D54" s="244" t="s">
        <v>307</v>
      </c>
      <c r="E54" s="244"/>
      <c r="F54" s="238" t="s">
        <v>482</v>
      </c>
      <c r="G54" s="238"/>
      <c r="H54" s="238"/>
      <c r="I54" s="238"/>
      <c r="J54" s="10" t="s">
        <v>4576</v>
      </c>
      <c r="K54" s="238" t="s">
        <v>483</v>
      </c>
      <c r="L54" s="238"/>
      <c r="M54" s="238"/>
      <c r="N54" s="238" t="s">
        <v>2968</v>
      </c>
      <c r="O54" s="238"/>
      <c r="P54" s="238"/>
      <c r="Q54" s="238" t="s">
        <v>484</v>
      </c>
      <c r="R54" s="238"/>
      <c r="S54" s="238"/>
      <c r="T54" s="238"/>
      <c r="U54" s="238"/>
      <c r="V54" s="238"/>
      <c r="W54" s="238" t="s">
        <v>2752</v>
      </c>
      <c r="X54" s="238"/>
      <c r="Y54" s="10" t="s">
        <v>6790</v>
      </c>
      <c r="Z54" s="10" t="s">
        <v>4662</v>
      </c>
      <c r="AA54" s="238" t="s">
        <v>485</v>
      </c>
      <c r="AB54" s="238"/>
      <c r="AC54" s="238"/>
      <c r="AD54" s="238"/>
      <c r="AE54" s="10" t="s">
        <v>6104</v>
      </c>
      <c r="AF54" s="237" t="s">
        <v>486</v>
      </c>
      <c r="AG54" s="237"/>
      <c r="AH54" s="237"/>
      <c r="AI54" s="237"/>
      <c r="AJ54" s="2"/>
      <c r="AK54" s="2"/>
      <c r="AL54" s="2"/>
      <c r="AM54" s="2"/>
      <c r="AN54" s="7"/>
    </row>
    <row r="55" spans="1:40" ht="13.5" thickBot="1">
      <c r="A55" s="6"/>
      <c r="B55" s="2"/>
      <c r="C55" s="2"/>
      <c r="D55" s="244" t="s">
        <v>319</v>
      </c>
      <c r="E55" s="244"/>
      <c r="F55" s="237" t="s">
        <v>487</v>
      </c>
      <c r="G55" s="237"/>
      <c r="H55" s="237"/>
      <c r="I55" s="237"/>
      <c r="J55" s="11" t="s">
        <v>488</v>
      </c>
      <c r="K55" s="237" t="s">
        <v>489</v>
      </c>
      <c r="L55" s="237"/>
      <c r="M55" s="237"/>
      <c r="N55" s="237" t="s">
        <v>1894</v>
      </c>
      <c r="O55" s="237"/>
      <c r="P55" s="237"/>
      <c r="Q55" s="237" t="s">
        <v>490</v>
      </c>
      <c r="R55" s="237"/>
      <c r="S55" s="237"/>
      <c r="T55" s="237"/>
      <c r="U55" s="237"/>
      <c r="V55" s="237"/>
      <c r="W55" s="237" t="s">
        <v>5451</v>
      </c>
      <c r="X55" s="237"/>
      <c r="Y55" s="11" t="s">
        <v>6317</v>
      </c>
      <c r="Z55" s="11" t="s">
        <v>491</v>
      </c>
      <c r="AA55" s="237" t="s">
        <v>492</v>
      </c>
      <c r="AB55" s="237"/>
      <c r="AC55" s="237"/>
      <c r="AD55" s="237"/>
      <c r="AE55" s="11" t="s">
        <v>7112</v>
      </c>
      <c r="AF55" s="237" t="s">
        <v>4409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493</v>
      </c>
      <c r="E7" s="269"/>
      <c r="F7" s="269"/>
      <c r="G7" s="269"/>
      <c r="H7" s="269" t="s">
        <v>494</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BUGEY-2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495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945</v>
      </c>
    </row>
    <row r="17" spans="1:47" ht="13.5" thickBot="1">
      <c r="A17" s="6"/>
      <c r="B17" s="1"/>
      <c r="C17" s="1"/>
      <c r="D17" s="248" t="s">
        <v>189</v>
      </c>
      <c r="E17" s="248"/>
      <c r="F17" s="248"/>
      <c r="G17" s="248"/>
      <c r="H17" s="248"/>
      <c r="I17" s="248"/>
      <c r="J17" s="248"/>
      <c r="K17" s="248"/>
      <c r="L17" s="8" t="s">
        <v>5709</v>
      </c>
      <c r="M17" s="264">
        <v>945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920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28620</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79.96</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27.82</v>
      </c>
    </row>
    <row r="22" spans="1:47" ht="8.85" customHeight="1" thickBot="1">
      <c r="A22" s="6"/>
      <c r="B22" s="1"/>
      <c r="C22" s="1"/>
      <c r="D22" s="248" t="s">
        <v>205</v>
      </c>
      <c r="E22" s="248"/>
      <c r="F22" s="248"/>
      <c r="G22" s="248"/>
      <c r="H22" s="248"/>
      <c r="I22" s="248"/>
      <c r="J22" s="248"/>
      <c r="K22" s="248"/>
      <c r="L22" s="247" t="s">
        <v>5709</v>
      </c>
      <c r="M22" s="259">
        <v>26604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28620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4738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28915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496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497</v>
      </c>
      <c r="G49" s="238"/>
      <c r="H49" s="238"/>
      <c r="I49" s="238"/>
      <c r="J49" s="10" t="s">
        <v>498</v>
      </c>
      <c r="K49" s="238" t="s">
        <v>499</v>
      </c>
      <c r="L49" s="238"/>
      <c r="M49" s="238"/>
      <c r="N49" s="238" t="s">
        <v>500</v>
      </c>
      <c r="O49" s="238"/>
      <c r="P49" s="238"/>
      <c r="Q49" s="238" t="s">
        <v>501</v>
      </c>
      <c r="R49" s="238"/>
      <c r="S49" s="238"/>
      <c r="T49" s="238"/>
      <c r="U49" s="238"/>
      <c r="V49" s="238"/>
      <c r="W49" s="238" t="s">
        <v>502</v>
      </c>
      <c r="X49" s="238"/>
      <c r="Y49" s="10" t="s">
        <v>503</v>
      </c>
      <c r="Z49" s="10" t="s">
        <v>504</v>
      </c>
      <c r="AA49" s="238" t="s">
        <v>505</v>
      </c>
      <c r="AB49" s="238"/>
      <c r="AC49" s="238"/>
      <c r="AD49" s="238"/>
      <c r="AE49" s="10" t="s">
        <v>506</v>
      </c>
      <c r="AF49" s="237" t="s">
        <v>507</v>
      </c>
      <c r="AG49" s="237"/>
      <c r="AH49" s="237"/>
      <c r="AI49" s="237"/>
      <c r="AJ49" s="2"/>
      <c r="AK49" s="2"/>
      <c r="AL49" s="2"/>
      <c r="AM49" s="2"/>
      <c r="AN49" s="7"/>
    </row>
    <row r="50" spans="1:40" ht="13.5" thickBot="1">
      <c r="A50" s="6"/>
      <c r="B50" s="2"/>
      <c r="C50" s="2"/>
      <c r="D50" s="244" t="s">
        <v>261</v>
      </c>
      <c r="E50" s="244"/>
      <c r="F50" s="238" t="s">
        <v>508</v>
      </c>
      <c r="G50" s="238"/>
      <c r="H50" s="238"/>
      <c r="I50" s="238"/>
      <c r="J50" s="10" t="s">
        <v>509</v>
      </c>
      <c r="K50" s="238" t="s">
        <v>510</v>
      </c>
      <c r="L50" s="238"/>
      <c r="M50" s="238"/>
      <c r="N50" s="238" t="s">
        <v>511</v>
      </c>
      <c r="O50" s="238"/>
      <c r="P50" s="238"/>
      <c r="Q50" s="238" t="s">
        <v>4613</v>
      </c>
      <c r="R50" s="238"/>
      <c r="S50" s="238"/>
      <c r="T50" s="238"/>
      <c r="U50" s="238"/>
      <c r="V50" s="238"/>
      <c r="W50" s="238" t="s">
        <v>4621</v>
      </c>
      <c r="X50" s="238"/>
      <c r="Y50" s="10" t="s">
        <v>6825</v>
      </c>
      <c r="Z50" s="10" t="s">
        <v>512</v>
      </c>
      <c r="AA50" s="238" t="s">
        <v>513</v>
      </c>
      <c r="AB50" s="238"/>
      <c r="AC50" s="238"/>
      <c r="AD50" s="238"/>
      <c r="AE50" s="10" t="s">
        <v>514</v>
      </c>
      <c r="AF50" s="237" t="s">
        <v>515</v>
      </c>
      <c r="AG50" s="237"/>
      <c r="AH50" s="237"/>
      <c r="AI50" s="237"/>
      <c r="AJ50" s="2"/>
      <c r="AK50" s="2"/>
      <c r="AL50" s="2"/>
      <c r="AM50" s="2"/>
      <c r="AN50" s="7"/>
    </row>
    <row r="51" spans="1:40" ht="13.5" thickBot="1">
      <c r="A51" s="6"/>
      <c r="B51" s="2"/>
      <c r="C51" s="2"/>
      <c r="D51" s="244" t="s">
        <v>273</v>
      </c>
      <c r="E51" s="244"/>
      <c r="F51" s="238" t="s">
        <v>4839</v>
      </c>
      <c r="G51" s="238"/>
      <c r="H51" s="238"/>
      <c r="I51" s="238"/>
      <c r="J51" s="10" t="s">
        <v>4260</v>
      </c>
      <c r="K51" s="238" t="s">
        <v>516</v>
      </c>
      <c r="L51" s="238"/>
      <c r="M51" s="238"/>
      <c r="N51" s="238" t="s">
        <v>6009</v>
      </c>
      <c r="O51" s="238"/>
      <c r="P51" s="238"/>
      <c r="Q51" s="238" t="s">
        <v>517</v>
      </c>
      <c r="R51" s="238"/>
      <c r="S51" s="238"/>
      <c r="T51" s="238"/>
      <c r="U51" s="238"/>
      <c r="V51" s="238"/>
      <c r="W51" s="238" t="s">
        <v>518</v>
      </c>
      <c r="X51" s="238"/>
      <c r="Y51" s="10" t="s">
        <v>4264</v>
      </c>
      <c r="Z51" s="10" t="s">
        <v>519</v>
      </c>
      <c r="AA51" s="238" t="s">
        <v>300</v>
      </c>
      <c r="AB51" s="238"/>
      <c r="AC51" s="238"/>
      <c r="AD51" s="238"/>
      <c r="AE51" s="10" t="s">
        <v>520</v>
      </c>
      <c r="AF51" s="237" t="s">
        <v>1885</v>
      </c>
      <c r="AG51" s="237"/>
      <c r="AH51" s="237"/>
      <c r="AI51" s="237"/>
      <c r="AJ51" s="2"/>
      <c r="AK51" s="2"/>
      <c r="AL51" s="2"/>
      <c r="AM51" s="2"/>
      <c r="AN51" s="7"/>
    </row>
    <row r="52" spans="1:40" ht="13.5" thickBot="1">
      <c r="A52" s="6"/>
      <c r="B52" s="2"/>
      <c r="C52" s="2"/>
      <c r="D52" s="244" t="s">
        <v>285</v>
      </c>
      <c r="E52" s="244"/>
      <c r="F52" s="238" t="s">
        <v>521</v>
      </c>
      <c r="G52" s="238"/>
      <c r="H52" s="238"/>
      <c r="I52" s="238"/>
      <c r="J52" s="10" t="s">
        <v>522</v>
      </c>
      <c r="K52" s="238" t="s">
        <v>6589</v>
      </c>
      <c r="L52" s="238"/>
      <c r="M52" s="238"/>
      <c r="N52" s="238" t="s">
        <v>523</v>
      </c>
      <c r="O52" s="238"/>
      <c r="P52" s="238"/>
      <c r="Q52" s="238" t="s">
        <v>524</v>
      </c>
      <c r="R52" s="238"/>
      <c r="S52" s="238"/>
      <c r="T52" s="238"/>
      <c r="U52" s="238"/>
      <c r="V52" s="238"/>
      <c r="W52" s="238" t="s">
        <v>3669</v>
      </c>
      <c r="X52" s="238"/>
      <c r="Y52" s="10" t="s">
        <v>525</v>
      </c>
      <c r="Z52" s="10" t="s">
        <v>526</v>
      </c>
      <c r="AA52" s="238" t="s">
        <v>527</v>
      </c>
      <c r="AB52" s="238"/>
      <c r="AC52" s="238"/>
      <c r="AD52" s="238"/>
      <c r="AE52" s="10" t="s">
        <v>528</v>
      </c>
      <c r="AF52" s="237" t="s">
        <v>529</v>
      </c>
      <c r="AG52" s="237"/>
      <c r="AH52" s="237"/>
      <c r="AI52" s="237"/>
      <c r="AJ52" s="2"/>
      <c r="AK52" s="2"/>
      <c r="AL52" s="2"/>
      <c r="AM52" s="2"/>
      <c r="AN52" s="7"/>
    </row>
    <row r="53" spans="1:40" ht="13.5" thickBot="1">
      <c r="A53" s="6"/>
      <c r="B53" s="2"/>
      <c r="C53" s="2"/>
      <c r="D53" s="244" t="s">
        <v>295</v>
      </c>
      <c r="E53" s="244"/>
      <c r="F53" s="238" t="s">
        <v>530</v>
      </c>
      <c r="G53" s="238"/>
      <c r="H53" s="238"/>
      <c r="I53" s="238"/>
      <c r="J53" s="10" t="s">
        <v>531</v>
      </c>
      <c r="K53" s="238" t="s">
        <v>284</v>
      </c>
      <c r="L53" s="238"/>
      <c r="M53" s="238"/>
      <c r="N53" s="238" t="s">
        <v>4570</v>
      </c>
      <c r="O53" s="238"/>
      <c r="P53" s="238"/>
      <c r="Q53" s="238" t="s">
        <v>7020</v>
      </c>
      <c r="R53" s="238"/>
      <c r="S53" s="238"/>
      <c r="T53" s="238"/>
      <c r="U53" s="238"/>
      <c r="V53" s="238"/>
      <c r="W53" s="238" t="s">
        <v>6898</v>
      </c>
      <c r="X53" s="238"/>
      <c r="Y53" s="10" t="s">
        <v>532</v>
      </c>
      <c r="Z53" s="10" t="s">
        <v>3455</v>
      </c>
      <c r="AA53" s="238" t="s">
        <v>6176</v>
      </c>
      <c r="AB53" s="238"/>
      <c r="AC53" s="238"/>
      <c r="AD53" s="238"/>
      <c r="AE53" s="10" t="s">
        <v>4878</v>
      </c>
      <c r="AF53" s="237" t="s">
        <v>533</v>
      </c>
      <c r="AG53" s="237"/>
      <c r="AH53" s="237"/>
      <c r="AI53" s="237"/>
      <c r="AJ53" s="2"/>
      <c r="AK53" s="2"/>
      <c r="AL53" s="2"/>
      <c r="AM53" s="2"/>
      <c r="AN53" s="7"/>
    </row>
    <row r="54" spans="1:40" ht="13.5" thickBot="1">
      <c r="A54" s="6"/>
      <c r="B54" s="2"/>
      <c r="C54" s="2"/>
      <c r="D54" s="244" t="s">
        <v>307</v>
      </c>
      <c r="E54" s="244"/>
      <c r="F54" s="238" t="s">
        <v>534</v>
      </c>
      <c r="G54" s="238"/>
      <c r="H54" s="238"/>
      <c r="I54" s="238"/>
      <c r="J54" s="10" t="s">
        <v>535</v>
      </c>
      <c r="K54" s="238" t="s">
        <v>536</v>
      </c>
      <c r="L54" s="238"/>
      <c r="M54" s="238"/>
      <c r="N54" s="238" t="s">
        <v>391</v>
      </c>
      <c r="O54" s="238"/>
      <c r="P54" s="238"/>
      <c r="Q54" s="238" t="s">
        <v>5535</v>
      </c>
      <c r="R54" s="238"/>
      <c r="S54" s="238"/>
      <c r="T54" s="238"/>
      <c r="U54" s="238"/>
      <c r="V54" s="238"/>
      <c r="W54" s="238" t="s">
        <v>6345</v>
      </c>
      <c r="X54" s="238"/>
      <c r="Y54" s="10" t="s">
        <v>3228</v>
      </c>
      <c r="Z54" s="10" t="s">
        <v>3574</v>
      </c>
      <c r="AA54" s="238" t="s">
        <v>537</v>
      </c>
      <c r="AB54" s="238"/>
      <c r="AC54" s="238"/>
      <c r="AD54" s="238"/>
      <c r="AE54" s="10" t="s">
        <v>538</v>
      </c>
      <c r="AF54" s="237" t="s">
        <v>539</v>
      </c>
      <c r="AG54" s="237"/>
      <c r="AH54" s="237"/>
      <c r="AI54" s="237"/>
      <c r="AJ54" s="2"/>
      <c r="AK54" s="2"/>
      <c r="AL54" s="2"/>
      <c r="AM54" s="2"/>
      <c r="AN54" s="7"/>
    </row>
    <row r="55" spans="1:40" ht="13.5" thickBot="1">
      <c r="A55" s="6"/>
      <c r="B55" s="2"/>
      <c r="C55" s="2"/>
      <c r="D55" s="244" t="s">
        <v>319</v>
      </c>
      <c r="E55" s="244"/>
      <c r="F55" s="237" t="s">
        <v>540</v>
      </c>
      <c r="G55" s="237"/>
      <c r="H55" s="237"/>
      <c r="I55" s="237"/>
      <c r="J55" s="11" t="s">
        <v>7089</v>
      </c>
      <c r="K55" s="237" t="s">
        <v>541</v>
      </c>
      <c r="L55" s="237"/>
      <c r="M55" s="237"/>
      <c r="N55" s="237" t="s">
        <v>2994</v>
      </c>
      <c r="O55" s="237"/>
      <c r="P55" s="237"/>
      <c r="Q55" s="237" t="s">
        <v>6780</v>
      </c>
      <c r="R55" s="237"/>
      <c r="S55" s="237"/>
      <c r="T55" s="237"/>
      <c r="U55" s="237"/>
      <c r="V55" s="237"/>
      <c r="W55" s="237" t="s">
        <v>542</v>
      </c>
      <c r="X55" s="237"/>
      <c r="Y55" s="11" t="s">
        <v>543</v>
      </c>
      <c r="Z55" s="11" t="s">
        <v>148</v>
      </c>
      <c r="AA55" s="237" t="s">
        <v>3396</v>
      </c>
      <c r="AB55" s="237"/>
      <c r="AC55" s="237"/>
      <c r="AD55" s="237"/>
      <c r="AE55" s="11" t="s">
        <v>544</v>
      </c>
      <c r="AF55" s="237" t="s">
        <v>545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indexed="10"/>
  </sheetPr>
  <dimension ref="A1:AU61"/>
  <sheetViews>
    <sheetView workbookViewId="0">
      <selection activeCell="AU21" sqref="AU21"/>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592</v>
      </c>
      <c r="E7" s="269"/>
      <c r="F7" s="269"/>
      <c r="G7" s="269"/>
      <c r="H7" s="269" t="s">
        <v>593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BUGEY-3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495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945</v>
      </c>
    </row>
    <row r="17" spans="1:47" ht="13.5" thickBot="1">
      <c r="A17" s="6"/>
      <c r="B17" s="1"/>
      <c r="C17" s="1"/>
      <c r="D17" s="248" t="s">
        <v>189</v>
      </c>
      <c r="E17" s="248"/>
      <c r="F17" s="248"/>
      <c r="G17" s="248"/>
      <c r="H17" s="248"/>
      <c r="I17" s="248"/>
      <c r="J17" s="248"/>
      <c r="K17" s="248"/>
      <c r="L17" s="8" t="s">
        <v>5709</v>
      </c>
      <c r="M17" s="264">
        <v>945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920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28754</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72.83</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0.00</v>
      </c>
    </row>
    <row r="22" spans="1:47" ht="8.85" customHeight="1" thickBot="1">
      <c r="A22" s="6"/>
      <c r="B22" s="1"/>
      <c r="C22" s="1"/>
      <c r="D22" s="248" t="s">
        <v>205</v>
      </c>
      <c r="E22" s="248"/>
      <c r="F22" s="248"/>
      <c r="G22" s="248"/>
      <c r="H22" s="248"/>
      <c r="I22" s="248"/>
      <c r="J22" s="248"/>
      <c r="K22" s="248"/>
      <c r="L22" s="247" t="s">
        <v>5709</v>
      </c>
      <c r="M22" s="259">
        <v>26908</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28754</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4738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28915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496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594</v>
      </c>
      <c r="G49" s="238"/>
      <c r="H49" s="238"/>
      <c r="I49" s="238"/>
      <c r="J49" s="10" t="s">
        <v>595</v>
      </c>
      <c r="K49" s="238" t="s">
        <v>596</v>
      </c>
      <c r="L49" s="238"/>
      <c r="M49" s="238"/>
      <c r="N49" s="238" t="s">
        <v>597</v>
      </c>
      <c r="O49" s="238"/>
      <c r="P49" s="238"/>
      <c r="Q49" s="238" t="s">
        <v>598</v>
      </c>
      <c r="R49" s="238"/>
      <c r="S49" s="238"/>
      <c r="T49" s="238"/>
      <c r="U49" s="238"/>
      <c r="V49" s="238"/>
      <c r="W49" s="238" t="s">
        <v>599</v>
      </c>
      <c r="X49" s="238"/>
      <c r="Y49" s="10" t="s">
        <v>600</v>
      </c>
      <c r="Z49" s="10" t="s">
        <v>601</v>
      </c>
      <c r="AA49" s="238" t="s">
        <v>602</v>
      </c>
      <c r="AB49" s="238"/>
      <c r="AC49" s="238"/>
      <c r="AD49" s="238"/>
      <c r="AE49" s="10" t="s">
        <v>6087</v>
      </c>
      <c r="AF49" s="237" t="s">
        <v>603</v>
      </c>
      <c r="AG49" s="237"/>
      <c r="AH49" s="237"/>
      <c r="AI49" s="237"/>
      <c r="AJ49" s="2"/>
      <c r="AK49" s="2"/>
      <c r="AL49" s="2"/>
      <c r="AM49" s="2"/>
      <c r="AN49" s="7"/>
    </row>
    <row r="50" spans="1:40" ht="13.5" thickBot="1">
      <c r="A50" s="6"/>
      <c r="B50" s="2"/>
      <c r="C50" s="2"/>
      <c r="D50" s="244" t="s">
        <v>261</v>
      </c>
      <c r="E50" s="244"/>
      <c r="F50" s="238" t="s">
        <v>4332</v>
      </c>
      <c r="G50" s="238"/>
      <c r="H50" s="238"/>
      <c r="I50" s="238"/>
      <c r="J50" s="10" t="s">
        <v>604</v>
      </c>
      <c r="K50" s="238" t="s">
        <v>6415</v>
      </c>
      <c r="L50" s="238"/>
      <c r="M50" s="238"/>
      <c r="N50" s="238" t="s">
        <v>6152</v>
      </c>
      <c r="O50" s="238"/>
      <c r="P50" s="238"/>
      <c r="Q50" s="238" t="s">
        <v>542</v>
      </c>
      <c r="R50" s="238"/>
      <c r="S50" s="238"/>
      <c r="T50" s="238"/>
      <c r="U50" s="238"/>
      <c r="V50" s="238"/>
      <c r="W50" s="238" t="s">
        <v>3283</v>
      </c>
      <c r="X50" s="238"/>
      <c r="Y50" s="10" t="s">
        <v>3396</v>
      </c>
      <c r="Z50" s="10" t="s">
        <v>605</v>
      </c>
      <c r="AA50" s="238" t="s">
        <v>606</v>
      </c>
      <c r="AB50" s="238"/>
      <c r="AC50" s="238"/>
      <c r="AD50" s="238"/>
      <c r="AE50" s="10" t="s">
        <v>6087</v>
      </c>
      <c r="AF50" s="237" t="s">
        <v>607</v>
      </c>
      <c r="AG50" s="237"/>
      <c r="AH50" s="237"/>
      <c r="AI50" s="237"/>
      <c r="AJ50" s="2"/>
      <c r="AK50" s="2"/>
      <c r="AL50" s="2"/>
      <c r="AM50" s="2"/>
      <c r="AN50" s="7"/>
    </row>
    <row r="51" spans="1:40" ht="13.5" thickBot="1">
      <c r="A51" s="6"/>
      <c r="B51" s="2"/>
      <c r="C51" s="2"/>
      <c r="D51" s="244" t="s">
        <v>273</v>
      </c>
      <c r="E51" s="244"/>
      <c r="F51" s="238" t="s">
        <v>608</v>
      </c>
      <c r="G51" s="238"/>
      <c r="H51" s="238"/>
      <c r="I51" s="238"/>
      <c r="J51" s="10" t="s">
        <v>609</v>
      </c>
      <c r="K51" s="238" t="s">
        <v>6904</v>
      </c>
      <c r="L51" s="238"/>
      <c r="M51" s="238"/>
      <c r="N51" s="238" t="s">
        <v>6766</v>
      </c>
      <c r="O51" s="238"/>
      <c r="P51" s="238"/>
      <c r="Q51" s="238" t="s">
        <v>610</v>
      </c>
      <c r="R51" s="238"/>
      <c r="S51" s="238"/>
      <c r="T51" s="238"/>
      <c r="U51" s="238"/>
      <c r="V51" s="238"/>
      <c r="W51" s="238" t="s">
        <v>4307</v>
      </c>
      <c r="X51" s="238"/>
      <c r="Y51" s="10" t="s">
        <v>2682</v>
      </c>
      <c r="Z51" s="10" t="s">
        <v>3394</v>
      </c>
      <c r="AA51" s="238" t="s">
        <v>611</v>
      </c>
      <c r="AB51" s="238"/>
      <c r="AC51" s="238"/>
      <c r="AD51" s="238"/>
      <c r="AE51" s="10" t="s">
        <v>612</v>
      </c>
      <c r="AF51" s="237" t="s">
        <v>5448</v>
      </c>
      <c r="AG51" s="237"/>
      <c r="AH51" s="237"/>
      <c r="AI51" s="237"/>
      <c r="AJ51" s="2"/>
      <c r="AK51" s="2"/>
      <c r="AL51" s="2"/>
      <c r="AM51" s="2"/>
      <c r="AN51" s="7"/>
    </row>
    <row r="52" spans="1:40" ht="13.5" thickBot="1">
      <c r="A52" s="6"/>
      <c r="B52" s="2"/>
      <c r="C52" s="2"/>
      <c r="D52" s="244" t="s">
        <v>285</v>
      </c>
      <c r="E52" s="244"/>
      <c r="F52" s="238" t="s">
        <v>3988</v>
      </c>
      <c r="G52" s="238"/>
      <c r="H52" s="238"/>
      <c r="I52" s="238"/>
      <c r="J52" s="10" t="s">
        <v>6631</v>
      </c>
      <c r="K52" s="238" t="s">
        <v>372</v>
      </c>
      <c r="L52" s="238"/>
      <c r="M52" s="238"/>
      <c r="N52" s="238" t="s">
        <v>1906</v>
      </c>
      <c r="O52" s="238"/>
      <c r="P52" s="238"/>
      <c r="Q52" s="238" t="s">
        <v>613</v>
      </c>
      <c r="R52" s="238"/>
      <c r="S52" s="238"/>
      <c r="T52" s="238"/>
      <c r="U52" s="238"/>
      <c r="V52" s="238"/>
      <c r="W52" s="238" t="s">
        <v>3343</v>
      </c>
      <c r="X52" s="238"/>
      <c r="Y52" s="10" t="s">
        <v>3342</v>
      </c>
      <c r="Z52" s="10" t="s">
        <v>614</v>
      </c>
      <c r="AA52" s="238" t="s">
        <v>615</v>
      </c>
      <c r="AB52" s="238"/>
      <c r="AC52" s="238"/>
      <c r="AD52" s="238"/>
      <c r="AE52" s="10" t="s">
        <v>5486</v>
      </c>
      <c r="AF52" s="237" t="s">
        <v>4064</v>
      </c>
      <c r="AG52" s="237"/>
      <c r="AH52" s="237"/>
      <c r="AI52" s="237"/>
      <c r="AJ52" s="2"/>
      <c r="AK52" s="2"/>
      <c r="AL52" s="2"/>
      <c r="AM52" s="2"/>
      <c r="AN52" s="7"/>
    </row>
    <row r="53" spans="1:40" ht="13.5" thickBot="1">
      <c r="A53" s="6"/>
      <c r="B53" s="2"/>
      <c r="C53" s="2"/>
      <c r="D53" s="244" t="s">
        <v>295</v>
      </c>
      <c r="E53" s="244"/>
      <c r="F53" s="238" t="s">
        <v>4887</v>
      </c>
      <c r="G53" s="238"/>
      <c r="H53" s="238"/>
      <c r="I53" s="238"/>
      <c r="J53" s="10" t="s">
        <v>274</v>
      </c>
      <c r="K53" s="238" t="s">
        <v>146</v>
      </c>
      <c r="L53" s="238"/>
      <c r="M53" s="238"/>
      <c r="N53" s="238" t="s">
        <v>616</v>
      </c>
      <c r="O53" s="238"/>
      <c r="P53" s="238"/>
      <c r="Q53" s="238" t="s">
        <v>3404</v>
      </c>
      <c r="R53" s="238"/>
      <c r="S53" s="238"/>
      <c r="T53" s="238"/>
      <c r="U53" s="238"/>
      <c r="V53" s="238"/>
      <c r="W53" s="238" t="s">
        <v>4375</v>
      </c>
      <c r="X53" s="238"/>
      <c r="Y53" s="10" t="s">
        <v>2851</v>
      </c>
      <c r="Z53" s="10" t="s">
        <v>5396</v>
      </c>
      <c r="AA53" s="238" t="s">
        <v>617</v>
      </c>
      <c r="AB53" s="238"/>
      <c r="AC53" s="238"/>
      <c r="AD53" s="238"/>
      <c r="AE53" s="10" t="s">
        <v>6087</v>
      </c>
      <c r="AF53" s="237" t="s">
        <v>3991</v>
      </c>
      <c r="AG53" s="237"/>
      <c r="AH53" s="237"/>
      <c r="AI53" s="237"/>
      <c r="AJ53" s="2"/>
      <c r="AK53" s="2"/>
      <c r="AL53" s="2"/>
      <c r="AM53" s="2"/>
      <c r="AN53" s="7"/>
    </row>
    <row r="54" spans="1:40" ht="13.5" thickBot="1">
      <c r="A54" s="6"/>
      <c r="B54" s="2"/>
      <c r="C54" s="2"/>
      <c r="D54" s="244" t="s">
        <v>307</v>
      </c>
      <c r="E54" s="244"/>
      <c r="F54" s="238" t="s">
        <v>618</v>
      </c>
      <c r="G54" s="238"/>
      <c r="H54" s="238"/>
      <c r="I54" s="238"/>
      <c r="J54" s="10" t="s">
        <v>619</v>
      </c>
      <c r="K54" s="238" t="s">
        <v>620</v>
      </c>
      <c r="L54" s="238"/>
      <c r="M54" s="238"/>
      <c r="N54" s="238" t="s">
        <v>6776</v>
      </c>
      <c r="O54" s="238"/>
      <c r="P54" s="238"/>
      <c r="Q54" s="238" t="s">
        <v>6826</v>
      </c>
      <c r="R54" s="238"/>
      <c r="S54" s="238"/>
      <c r="T54" s="238"/>
      <c r="U54" s="238"/>
      <c r="V54" s="238"/>
      <c r="W54" s="238" t="s">
        <v>5049</v>
      </c>
      <c r="X54" s="238"/>
      <c r="Y54" s="10" t="s">
        <v>314</v>
      </c>
      <c r="Z54" s="10" t="s">
        <v>6242</v>
      </c>
      <c r="AA54" s="238" t="s">
        <v>621</v>
      </c>
      <c r="AB54" s="238"/>
      <c r="AC54" s="238"/>
      <c r="AD54" s="238"/>
      <c r="AE54" s="10" t="s">
        <v>6087</v>
      </c>
      <c r="AF54" s="237" t="s">
        <v>622</v>
      </c>
      <c r="AG54" s="237"/>
      <c r="AH54" s="237"/>
      <c r="AI54" s="237"/>
      <c r="AJ54" s="2"/>
      <c r="AK54" s="2"/>
      <c r="AL54" s="2"/>
      <c r="AM54" s="2"/>
      <c r="AN54" s="7"/>
    </row>
    <row r="55" spans="1:40" ht="13.5" thickBot="1">
      <c r="A55" s="6"/>
      <c r="B55" s="2"/>
      <c r="C55" s="2"/>
      <c r="D55" s="244" t="s">
        <v>319</v>
      </c>
      <c r="E55" s="244"/>
      <c r="F55" s="237" t="s">
        <v>623</v>
      </c>
      <c r="G55" s="237"/>
      <c r="H55" s="237"/>
      <c r="I55" s="237"/>
      <c r="J55" s="11" t="s">
        <v>624</v>
      </c>
      <c r="K55" s="237" t="s">
        <v>3532</v>
      </c>
      <c r="L55" s="237"/>
      <c r="M55" s="237"/>
      <c r="N55" s="237" t="s">
        <v>625</v>
      </c>
      <c r="O55" s="237"/>
      <c r="P55" s="237"/>
      <c r="Q55" s="237" t="s">
        <v>626</v>
      </c>
      <c r="R55" s="237"/>
      <c r="S55" s="237"/>
      <c r="T55" s="237"/>
      <c r="U55" s="237"/>
      <c r="V55" s="237"/>
      <c r="W55" s="237" t="s">
        <v>4577</v>
      </c>
      <c r="X55" s="237"/>
      <c r="Y55" s="11" t="s">
        <v>627</v>
      </c>
      <c r="Z55" s="11" t="s">
        <v>3802</v>
      </c>
      <c r="AA55" s="237" t="s">
        <v>628</v>
      </c>
      <c r="AB55" s="237"/>
      <c r="AC55" s="237"/>
      <c r="AD55" s="237"/>
      <c r="AE55" s="11" t="s">
        <v>6087</v>
      </c>
      <c r="AF55" s="237" t="s">
        <v>66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629</v>
      </c>
      <c r="E7" s="269"/>
      <c r="F7" s="269"/>
      <c r="G7" s="269"/>
      <c r="H7" s="269" t="s">
        <v>630</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BUGEY-4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495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917</v>
      </c>
    </row>
    <row r="17" spans="1:47" ht="13.5" thickBot="1">
      <c r="A17" s="6"/>
      <c r="B17" s="1"/>
      <c r="C17" s="1"/>
      <c r="D17" s="248" t="s">
        <v>189</v>
      </c>
      <c r="E17" s="248"/>
      <c r="F17" s="248"/>
      <c r="G17" s="248"/>
      <c r="H17" s="248"/>
      <c r="I17" s="248"/>
      <c r="J17" s="248"/>
      <c r="K17" s="248"/>
      <c r="L17" s="8" t="s">
        <v>5709</v>
      </c>
      <c r="M17" s="264">
        <v>917</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880</v>
      </c>
    </row>
    <row r="18" spans="1:47" ht="13.5" thickBot="1">
      <c r="A18" s="6"/>
      <c r="B18" s="1"/>
      <c r="C18" s="1"/>
      <c r="D18" s="248" t="s">
        <v>193</v>
      </c>
      <c r="E18" s="248"/>
      <c r="F18" s="248"/>
      <c r="G18" s="248"/>
      <c r="H18" s="248"/>
      <c r="I18" s="248"/>
      <c r="J18" s="248"/>
      <c r="K18" s="248"/>
      <c r="L18" s="8" t="s">
        <v>5709</v>
      </c>
      <c r="M18" s="264">
        <v>900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28922</v>
      </c>
    </row>
    <row r="19" spans="1:47" ht="13.5" thickBot="1">
      <c r="A19" s="6"/>
      <c r="B19" s="1"/>
      <c r="C19" s="1"/>
      <c r="D19" s="248" t="s">
        <v>196</v>
      </c>
      <c r="E19" s="248"/>
      <c r="F19" s="248"/>
      <c r="G19" s="248"/>
      <c r="H19" s="248"/>
      <c r="I19" s="248"/>
      <c r="J19" s="248"/>
      <c r="K19" s="248"/>
      <c r="L19" s="8" t="s">
        <v>5709</v>
      </c>
      <c r="M19" s="264">
        <v>880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78.78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95.66</v>
      </c>
    </row>
    <row r="22" spans="1:47" ht="8.85" customHeight="1" thickBot="1">
      <c r="A22" s="6"/>
      <c r="B22" s="1"/>
      <c r="C22" s="1"/>
      <c r="D22" s="248" t="s">
        <v>205</v>
      </c>
      <c r="E22" s="248"/>
      <c r="F22" s="248"/>
      <c r="G22" s="248"/>
      <c r="H22" s="248"/>
      <c r="I22" s="248"/>
      <c r="J22" s="248"/>
      <c r="K22" s="248"/>
      <c r="L22" s="247" t="s">
        <v>5709</v>
      </c>
      <c r="M22" s="259">
        <v>27181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28922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29037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496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631</v>
      </c>
      <c r="G49" s="238"/>
      <c r="H49" s="238"/>
      <c r="I49" s="238"/>
      <c r="J49" s="10" t="s">
        <v>632</v>
      </c>
      <c r="K49" s="238" t="s">
        <v>633</v>
      </c>
      <c r="L49" s="238"/>
      <c r="M49" s="238"/>
      <c r="N49" s="238" t="s">
        <v>634</v>
      </c>
      <c r="O49" s="238"/>
      <c r="P49" s="238"/>
      <c r="Q49" s="238" t="s">
        <v>635</v>
      </c>
      <c r="R49" s="238"/>
      <c r="S49" s="238"/>
      <c r="T49" s="238"/>
      <c r="U49" s="238"/>
      <c r="V49" s="238"/>
      <c r="W49" s="238" t="s">
        <v>636</v>
      </c>
      <c r="X49" s="238"/>
      <c r="Y49" s="10" t="s">
        <v>637</v>
      </c>
      <c r="Z49" s="10" t="s">
        <v>638</v>
      </c>
      <c r="AA49" s="238" t="s">
        <v>639</v>
      </c>
      <c r="AB49" s="238"/>
      <c r="AC49" s="238"/>
      <c r="AD49" s="238"/>
      <c r="AE49" s="10" t="s">
        <v>640</v>
      </c>
      <c r="AF49" s="237" t="s">
        <v>641</v>
      </c>
      <c r="AG49" s="237"/>
      <c r="AH49" s="237"/>
      <c r="AI49" s="237"/>
      <c r="AJ49" s="2"/>
      <c r="AK49" s="2"/>
      <c r="AL49" s="2"/>
      <c r="AM49" s="2"/>
      <c r="AN49" s="7"/>
    </row>
    <row r="50" spans="1:40" ht="13.5" thickBot="1">
      <c r="A50" s="6"/>
      <c r="B50" s="2"/>
      <c r="C50" s="2"/>
      <c r="D50" s="244" t="s">
        <v>261</v>
      </c>
      <c r="E50" s="244"/>
      <c r="F50" s="238" t="s">
        <v>642</v>
      </c>
      <c r="G50" s="238"/>
      <c r="H50" s="238"/>
      <c r="I50" s="238"/>
      <c r="J50" s="10" t="s">
        <v>643</v>
      </c>
      <c r="K50" s="238" t="s">
        <v>6033</v>
      </c>
      <c r="L50" s="238"/>
      <c r="M50" s="238"/>
      <c r="N50" s="238" t="s">
        <v>644</v>
      </c>
      <c r="O50" s="238"/>
      <c r="P50" s="238"/>
      <c r="Q50" s="238" t="s">
        <v>5498</v>
      </c>
      <c r="R50" s="238"/>
      <c r="S50" s="238"/>
      <c r="T50" s="238"/>
      <c r="U50" s="238"/>
      <c r="V50" s="238"/>
      <c r="W50" s="238" t="s">
        <v>6391</v>
      </c>
      <c r="X50" s="238"/>
      <c r="Y50" s="10" t="s">
        <v>645</v>
      </c>
      <c r="Z50" s="10" t="s">
        <v>6199</v>
      </c>
      <c r="AA50" s="238" t="s">
        <v>646</v>
      </c>
      <c r="AB50" s="238"/>
      <c r="AC50" s="238"/>
      <c r="AD50" s="238"/>
      <c r="AE50" s="10" t="s">
        <v>647</v>
      </c>
      <c r="AF50" s="237" t="s">
        <v>648</v>
      </c>
      <c r="AG50" s="237"/>
      <c r="AH50" s="237"/>
      <c r="AI50" s="237"/>
      <c r="AJ50" s="2"/>
      <c r="AK50" s="2"/>
      <c r="AL50" s="2"/>
      <c r="AM50" s="2"/>
      <c r="AN50" s="7"/>
    </row>
    <row r="51" spans="1:40" ht="13.5" thickBot="1">
      <c r="A51" s="6"/>
      <c r="B51" s="2"/>
      <c r="C51" s="2"/>
      <c r="D51" s="244" t="s">
        <v>273</v>
      </c>
      <c r="E51" s="244"/>
      <c r="F51" s="238" t="s">
        <v>649</v>
      </c>
      <c r="G51" s="238"/>
      <c r="H51" s="238"/>
      <c r="I51" s="238"/>
      <c r="J51" s="10" t="s">
        <v>3312</v>
      </c>
      <c r="K51" s="238" t="s">
        <v>375</v>
      </c>
      <c r="L51" s="238"/>
      <c r="M51" s="238"/>
      <c r="N51" s="238" t="s">
        <v>4146</v>
      </c>
      <c r="O51" s="238"/>
      <c r="P51" s="238"/>
      <c r="Q51" s="238" t="s">
        <v>650</v>
      </c>
      <c r="R51" s="238"/>
      <c r="S51" s="238"/>
      <c r="T51" s="238"/>
      <c r="U51" s="238"/>
      <c r="V51" s="238"/>
      <c r="W51" s="238" t="s">
        <v>4320</v>
      </c>
      <c r="X51" s="238"/>
      <c r="Y51" s="10" t="s">
        <v>651</v>
      </c>
      <c r="Z51" s="10" t="s">
        <v>3570</v>
      </c>
      <c r="AA51" s="238" t="s">
        <v>4106</v>
      </c>
      <c r="AB51" s="238"/>
      <c r="AC51" s="238"/>
      <c r="AD51" s="238"/>
      <c r="AE51" s="10" t="s">
        <v>6086</v>
      </c>
      <c r="AF51" s="237" t="s">
        <v>652</v>
      </c>
      <c r="AG51" s="237"/>
      <c r="AH51" s="237"/>
      <c r="AI51" s="237"/>
      <c r="AJ51" s="2"/>
      <c r="AK51" s="2"/>
      <c r="AL51" s="2"/>
      <c r="AM51" s="2"/>
      <c r="AN51" s="7"/>
    </row>
    <row r="52" spans="1:40" ht="13.5" thickBot="1">
      <c r="A52" s="6"/>
      <c r="B52" s="2"/>
      <c r="C52" s="2"/>
      <c r="D52" s="244" t="s">
        <v>285</v>
      </c>
      <c r="E52" s="244"/>
      <c r="F52" s="238" t="s">
        <v>6646</v>
      </c>
      <c r="G52" s="238"/>
      <c r="H52" s="238"/>
      <c r="I52" s="238"/>
      <c r="J52" s="10" t="s">
        <v>653</v>
      </c>
      <c r="K52" s="238" t="s">
        <v>6035</v>
      </c>
      <c r="L52" s="238"/>
      <c r="M52" s="238"/>
      <c r="N52" s="238" t="s">
        <v>1833</v>
      </c>
      <c r="O52" s="238"/>
      <c r="P52" s="238"/>
      <c r="Q52" s="238" t="s">
        <v>6373</v>
      </c>
      <c r="R52" s="238"/>
      <c r="S52" s="238"/>
      <c r="T52" s="238"/>
      <c r="U52" s="238"/>
      <c r="V52" s="238"/>
      <c r="W52" s="238" t="s">
        <v>2842</v>
      </c>
      <c r="X52" s="238"/>
      <c r="Y52" s="10" t="s">
        <v>654</v>
      </c>
      <c r="Z52" s="10" t="s">
        <v>90</v>
      </c>
      <c r="AA52" s="238" t="s">
        <v>4628</v>
      </c>
      <c r="AB52" s="238"/>
      <c r="AC52" s="238"/>
      <c r="AD52" s="238"/>
      <c r="AE52" s="10" t="s">
        <v>655</v>
      </c>
      <c r="AF52" s="237" t="s">
        <v>656</v>
      </c>
      <c r="AG52" s="237"/>
      <c r="AH52" s="237"/>
      <c r="AI52" s="237"/>
      <c r="AJ52" s="2"/>
      <c r="AK52" s="2"/>
      <c r="AL52" s="2"/>
      <c r="AM52" s="2"/>
      <c r="AN52" s="7"/>
    </row>
    <row r="53" spans="1:40" ht="13.5" thickBot="1">
      <c r="A53" s="6"/>
      <c r="B53" s="2"/>
      <c r="C53" s="2"/>
      <c r="D53" s="244" t="s">
        <v>295</v>
      </c>
      <c r="E53" s="244"/>
      <c r="F53" s="238" t="s">
        <v>2797</v>
      </c>
      <c r="G53" s="238"/>
      <c r="H53" s="238"/>
      <c r="I53" s="238"/>
      <c r="J53" s="10" t="s">
        <v>3464</v>
      </c>
      <c r="K53" s="238" t="s">
        <v>4931</v>
      </c>
      <c r="L53" s="238"/>
      <c r="M53" s="238"/>
      <c r="N53" s="238" t="s">
        <v>412</v>
      </c>
      <c r="O53" s="238"/>
      <c r="P53" s="238"/>
      <c r="Q53" s="238" t="s">
        <v>657</v>
      </c>
      <c r="R53" s="238"/>
      <c r="S53" s="238"/>
      <c r="T53" s="238"/>
      <c r="U53" s="238"/>
      <c r="V53" s="238"/>
      <c r="W53" s="238" t="s">
        <v>658</v>
      </c>
      <c r="X53" s="238"/>
      <c r="Y53" s="10" t="s">
        <v>4220</v>
      </c>
      <c r="Z53" s="10" t="s">
        <v>3059</v>
      </c>
      <c r="AA53" s="238" t="s">
        <v>3140</v>
      </c>
      <c r="AB53" s="238"/>
      <c r="AC53" s="238"/>
      <c r="AD53" s="238"/>
      <c r="AE53" s="10" t="s">
        <v>6326</v>
      </c>
      <c r="AF53" s="237" t="s">
        <v>659</v>
      </c>
      <c r="AG53" s="237"/>
      <c r="AH53" s="237"/>
      <c r="AI53" s="237"/>
      <c r="AJ53" s="2"/>
      <c r="AK53" s="2"/>
      <c r="AL53" s="2"/>
      <c r="AM53" s="2"/>
      <c r="AN53" s="7"/>
    </row>
    <row r="54" spans="1:40" ht="13.5" thickBot="1">
      <c r="A54" s="6"/>
      <c r="B54" s="2"/>
      <c r="C54" s="2"/>
      <c r="D54" s="244" t="s">
        <v>307</v>
      </c>
      <c r="E54" s="244"/>
      <c r="F54" s="238" t="s">
        <v>660</v>
      </c>
      <c r="G54" s="238"/>
      <c r="H54" s="238"/>
      <c r="I54" s="238"/>
      <c r="J54" s="10" t="s">
        <v>661</v>
      </c>
      <c r="K54" s="238" t="s">
        <v>662</v>
      </c>
      <c r="L54" s="238"/>
      <c r="M54" s="238"/>
      <c r="N54" s="238" t="s">
        <v>5456</v>
      </c>
      <c r="O54" s="238"/>
      <c r="P54" s="238"/>
      <c r="Q54" s="238" t="s">
        <v>663</v>
      </c>
      <c r="R54" s="238"/>
      <c r="S54" s="238"/>
      <c r="T54" s="238"/>
      <c r="U54" s="238"/>
      <c r="V54" s="238"/>
      <c r="W54" s="238" t="s">
        <v>664</v>
      </c>
      <c r="X54" s="238"/>
      <c r="Y54" s="10" t="s">
        <v>665</v>
      </c>
      <c r="Z54" s="10" t="s">
        <v>6431</v>
      </c>
      <c r="AA54" s="238" t="s">
        <v>666</v>
      </c>
      <c r="AB54" s="238"/>
      <c r="AC54" s="238"/>
      <c r="AD54" s="238"/>
      <c r="AE54" s="10" t="s">
        <v>4160</v>
      </c>
      <c r="AF54" s="237" t="s">
        <v>3974</v>
      </c>
      <c r="AG54" s="237"/>
      <c r="AH54" s="237"/>
      <c r="AI54" s="237"/>
      <c r="AJ54" s="2"/>
      <c r="AK54" s="2"/>
      <c r="AL54" s="2"/>
      <c r="AM54" s="2"/>
      <c r="AN54" s="7"/>
    </row>
    <row r="55" spans="1:40" ht="13.5" thickBot="1">
      <c r="A55" s="6"/>
      <c r="B55" s="2"/>
      <c r="C55" s="2"/>
      <c r="D55" s="244" t="s">
        <v>319</v>
      </c>
      <c r="E55" s="244"/>
      <c r="F55" s="237" t="s">
        <v>667</v>
      </c>
      <c r="G55" s="237"/>
      <c r="H55" s="237"/>
      <c r="I55" s="237"/>
      <c r="J55" s="11" t="s">
        <v>3823</v>
      </c>
      <c r="K55" s="237" t="s">
        <v>3279</v>
      </c>
      <c r="L55" s="237"/>
      <c r="M55" s="237"/>
      <c r="N55" s="237" t="s">
        <v>4330</v>
      </c>
      <c r="O55" s="237"/>
      <c r="P55" s="237"/>
      <c r="Q55" s="237" t="s">
        <v>4102</v>
      </c>
      <c r="R55" s="237"/>
      <c r="S55" s="237"/>
      <c r="T55" s="237"/>
      <c r="U55" s="237"/>
      <c r="V55" s="237"/>
      <c r="W55" s="237" t="s">
        <v>668</v>
      </c>
      <c r="X55" s="237"/>
      <c r="Y55" s="11" t="s">
        <v>669</v>
      </c>
      <c r="Z55" s="11" t="s">
        <v>6152</v>
      </c>
      <c r="AA55" s="237" t="s">
        <v>670</v>
      </c>
      <c r="AB55" s="237"/>
      <c r="AC55" s="237"/>
      <c r="AD55" s="237"/>
      <c r="AE55" s="11" t="s">
        <v>2942</v>
      </c>
      <c r="AF55" s="237" t="s">
        <v>671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672</v>
      </c>
      <c r="E7" s="269"/>
      <c r="F7" s="269"/>
      <c r="G7" s="269"/>
      <c r="H7" s="269" t="s">
        <v>673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BUGEY-5</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495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917</v>
      </c>
    </row>
    <row r="17" spans="1:47" ht="13.5" thickBot="1">
      <c r="A17" s="6"/>
      <c r="B17" s="1"/>
      <c r="C17" s="1"/>
      <c r="D17" s="248" t="s">
        <v>189</v>
      </c>
      <c r="E17" s="248"/>
      <c r="F17" s="248"/>
      <c r="G17" s="248"/>
      <c r="H17" s="248"/>
      <c r="I17" s="248"/>
      <c r="J17" s="248"/>
      <c r="K17" s="248"/>
      <c r="L17" s="8" t="s">
        <v>5709</v>
      </c>
      <c r="M17" s="264">
        <v>917</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880</v>
      </c>
    </row>
    <row r="18" spans="1:47" ht="13.5" thickBot="1">
      <c r="A18" s="6"/>
      <c r="B18" s="1"/>
      <c r="C18" s="1"/>
      <c r="D18" s="248" t="s">
        <v>193</v>
      </c>
      <c r="E18" s="248"/>
      <c r="F18" s="248"/>
      <c r="G18" s="248"/>
      <c r="H18" s="248"/>
      <c r="I18" s="248"/>
      <c r="J18" s="248"/>
      <c r="K18" s="248"/>
      <c r="L18" s="8" t="s">
        <v>5709</v>
      </c>
      <c r="M18" s="264">
        <v>900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29067</v>
      </c>
    </row>
    <row r="19" spans="1:47" ht="13.5" thickBot="1">
      <c r="A19" s="6"/>
      <c r="B19" s="1"/>
      <c r="C19" s="1"/>
      <c r="D19" s="248" t="s">
        <v>196</v>
      </c>
      <c r="E19" s="248"/>
      <c r="F19" s="248"/>
      <c r="G19" s="248"/>
      <c r="H19" s="248"/>
      <c r="I19" s="248"/>
      <c r="J19" s="248"/>
      <c r="K19" s="248"/>
      <c r="L19" s="8" t="s">
        <v>5709</v>
      </c>
      <c r="M19" s="264">
        <v>880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91.09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76.89</v>
      </c>
    </row>
    <row r="22" spans="1:47" ht="8.85" customHeight="1" thickBot="1">
      <c r="A22" s="6"/>
      <c r="B22" s="1"/>
      <c r="C22" s="1"/>
      <c r="D22" s="248" t="s">
        <v>205</v>
      </c>
      <c r="E22" s="248"/>
      <c r="F22" s="248"/>
      <c r="G22" s="248"/>
      <c r="H22" s="248"/>
      <c r="I22" s="248"/>
      <c r="J22" s="248"/>
      <c r="K22" s="248"/>
      <c r="L22" s="247" t="s">
        <v>5709</v>
      </c>
      <c r="M22" s="259">
        <v>27211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29067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29223</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496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674</v>
      </c>
      <c r="G49" s="238"/>
      <c r="H49" s="238"/>
      <c r="I49" s="238"/>
      <c r="J49" s="10" t="s">
        <v>675</v>
      </c>
      <c r="K49" s="238" t="s">
        <v>676</v>
      </c>
      <c r="L49" s="238"/>
      <c r="M49" s="238"/>
      <c r="N49" s="238" t="s">
        <v>677</v>
      </c>
      <c r="O49" s="238"/>
      <c r="P49" s="238"/>
      <c r="Q49" s="238" t="s">
        <v>678</v>
      </c>
      <c r="R49" s="238"/>
      <c r="S49" s="238"/>
      <c r="T49" s="238"/>
      <c r="U49" s="238"/>
      <c r="V49" s="238"/>
      <c r="W49" s="238" t="s">
        <v>679</v>
      </c>
      <c r="X49" s="238"/>
      <c r="Y49" s="10" t="s">
        <v>680</v>
      </c>
      <c r="Z49" s="10" t="s">
        <v>681</v>
      </c>
      <c r="AA49" s="238" t="s">
        <v>682</v>
      </c>
      <c r="AB49" s="238"/>
      <c r="AC49" s="238"/>
      <c r="AD49" s="238"/>
      <c r="AE49" s="10" t="s">
        <v>683</v>
      </c>
      <c r="AF49" s="237" t="s">
        <v>684</v>
      </c>
      <c r="AG49" s="237"/>
      <c r="AH49" s="237"/>
      <c r="AI49" s="237"/>
      <c r="AJ49" s="2"/>
      <c r="AK49" s="2"/>
      <c r="AL49" s="2"/>
      <c r="AM49" s="2"/>
      <c r="AN49" s="7"/>
    </row>
    <row r="50" spans="1:40" ht="13.5" thickBot="1">
      <c r="A50" s="6"/>
      <c r="B50" s="2"/>
      <c r="C50" s="2"/>
      <c r="D50" s="244" t="s">
        <v>261</v>
      </c>
      <c r="E50" s="244"/>
      <c r="F50" s="238" t="s">
        <v>3639</v>
      </c>
      <c r="G50" s="238"/>
      <c r="H50" s="238"/>
      <c r="I50" s="238"/>
      <c r="J50" s="10" t="s">
        <v>6827</v>
      </c>
      <c r="K50" s="238" t="s">
        <v>580</v>
      </c>
      <c r="L50" s="238"/>
      <c r="M50" s="238"/>
      <c r="N50" s="238" t="s">
        <v>6250</v>
      </c>
      <c r="O50" s="238"/>
      <c r="P50" s="238"/>
      <c r="Q50" s="238" t="s">
        <v>685</v>
      </c>
      <c r="R50" s="238"/>
      <c r="S50" s="238"/>
      <c r="T50" s="238"/>
      <c r="U50" s="238"/>
      <c r="V50" s="238"/>
      <c r="W50" s="238" t="s">
        <v>5410</v>
      </c>
      <c r="X50" s="238"/>
      <c r="Y50" s="10" t="s">
        <v>686</v>
      </c>
      <c r="Z50" s="10" t="s">
        <v>687</v>
      </c>
      <c r="AA50" s="238" t="s">
        <v>7069</v>
      </c>
      <c r="AB50" s="238"/>
      <c r="AC50" s="238"/>
      <c r="AD50" s="238"/>
      <c r="AE50" s="10" t="s">
        <v>688</v>
      </c>
      <c r="AF50" s="237" t="s">
        <v>6534</v>
      </c>
      <c r="AG50" s="237"/>
      <c r="AH50" s="237"/>
      <c r="AI50" s="237"/>
      <c r="AJ50" s="2"/>
      <c r="AK50" s="2"/>
      <c r="AL50" s="2"/>
      <c r="AM50" s="2"/>
      <c r="AN50" s="7"/>
    </row>
    <row r="51" spans="1:40" ht="13.5" thickBot="1">
      <c r="A51" s="6"/>
      <c r="B51" s="2"/>
      <c r="C51" s="2"/>
      <c r="D51" s="244" t="s">
        <v>273</v>
      </c>
      <c r="E51" s="244"/>
      <c r="F51" s="238" t="s">
        <v>689</v>
      </c>
      <c r="G51" s="238"/>
      <c r="H51" s="238"/>
      <c r="I51" s="238"/>
      <c r="J51" s="10" t="s">
        <v>2999</v>
      </c>
      <c r="K51" s="238" t="s">
        <v>690</v>
      </c>
      <c r="L51" s="238"/>
      <c r="M51" s="238"/>
      <c r="N51" s="238" t="s">
        <v>691</v>
      </c>
      <c r="O51" s="238"/>
      <c r="P51" s="238"/>
      <c r="Q51" s="238" t="s">
        <v>6086</v>
      </c>
      <c r="R51" s="238"/>
      <c r="S51" s="238"/>
      <c r="T51" s="238"/>
      <c r="U51" s="238"/>
      <c r="V51" s="238"/>
      <c r="W51" s="238" t="s">
        <v>692</v>
      </c>
      <c r="X51" s="238"/>
      <c r="Y51" s="10" t="s">
        <v>693</v>
      </c>
      <c r="Z51" s="10" t="s">
        <v>3901</v>
      </c>
      <c r="AA51" s="238" t="s">
        <v>694</v>
      </c>
      <c r="AB51" s="238"/>
      <c r="AC51" s="238"/>
      <c r="AD51" s="238"/>
      <c r="AE51" s="10" t="s">
        <v>3778</v>
      </c>
      <c r="AF51" s="237" t="s">
        <v>695</v>
      </c>
      <c r="AG51" s="237"/>
      <c r="AH51" s="237"/>
      <c r="AI51" s="237"/>
      <c r="AJ51" s="2"/>
      <c r="AK51" s="2"/>
      <c r="AL51" s="2"/>
      <c r="AM51" s="2"/>
      <c r="AN51" s="7"/>
    </row>
    <row r="52" spans="1:40" ht="13.5" thickBot="1">
      <c r="A52" s="6"/>
      <c r="B52" s="2"/>
      <c r="C52" s="2"/>
      <c r="D52" s="244" t="s">
        <v>285</v>
      </c>
      <c r="E52" s="244"/>
      <c r="F52" s="238" t="s">
        <v>696</v>
      </c>
      <c r="G52" s="238"/>
      <c r="H52" s="238"/>
      <c r="I52" s="238"/>
      <c r="J52" s="10" t="s">
        <v>6827</v>
      </c>
      <c r="K52" s="238" t="s">
        <v>1919</v>
      </c>
      <c r="L52" s="238"/>
      <c r="M52" s="238"/>
      <c r="N52" s="238" t="s">
        <v>697</v>
      </c>
      <c r="O52" s="238"/>
      <c r="P52" s="238"/>
      <c r="Q52" s="238" t="s">
        <v>698</v>
      </c>
      <c r="R52" s="238"/>
      <c r="S52" s="238"/>
      <c r="T52" s="238"/>
      <c r="U52" s="238"/>
      <c r="V52" s="238"/>
      <c r="W52" s="238" t="s">
        <v>90</v>
      </c>
      <c r="X52" s="238"/>
      <c r="Y52" s="10" t="s">
        <v>699</v>
      </c>
      <c r="Z52" s="10" t="s">
        <v>3500</v>
      </c>
      <c r="AA52" s="238" t="s">
        <v>5497</v>
      </c>
      <c r="AB52" s="238"/>
      <c r="AC52" s="238"/>
      <c r="AD52" s="238"/>
      <c r="AE52" s="10" t="s">
        <v>6995</v>
      </c>
      <c r="AF52" s="237" t="s">
        <v>700</v>
      </c>
      <c r="AG52" s="237"/>
      <c r="AH52" s="237"/>
      <c r="AI52" s="237"/>
      <c r="AJ52" s="2"/>
      <c r="AK52" s="2"/>
      <c r="AL52" s="2"/>
      <c r="AM52" s="2"/>
      <c r="AN52" s="7"/>
    </row>
    <row r="53" spans="1:40" ht="13.5" thickBot="1">
      <c r="A53" s="6"/>
      <c r="B53" s="2"/>
      <c r="C53" s="2"/>
      <c r="D53" s="244" t="s">
        <v>295</v>
      </c>
      <c r="E53" s="244"/>
      <c r="F53" s="238" t="s">
        <v>6720</v>
      </c>
      <c r="G53" s="238"/>
      <c r="H53" s="238"/>
      <c r="I53" s="238"/>
      <c r="J53" s="10" t="s">
        <v>480</v>
      </c>
      <c r="K53" s="238" t="s">
        <v>3141</v>
      </c>
      <c r="L53" s="238"/>
      <c r="M53" s="238"/>
      <c r="N53" s="238" t="s">
        <v>701</v>
      </c>
      <c r="O53" s="238"/>
      <c r="P53" s="238"/>
      <c r="Q53" s="238" t="s">
        <v>6787</v>
      </c>
      <c r="R53" s="238"/>
      <c r="S53" s="238"/>
      <c r="T53" s="238"/>
      <c r="U53" s="238"/>
      <c r="V53" s="238"/>
      <c r="W53" s="238" t="s">
        <v>6719</v>
      </c>
      <c r="X53" s="238"/>
      <c r="Y53" s="10" t="s">
        <v>702</v>
      </c>
      <c r="Z53" s="10" t="s">
        <v>4372</v>
      </c>
      <c r="AA53" s="238" t="s">
        <v>6787</v>
      </c>
      <c r="AB53" s="238"/>
      <c r="AC53" s="238"/>
      <c r="AD53" s="238"/>
      <c r="AE53" s="10" t="s">
        <v>2682</v>
      </c>
      <c r="AF53" s="237" t="s">
        <v>703</v>
      </c>
      <c r="AG53" s="237"/>
      <c r="AH53" s="237"/>
      <c r="AI53" s="237"/>
      <c r="AJ53" s="2"/>
      <c r="AK53" s="2"/>
      <c r="AL53" s="2"/>
      <c r="AM53" s="2"/>
      <c r="AN53" s="7"/>
    </row>
    <row r="54" spans="1:40" ht="13.5" thickBot="1">
      <c r="A54" s="6"/>
      <c r="B54" s="2"/>
      <c r="C54" s="2"/>
      <c r="D54" s="244" t="s">
        <v>307</v>
      </c>
      <c r="E54" s="244"/>
      <c r="F54" s="238" t="s">
        <v>704</v>
      </c>
      <c r="G54" s="238"/>
      <c r="H54" s="238"/>
      <c r="I54" s="238"/>
      <c r="J54" s="10" t="s">
        <v>3328</v>
      </c>
      <c r="K54" s="238" t="s">
        <v>6598</v>
      </c>
      <c r="L54" s="238"/>
      <c r="M54" s="238"/>
      <c r="N54" s="238" t="s">
        <v>705</v>
      </c>
      <c r="O54" s="238"/>
      <c r="P54" s="238"/>
      <c r="Q54" s="238" t="s">
        <v>368</v>
      </c>
      <c r="R54" s="238"/>
      <c r="S54" s="238"/>
      <c r="T54" s="238"/>
      <c r="U54" s="238"/>
      <c r="V54" s="238"/>
      <c r="W54" s="238" t="s">
        <v>6108</v>
      </c>
      <c r="X54" s="238"/>
      <c r="Y54" s="10" t="s">
        <v>6663</v>
      </c>
      <c r="Z54" s="10" t="s">
        <v>3358</v>
      </c>
      <c r="AA54" s="238" t="s">
        <v>3015</v>
      </c>
      <c r="AB54" s="238"/>
      <c r="AC54" s="238"/>
      <c r="AD54" s="238"/>
      <c r="AE54" s="10" t="s">
        <v>4948</v>
      </c>
      <c r="AF54" s="237" t="s">
        <v>3907</v>
      </c>
      <c r="AG54" s="237"/>
      <c r="AH54" s="237"/>
      <c r="AI54" s="237"/>
      <c r="AJ54" s="2"/>
      <c r="AK54" s="2"/>
      <c r="AL54" s="2"/>
      <c r="AM54" s="2"/>
      <c r="AN54" s="7"/>
    </row>
    <row r="55" spans="1:40" ht="13.5" thickBot="1">
      <c r="A55" s="6"/>
      <c r="B55" s="2"/>
      <c r="C55" s="2"/>
      <c r="D55" s="244" t="s">
        <v>319</v>
      </c>
      <c r="E55" s="244"/>
      <c r="F55" s="237" t="s">
        <v>706</v>
      </c>
      <c r="G55" s="237"/>
      <c r="H55" s="237"/>
      <c r="I55" s="237"/>
      <c r="J55" s="11" t="s">
        <v>7116</v>
      </c>
      <c r="K55" s="237" t="s">
        <v>707</v>
      </c>
      <c r="L55" s="237"/>
      <c r="M55" s="237"/>
      <c r="N55" s="237" t="s">
        <v>708</v>
      </c>
      <c r="O55" s="237"/>
      <c r="P55" s="237"/>
      <c r="Q55" s="237" t="s">
        <v>6515</v>
      </c>
      <c r="R55" s="237"/>
      <c r="S55" s="237"/>
      <c r="T55" s="237"/>
      <c r="U55" s="237"/>
      <c r="V55" s="237"/>
      <c r="W55" s="237" t="s">
        <v>709</v>
      </c>
      <c r="X55" s="237"/>
      <c r="Y55" s="11" t="s">
        <v>710</v>
      </c>
      <c r="Z55" s="11" t="s">
        <v>5168</v>
      </c>
      <c r="AA55" s="237" t="s">
        <v>711</v>
      </c>
      <c r="AB55" s="237"/>
      <c r="AC55" s="237"/>
      <c r="AD55" s="237"/>
      <c r="AE55" s="11" t="s">
        <v>4718</v>
      </c>
      <c r="AF55" s="237" t="s">
        <v>5048</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546</v>
      </c>
      <c r="E7" s="269"/>
      <c r="F7" s="269"/>
      <c r="G7" s="269"/>
      <c r="H7" s="269" t="s">
        <v>547</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CATTENOM-1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1362</v>
      </c>
    </row>
    <row r="17" spans="1:47" ht="13.5" thickBot="1">
      <c r="A17" s="6"/>
      <c r="B17" s="1"/>
      <c r="C17" s="1"/>
      <c r="D17" s="248" t="s">
        <v>189</v>
      </c>
      <c r="E17" s="248"/>
      <c r="F17" s="248"/>
      <c r="G17" s="248"/>
      <c r="H17" s="248"/>
      <c r="I17" s="248"/>
      <c r="J17" s="248"/>
      <c r="K17" s="248"/>
      <c r="L17" s="8" t="s">
        <v>5709</v>
      </c>
      <c r="M17" s="264">
        <v>1362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1300</v>
      </c>
    </row>
    <row r="18" spans="1:47" ht="13.5" thickBot="1">
      <c r="A18" s="6"/>
      <c r="B18" s="1"/>
      <c r="C18" s="1"/>
      <c r="D18" s="248" t="s">
        <v>193</v>
      </c>
      <c r="E18" s="248"/>
      <c r="F18" s="248"/>
      <c r="G18" s="248"/>
      <c r="H18" s="248"/>
      <c r="I18" s="248"/>
      <c r="J18" s="248"/>
      <c r="K18" s="248"/>
      <c r="L18" s="8" t="s">
        <v>5709</v>
      </c>
      <c r="M18" s="264">
        <v>1300</v>
      </c>
      <c r="N18" s="264"/>
      <c r="O18" s="264"/>
      <c r="P18" s="248" t="s">
        <v>190</v>
      </c>
      <c r="Q18" s="248"/>
      <c r="R18" s="248"/>
      <c r="S18" s="2"/>
      <c r="T18" s="2"/>
      <c r="U18" s="252" t="s">
        <v>194</v>
      </c>
      <c r="V18" s="252"/>
      <c r="W18" s="252"/>
      <c r="X18" s="252"/>
      <c r="Y18" s="252"/>
      <c r="Z18" s="252"/>
      <c r="AA18" s="252"/>
      <c r="AB18" s="247" t="s">
        <v>5709</v>
      </c>
      <c r="AC18" s="247"/>
      <c r="AD18" s="248" t="s">
        <v>1929</v>
      </c>
      <c r="AE18" s="248"/>
      <c r="AF18" s="248"/>
      <c r="AG18" s="248"/>
      <c r="AH18" s="248"/>
      <c r="AI18" s="2"/>
      <c r="AJ18" s="1"/>
      <c r="AK18" s="2"/>
      <c r="AL18" s="1"/>
      <c r="AM18" s="2"/>
      <c r="AN18" s="7"/>
      <c r="AT18" s="25" t="str">
        <f>D24</f>
        <v>Grid Date</v>
      </c>
      <c r="AU18" s="25">
        <f>M24</f>
        <v>31729</v>
      </c>
    </row>
    <row r="19" spans="1:47" ht="13.5" thickBot="1">
      <c r="A19" s="6"/>
      <c r="B19" s="1"/>
      <c r="C19" s="1"/>
      <c r="D19" s="248" t="s">
        <v>196</v>
      </c>
      <c r="E19" s="248"/>
      <c r="F19" s="248"/>
      <c r="G19" s="248"/>
      <c r="H19" s="248"/>
      <c r="I19" s="248"/>
      <c r="J19" s="248"/>
      <c r="K19" s="248"/>
      <c r="L19" s="8" t="s">
        <v>5709</v>
      </c>
      <c r="M19" s="264">
        <v>1300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81.86</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86.62</v>
      </c>
    </row>
    <row r="22" spans="1:47" ht="8.85" customHeight="1" thickBot="1">
      <c r="A22" s="6"/>
      <c r="B22" s="1"/>
      <c r="C22" s="1"/>
      <c r="D22" s="248" t="s">
        <v>205</v>
      </c>
      <c r="E22" s="248"/>
      <c r="F22" s="248"/>
      <c r="G22" s="248"/>
      <c r="H22" s="248"/>
      <c r="I22" s="248"/>
      <c r="J22" s="248"/>
      <c r="K22" s="248"/>
      <c r="L22" s="247" t="s">
        <v>5709</v>
      </c>
      <c r="M22" s="259">
        <v>29157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31729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31868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549</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550</v>
      </c>
      <c r="G49" s="238"/>
      <c r="H49" s="238"/>
      <c r="I49" s="238"/>
      <c r="J49" s="10" t="s">
        <v>551</v>
      </c>
      <c r="K49" s="238" t="s">
        <v>552</v>
      </c>
      <c r="L49" s="238"/>
      <c r="M49" s="238"/>
      <c r="N49" s="238" t="s">
        <v>553</v>
      </c>
      <c r="O49" s="238"/>
      <c r="P49" s="238"/>
      <c r="Q49" s="238" t="s">
        <v>554</v>
      </c>
      <c r="R49" s="238"/>
      <c r="S49" s="238"/>
      <c r="T49" s="238"/>
      <c r="U49" s="238"/>
      <c r="V49" s="238"/>
      <c r="W49" s="238" t="s">
        <v>555</v>
      </c>
      <c r="X49" s="238"/>
      <c r="Y49" s="10" t="s">
        <v>556</v>
      </c>
      <c r="Z49" s="10" t="s">
        <v>557</v>
      </c>
      <c r="AA49" s="238" t="s">
        <v>558</v>
      </c>
      <c r="AB49" s="238"/>
      <c r="AC49" s="238"/>
      <c r="AD49" s="238"/>
      <c r="AE49" s="10" t="s">
        <v>559</v>
      </c>
      <c r="AF49" s="237" t="s">
        <v>560</v>
      </c>
      <c r="AG49" s="237"/>
      <c r="AH49" s="237"/>
      <c r="AI49" s="237"/>
      <c r="AJ49" s="2"/>
      <c r="AK49" s="2"/>
      <c r="AL49" s="2"/>
      <c r="AM49" s="2"/>
      <c r="AN49" s="7"/>
    </row>
    <row r="50" spans="1:40" ht="13.5" thickBot="1">
      <c r="A50" s="6"/>
      <c r="B50" s="2"/>
      <c r="C50" s="2"/>
      <c r="D50" s="244" t="s">
        <v>261</v>
      </c>
      <c r="E50" s="244"/>
      <c r="F50" s="238" t="s">
        <v>561</v>
      </c>
      <c r="G50" s="238"/>
      <c r="H50" s="238"/>
      <c r="I50" s="238"/>
      <c r="J50" s="10" t="s">
        <v>4974</v>
      </c>
      <c r="K50" s="238" t="s">
        <v>5272</v>
      </c>
      <c r="L50" s="238"/>
      <c r="M50" s="238"/>
      <c r="N50" s="238" t="s">
        <v>562</v>
      </c>
      <c r="O50" s="238"/>
      <c r="P50" s="238"/>
      <c r="Q50" s="238" t="s">
        <v>6648</v>
      </c>
      <c r="R50" s="238"/>
      <c r="S50" s="238"/>
      <c r="T50" s="238"/>
      <c r="U50" s="238"/>
      <c r="V50" s="238"/>
      <c r="W50" s="238" t="s">
        <v>563</v>
      </c>
      <c r="X50" s="238"/>
      <c r="Y50" s="10" t="s">
        <v>4302</v>
      </c>
      <c r="Z50" s="10" t="s">
        <v>564</v>
      </c>
      <c r="AA50" s="238" t="s">
        <v>565</v>
      </c>
      <c r="AB50" s="238"/>
      <c r="AC50" s="238"/>
      <c r="AD50" s="238"/>
      <c r="AE50" s="10" t="s">
        <v>566</v>
      </c>
      <c r="AF50" s="237" t="s">
        <v>3741</v>
      </c>
      <c r="AG50" s="237"/>
      <c r="AH50" s="237"/>
      <c r="AI50" s="237"/>
      <c r="AJ50" s="2"/>
      <c r="AK50" s="2"/>
      <c r="AL50" s="2"/>
      <c r="AM50" s="2"/>
      <c r="AN50" s="7"/>
    </row>
    <row r="51" spans="1:40" ht="13.5" thickBot="1">
      <c r="A51" s="6"/>
      <c r="B51" s="2"/>
      <c r="C51" s="2"/>
      <c r="D51" s="244" t="s">
        <v>273</v>
      </c>
      <c r="E51" s="244"/>
      <c r="F51" s="238" t="s">
        <v>6788</v>
      </c>
      <c r="G51" s="238"/>
      <c r="H51" s="238"/>
      <c r="I51" s="238"/>
      <c r="J51" s="10" t="s">
        <v>567</v>
      </c>
      <c r="K51" s="238" t="s">
        <v>568</v>
      </c>
      <c r="L51" s="238"/>
      <c r="M51" s="238"/>
      <c r="N51" s="238" t="s">
        <v>6980</v>
      </c>
      <c r="O51" s="238"/>
      <c r="P51" s="238"/>
      <c r="Q51" s="238" t="s">
        <v>4415</v>
      </c>
      <c r="R51" s="238"/>
      <c r="S51" s="238"/>
      <c r="T51" s="238"/>
      <c r="U51" s="238"/>
      <c r="V51" s="238"/>
      <c r="W51" s="238" t="s">
        <v>569</v>
      </c>
      <c r="X51" s="238"/>
      <c r="Y51" s="10" t="s">
        <v>1842</v>
      </c>
      <c r="Z51" s="10" t="s">
        <v>4701</v>
      </c>
      <c r="AA51" s="238" t="s">
        <v>570</v>
      </c>
      <c r="AB51" s="238"/>
      <c r="AC51" s="238"/>
      <c r="AD51" s="238"/>
      <c r="AE51" s="10" t="s">
        <v>1886</v>
      </c>
      <c r="AF51" s="237" t="s">
        <v>571</v>
      </c>
      <c r="AG51" s="237"/>
      <c r="AH51" s="237"/>
      <c r="AI51" s="237"/>
      <c r="AJ51" s="2"/>
      <c r="AK51" s="2"/>
      <c r="AL51" s="2"/>
      <c r="AM51" s="2"/>
      <c r="AN51" s="7"/>
    </row>
    <row r="52" spans="1:40" ht="13.5" thickBot="1">
      <c r="A52" s="6"/>
      <c r="B52" s="2"/>
      <c r="C52" s="2"/>
      <c r="D52" s="244" t="s">
        <v>285</v>
      </c>
      <c r="E52" s="244"/>
      <c r="F52" s="238" t="s">
        <v>572</v>
      </c>
      <c r="G52" s="238"/>
      <c r="H52" s="238"/>
      <c r="I52" s="238"/>
      <c r="J52" s="10" t="s">
        <v>573</v>
      </c>
      <c r="K52" s="238" t="s">
        <v>5113</v>
      </c>
      <c r="L52" s="238"/>
      <c r="M52" s="238"/>
      <c r="N52" s="238" t="s">
        <v>291</v>
      </c>
      <c r="O52" s="238"/>
      <c r="P52" s="238"/>
      <c r="Q52" s="238" t="s">
        <v>2965</v>
      </c>
      <c r="R52" s="238"/>
      <c r="S52" s="238"/>
      <c r="T52" s="238"/>
      <c r="U52" s="238"/>
      <c r="V52" s="238"/>
      <c r="W52" s="238" t="s">
        <v>475</v>
      </c>
      <c r="X52" s="238"/>
      <c r="Y52" s="10" t="s">
        <v>323</v>
      </c>
      <c r="Z52" s="10" t="s">
        <v>574</v>
      </c>
      <c r="AA52" s="238" t="s">
        <v>4033</v>
      </c>
      <c r="AB52" s="238"/>
      <c r="AC52" s="238"/>
      <c r="AD52" s="238"/>
      <c r="AE52" s="10" t="s">
        <v>4614</v>
      </c>
      <c r="AF52" s="237" t="s">
        <v>575</v>
      </c>
      <c r="AG52" s="237"/>
      <c r="AH52" s="237"/>
      <c r="AI52" s="237"/>
      <c r="AJ52" s="2"/>
      <c r="AK52" s="2"/>
      <c r="AL52" s="2"/>
      <c r="AM52" s="2"/>
      <c r="AN52" s="7"/>
    </row>
    <row r="53" spans="1:40" ht="13.5" thickBot="1">
      <c r="A53" s="6"/>
      <c r="B53" s="2"/>
      <c r="C53" s="2"/>
      <c r="D53" s="244" t="s">
        <v>295</v>
      </c>
      <c r="E53" s="244"/>
      <c r="F53" s="238" t="s">
        <v>2680</v>
      </c>
      <c r="G53" s="238"/>
      <c r="H53" s="238"/>
      <c r="I53" s="238"/>
      <c r="J53" s="10" t="s">
        <v>4745</v>
      </c>
      <c r="K53" s="238" t="s">
        <v>3348</v>
      </c>
      <c r="L53" s="238"/>
      <c r="M53" s="238"/>
      <c r="N53" s="238" t="s">
        <v>576</v>
      </c>
      <c r="O53" s="238"/>
      <c r="P53" s="238"/>
      <c r="Q53" s="238" t="s">
        <v>6084</v>
      </c>
      <c r="R53" s="238"/>
      <c r="S53" s="238"/>
      <c r="T53" s="238"/>
      <c r="U53" s="238"/>
      <c r="V53" s="238"/>
      <c r="W53" s="238" t="s">
        <v>577</v>
      </c>
      <c r="X53" s="238"/>
      <c r="Y53" s="10" t="s">
        <v>5219</v>
      </c>
      <c r="Z53" s="10" t="s">
        <v>6833</v>
      </c>
      <c r="AA53" s="238" t="s">
        <v>578</v>
      </c>
      <c r="AB53" s="238"/>
      <c r="AC53" s="238"/>
      <c r="AD53" s="238"/>
      <c r="AE53" s="10" t="s">
        <v>5161</v>
      </c>
      <c r="AF53" s="237" t="s">
        <v>579</v>
      </c>
      <c r="AG53" s="237"/>
      <c r="AH53" s="237"/>
      <c r="AI53" s="237"/>
      <c r="AJ53" s="2"/>
      <c r="AK53" s="2"/>
      <c r="AL53" s="2"/>
      <c r="AM53" s="2"/>
      <c r="AN53" s="7"/>
    </row>
    <row r="54" spans="1:40" ht="13.5" thickBot="1">
      <c r="A54" s="6"/>
      <c r="B54" s="2"/>
      <c r="C54" s="2"/>
      <c r="D54" s="244" t="s">
        <v>307</v>
      </c>
      <c r="E54" s="244"/>
      <c r="F54" s="238" t="s">
        <v>437</v>
      </c>
      <c r="G54" s="238"/>
      <c r="H54" s="238"/>
      <c r="I54" s="238"/>
      <c r="J54" s="10" t="s">
        <v>580</v>
      </c>
      <c r="K54" s="238" t="s">
        <v>581</v>
      </c>
      <c r="L54" s="238"/>
      <c r="M54" s="238"/>
      <c r="N54" s="238" t="s">
        <v>582</v>
      </c>
      <c r="O54" s="238"/>
      <c r="P54" s="238"/>
      <c r="Q54" s="238" t="s">
        <v>583</v>
      </c>
      <c r="R54" s="238"/>
      <c r="S54" s="238"/>
      <c r="T54" s="238"/>
      <c r="U54" s="238"/>
      <c r="V54" s="238"/>
      <c r="W54" s="238" t="s">
        <v>584</v>
      </c>
      <c r="X54" s="238"/>
      <c r="Y54" s="10" t="s">
        <v>2751</v>
      </c>
      <c r="Z54" s="10" t="s">
        <v>5198</v>
      </c>
      <c r="AA54" s="238" t="s">
        <v>585</v>
      </c>
      <c r="AB54" s="238"/>
      <c r="AC54" s="238"/>
      <c r="AD54" s="238"/>
      <c r="AE54" s="10" t="s">
        <v>6861</v>
      </c>
      <c r="AF54" s="237" t="s">
        <v>586</v>
      </c>
      <c r="AG54" s="237"/>
      <c r="AH54" s="237"/>
      <c r="AI54" s="237"/>
      <c r="AJ54" s="2"/>
      <c r="AK54" s="2"/>
      <c r="AL54" s="2"/>
      <c r="AM54" s="2"/>
      <c r="AN54" s="7"/>
    </row>
    <row r="55" spans="1:40" ht="13.5" thickBot="1">
      <c r="A55" s="6"/>
      <c r="B55" s="2"/>
      <c r="C55" s="2"/>
      <c r="D55" s="244" t="s">
        <v>319</v>
      </c>
      <c r="E55" s="244"/>
      <c r="F55" s="237" t="s">
        <v>6699</v>
      </c>
      <c r="G55" s="237"/>
      <c r="H55" s="237"/>
      <c r="I55" s="237"/>
      <c r="J55" s="11" t="s">
        <v>587</v>
      </c>
      <c r="K55" s="237" t="s">
        <v>575</v>
      </c>
      <c r="L55" s="237"/>
      <c r="M55" s="237"/>
      <c r="N55" s="237" t="s">
        <v>154</v>
      </c>
      <c r="O55" s="237"/>
      <c r="P55" s="237"/>
      <c r="Q55" s="237" t="s">
        <v>588</v>
      </c>
      <c r="R55" s="237"/>
      <c r="S55" s="237"/>
      <c r="T55" s="237"/>
      <c r="U55" s="237"/>
      <c r="V55" s="237"/>
      <c r="W55" s="237" t="s">
        <v>589</v>
      </c>
      <c r="X55" s="237"/>
      <c r="Y55" s="11" t="s">
        <v>4271</v>
      </c>
      <c r="Z55" s="11" t="s">
        <v>5115</v>
      </c>
      <c r="AA55" s="237" t="s">
        <v>590</v>
      </c>
      <c r="AB55" s="237"/>
      <c r="AC55" s="237"/>
      <c r="AD55" s="237"/>
      <c r="AE55" s="11" t="s">
        <v>2963</v>
      </c>
      <c r="AF55" s="237" t="s">
        <v>591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712</v>
      </c>
      <c r="E7" s="269"/>
      <c r="F7" s="269"/>
      <c r="G7" s="269"/>
      <c r="H7" s="269" t="s">
        <v>713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CATTENOM-2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1362</v>
      </c>
    </row>
    <row r="17" spans="1:47" ht="13.5" thickBot="1">
      <c r="A17" s="6"/>
      <c r="B17" s="1"/>
      <c r="C17" s="1"/>
      <c r="D17" s="248" t="s">
        <v>189</v>
      </c>
      <c r="E17" s="248"/>
      <c r="F17" s="248"/>
      <c r="G17" s="248"/>
      <c r="H17" s="248"/>
      <c r="I17" s="248"/>
      <c r="J17" s="248"/>
      <c r="K17" s="248"/>
      <c r="L17" s="8" t="s">
        <v>5709</v>
      </c>
      <c r="M17" s="264">
        <v>1362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1300</v>
      </c>
    </row>
    <row r="18" spans="1:47" ht="13.5" thickBot="1">
      <c r="A18" s="6"/>
      <c r="B18" s="1"/>
      <c r="C18" s="1"/>
      <c r="D18" s="248" t="s">
        <v>193</v>
      </c>
      <c r="E18" s="248"/>
      <c r="F18" s="248"/>
      <c r="G18" s="248"/>
      <c r="H18" s="248"/>
      <c r="I18" s="248"/>
      <c r="J18" s="248"/>
      <c r="K18" s="248"/>
      <c r="L18" s="8" t="s">
        <v>5709</v>
      </c>
      <c r="M18" s="264">
        <v>1300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32037</v>
      </c>
    </row>
    <row r="19" spans="1:47" ht="13.5" thickBot="1">
      <c r="A19" s="6"/>
      <c r="B19" s="1"/>
      <c r="C19" s="1"/>
      <c r="D19" s="248" t="s">
        <v>196</v>
      </c>
      <c r="E19" s="248"/>
      <c r="F19" s="248"/>
      <c r="G19" s="248"/>
      <c r="H19" s="248"/>
      <c r="I19" s="248"/>
      <c r="J19" s="248"/>
      <c r="K19" s="248"/>
      <c r="L19" s="8" t="s">
        <v>5709</v>
      </c>
      <c r="M19" s="264">
        <v>1300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81.21</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77.86</v>
      </c>
    </row>
    <row r="22" spans="1:47" ht="8.85" customHeight="1" thickBot="1">
      <c r="A22" s="6"/>
      <c r="B22" s="1"/>
      <c r="C22" s="1"/>
      <c r="D22" s="248" t="s">
        <v>205</v>
      </c>
      <c r="E22" s="248"/>
      <c r="F22" s="248"/>
      <c r="G22" s="248"/>
      <c r="H22" s="248"/>
      <c r="I22" s="248"/>
      <c r="J22" s="248"/>
      <c r="K22" s="248"/>
      <c r="L22" s="247" t="s">
        <v>5709</v>
      </c>
      <c r="M22" s="259">
        <v>29430</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32037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32174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714</v>
      </c>
      <c r="G49" s="238"/>
      <c r="H49" s="238"/>
      <c r="I49" s="238"/>
      <c r="J49" s="10" t="s">
        <v>715</v>
      </c>
      <c r="K49" s="238" t="s">
        <v>716</v>
      </c>
      <c r="L49" s="238"/>
      <c r="M49" s="238"/>
      <c r="N49" s="238" t="s">
        <v>717</v>
      </c>
      <c r="O49" s="238"/>
      <c r="P49" s="238"/>
      <c r="Q49" s="238" t="s">
        <v>718</v>
      </c>
      <c r="R49" s="238"/>
      <c r="S49" s="238"/>
      <c r="T49" s="238"/>
      <c r="U49" s="238"/>
      <c r="V49" s="238"/>
      <c r="W49" s="238" t="s">
        <v>719</v>
      </c>
      <c r="X49" s="238"/>
      <c r="Y49" s="10" t="s">
        <v>720</v>
      </c>
      <c r="Z49" s="10" t="s">
        <v>721</v>
      </c>
      <c r="AA49" s="238" t="s">
        <v>722</v>
      </c>
      <c r="AB49" s="238"/>
      <c r="AC49" s="238"/>
      <c r="AD49" s="238"/>
      <c r="AE49" s="10" t="s">
        <v>723</v>
      </c>
      <c r="AF49" s="237" t="s">
        <v>724</v>
      </c>
      <c r="AG49" s="237"/>
      <c r="AH49" s="237"/>
      <c r="AI49" s="237"/>
      <c r="AJ49" s="2"/>
      <c r="AK49" s="2"/>
      <c r="AL49" s="2"/>
      <c r="AM49" s="2"/>
      <c r="AN49" s="7"/>
    </row>
    <row r="50" spans="1:40" ht="13.5" thickBot="1">
      <c r="A50" s="6"/>
      <c r="B50" s="2"/>
      <c r="C50" s="2"/>
      <c r="D50" s="244" t="s">
        <v>261</v>
      </c>
      <c r="E50" s="244"/>
      <c r="F50" s="238" t="s">
        <v>725</v>
      </c>
      <c r="G50" s="238"/>
      <c r="H50" s="238"/>
      <c r="I50" s="238"/>
      <c r="J50" s="10" t="s">
        <v>4674</v>
      </c>
      <c r="K50" s="238" t="s">
        <v>6337</v>
      </c>
      <c r="L50" s="238"/>
      <c r="M50" s="238"/>
      <c r="N50" s="238" t="s">
        <v>726</v>
      </c>
      <c r="O50" s="238"/>
      <c r="P50" s="238"/>
      <c r="Q50" s="238" t="s">
        <v>4695</v>
      </c>
      <c r="R50" s="238"/>
      <c r="S50" s="238"/>
      <c r="T50" s="238"/>
      <c r="U50" s="238"/>
      <c r="V50" s="238"/>
      <c r="W50" s="238" t="s">
        <v>727</v>
      </c>
      <c r="X50" s="238"/>
      <c r="Y50" s="10" t="s">
        <v>4006</v>
      </c>
      <c r="Z50" s="10" t="s">
        <v>591</v>
      </c>
      <c r="AA50" s="238" t="s">
        <v>3908</v>
      </c>
      <c r="AB50" s="238"/>
      <c r="AC50" s="238"/>
      <c r="AD50" s="238"/>
      <c r="AE50" s="10" t="s">
        <v>6910</v>
      </c>
      <c r="AF50" s="237" t="s">
        <v>5009</v>
      </c>
      <c r="AG50" s="237"/>
      <c r="AH50" s="237"/>
      <c r="AI50" s="237"/>
      <c r="AJ50" s="2"/>
      <c r="AK50" s="2"/>
      <c r="AL50" s="2"/>
      <c r="AM50" s="2"/>
      <c r="AN50" s="7"/>
    </row>
    <row r="51" spans="1:40" ht="13.5" thickBot="1">
      <c r="A51" s="6"/>
      <c r="B51" s="2"/>
      <c r="C51" s="2"/>
      <c r="D51" s="244" t="s">
        <v>273</v>
      </c>
      <c r="E51" s="244"/>
      <c r="F51" s="238" t="s">
        <v>728</v>
      </c>
      <c r="G51" s="238"/>
      <c r="H51" s="238"/>
      <c r="I51" s="238"/>
      <c r="J51" s="10" t="s">
        <v>729</v>
      </c>
      <c r="K51" s="238" t="s">
        <v>6718</v>
      </c>
      <c r="L51" s="238"/>
      <c r="M51" s="238"/>
      <c r="N51" s="238" t="s">
        <v>730</v>
      </c>
      <c r="O51" s="238"/>
      <c r="P51" s="238"/>
      <c r="Q51" s="238" t="s">
        <v>1884</v>
      </c>
      <c r="R51" s="238"/>
      <c r="S51" s="238"/>
      <c r="T51" s="238"/>
      <c r="U51" s="238"/>
      <c r="V51" s="238"/>
      <c r="W51" s="238" t="s">
        <v>6718</v>
      </c>
      <c r="X51" s="238"/>
      <c r="Y51" s="10" t="s">
        <v>731</v>
      </c>
      <c r="Z51" s="10" t="s">
        <v>732</v>
      </c>
      <c r="AA51" s="238" t="s">
        <v>733</v>
      </c>
      <c r="AB51" s="238"/>
      <c r="AC51" s="238"/>
      <c r="AD51" s="238"/>
      <c r="AE51" s="10" t="s">
        <v>378</v>
      </c>
      <c r="AF51" s="237" t="s">
        <v>734</v>
      </c>
      <c r="AG51" s="237"/>
      <c r="AH51" s="237"/>
      <c r="AI51" s="237"/>
      <c r="AJ51" s="2"/>
      <c r="AK51" s="2"/>
      <c r="AL51" s="2"/>
      <c r="AM51" s="2"/>
      <c r="AN51" s="7"/>
    </row>
    <row r="52" spans="1:40" ht="13.5" thickBot="1">
      <c r="A52" s="6"/>
      <c r="B52" s="2"/>
      <c r="C52" s="2"/>
      <c r="D52" s="244" t="s">
        <v>285</v>
      </c>
      <c r="E52" s="244"/>
      <c r="F52" s="238" t="s">
        <v>4664</v>
      </c>
      <c r="G52" s="238"/>
      <c r="H52" s="238"/>
      <c r="I52" s="238"/>
      <c r="J52" s="10" t="s">
        <v>735</v>
      </c>
      <c r="K52" s="238" t="s">
        <v>736</v>
      </c>
      <c r="L52" s="238"/>
      <c r="M52" s="238"/>
      <c r="N52" s="238" t="s">
        <v>737</v>
      </c>
      <c r="O52" s="238"/>
      <c r="P52" s="238"/>
      <c r="Q52" s="238" t="s">
        <v>738</v>
      </c>
      <c r="R52" s="238"/>
      <c r="S52" s="238"/>
      <c r="T52" s="238"/>
      <c r="U52" s="238"/>
      <c r="V52" s="238"/>
      <c r="W52" s="238" t="s">
        <v>739</v>
      </c>
      <c r="X52" s="238"/>
      <c r="Y52" s="10" t="s">
        <v>5250</v>
      </c>
      <c r="Z52" s="10" t="s">
        <v>1872</v>
      </c>
      <c r="AA52" s="238" t="s">
        <v>740</v>
      </c>
      <c r="AB52" s="238"/>
      <c r="AC52" s="238"/>
      <c r="AD52" s="238"/>
      <c r="AE52" s="10" t="s">
        <v>2842</v>
      </c>
      <c r="AF52" s="237" t="s">
        <v>741</v>
      </c>
      <c r="AG52" s="237"/>
      <c r="AH52" s="237"/>
      <c r="AI52" s="237"/>
      <c r="AJ52" s="2"/>
      <c r="AK52" s="2"/>
      <c r="AL52" s="2"/>
      <c r="AM52" s="2"/>
      <c r="AN52" s="7"/>
    </row>
    <row r="53" spans="1:40" ht="13.5" thickBot="1">
      <c r="A53" s="6"/>
      <c r="B53" s="2"/>
      <c r="C53" s="2"/>
      <c r="D53" s="244" t="s">
        <v>295</v>
      </c>
      <c r="E53" s="244"/>
      <c r="F53" s="238" t="s">
        <v>4374</v>
      </c>
      <c r="G53" s="238"/>
      <c r="H53" s="238"/>
      <c r="I53" s="238"/>
      <c r="J53" s="10" t="s">
        <v>1827</v>
      </c>
      <c r="K53" s="238" t="s">
        <v>2860</v>
      </c>
      <c r="L53" s="238"/>
      <c r="M53" s="238"/>
      <c r="N53" s="238" t="s">
        <v>742</v>
      </c>
      <c r="O53" s="238"/>
      <c r="P53" s="238"/>
      <c r="Q53" s="238" t="s">
        <v>5268</v>
      </c>
      <c r="R53" s="238"/>
      <c r="S53" s="238"/>
      <c r="T53" s="238"/>
      <c r="U53" s="238"/>
      <c r="V53" s="238"/>
      <c r="W53" s="238" t="s">
        <v>6459</v>
      </c>
      <c r="X53" s="238"/>
      <c r="Y53" s="10" t="s">
        <v>6718</v>
      </c>
      <c r="Z53" s="10" t="s">
        <v>6847</v>
      </c>
      <c r="AA53" s="238" t="s">
        <v>743</v>
      </c>
      <c r="AB53" s="238"/>
      <c r="AC53" s="238"/>
      <c r="AD53" s="238"/>
      <c r="AE53" s="10" t="s">
        <v>4829</v>
      </c>
      <c r="AF53" s="237" t="s">
        <v>5310</v>
      </c>
      <c r="AG53" s="237"/>
      <c r="AH53" s="237"/>
      <c r="AI53" s="237"/>
      <c r="AJ53" s="2"/>
      <c r="AK53" s="2"/>
      <c r="AL53" s="2"/>
      <c r="AM53" s="2"/>
      <c r="AN53" s="7"/>
    </row>
    <row r="54" spans="1:40" ht="13.5" thickBot="1">
      <c r="A54" s="6"/>
      <c r="B54" s="2"/>
      <c r="C54" s="2"/>
      <c r="D54" s="244" t="s">
        <v>307</v>
      </c>
      <c r="E54" s="244"/>
      <c r="F54" s="238" t="s">
        <v>744</v>
      </c>
      <c r="G54" s="238"/>
      <c r="H54" s="238"/>
      <c r="I54" s="238"/>
      <c r="J54" s="10" t="s">
        <v>745</v>
      </c>
      <c r="K54" s="238" t="s">
        <v>266</v>
      </c>
      <c r="L54" s="238"/>
      <c r="M54" s="238"/>
      <c r="N54" s="238" t="s">
        <v>5308</v>
      </c>
      <c r="O54" s="238"/>
      <c r="P54" s="238"/>
      <c r="Q54" s="238" t="s">
        <v>746</v>
      </c>
      <c r="R54" s="238"/>
      <c r="S54" s="238"/>
      <c r="T54" s="238"/>
      <c r="U54" s="238"/>
      <c r="V54" s="238"/>
      <c r="W54" s="238" t="s">
        <v>105</v>
      </c>
      <c r="X54" s="238"/>
      <c r="Y54" s="10" t="s">
        <v>4947</v>
      </c>
      <c r="Z54" s="10" t="s">
        <v>747</v>
      </c>
      <c r="AA54" s="238" t="s">
        <v>746</v>
      </c>
      <c r="AB54" s="238"/>
      <c r="AC54" s="238"/>
      <c r="AD54" s="238"/>
      <c r="AE54" s="10" t="s">
        <v>1980</v>
      </c>
      <c r="AF54" s="237" t="s">
        <v>748</v>
      </c>
      <c r="AG54" s="237"/>
      <c r="AH54" s="237"/>
      <c r="AI54" s="237"/>
      <c r="AJ54" s="2"/>
      <c r="AK54" s="2"/>
      <c r="AL54" s="2"/>
      <c r="AM54" s="2"/>
      <c r="AN54" s="7"/>
    </row>
    <row r="55" spans="1:40" ht="13.5" thickBot="1">
      <c r="A55" s="6"/>
      <c r="B55" s="2"/>
      <c r="C55" s="2"/>
      <c r="D55" s="244" t="s">
        <v>319</v>
      </c>
      <c r="E55" s="244"/>
      <c r="F55" s="237" t="s">
        <v>4123</v>
      </c>
      <c r="G55" s="237"/>
      <c r="H55" s="237"/>
      <c r="I55" s="237"/>
      <c r="J55" s="11" t="s">
        <v>3626</v>
      </c>
      <c r="K55" s="237" t="s">
        <v>746</v>
      </c>
      <c r="L55" s="237"/>
      <c r="M55" s="237"/>
      <c r="N55" s="237" t="s">
        <v>749</v>
      </c>
      <c r="O55" s="237"/>
      <c r="P55" s="237"/>
      <c r="Q55" s="237" t="s">
        <v>486</v>
      </c>
      <c r="R55" s="237"/>
      <c r="S55" s="237"/>
      <c r="T55" s="237"/>
      <c r="U55" s="237"/>
      <c r="V55" s="237"/>
      <c r="W55" s="237" t="s">
        <v>2803</v>
      </c>
      <c r="X55" s="237"/>
      <c r="Y55" s="11" t="s">
        <v>6318</v>
      </c>
      <c r="Z55" s="11" t="s">
        <v>750</v>
      </c>
      <c r="AA55" s="237" t="s">
        <v>751</v>
      </c>
      <c r="AB55" s="237"/>
      <c r="AC55" s="237"/>
      <c r="AD55" s="237"/>
      <c r="AE55" s="11" t="s">
        <v>752</v>
      </c>
      <c r="AF55" s="237" t="s">
        <v>753</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754</v>
      </c>
      <c r="E7" s="269"/>
      <c r="F7" s="269"/>
      <c r="G7" s="269"/>
      <c r="H7" s="269" t="s">
        <v>755</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CATTENOM-3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1362</v>
      </c>
    </row>
    <row r="17" spans="1:47" ht="13.5" thickBot="1">
      <c r="A17" s="6"/>
      <c r="B17" s="1"/>
      <c r="C17" s="1"/>
      <c r="D17" s="248" t="s">
        <v>189</v>
      </c>
      <c r="E17" s="248"/>
      <c r="F17" s="248"/>
      <c r="G17" s="248"/>
      <c r="H17" s="248"/>
      <c r="I17" s="248"/>
      <c r="J17" s="248"/>
      <c r="K17" s="248"/>
      <c r="L17" s="8" t="s">
        <v>5709</v>
      </c>
      <c r="M17" s="264">
        <v>1362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1300</v>
      </c>
    </row>
    <row r="18" spans="1:47" ht="13.5" thickBot="1">
      <c r="A18" s="6"/>
      <c r="B18" s="1"/>
      <c r="C18" s="1"/>
      <c r="D18" s="248" t="s">
        <v>193</v>
      </c>
      <c r="E18" s="248"/>
      <c r="F18" s="248"/>
      <c r="G18" s="248"/>
      <c r="H18" s="248"/>
      <c r="I18" s="248"/>
      <c r="J18" s="248"/>
      <c r="K18" s="248"/>
      <c r="L18" s="8" t="s">
        <v>5709</v>
      </c>
      <c r="M18" s="264">
        <v>1300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33060</v>
      </c>
    </row>
    <row r="19" spans="1:47" ht="13.5" thickBot="1">
      <c r="A19" s="6"/>
      <c r="B19" s="1"/>
      <c r="C19" s="1"/>
      <c r="D19" s="248" t="s">
        <v>196</v>
      </c>
      <c r="E19" s="248"/>
      <c r="F19" s="248"/>
      <c r="G19" s="248"/>
      <c r="H19" s="248"/>
      <c r="I19" s="248"/>
      <c r="J19" s="248"/>
      <c r="K19" s="248"/>
      <c r="L19" s="8" t="s">
        <v>5709</v>
      </c>
      <c r="M19" s="264">
        <v>1300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85.67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76.90</v>
      </c>
    </row>
    <row r="22" spans="1:47" ht="8.85" customHeight="1" thickBot="1">
      <c r="A22" s="6"/>
      <c r="B22" s="1"/>
      <c r="C22" s="1"/>
      <c r="D22" s="248" t="s">
        <v>205</v>
      </c>
      <c r="E22" s="248"/>
      <c r="F22" s="248"/>
      <c r="G22" s="248"/>
      <c r="H22" s="248"/>
      <c r="I22" s="248"/>
      <c r="J22" s="248"/>
      <c r="K22" s="248"/>
      <c r="L22" s="247" t="s">
        <v>5709</v>
      </c>
      <c r="M22" s="259">
        <v>30117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33060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33270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756</v>
      </c>
      <c r="G49" s="238"/>
      <c r="H49" s="238"/>
      <c r="I49" s="238"/>
      <c r="J49" s="10" t="s">
        <v>757</v>
      </c>
      <c r="K49" s="238" t="s">
        <v>758</v>
      </c>
      <c r="L49" s="238"/>
      <c r="M49" s="238"/>
      <c r="N49" s="238" t="s">
        <v>759</v>
      </c>
      <c r="O49" s="238"/>
      <c r="P49" s="238"/>
      <c r="Q49" s="238" t="s">
        <v>760</v>
      </c>
      <c r="R49" s="238"/>
      <c r="S49" s="238"/>
      <c r="T49" s="238"/>
      <c r="U49" s="238"/>
      <c r="V49" s="238"/>
      <c r="W49" s="238" t="s">
        <v>761</v>
      </c>
      <c r="X49" s="238"/>
      <c r="Y49" s="10" t="s">
        <v>762</v>
      </c>
      <c r="Z49" s="10" t="s">
        <v>763</v>
      </c>
      <c r="AA49" s="238" t="s">
        <v>764</v>
      </c>
      <c r="AB49" s="238"/>
      <c r="AC49" s="238"/>
      <c r="AD49" s="238"/>
      <c r="AE49" s="10" t="s">
        <v>765</v>
      </c>
      <c r="AF49" s="237" t="s">
        <v>766</v>
      </c>
      <c r="AG49" s="237"/>
      <c r="AH49" s="237"/>
      <c r="AI49" s="237"/>
      <c r="AJ49" s="2"/>
      <c r="AK49" s="2"/>
      <c r="AL49" s="2"/>
      <c r="AM49" s="2"/>
      <c r="AN49" s="7"/>
    </row>
    <row r="50" spans="1:40" ht="13.5" thickBot="1">
      <c r="A50" s="6"/>
      <c r="B50" s="2"/>
      <c r="C50" s="2"/>
      <c r="D50" s="244" t="s">
        <v>261</v>
      </c>
      <c r="E50" s="244"/>
      <c r="F50" s="238" t="s">
        <v>767</v>
      </c>
      <c r="G50" s="238"/>
      <c r="H50" s="238"/>
      <c r="I50" s="238"/>
      <c r="J50" s="10" t="s">
        <v>6672</v>
      </c>
      <c r="K50" s="238" t="s">
        <v>768</v>
      </c>
      <c r="L50" s="238"/>
      <c r="M50" s="238"/>
      <c r="N50" s="238" t="s">
        <v>5113</v>
      </c>
      <c r="O50" s="238"/>
      <c r="P50" s="238"/>
      <c r="Q50" s="238" t="s">
        <v>3457</v>
      </c>
      <c r="R50" s="238"/>
      <c r="S50" s="238"/>
      <c r="T50" s="238"/>
      <c r="U50" s="238"/>
      <c r="V50" s="238"/>
      <c r="W50" s="238" t="s">
        <v>5144</v>
      </c>
      <c r="X50" s="238"/>
      <c r="Y50" s="10" t="s">
        <v>92</v>
      </c>
      <c r="Z50" s="10" t="s">
        <v>769</v>
      </c>
      <c r="AA50" s="238" t="s">
        <v>770</v>
      </c>
      <c r="AB50" s="238"/>
      <c r="AC50" s="238"/>
      <c r="AD50" s="238"/>
      <c r="AE50" s="10" t="s">
        <v>4613</v>
      </c>
      <c r="AF50" s="237" t="s">
        <v>771</v>
      </c>
      <c r="AG50" s="237"/>
      <c r="AH50" s="237"/>
      <c r="AI50" s="237"/>
      <c r="AJ50" s="2"/>
      <c r="AK50" s="2"/>
      <c r="AL50" s="2"/>
      <c r="AM50" s="2"/>
      <c r="AN50" s="7"/>
    </row>
    <row r="51" spans="1:40" ht="13.5" thickBot="1">
      <c r="A51" s="6"/>
      <c r="B51" s="2"/>
      <c r="C51" s="2"/>
      <c r="D51" s="244" t="s">
        <v>273</v>
      </c>
      <c r="E51" s="244"/>
      <c r="F51" s="238" t="s">
        <v>5666</v>
      </c>
      <c r="G51" s="238"/>
      <c r="H51" s="238"/>
      <c r="I51" s="238"/>
      <c r="J51" s="10" t="s">
        <v>6235</v>
      </c>
      <c r="K51" s="238" t="s">
        <v>297</v>
      </c>
      <c r="L51" s="238"/>
      <c r="M51" s="238"/>
      <c r="N51" s="238" t="s">
        <v>75</v>
      </c>
      <c r="O51" s="238"/>
      <c r="P51" s="238"/>
      <c r="Q51" s="238" t="s">
        <v>772</v>
      </c>
      <c r="R51" s="238"/>
      <c r="S51" s="238"/>
      <c r="T51" s="238"/>
      <c r="U51" s="238"/>
      <c r="V51" s="238"/>
      <c r="W51" s="238" t="s">
        <v>3738</v>
      </c>
      <c r="X51" s="238"/>
      <c r="Y51" s="10" t="s">
        <v>6718</v>
      </c>
      <c r="Z51" s="10" t="s">
        <v>1888</v>
      </c>
      <c r="AA51" s="238" t="s">
        <v>773</v>
      </c>
      <c r="AB51" s="238"/>
      <c r="AC51" s="238"/>
      <c r="AD51" s="238"/>
      <c r="AE51" s="10" t="s">
        <v>375</v>
      </c>
      <c r="AF51" s="237" t="s">
        <v>774</v>
      </c>
      <c r="AG51" s="237"/>
      <c r="AH51" s="237"/>
      <c r="AI51" s="237"/>
      <c r="AJ51" s="2"/>
      <c r="AK51" s="2"/>
      <c r="AL51" s="2"/>
      <c r="AM51" s="2"/>
      <c r="AN51" s="7"/>
    </row>
    <row r="52" spans="1:40" ht="13.5" thickBot="1">
      <c r="A52" s="6"/>
      <c r="B52" s="2"/>
      <c r="C52" s="2"/>
      <c r="D52" s="244" t="s">
        <v>285</v>
      </c>
      <c r="E52" s="244"/>
      <c r="F52" s="238" t="s">
        <v>775</v>
      </c>
      <c r="G52" s="238"/>
      <c r="H52" s="238"/>
      <c r="I52" s="238"/>
      <c r="J52" s="10" t="s">
        <v>5460</v>
      </c>
      <c r="K52" s="238" t="s">
        <v>776</v>
      </c>
      <c r="L52" s="238"/>
      <c r="M52" s="238"/>
      <c r="N52" s="238" t="s">
        <v>1848</v>
      </c>
      <c r="O52" s="238"/>
      <c r="P52" s="238"/>
      <c r="Q52" s="238" t="s">
        <v>93</v>
      </c>
      <c r="R52" s="238"/>
      <c r="S52" s="238"/>
      <c r="T52" s="238"/>
      <c r="U52" s="238"/>
      <c r="V52" s="238"/>
      <c r="W52" s="238" t="s">
        <v>6183</v>
      </c>
      <c r="X52" s="238"/>
      <c r="Y52" s="10" t="s">
        <v>777</v>
      </c>
      <c r="Z52" s="10" t="s">
        <v>778</v>
      </c>
      <c r="AA52" s="238" t="s">
        <v>485</v>
      </c>
      <c r="AB52" s="238"/>
      <c r="AC52" s="238"/>
      <c r="AD52" s="238"/>
      <c r="AE52" s="10" t="s">
        <v>779</v>
      </c>
      <c r="AF52" s="237" t="s">
        <v>4675</v>
      </c>
      <c r="AG52" s="237"/>
      <c r="AH52" s="237"/>
      <c r="AI52" s="237"/>
      <c r="AJ52" s="2"/>
      <c r="AK52" s="2"/>
      <c r="AL52" s="2"/>
      <c r="AM52" s="2"/>
      <c r="AN52" s="7"/>
    </row>
    <row r="53" spans="1:40" ht="13.5" thickBot="1">
      <c r="A53" s="6"/>
      <c r="B53" s="2"/>
      <c r="C53" s="2"/>
      <c r="D53" s="244" t="s">
        <v>295</v>
      </c>
      <c r="E53" s="244"/>
      <c r="F53" s="238" t="s">
        <v>780</v>
      </c>
      <c r="G53" s="238"/>
      <c r="H53" s="238"/>
      <c r="I53" s="238"/>
      <c r="J53" s="10" t="s">
        <v>781</v>
      </c>
      <c r="K53" s="238" t="s">
        <v>377</v>
      </c>
      <c r="L53" s="238"/>
      <c r="M53" s="238"/>
      <c r="N53" s="238" t="s">
        <v>5038</v>
      </c>
      <c r="O53" s="238"/>
      <c r="P53" s="238"/>
      <c r="Q53" s="238" t="s">
        <v>296</v>
      </c>
      <c r="R53" s="238"/>
      <c r="S53" s="238"/>
      <c r="T53" s="238"/>
      <c r="U53" s="238"/>
      <c r="V53" s="238"/>
      <c r="W53" s="238" t="s">
        <v>6898</v>
      </c>
      <c r="X53" s="238"/>
      <c r="Y53" s="10" t="s">
        <v>376</v>
      </c>
      <c r="Z53" s="10" t="s">
        <v>2681</v>
      </c>
      <c r="AA53" s="238" t="s">
        <v>782</v>
      </c>
      <c r="AB53" s="238"/>
      <c r="AC53" s="238"/>
      <c r="AD53" s="238"/>
      <c r="AE53" s="10" t="s">
        <v>783</v>
      </c>
      <c r="AF53" s="237" t="s">
        <v>3990</v>
      </c>
      <c r="AG53" s="237"/>
      <c r="AH53" s="237"/>
      <c r="AI53" s="237"/>
      <c r="AJ53" s="2"/>
      <c r="AK53" s="2"/>
      <c r="AL53" s="2"/>
      <c r="AM53" s="2"/>
      <c r="AN53" s="7"/>
    </row>
    <row r="54" spans="1:40" ht="13.5" thickBot="1">
      <c r="A54" s="6"/>
      <c r="B54" s="2"/>
      <c r="C54" s="2"/>
      <c r="D54" s="244" t="s">
        <v>307</v>
      </c>
      <c r="E54" s="244"/>
      <c r="F54" s="238" t="s">
        <v>784</v>
      </c>
      <c r="G54" s="238"/>
      <c r="H54" s="238"/>
      <c r="I54" s="238"/>
      <c r="J54" s="10" t="s">
        <v>785</v>
      </c>
      <c r="K54" s="238" t="s">
        <v>786</v>
      </c>
      <c r="L54" s="238"/>
      <c r="M54" s="238"/>
      <c r="N54" s="238" t="s">
        <v>1907</v>
      </c>
      <c r="O54" s="238"/>
      <c r="P54" s="238"/>
      <c r="Q54" s="238" t="s">
        <v>787</v>
      </c>
      <c r="R54" s="238"/>
      <c r="S54" s="238"/>
      <c r="T54" s="238"/>
      <c r="U54" s="238"/>
      <c r="V54" s="238"/>
      <c r="W54" s="238" t="s">
        <v>6734</v>
      </c>
      <c r="X54" s="238"/>
      <c r="Y54" s="10" t="s">
        <v>582</v>
      </c>
      <c r="Z54" s="10" t="s">
        <v>4333</v>
      </c>
      <c r="AA54" s="238" t="s">
        <v>3642</v>
      </c>
      <c r="AB54" s="238"/>
      <c r="AC54" s="238"/>
      <c r="AD54" s="238"/>
      <c r="AE54" s="10" t="s">
        <v>4499</v>
      </c>
      <c r="AF54" s="237" t="s">
        <v>788</v>
      </c>
      <c r="AG54" s="237"/>
      <c r="AH54" s="237"/>
      <c r="AI54" s="237"/>
      <c r="AJ54" s="2"/>
      <c r="AK54" s="2"/>
      <c r="AL54" s="2"/>
      <c r="AM54" s="2"/>
      <c r="AN54" s="7"/>
    </row>
    <row r="55" spans="1:40" ht="13.5" thickBot="1">
      <c r="A55" s="6"/>
      <c r="B55" s="2"/>
      <c r="C55" s="2"/>
      <c r="D55" s="244" t="s">
        <v>319</v>
      </c>
      <c r="E55" s="244"/>
      <c r="F55" s="237" t="s">
        <v>789</v>
      </c>
      <c r="G55" s="237"/>
      <c r="H55" s="237"/>
      <c r="I55" s="237"/>
      <c r="J55" s="11" t="s">
        <v>6053</v>
      </c>
      <c r="K55" s="237" t="s">
        <v>790</v>
      </c>
      <c r="L55" s="237"/>
      <c r="M55" s="237"/>
      <c r="N55" s="237" t="s">
        <v>3562</v>
      </c>
      <c r="O55" s="237"/>
      <c r="P55" s="237"/>
      <c r="Q55" s="237" t="s">
        <v>4987</v>
      </c>
      <c r="R55" s="237"/>
      <c r="S55" s="237"/>
      <c r="T55" s="237"/>
      <c r="U55" s="237"/>
      <c r="V55" s="237"/>
      <c r="W55" s="237" t="s">
        <v>791</v>
      </c>
      <c r="X55" s="237"/>
      <c r="Y55" s="11" t="s">
        <v>792</v>
      </c>
      <c r="Z55" s="11" t="s">
        <v>793</v>
      </c>
      <c r="AA55" s="237" t="s">
        <v>794</v>
      </c>
      <c r="AB55" s="237"/>
      <c r="AC55" s="237"/>
      <c r="AD55" s="237"/>
      <c r="AE55" s="11" t="s">
        <v>795</v>
      </c>
      <c r="AF55" s="237" t="s">
        <v>796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797</v>
      </c>
      <c r="E7" s="269"/>
      <c r="F7" s="269"/>
      <c r="G7" s="269"/>
      <c r="H7" s="269" t="s">
        <v>798</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CATTENOM-4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1362</v>
      </c>
    </row>
    <row r="17" spans="1:47" ht="13.5" thickBot="1">
      <c r="A17" s="6"/>
      <c r="B17" s="1"/>
      <c r="C17" s="1"/>
      <c r="D17" s="248" t="s">
        <v>189</v>
      </c>
      <c r="E17" s="248"/>
      <c r="F17" s="248"/>
      <c r="G17" s="248"/>
      <c r="H17" s="248"/>
      <c r="I17" s="248"/>
      <c r="J17" s="248"/>
      <c r="K17" s="248"/>
      <c r="L17" s="8" t="s">
        <v>5709</v>
      </c>
      <c r="M17" s="264">
        <v>1362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1300</v>
      </c>
    </row>
    <row r="18" spans="1:47" ht="13.5" thickBot="1">
      <c r="A18" s="6"/>
      <c r="B18" s="1"/>
      <c r="C18" s="1"/>
      <c r="D18" s="248" t="s">
        <v>193</v>
      </c>
      <c r="E18" s="248"/>
      <c r="F18" s="248"/>
      <c r="G18" s="248"/>
      <c r="H18" s="248"/>
      <c r="I18" s="248"/>
      <c r="J18" s="248"/>
      <c r="K18" s="248"/>
      <c r="L18" s="8" t="s">
        <v>5709</v>
      </c>
      <c r="M18" s="264">
        <v>1300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33385</v>
      </c>
    </row>
    <row r="19" spans="1:47" ht="13.5" thickBot="1">
      <c r="A19" s="6"/>
      <c r="B19" s="1"/>
      <c r="C19" s="1"/>
      <c r="D19" s="248" t="s">
        <v>196</v>
      </c>
      <c r="E19" s="248"/>
      <c r="F19" s="248"/>
      <c r="G19" s="248"/>
      <c r="H19" s="248"/>
      <c r="I19" s="248"/>
      <c r="J19" s="248"/>
      <c r="K19" s="248"/>
      <c r="L19" s="8" t="s">
        <v>5709</v>
      </c>
      <c r="M19" s="264">
        <v>1300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87.06</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65.88</v>
      </c>
    </row>
    <row r="22" spans="1:47" ht="8.85" customHeight="1" thickBot="1">
      <c r="A22" s="6"/>
      <c r="B22" s="1"/>
      <c r="C22" s="1"/>
      <c r="D22" s="248" t="s">
        <v>205</v>
      </c>
      <c r="E22" s="248"/>
      <c r="F22" s="248"/>
      <c r="G22" s="248"/>
      <c r="H22" s="248"/>
      <c r="I22" s="248"/>
      <c r="J22" s="248"/>
      <c r="K22" s="248"/>
      <c r="L22" s="247" t="s">
        <v>5709</v>
      </c>
      <c r="M22" s="259">
        <v>30587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33385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33604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799</v>
      </c>
      <c r="G49" s="238"/>
      <c r="H49" s="238"/>
      <c r="I49" s="238"/>
      <c r="J49" s="10" t="s">
        <v>800</v>
      </c>
      <c r="K49" s="238" t="s">
        <v>801</v>
      </c>
      <c r="L49" s="238"/>
      <c r="M49" s="238"/>
      <c r="N49" s="238" t="s">
        <v>802</v>
      </c>
      <c r="O49" s="238"/>
      <c r="P49" s="238"/>
      <c r="Q49" s="238" t="s">
        <v>803</v>
      </c>
      <c r="R49" s="238"/>
      <c r="S49" s="238"/>
      <c r="T49" s="238"/>
      <c r="U49" s="238"/>
      <c r="V49" s="238"/>
      <c r="W49" s="238" t="s">
        <v>804</v>
      </c>
      <c r="X49" s="238"/>
      <c r="Y49" s="10" t="s">
        <v>805</v>
      </c>
      <c r="Z49" s="10" t="s">
        <v>806</v>
      </c>
      <c r="AA49" s="238" t="s">
        <v>807</v>
      </c>
      <c r="AB49" s="238"/>
      <c r="AC49" s="238"/>
      <c r="AD49" s="238"/>
      <c r="AE49" s="10" t="s">
        <v>808</v>
      </c>
      <c r="AF49" s="237" t="s">
        <v>809</v>
      </c>
      <c r="AG49" s="237"/>
      <c r="AH49" s="237"/>
      <c r="AI49" s="237"/>
      <c r="AJ49" s="2"/>
      <c r="AK49" s="2"/>
      <c r="AL49" s="2"/>
      <c r="AM49" s="2"/>
      <c r="AN49" s="7"/>
    </row>
    <row r="50" spans="1:40" ht="13.5" thickBot="1">
      <c r="A50" s="6"/>
      <c r="B50" s="2"/>
      <c r="C50" s="2"/>
      <c r="D50" s="244" t="s">
        <v>261</v>
      </c>
      <c r="E50" s="244"/>
      <c r="F50" s="238" t="s">
        <v>810</v>
      </c>
      <c r="G50" s="238"/>
      <c r="H50" s="238"/>
      <c r="I50" s="238"/>
      <c r="J50" s="10" t="s">
        <v>2862</v>
      </c>
      <c r="K50" s="238" t="s">
        <v>811</v>
      </c>
      <c r="L50" s="238"/>
      <c r="M50" s="238"/>
      <c r="N50" s="238" t="s">
        <v>442</v>
      </c>
      <c r="O50" s="238"/>
      <c r="P50" s="238"/>
      <c r="Q50" s="238" t="s">
        <v>3566</v>
      </c>
      <c r="R50" s="238"/>
      <c r="S50" s="238"/>
      <c r="T50" s="238"/>
      <c r="U50" s="238"/>
      <c r="V50" s="238"/>
      <c r="W50" s="238" t="s">
        <v>812</v>
      </c>
      <c r="X50" s="238"/>
      <c r="Y50" s="10" t="s">
        <v>3948</v>
      </c>
      <c r="Z50" s="10" t="s">
        <v>813</v>
      </c>
      <c r="AA50" s="238" t="s">
        <v>348</v>
      </c>
      <c r="AB50" s="238"/>
      <c r="AC50" s="238"/>
      <c r="AD50" s="238"/>
      <c r="AE50" s="10" t="s">
        <v>814</v>
      </c>
      <c r="AF50" s="237" t="s">
        <v>6342</v>
      </c>
      <c r="AG50" s="237"/>
      <c r="AH50" s="237"/>
      <c r="AI50" s="237"/>
      <c r="AJ50" s="2"/>
      <c r="AK50" s="2"/>
      <c r="AL50" s="2"/>
      <c r="AM50" s="2"/>
      <c r="AN50" s="7"/>
    </row>
    <row r="51" spans="1:40" ht="13.5" thickBot="1">
      <c r="A51" s="6"/>
      <c r="B51" s="2"/>
      <c r="C51" s="2"/>
      <c r="D51" s="244" t="s">
        <v>273</v>
      </c>
      <c r="E51" s="244"/>
      <c r="F51" s="238" t="s">
        <v>3567</v>
      </c>
      <c r="G51" s="238"/>
      <c r="H51" s="238"/>
      <c r="I51" s="238"/>
      <c r="J51" s="10" t="s">
        <v>815</v>
      </c>
      <c r="K51" s="238" t="s">
        <v>816</v>
      </c>
      <c r="L51" s="238"/>
      <c r="M51" s="238"/>
      <c r="N51" s="238" t="s">
        <v>4476</v>
      </c>
      <c r="O51" s="238"/>
      <c r="P51" s="238"/>
      <c r="Q51" s="238" t="s">
        <v>6086</v>
      </c>
      <c r="R51" s="238"/>
      <c r="S51" s="238"/>
      <c r="T51" s="238"/>
      <c r="U51" s="238"/>
      <c r="V51" s="238"/>
      <c r="W51" s="238" t="s">
        <v>817</v>
      </c>
      <c r="X51" s="238"/>
      <c r="Y51" s="10" t="s">
        <v>818</v>
      </c>
      <c r="Z51" s="10" t="s">
        <v>819</v>
      </c>
      <c r="AA51" s="238" t="s">
        <v>6086</v>
      </c>
      <c r="AB51" s="238"/>
      <c r="AC51" s="238"/>
      <c r="AD51" s="238"/>
      <c r="AE51" s="10" t="s">
        <v>820</v>
      </c>
      <c r="AF51" s="237" t="s">
        <v>821</v>
      </c>
      <c r="AG51" s="237"/>
      <c r="AH51" s="237"/>
      <c r="AI51" s="237"/>
      <c r="AJ51" s="2"/>
      <c r="AK51" s="2"/>
      <c r="AL51" s="2"/>
      <c r="AM51" s="2"/>
      <c r="AN51" s="7"/>
    </row>
    <row r="52" spans="1:40" ht="13.5" thickBot="1">
      <c r="A52" s="6"/>
      <c r="B52" s="2"/>
      <c r="C52" s="2"/>
      <c r="D52" s="244" t="s">
        <v>285</v>
      </c>
      <c r="E52" s="244"/>
      <c r="F52" s="238" t="s">
        <v>822</v>
      </c>
      <c r="G52" s="238"/>
      <c r="H52" s="238"/>
      <c r="I52" s="238"/>
      <c r="J52" s="10" t="s">
        <v>293</v>
      </c>
      <c r="K52" s="238" t="s">
        <v>3639</v>
      </c>
      <c r="L52" s="238"/>
      <c r="M52" s="238"/>
      <c r="N52" s="238" t="s">
        <v>6240</v>
      </c>
      <c r="O52" s="238"/>
      <c r="P52" s="238"/>
      <c r="Q52" s="238" t="s">
        <v>1952</v>
      </c>
      <c r="R52" s="238"/>
      <c r="S52" s="238"/>
      <c r="T52" s="238"/>
      <c r="U52" s="238"/>
      <c r="V52" s="238"/>
      <c r="W52" s="238" t="s">
        <v>653</v>
      </c>
      <c r="X52" s="238"/>
      <c r="Y52" s="10" t="s">
        <v>4087</v>
      </c>
      <c r="Z52" s="10" t="s">
        <v>6431</v>
      </c>
      <c r="AA52" s="238" t="s">
        <v>823</v>
      </c>
      <c r="AB52" s="238"/>
      <c r="AC52" s="238"/>
      <c r="AD52" s="238"/>
      <c r="AE52" s="10" t="s">
        <v>753</v>
      </c>
      <c r="AF52" s="237" t="s">
        <v>6224</v>
      </c>
      <c r="AG52" s="237"/>
      <c r="AH52" s="237"/>
      <c r="AI52" s="237"/>
      <c r="AJ52" s="2"/>
      <c r="AK52" s="2"/>
      <c r="AL52" s="2"/>
      <c r="AM52" s="2"/>
      <c r="AN52" s="7"/>
    </row>
    <row r="53" spans="1:40" ht="13.5" thickBot="1">
      <c r="A53" s="6"/>
      <c r="B53" s="2"/>
      <c r="C53" s="2"/>
      <c r="D53" s="244" t="s">
        <v>295</v>
      </c>
      <c r="E53" s="244"/>
      <c r="F53" s="238" t="s">
        <v>382</v>
      </c>
      <c r="G53" s="238"/>
      <c r="H53" s="238"/>
      <c r="I53" s="238"/>
      <c r="J53" s="10" t="s">
        <v>6902</v>
      </c>
      <c r="K53" s="238" t="s">
        <v>1903</v>
      </c>
      <c r="L53" s="238"/>
      <c r="M53" s="238"/>
      <c r="N53" s="238" t="s">
        <v>6158</v>
      </c>
      <c r="O53" s="238"/>
      <c r="P53" s="238"/>
      <c r="Q53" s="238" t="s">
        <v>6327</v>
      </c>
      <c r="R53" s="238"/>
      <c r="S53" s="238"/>
      <c r="T53" s="238"/>
      <c r="U53" s="238"/>
      <c r="V53" s="238"/>
      <c r="W53" s="238" t="s">
        <v>5162</v>
      </c>
      <c r="X53" s="238"/>
      <c r="Y53" s="10" t="s">
        <v>5045</v>
      </c>
      <c r="Z53" s="10" t="s">
        <v>6393</v>
      </c>
      <c r="AA53" s="238" t="s">
        <v>6457</v>
      </c>
      <c r="AB53" s="238"/>
      <c r="AC53" s="238"/>
      <c r="AD53" s="238"/>
      <c r="AE53" s="10" t="s">
        <v>824</v>
      </c>
      <c r="AF53" s="237" t="s">
        <v>6849</v>
      </c>
      <c r="AG53" s="237"/>
      <c r="AH53" s="237"/>
      <c r="AI53" s="237"/>
      <c r="AJ53" s="2"/>
      <c r="AK53" s="2"/>
      <c r="AL53" s="2"/>
      <c r="AM53" s="2"/>
      <c r="AN53" s="7"/>
    </row>
    <row r="54" spans="1:40" ht="13.5" thickBot="1">
      <c r="A54" s="6"/>
      <c r="B54" s="2"/>
      <c r="C54" s="2"/>
      <c r="D54" s="244" t="s">
        <v>307</v>
      </c>
      <c r="E54" s="244"/>
      <c r="F54" s="238" t="s">
        <v>6366</v>
      </c>
      <c r="G54" s="238"/>
      <c r="H54" s="238"/>
      <c r="I54" s="238"/>
      <c r="J54" s="10" t="s">
        <v>5500</v>
      </c>
      <c r="K54" s="238" t="s">
        <v>5275</v>
      </c>
      <c r="L54" s="238"/>
      <c r="M54" s="238"/>
      <c r="N54" s="238" t="s">
        <v>4672</v>
      </c>
      <c r="O54" s="238"/>
      <c r="P54" s="238"/>
      <c r="Q54" s="238" t="s">
        <v>825</v>
      </c>
      <c r="R54" s="238"/>
      <c r="S54" s="238"/>
      <c r="T54" s="238"/>
      <c r="U54" s="238"/>
      <c r="V54" s="238"/>
      <c r="W54" s="238" t="s">
        <v>3260</v>
      </c>
      <c r="X54" s="238"/>
      <c r="Y54" s="10" t="s">
        <v>6198</v>
      </c>
      <c r="Z54" s="10" t="s">
        <v>6472</v>
      </c>
      <c r="AA54" s="238" t="s">
        <v>826</v>
      </c>
      <c r="AB54" s="238"/>
      <c r="AC54" s="238"/>
      <c r="AD54" s="238"/>
      <c r="AE54" s="10" t="s">
        <v>827</v>
      </c>
      <c r="AF54" s="237" t="s">
        <v>6224</v>
      </c>
      <c r="AG54" s="237"/>
      <c r="AH54" s="237"/>
      <c r="AI54" s="237"/>
      <c r="AJ54" s="2"/>
      <c r="AK54" s="2"/>
      <c r="AL54" s="2"/>
      <c r="AM54" s="2"/>
      <c r="AN54" s="7"/>
    </row>
    <row r="55" spans="1:40" ht="13.5" thickBot="1">
      <c r="A55" s="6"/>
      <c r="B55" s="2"/>
      <c r="C55" s="2"/>
      <c r="D55" s="244" t="s">
        <v>319</v>
      </c>
      <c r="E55" s="244"/>
      <c r="F55" s="237" t="s">
        <v>7050</v>
      </c>
      <c r="G55" s="237"/>
      <c r="H55" s="237"/>
      <c r="I55" s="237"/>
      <c r="J55" s="11" t="s">
        <v>828</v>
      </c>
      <c r="K55" s="237" t="s">
        <v>829</v>
      </c>
      <c r="L55" s="237"/>
      <c r="M55" s="237"/>
      <c r="N55" s="237" t="s">
        <v>830</v>
      </c>
      <c r="O55" s="237"/>
      <c r="P55" s="237"/>
      <c r="Q55" s="237" t="s">
        <v>2957</v>
      </c>
      <c r="R55" s="237"/>
      <c r="S55" s="237"/>
      <c r="T55" s="237"/>
      <c r="U55" s="237"/>
      <c r="V55" s="237"/>
      <c r="W55" s="237" t="s">
        <v>7096</v>
      </c>
      <c r="X55" s="237"/>
      <c r="Y55" s="11" t="s">
        <v>831</v>
      </c>
      <c r="Z55" s="11" t="s">
        <v>5050</v>
      </c>
      <c r="AA55" s="237" t="s">
        <v>4848</v>
      </c>
      <c r="AB55" s="237"/>
      <c r="AC55" s="237"/>
      <c r="AD55" s="237"/>
      <c r="AE55" s="11" t="s">
        <v>832</v>
      </c>
      <c r="AF55" s="237" t="s">
        <v>3364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833</v>
      </c>
      <c r="E7" s="269"/>
      <c r="F7" s="269"/>
      <c r="G7" s="269"/>
      <c r="H7" s="269" t="s">
        <v>834</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CHINON-B-1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4473</v>
      </c>
      <c r="AE16" s="248"/>
      <c r="AF16" s="248"/>
      <c r="AG16" s="248"/>
      <c r="AH16" s="248"/>
      <c r="AI16" s="2"/>
      <c r="AJ16" s="1"/>
      <c r="AK16" s="2"/>
      <c r="AL16" s="1"/>
      <c r="AM16" s="2"/>
      <c r="AN16" s="7"/>
      <c r="AT16" s="24" t="str">
        <f>D17 &amp; " [MWe]"</f>
        <v>Latest gross electrical power [MWe]</v>
      </c>
      <c r="AU16" s="24">
        <f>M17</f>
        <v>954</v>
      </c>
    </row>
    <row r="17" spans="1:47" ht="13.5" thickBot="1">
      <c r="A17" s="6"/>
      <c r="B17" s="1"/>
      <c r="C17" s="1"/>
      <c r="D17" s="248" t="s">
        <v>189</v>
      </c>
      <c r="E17" s="248"/>
      <c r="F17" s="248"/>
      <c r="G17" s="248"/>
      <c r="H17" s="248"/>
      <c r="I17" s="248"/>
      <c r="J17" s="248"/>
      <c r="K17" s="248"/>
      <c r="L17" s="8" t="s">
        <v>5709</v>
      </c>
      <c r="M17" s="264">
        <v>954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905</v>
      </c>
    </row>
    <row r="18" spans="1:47" ht="13.5" thickBot="1">
      <c r="A18" s="6"/>
      <c r="B18" s="1"/>
      <c r="C18" s="1"/>
      <c r="D18" s="248" t="s">
        <v>193</v>
      </c>
      <c r="E18" s="248"/>
      <c r="F18" s="248"/>
      <c r="G18" s="248"/>
      <c r="H18" s="248"/>
      <c r="I18" s="248"/>
      <c r="J18" s="248"/>
      <c r="K18" s="248"/>
      <c r="L18" s="8" t="s">
        <v>5709</v>
      </c>
      <c r="M18" s="264">
        <v>870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30285</v>
      </c>
    </row>
    <row r="19" spans="1:47" ht="13.5" thickBot="1">
      <c r="A19" s="6"/>
      <c r="B19" s="1"/>
      <c r="C19" s="1"/>
      <c r="D19" s="248" t="s">
        <v>196</v>
      </c>
      <c r="E19" s="248"/>
      <c r="F19" s="248"/>
      <c r="G19" s="248"/>
      <c r="H19" s="248"/>
      <c r="I19" s="248"/>
      <c r="J19" s="248"/>
      <c r="K19" s="248"/>
      <c r="L19" s="8" t="s">
        <v>5709</v>
      </c>
      <c r="M19" s="264">
        <v>905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81.55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52.55</v>
      </c>
    </row>
    <row r="22" spans="1:47" ht="8.85" customHeight="1" thickBot="1">
      <c r="A22" s="6"/>
      <c r="B22" s="1"/>
      <c r="C22" s="1"/>
      <c r="D22" s="248" t="s">
        <v>205</v>
      </c>
      <c r="E22" s="248"/>
      <c r="F22" s="248"/>
      <c r="G22" s="248"/>
      <c r="H22" s="248"/>
      <c r="I22" s="248"/>
      <c r="J22" s="248"/>
      <c r="K22" s="248"/>
      <c r="L22" s="247" t="s">
        <v>5709</v>
      </c>
      <c r="M22" s="259">
        <v>28185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30285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30713</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414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5288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836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837</v>
      </c>
      <c r="G49" s="238"/>
      <c r="H49" s="238"/>
      <c r="I49" s="238"/>
      <c r="J49" s="10" t="s">
        <v>838</v>
      </c>
      <c r="K49" s="238" t="s">
        <v>839</v>
      </c>
      <c r="L49" s="238"/>
      <c r="M49" s="238"/>
      <c r="N49" s="238" t="s">
        <v>840</v>
      </c>
      <c r="O49" s="238"/>
      <c r="P49" s="238"/>
      <c r="Q49" s="238" t="s">
        <v>841</v>
      </c>
      <c r="R49" s="238"/>
      <c r="S49" s="238"/>
      <c r="T49" s="238"/>
      <c r="U49" s="238"/>
      <c r="V49" s="238"/>
      <c r="W49" s="238" t="s">
        <v>842</v>
      </c>
      <c r="X49" s="238"/>
      <c r="Y49" s="10" t="s">
        <v>843</v>
      </c>
      <c r="Z49" s="10" t="s">
        <v>844</v>
      </c>
      <c r="AA49" s="238" t="s">
        <v>845</v>
      </c>
      <c r="AB49" s="238"/>
      <c r="AC49" s="238"/>
      <c r="AD49" s="238"/>
      <c r="AE49" s="10" t="s">
        <v>846</v>
      </c>
      <c r="AF49" s="237" t="s">
        <v>847</v>
      </c>
      <c r="AG49" s="237"/>
      <c r="AH49" s="237"/>
      <c r="AI49" s="237"/>
      <c r="AJ49" s="2"/>
      <c r="AK49" s="2"/>
      <c r="AL49" s="2"/>
      <c r="AM49" s="2"/>
      <c r="AN49" s="7"/>
    </row>
    <row r="50" spans="1:40" ht="13.5" thickBot="1">
      <c r="A50" s="6"/>
      <c r="B50" s="2"/>
      <c r="C50" s="2"/>
      <c r="D50" s="244" t="s">
        <v>261</v>
      </c>
      <c r="E50" s="244"/>
      <c r="F50" s="238" t="s">
        <v>848</v>
      </c>
      <c r="G50" s="238"/>
      <c r="H50" s="238"/>
      <c r="I50" s="238"/>
      <c r="J50" s="10" t="s">
        <v>849</v>
      </c>
      <c r="K50" s="238" t="s">
        <v>850</v>
      </c>
      <c r="L50" s="238"/>
      <c r="M50" s="238"/>
      <c r="N50" s="238" t="s">
        <v>6332</v>
      </c>
      <c r="O50" s="238"/>
      <c r="P50" s="238"/>
      <c r="Q50" s="238" t="s">
        <v>91</v>
      </c>
      <c r="R50" s="238"/>
      <c r="S50" s="238"/>
      <c r="T50" s="238"/>
      <c r="U50" s="238"/>
      <c r="V50" s="238"/>
      <c r="W50" s="238" t="s">
        <v>2803</v>
      </c>
      <c r="X50" s="238"/>
      <c r="Y50" s="10" t="s">
        <v>851</v>
      </c>
      <c r="Z50" s="10" t="s">
        <v>7118</v>
      </c>
      <c r="AA50" s="238" t="s">
        <v>852</v>
      </c>
      <c r="AB50" s="238"/>
      <c r="AC50" s="238"/>
      <c r="AD50" s="238"/>
      <c r="AE50" s="10" t="s">
        <v>853</v>
      </c>
      <c r="AF50" s="237" t="s">
        <v>854</v>
      </c>
      <c r="AG50" s="237"/>
      <c r="AH50" s="237"/>
      <c r="AI50" s="237"/>
      <c r="AJ50" s="2"/>
      <c r="AK50" s="2"/>
      <c r="AL50" s="2"/>
      <c r="AM50" s="2"/>
      <c r="AN50" s="7"/>
    </row>
    <row r="51" spans="1:40" ht="13.5" thickBot="1">
      <c r="A51" s="6"/>
      <c r="B51" s="2"/>
      <c r="C51" s="2"/>
      <c r="D51" s="244" t="s">
        <v>273</v>
      </c>
      <c r="E51" s="244"/>
      <c r="F51" s="238" t="s">
        <v>855</v>
      </c>
      <c r="G51" s="238"/>
      <c r="H51" s="238"/>
      <c r="I51" s="238"/>
      <c r="J51" s="10" t="s">
        <v>517</v>
      </c>
      <c r="K51" s="238" t="s">
        <v>856</v>
      </c>
      <c r="L51" s="238"/>
      <c r="M51" s="238"/>
      <c r="N51" s="238" t="s">
        <v>4413</v>
      </c>
      <c r="O51" s="238"/>
      <c r="P51" s="238"/>
      <c r="Q51" s="238" t="s">
        <v>857</v>
      </c>
      <c r="R51" s="238"/>
      <c r="S51" s="238"/>
      <c r="T51" s="238"/>
      <c r="U51" s="238"/>
      <c r="V51" s="238"/>
      <c r="W51" s="238" t="s">
        <v>3573</v>
      </c>
      <c r="X51" s="238"/>
      <c r="Y51" s="10" t="s">
        <v>858</v>
      </c>
      <c r="Z51" s="10" t="s">
        <v>4034</v>
      </c>
      <c r="AA51" s="238" t="s">
        <v>6122</v>
      </c>
      <c r="AB51" s="238"/>
      <c r="AC51" s="238"/>
      <c r="AD51" s="238"/>
      <c r="AE51" s="10" t="s">
        <v>859</v>
      </c>
      <c r="AF51" s="237" t="s">
        <v>860</v>
      </c>
      <c r="AG51" s="237"/>
      <c r="AH51" s="237"/>
      <c r="AI51" s="237"/>
      <c r="AJ51" s="2"/>
      <c r="AK51" s="2"/>
      <c r="AL51" s="2"/>
      <c r="AM51" s="2"/>
      <c r="AN51" s="7"/>
    </row>
    <row r="52" spans="1:40" ht="13.5" thickBot="1">
      <c r="A52" s="6"/>
      <c r="B52" s="2"/>
      <c r="C52" s="2"/>
      <c r="D52" s="244" t="s">
        <v>285</v>
      </c>
      <c r="E52" s="244"/>
      <c r="F52" s="238" t="s">
        <v>5417</v>
      </c>
      <c r="G52" s="238"/>
      <c r="H52" s="238"/>
      <c r="I52" s="238"/>
      <c r="J52" s="10" t="s">
        <v>668</v>
      </c>
      <c r="K52" s="238" t="s">
        <v>861</v>
      </c>
      <c r="L52" s="238"/>
      <c r="M52" s="238"/>
      <c r="N52" s="238" t="s">
        <v>6332</v>
      </c>
      <c r="O52" s="238"/>
      <c r="P52" s="238"/>
      <c r="Q52" s="238" t="s">
        <v>862</v>
      </c>
      <c r="R52" s="238"/>
      <c r="S52" s="238"/>
      <c r="T52" s="238"/>
      <c r="U52" s="238"/>
      <c r="V52" s="238"/>
      <c r="W52" s="238" t="s">
        <v>863</v>
      </c>
      <c r="X52" s="238"/>
      <c r="Y52" s="10" t="s">
        <v>6194</v>
      </c>
      <c r="Z52" s="10" t="s">
        <v>6911</v>
      </c>
      <c r="AA52" s="238" t="s">
        <v>864</v>
      </c>
      <c r="AB52" s="238"/>
      <c r="AC52" s="238"/>
      <c r="AD52" s="238"/>
      <c r="AE52" s="10" t="s">
        <v>865</v>
      </c>
      <c r="AF52" s="237" t="s">
        <v>866</v>
      </c>
      <c r="AG52" s="237"/>
      <c r="AH52" s="237"/>
      <c r="AI52" s="237"/>
      <c r="AJ52" s="2"/>
      <c r="AK52" s="2"/>
      <c r="AL52" s="2"/>
      <c r="AM52" s="2"/>
      <c r="AN52" s="7"/>
    </row>
    <row r="53" spans="1:40" ht="13.5" thickBot="1">
      <c r="A53" s="6"/>
      <c r="B53" s="2"/>
      <c r="C53" s="2"/>
      <c r="D53" s="244" t="s">
        <v>295</v>
      </c>
      <c r="E53" s="244"/>
      <c r="F53" s="238" t="s">
        <v>867</v>
      </c>
      <c r="G53" s="238"/>
      <c r="H53" s="238"/>
      <c r="I53" s="238"/>
      <c r="J53" s="10" t="s">
        <v>6788</v>
      </c>
      <c r="K53" s="238" t="s">
        <v>6658</v>
      </c>
      <c r="L53" s="238"/>
      <c r="M53" s="238"/>
      <c r="N53" s="238" t="s">
        <v>6888</v>
      </c>
      <c r="O53" s="238"/>
      <c r="P53" s="238"/>
      <c r="Q53" s="238" t="s">
        <v>6981</v>
      </c>
      <c r="R53" s="238"/>
      <c r="S53" s="238"/>
      <c r="T53" s="238"/>
      <c r="U53" s="238"/>
      <c r="V53" s="238"/>
      <c r="W53" s="238" t="s">
        <v>3518</v>
      </c>
      <c r="X53" s="238"/>
      <c r="Y53" s="10" t="s">
        <v>868</v>
      </c>
      <c r="Z53" s="10" t="s">
        <v>4839</v>
      </c>
      <c r="AA53" s="238" t="s">
        <v>869</v>
      </c>
      <c r="AB53" s="238"/>
      <c r="AC53" s="238"/>
      <c r="AD53" s="238"/>
      <c r="AE53" s="10" t="s">
        <v>870</v>
      </c>
      <c r="AF53" s="237" t="s">
        <v>871</v>
      </c>
      <c r="AG53" s="237"/>
      <c r="AH53" s="237"/>
      <c r="AI53" s="237"/>
      <c r="AJ53" s="2"/>
      <c r="AK53" s="2"/>
      <c r="AL53" s="2"/>
      <c r="AM53" s="2"/>
      <c r="AN53" s="7"/>
    </row>
    <row r="54" spans="1:40" ht="13.5" thickBot="1">
      <c r="A54" s="6"/>
      <c r="B54" s="2"/>
      <c r="C54" s="2"/>
      <c r="D54" s="244" t="s">
        <v>307</v>
      </c>
      <c r="E54" s="244"/>
      <c r="F54" s="238" t="s">
        <v>1777</v>
      </c>
      <c r="G54" s="238"/>
      <c r="H54" s="238"/>
      <c r="I54" s="238"/>
      <c r="J54" s="10" t="s">
        <v>6726</v>
      </c>
      <c r="K54" s="238" t="s">
        <v>484</v>
      </c>
      <c r="L54" s="238"/>
      <c r="M54" s="238"/>
      <c r="N54" s="238" t="s">
        <v>872</v>
      </c>
      <c r="O54" s="238"/>
      <c r="P54" s="238"/>
      <c r="Q54" s="238" t="s">
        <v>7118</v>
      </c>
      <c r="R54" s="238"/>
      <c r="S54" s="238"/>
      <c r="T54" s="238"/>
      <c r="U54" s="238"/>
      <c r="V54" s="238"/>
      <c r="W54" s="238" t="s">
        <v>873</v>
      </c>
      <c r="X54" s="238"/>
      <c r="Y54" s="10" t="s">
        <v>874</v>
      </c>
      <c r="Z54" s="10" t="s">
        <v>5052</v>
      </c>
      <c r="AA54" s="238" t="s">
        <v>875</v>
      </c>
      <c r="AB54" s="238"/>
      <c r="AC54" s="238"/>
      <c r="AD54" s="238"/>
      <c r="AE54" s="10" t="s">
        <v>876</v>
      </c>
      <c r="AF54" s="237" t="s">
        <v>877</v>
      </c>
      <c r="AG54" s="237"/>
      <c r="AH54" s="237"/>
      <c r="AI54" s="237"/>
      <c r="AJ54" s="2"/>
      <c r="AK54" s="2"/>
      <c r="AL54" s="2"/>
      <c r="AM54" s="2"/>
      <c r="AN54" s="7"/>
    </row>
    <row r="55" spans="1:40" ht="13.5" thickBot="1">
      <c r="A55" s="6"/>
      <c r="B55" s="2"/>
      <c r="C55" s="2"/>
      <c r="D55" s="244" t="s">
        <v>319</v>
      </c>
      <c r="E55" s="244"/>
      <c r="F55" s="237" t="s">
        <v>3977</v>
      </c>
      <c r="G55" s="237"/>
      <c r="H55" s="237"/>
      <c r="I55" s="237"/>
      <c r="J55" s="11" t="s">
        <v>6513</v>
      </c>
      <c r="K55" s="237" t="s">
        <v>6670</v>
      </c>
      <c r="L55" s="237"/>
      <c r="M55" s="237"/>
      <c r="N55" s="237" t="s">
        <v>878</v>
      </c>
      <c r="O55" s="237"/>
      <c r="P55" s="237"/>
      <c r="Q55" s="237" t="s">
        <v>879</v>
      </c>
      <c r="R55" s="237"/>
      <c r="S55" s="237"/>
      <c r="T55" s="237"/>
      <c r="U55" s="237"/>
      <c r="V55" s="237"/>
      <c r="W55" s="237" t="s">
        <v>2695</v>
      </c>
      <c r="X55" s="237"/>
      <c r="Y55" s="11" t="s">
        <v>880</v>
      </c>
      <c r="Z55" s="11" t="s">
        <v>6777</v>
      </c>
      <c r="AA55" s="237" t="s">
        <v>881</v>
      </c>
      <c r="AB55" s="237"/>
      <c r="AC55" s="237"/>
      <c r="AD55" s="237"/>
      <c r="AE55" s="11" t="s">
        <v>882</v>
      </c>
      <c r="AF55" s="237" t="s">
        <v>4626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883</v>
      </c>
      <c r="E7" s="269"/>
      <c r="F7" s="269"/>
      <c r="G7" s="269"/>
      <c r="H7" s="269" t="s">
        <v>884</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CHINON-B-2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4473</v>
      </c>
      <c r="AE16" s="248"/>
      <c r="AF16" s="248"/>
      <c r="AG16" s="248"/>
      <c r="AH16" s="248"/>
      <c r="AI16" s="2"/>
      <c r="AJ16" s="1"/>
      <c r="AK16" s="2"/>
      <c r="AL16" s="1"/>
      <c r="AM16" s="2"/>
      <c r="AN16" s="7"/>
      <c r="AT16" s="24" t="str">
        <f>D17 &amp; " [MWe]"</f>
        <v>Latest gross electrical power [MWe]</v>
      </c>
      <c r="AU16" s="24">
        <f>M17</f>
        <v>954</v>
      </c>
    </row>
    <row r="17" spans="1:47" ht="13.5" thickBot="1">
      <c r="A17" s="6"/>
      <c r="B17" s="1"/>
      <c r="C17" s="1"/>
      <c r="D17" s="248" t="s">
        <v>189</v>
      </c>
      <c r="E17" s="248"/>
      <c r="F17" s="248"/>
      <c r="G17" s="248"/>
      <c r="H17" s="248"/>
      <c r="I17" s="248"/>
      <c r="J17" s="248"/>
      <c r="K17" s="248"/>
      <c r="L17" s="8" t="s">
        <v>5709</v>
      </c>
      <c r="M17" s="264">
        <v>954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905</v>
      </c>
    </row>
    <row r="18" spans="1:47" ht="13.5" thickBot="1">
      <c r="A18" s="6"/>
      <c r="B18" s="1"/>
      <c r="C18" s="1"/>
      <c r="D18" s="248" t="s">
        <v>193</v>
      </c>
      <c r="E18" s="248"/>
      <c r="F18" s="248"/>
      <c r="G18" s="248"/>
      <c r="H18" s="248"/>
      <c r="I18" s="248"/>
      <c r="J18" s="248"/>
      <c r="K18" s="248"/>
      <c r="L18" s="8" t="s">
        <v>5709</v>
      </c>
      <c r="M18" s="264">
        <v>870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30649</v>
      </c>
    </row>
    <row r="19" spans="1:47" ht="13.5" thickBot="1">
      <c r="A19" s="6"/>
      <c r="B19" s="1"/>
      <c r="C19" s="1"/>
      <c r="D19" s="248" t="s">
        <v>196</v>
      </c>
      <c r="E19" s="248"/>
      <c r="F19" s="248"/>
      <c r="G19" s="248"/>
      <c r="H19" s="248"/>
      <c r="I19" s="248"/>
      <c r="J19" s="248"/>
      <c r="K19" s="248"/>
      <c r="L19" s="8" t="s">
        <v>5709</v>
      </c>
      <c r="M19" s="264">
        <v>905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84.00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72.34</v>
      </c>
    </row>
    <row r="22" spans="1:47" ht="8.85" customHeight="1" thickBot="1">
      <c r="A22" s="6"/>
      <c r="B22" s="1"/>
      <c r="C22" s="1"/>
      <c r="D22" s="248" t="s">
        <v>205</v>
      </c>
      <c r="E22" s="248"/>
      <c r="F22" s="248"/>
      <c r="G22" s="248"/>
      <c r="H22" s="248"/>
      <c r="I22" s="248"/>
      <c r="J22" s="248"/>
      <c r="K22" s="248"/>
      <c r="L22" s="247" t="s">
        <v>5709</v>
      </c>
      <c r="M22" s="259">
        <v>28185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30649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30895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414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5288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836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885</v>
      </c>
      <c r="G49" s="238"/>
      <c r="H49" s="238"/>
      <c r="I49" s="238"/>
      <c r="J49" s="10" t="s">
        <v>886</v>
      </c>
      <c r="K49" s="238" t="s">
        <v>887</v>
      </c>
      <c r="L49" s="238"/>
      <c r="M49" s="238"/>
      <c r="N49" s="238" t="s">
        <v>888</v>
      </c>
      <c r="O49" s="238"/>
      <c r="P49" s="238"/>
      <c r="Q49" s="238" t="s">
        <v>889</v>
      </c>
      <c r="R49" s="238"/>
      <c r="S49" s="238"/>
      <c r="T49" s="238"/>
      <c r="U49" s="238"/>
      <c r="V49" s="238"/>
      <c r="W49" s="238" t="s">
        <v>890</v>
      </c>
      <c r="X49" s="238"/>
      <c r="Y49" s="10" t="s">
        <v>891</v>
      </c>
      <c r="Z49" s="10" t="s">
        <v>892</v>
      </c>
      <c r="AA49" s="238" t="s">
        <v>893</v>
      </c>
      <c r="AB49" s="238"/>
      <c r="AC49" s="238"/>
      <c r="AD49" s="238"/>
      <c r="AE49" s="10" t="s">
        <v>894</v>
      </c>
      <c r="AF49" s="237" t="s">
        <v>895</v>
      </c>
      <c r="AG49" s="237"/>
      <c r="AH49" s="237"/>
      <c r="AI49" s="237"/>
      <c r="AJ49" s="2"/>
      <c r="AK49" s="2"/>
      <c r="AL49" s="2"/>
      <c r="AM49" s="2"/>
      <c r="AN49" s="7"/>
    </row>
    <row r="50" spans="1:40" ht="13.5" thickBot="1">
      <c r="A50" s="6"/>
      <c r="B50" s="2"/>
      <c r="C50" s="2"/>
      <c r="D50" s="244" t="s">
        <v>261</v>
      </c>
      <c r="E50" s="244"/>
      <c r="F50" s="238" t="s">
        <v>6897</v>
      </c>
      <c r="G50" s="238"/>
      <c r="H50" s="238"/>
      <c r="I50" s="238"/>
      <c r="J50" s="10" t="s">
        <v>896</v>
      </c>
      <c r="K50" s="238" t="s">
        <v>897</v>
      </c>
      <c r="L50" s="238"/>
      <c r="M50" s="238"/>
      <c r="N50" s="238" t="s">
        <v>3906</v>
      </c>
      <c r="O50" s="238"/>
      <c r="P50" s="238"/>
      <c r="Q50" s="238" t="s">
        <v>898</v>
      </c>
      <c r="R50" s="238"/>
      <c r="S50" s="238"/>
      <c r="T50" s="238"/>
      <c r="U50" s="238"/>
      <c r="V50" s="238"/>
      <c r="W50" s="238" t="s">
        <v>899</v>
      </c>
      <c r="X50" s="238"/>
      <c r="Y50" s="10" t="s">
        <v>900</v>
      </c>
      <c r="Z50" s="10" t="s">
        <v>901</v>
      </c>
      <c r="AA50" s="238" t="s">
        <v>902</v>
      </c>
      <c r="AB50" s="238"/>
      <c r="AC50" s="238"/>
      <c r="AD50" s="238"/>
      <c r="AE50" s="10" t="s">
        <v>903</v>
      </c>
      <c r="AF50" s="237" t="s">
        <v>904</v>
      </c>
      <c r="AG50" s="237"/>
      <c r="AH50" s="237"/>
      <c r="AI50" s="237"/>
      <c r="AJ50" s="2"/>
      <c r="AK50" s="2"/>
      <c r="AL50" s="2"/>
      <c r="AM50" s="2"/>
      <c r="AN50" s="7"/>
    </row>
    <row r="51" spans="1:40" ht="13.5" thickBot="1">
      <c r="A51" s="6"/>
      <c r="B51" s="2"/>
      <c r="C51" s="2"/>
      <c r="D51" s="244" t="s">
        <v>273</v>
      </c>
      <c r="E51" s="244"/>
      <c r="F51" s="238" t="s">
        <v>905</v>
      </c>
      <c r="G51" s="238"/>
      <c r="H51" s="238"/>
      <c r="I51" s="238"/>
      <c r="J51" s="10" t="s">
        <v>906</v>
      </c>
      <c r="K51" s="238" t="s">
        <v>907</v>
      </c>
      <c r="L51" s="238"/>
      <c r="M51" s="238"/>
      <c r="N51" s="238" t="s">
        <v>908</v>
      </c>
      <c r="O51" s="238"/>
      <c r="P51" s="238"/>
      <c r="Q51" s="238" t="s">
        <v>145</v>
      </c>
      <c r="R51" s="238"/>
      <c r="S51" s="238"/>
      <c r="T51" s="238"/>
      <c r="U51" s="238"/>
      <c r="V51" s="238"/>
      <c r="W51" s="238" t="s">
        <v>909</v>
      </c>
      <c r="X51" s="238"/>
      <c r="Y51" s="10" t="s">
        <v>910</v>
      </c>
      <c r="Z51" s="10" t="s">
        <v>911</v>
      </c>
      <c r="AA51" s="238" t="s">
        <v>912</v>
      </c>
      <c r="AB51" s="238"/>
      <c r="AC51" s="238"/>
      <c r="AD51" s="238"/>
      <c r="AE51" s="10" t="s">
        <v>4509</v>
      </c>
      <c r="AF51" s="237" t="s">
        <v>579</v>
      </c>
      <c r="AG51" s="237"/>
      <c r="AH51" s="237"/>
      <c r="AI51" s="237"/>
      <c r="AJ51" s="2"/>
      <c r="AK51" s="2"/>
      <c r="AL51" s="2"/>
      <c r="AM51" s="2"/>
      <c r="AN51" s="7"/>
    </row>
    <row r="52" spans="1:40" ht="13.5" thickBot="1">
      <c r="A52" s="6"/>
      <c r="B52" s="2"/>
      <c r="C52" s="2"/>
      <c r="D52" s="244" t="s">
        <v>285</v>
      </c>
      <c r="E52" s="244"/>
      <c r="F52" s="238" t="s">
        <v>6077</v>
      </c>
      <c r="G52" s="238"/>
      <c r="H52" s="238"/>
      <c r="I52" s="238"/>
      <c r="J52" s="10" t="s">
        <v>4225</v>
      </c>
      <c r="K52" s="238" t="s">
        <v>913</v>
      </c>
      <c r="L52" s="238"/>
      <c r="M52" s="238"/>
      <c r="N52" s="238" t="s">
        <v>6188</v>
      </c>
      <c r="O52" s="238"/>
      <c r="P52" s="238"/>
      <c r="Q52" s="238" t="s">
        <v>3355</v>
      </c>
      <c r="R52" s="238"/>
      <c r="S52" s="238"/>
      <c r="T52" s="238"/>
      <c r="U52" s="238"/>
      <c r="V52" s="238"/>
      <c r="W52" s="238" t="s">
        <v>914</v>
      </c>
      <c r="X52" s="238"/>
      <c r="Y52" s="10" t="s">
        <v>3907</v>
      </c>
      <c r="Z52" s="10" t="s">
        <v>915</v>
      </c>
      <c r="AA52" s="238" t="s">
        <v>916</v>
      </c>
      <c r="AB52" s="238"/>
      <c r="AC52" s="238"/>
      <c r="AD52" s="238"/>
      <c r="AE52" s="10" t="s">
        <v>917</v>
      </c>
      <c r="AF52" s="237" t="s">
        <v>918</v>
      </c>
      <c r="AG52" s="237"/>
      <c r="AH52" s="237"/>
      <c r="AI52" s="237"/>
      <c r="AJ52" s="2"/>
      <c r="AK52" s="2"/>
      <c r="AL52" s="2"/>
      <c r="AM52" s="2"/>
      <c r="AN52" s="7"/>
    </row>
    <row r="53" spans="1:40" ht="13.5" thickBot="1">
      <c r="A53" s="6"/>
      <c r="B53" s="2"/>
      <c r="C53" s="2"/>
      <c r="D53" s="244" t="s">
        <v>295</v>
      </c>
      <c r="E53" s="244"/>
      <c r="F53" s="238" t="s">
        <v>919</v>
      </c>
      <c r="G53" s="238"/>
      <c r="H53" s="238"/>
      <c r="I53" s="238"/>
      <c r="J53" s="10" t="s">
        <v>1965</v>
      </c>
      <c r="K53" s="238" t="s">
        <v>920</v>
      </c>
      <c r="L53" s="238"/>
      <c r="M53" s="238"/>
      <c r="N53" s="238" t="s">
        <v>5526</v>
      </c>
      <c r="O53" s="238"/>
      <c r="P53" s="238"/>
      <c r="Q53" s="238" t="s">
        <v>4373</v>
      </c>
      <c r="R53" s="238"/>
      <c r="S53" s="238"/>
      <c r="T53" s="238"/>
      <c r="U53" s="238"/>
      <c r="V53" s="238"/>
      <c r="W53" s="238" t="s">
        <v>4236</v>
      </c>
      <c r="X53" s="238"/>
      <c r="Y53" s="10" t="s">
        <v>4887</v>
      </c>
      <c r="Z53" s="10" t="s">
        <v>5320</v>
      </c>
      <c r="AA53" s="238" t="s">
        <v>921</v>
      </c>
      <c r="AB53" s="238"/>
      <c r="AC53" s="238"/>
      <c r="AD53" s="238"/>
      <c r="AE53" s="10" t="s">
        <v>5063</v>
      </c>
      <c r="AF53" s="237" t="s">
        <v>5185</v>
      </c>
      <c r="AG53" s="237"/>
      <c r="AH53" s="237"/>
      <c r="AI53" s="237"/>
      <c r="AJ53" s="2"/>
      <c r="AK53" s="2"/>
      <c r="AL53" s="2"/>
      <c r="AM53" s="2"/>
      <c r="AN53" s="7"/>
    </row>
    <row r="54" spans="1:40" ht="13.5" thickBot="1">
      <c r="A54" s="6"/>
      <c r="B54" s="2"/>
      <c r="C54" s="2"/>
      <c r="D54" s="244" t="s">
        <v>307</v>
      </c>
      <c r="E54" s="244"/>
      <c r="F54" s="238" t="s">
        <v>5363</v>
      </c>
      <c r="G54" s="238"/>
      <c r="H54" s="238"/>
      <c r="I54" s="238"/>
      <c r="J54" s="10" t="s">
        <v>491</v>
      </c>
      <c r="K54" s="238" t="s">
        <v>5030</v>
      </c>
      <c r="L54" s="238"/>
      <c r="M54" s="238"/>
      <c r="N54" s="238" t="s">
        <v>6053</v>
      </c>
      <c r="O54" s="238"/>
      <c r="P54" s="238"/>
      <c r="Q54" s="238" t="s">
        <v>6878</v>
      </c>
      <c r="R54" s="238"/>
      <c r="S54" s="238"/>
      <c r="T54" s="238"/>
      <c r="U54" s="238"/>
      <c r="V54" s="238"/>
      <c r="W54" s="238" t="s">
        <v>922</v>
      </c>
      <c r="X54" s="238"/>
      <c r="Y54" s="10" t="s">
        <v>923</v>
      </c>
      <c r="Z54" s="10" t="s">
        <v>489</v>
      </c>
      <c r="AA54" s="238" t="s">
        <v>4005</v>
      </c>
      <c r="AB54" s="238"/>
      <c r="AC54" s="238"/>
      <c r="AD54" s="238"/>
      <c r="AE54" s="10" t="s">
        <v>140</v>
      </c>
      <c r="AF54" s="237" t="s">
        <v>3999</v>
      </c>
      <c r="AG54" s="237"/>
      <c r="AH54" s="237"/>
      <c r="AI54" s="237"/>
      <c r="AJ54" s="2"/>
      <c r="AK54" s="2"/>
      <c r="AL54" s="2"/>
      <c r="AM54" s="2"/>
      <c r="AN54" s="7"/>
    </row>
    <row r="55" spans="1:40" ht="13.5" thickBot="1">
      <c r="A55" s="6"/>
      <c r="B55" s="2"/>
      <c r="C55" s="2"/>
      <c r="D55" s="244" t="s">
        <v>319</v>
      </c>
      <c r="E55" s="244"/>
      <c r="F55" s="237" t="s">
        <v>916</v>
      </c>
      <c r="G55" s="237"/>
      <c r="H55" s="237"/>
      <c r="I55" s="237"/>
      <c r="J55" s="11" t="s">
        <v>6187</v>
      </c>
      <c r="K55" s="237" t="s">
        <v>924</v>
      </c>
      <c r="L55" s="237"/>
      <c r="M55" s="237"/>
      <c r="N55" s="237" t="s">
        <v>182</v>
      </c>
      <c r="O55" s="237"/>
      <c r="P55" s="237"/>
      <c r="Q55" s="237" t="s">
        <v>6456</v>
      </c>
      <c r="R55" s="237"/>
      <c r="S55" s="237"/>
      <c r="T55" s="237"/>
      <c r="U55" s="237"/>
      <c r="V55" s="237"/>
      <c r="W55" s="237" t="s">
        <v>492</v>
      </c>
      <c r="X55" s="237"/>
      <c r="Y55" s="11" t="s">
        <v>6219</v>
      </c>
      <c r="Z55" s="11" t="s">
        <v>925</v>
      </c>
      <c r="AA55" s="237" t="s">
        <v>10</v>
      </c>
      <c r="AB55" s="237"/>
      <c r="AC55" s="237"/>
      <c r="AD55" s="237"/>
      <c r="AE55" s="11" t="s">
        <v>926</v>
      </c>
      <c r="AF55" s="237" t="s">
        <v>927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indexed="10"/>
  </sheetPr>
  <dimension ref="A1:AU61"/>
  <sheetViews>
    <sheetView topLeftCell="I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928</v>
      </c>
      <c r="E7" s="269"/>
      <c r="F7" s="269"/>
      <c r="G7" s="269"/>
      <c r="H7" s="269" t="s">
        <v>929</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CHINON-B-3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4473</v>
      </c>
      <c r="AE16" s="248"/>
      <c r="AF16" s="248"/>
      <c r="AG16" s="248"/>
      <c r="AH16" s="248"/>
      <c r="AI16" s="2"/>
      <c r="AJ16" s="1"/>
      <c r="AK16" s="2"/>
      <c r="AL16" s="1"/>
      <c r="AM16" s="2"/>
      <c r="AN16" s="7"/>
      <c r="AT16" s="24" t="str">
        <f>D17 &amp; " [MWe]"</f>
        <v>Latest gross electrical power [MWe]</v>
      </c>
      <c r="AU16" s="24">
        <f>M17</f>
        <v>954</v>
      </c>
    </row>
    <row r="17" spans="1:47" ht="13.5" thickBot="1">
      <c r="A17" s="6"/>
      <c r="B17" s="1"/>
      <c r="C17" s="1"/>
      <c r="D17" s="248" t="s">
        <v>189</v>
      </c>
      <c r="E17" s="248"/>
      <c r="F17" s="248"/>
      <c r="G17" s="248"/>
      <c r="H17" s="248"/>
      <c r="I17" s="248"/>
      <c r="J17" s="248"/>
      <c r="K17" s="248"/>
      <c r="L17" s="8" t="s">
        <v>5709</v>
      </c>
      <c r="M17" s="264">
        <v>954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905</v>
      </c>
    </row>
    <row r="18" spans="1:47" ht="13.5" thickBot="1">
      <c r="A18" s="6"/>
      <c r="B18" s="1"/>
      <c r="C18" s="1"/>
      <c r="D18" s="248" t="s">
        <v>193</v>
      </c>
      <c r="E18" s="248"/>
      <c r="F18" s="248"/>
      <c r="G18" s="248"/>
      <c r="H18" s="248"/>
      <c r="I18" s="248"/>
      <c r="J18" s="248"/>
      <c r="K18" s="248"/>
      <c r="L18" s="8" t="s">
        <v>5709</v>
      </c>
      <c r="M18" s="264">
        <v>905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31705</v>
      </c>
    </row>
    <row r="19" spans="1:47" ht="13.5" thickBot="1">
      <c r="A19" s="6"/>
      <c r="B19" s="1"/>
      <c r="C19" s="1"/>
      <c r="D19" s="248" t="s">
        <v>196</v>
      </c>
      <c r="E19" s="248"/>
      <c r="F19" s="248"/>
      <c r="G19" s="248"/>
      <c r="H19" s="248"/>
      <c r="I19" s="248"/>
      <c r="J19" s="248"/>
      <c r="K19" s="248"/>
      <c r="L19" s="8" t="s">
        <v>5709</v>
      </c>
      <c r="M19" s="264">
        <v>905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70.58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81.85</v>
      </c>
    </row>
    <row r="22" spans="1:47" ht="8.85" customHeight="1" thickBot="1">
      <c r="A22" s="6"/>
      <c r="B22" s="1"/>
      <c r="C22" s="1"/>
      <c r="D22" s="248" t="s">
        <v>205</v>
      </c>
      <c r="E22" s="248"/>
      <c r="F22" s="248"/>
      <c r="G22" s="248"/>
      <c r="H22" s="248"/>
      <c r="I22" s="248"/>
      <c r="J22" s="248"/>
      <c r="K22" s="248"/>
      <c r="L22" s="247" t="s">
        <v>5709</v>
      </c>
      <c r="M22" s="259">
        <v>29495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31705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31840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414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5288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836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930</v>
      </c>
      <c r="G49" s="238"/>
      <c r="H49" s="238"/>
      <c r="I49" s="238"/>
      <c r="J49" s="10" t="s">
        <v>931</v>
      </c>
      <c r="K49" s="238" t="s">
        <v>932</v>
      </c>
      <c r="L49" s="238"/>
      <c r="M49" s="238"/>
      <c r="N49" s="238" t="s">
        <v>933</v>
      </c>
      <c r="O49" s="238"/>
      <c r="P49" s="238"/>
      <c r="Q49" s="238" t="s">
        <v>934</v>
      </c>
      <c r="R49" s="238"/>
      <c r="S49" s="238"/>
      <c r="T49" s="238"/>
      <c r="U49" s="238"/>
      <c r="V49" s="238"/>
      <c r="W49" s="238" t="s">
        <v>935</v>
      </c>
      <c r="X49" s="238"/>
      <c r="Y49" s="10" t="s">
        <v>936</v>
      </c>
      <c r="Z49" s="10" t="s">
        <v>937</v>
      </c>
      <c r="AA49" s="238" t="s">
        <v>938</v>
      </c>
      <c r="AB49" s="238"/>
      <c r="AC49" s="238"/>
      <c r="AD49" s="238"/>
      <c r="AE49" s="10" t="s">
        <v>939</v>
      </c>
      <c r="AF49" s="237" t="s">
        <v>940</v>
      </c>
      <c r="AG49" s="237"/>
      <c r="AH49" s="237"/>
      <c r="AI49" s="237"/>
      <c r="AJ49" s="2"/>
      <c r="AK49" s="2"/>
      <c r="AL49" s="2"/>
      <c r="AM49" s="2"/>
      <c r="AN49" s="7"/>
    </row>
    <row r="50" spans="1:40" ht="13.5" thickBot="1">
      <c r="A50" s="6"/>
      <c r="B50" s="2"/>
      <c r="C50" s="2"/>
      <c r="D50" s="244" t="s">
        <v>261</v>
      </c>
      <c r="E50" s="244"/>
      <c r="F50" s="238" t="s">
        <v>6755</v>
      </c>
      <c r="G50" s="238"/>
      <c r="H50" s="238"/>
      <c r="I50" s="238"/>
      <c r="J50" s="10" t="s">
        <v>6825</v>
      </c>
      <c r="K50" s="238" t="s">
        <v>941</v>
      </c>
      <c r="L50" s="238"/>
      <c r="M50" s="238"/>
      <c r="N50" s="238" t="s">
        <v>4577</v>
      </c>
      <c r="O50" s="238"/>
      <c r="P50" s="238"/>
      <c r="Q50" s="238" t="s">
        <v>942</v>
      </c>
      <c r="R50" s="238"/>
      <c r="S50" s="238"/>
      <c r="T50" s="238"/>
      <c r="U50" s="238"/>
      <c r="V50" s="238"/>
      <c r="W50" s="238" t="s">
        <v>943</v>
      </c>
      <c r="X50" s="238"/>
      <c r="Y50" s="10" t="s">
        <v>696</v>
      </c>
      <c r="Z50" s="10" t="s">
        <v>944</v>
      </c>
      <c r="AA50" s="238" t="s">
        <v>945</v>
      </c>
      <c r="AB50" s="238"/>
      <c r="AC50" s="238"/>
      <c r="AD50" s="238"/>
      <c r="AE50" s="10" t="s">
        <v>946</v>
      </c>
      <c r="AF50" s="237" t="s">
        <v>5373</v>
      </c>
      <c r="AG50" s="237"/>
      <c r="AH50" s="237"/>
      <c r="AI50" s="237"/>
      <c r="AJ50" s="2"/>
      <c r="AK50" s="2"/>
      <c r="AL50" s="2"/>
      <c r="AM50" s="2"/>
      <c r="AN50" s="7"/>
    </row>
    <row r="51" spans="1:40" ht="13.5" thickBot="1">
      <c r="A51" s="6"/>
      <c r="B51" s="2"/>
      <c r="C51" s="2"/>
      <c r="D51" s="244" t="s">
        <v>273</v>
      </c>
      <c r="E51" s="244"/>
      <c r="F51" s="238" t="s">
        <v>1823</v>
      </c>
      <c r="G51" s="238"/>
      <c r="H51" s="238"/>
      <c r="I51" s="238"/>
      <c r="J51" s="10" t="s">
        <v>947</v>
      </c>
      <c r="K51" s="238" t="s">
        <v>2787</v>
      </c>
      <c r="L51" s="238"/>
      <c r="M51" s="238"/>
      <c r="N51" s="238" t="s">
        <v>3393</v>
      </c>
      <c r="O51" s="238"/>
      <c r="P51" s="238"/>
      <c r="Q51" s="238" t="s">
        <v>948</v>
      </c>
      <c r="R51" s="238"/>
      <c r="S51" s="238"/>
      <c r="T51" s="238"/>
      <c r="U51" s="238"/>
      <c r="V51" s="238"/>
      <c r="W51" s="238" t="s">
        <v>949</v>
      </c>
      <c r="X51" s="238"/>
      <c r="Y51" s="10" t="s">
        <v>417</v>
      </c>
      <c r="Z51" s="10" t="s">
        <v>950</v>
      </c>
      <c r="AA51" s="238" t="s">
        <v>951</v>
      </c>
      <c r="AB51" s="238"/>
      <c r="AC51" s="238"/>
      <c r="AD51" s="238"/>
      <c r="AE51" s="10" t="s">
        <v>4617</v>
      </c>
      <c r="AF51" s="237" t="s">
        <v>3567</v>
      </c>
      <c r="AG51" s="237"/>
      <c r="AH51" s="237"/>
      <c r="AI51" s="237"/>
      <c r="AJ51" s="2"/>
      <c r="AK51" s="2"/>
      <c r="AL51" s="2"/>
      <c r="AM51" s="2"/>
      <c r="AN51" s="7"/>
    </row>
    <row r="52" spans="1:40" ht="13.5" thickBot="1">
      <c r="A52" s="6"/>
      <c r="B52" s="2"/>
      <c r="C52" s="2"/>
      <c r="D52" s="244" t="s">
        <v>285</v>
      </c>
      <c r="E52" s="244"/>
      <c r="F52" s="238" t="s">
        <v>6019</v>
      </c>
      <c r="G52" s="238"/>
      <c r="H52" s="238"/>
      <c r="I52" s="238"/>
      <c r="J52" s="10" t="s">
        <v>6738</v>
      </c>
      <c r="K52" s="238" t="s">
        <v>952</v>
      </c>
      <c r="L52" s="238"/>
      <c r="M52" s="238"/>
      <c r="N52" s="238" t="s">
        <v>4530</v>
      </c>
      <c r="O52" s="238"/>
      <c r="P52" s="238"/>
      <c r="Q52" s="238" t="s">
        <v>953</v>
      </c>
      <c r="R52" s="238"/>
      <c r="S52" s="238"/>
      <c r="T52" s="238"/>
      <c r="U52" s="238"/>
      <c r="V52" s="238"/>
      <c r="W52" s="238" t="s">
        <v>2796</v>
      </c>
      <c r="X52" s="238"/>
      <c r="Y52" s="10" t="s">
        <v>6471</v>
      </c>
      <c r="Z52" s="10" t="s">
        <v>653</v>
      </c>
      <c r="AA52" s="238" t="s">
        <v>954</v>
      </c>
      <c r="AB52" s="238"/>
      <c r="AC52" s="238"/>
      <c r="AD52" s="238"/>
      <c r="AE52" s="10" t="s">
        <v>4835</v>
      </c>
      <c r="AF52" s="237" t="s">
        <v>6632</v>
      </c>
      <c r="AG52" s="237"/>
      <c r="AH52" s="237"/>
      <c r="AI52" s="237"/>
      <c r="AJ52" s="2"/>
      <c r="AK52" s="2"/>
      <c r="AL52" s="2"/>
      <c r="AM52" s="2"/>
      <c r="AN52" s="7"/>
    </row>
    <row r="53" spans="1:40" ht="13.5" thickBot="1">
      <c r="A53" s="6"/>
      <c r="B53" s="2"/>
      <c r="C53" s="2"/>
      <c r="D53" s="244" t="s">
        <v>295</v>
      </c>
      <c r="E53" s="244"/>
      <c r="F53" s="238" t="s">
        <v>1778</v>
      </c>
      <c r="G53" s="238"/>
      <c r="H53" s="238"/>
      <c r="I53" s="238"/>
      <c r="J53" s="10" t="s">
        <v>4272</v>
      </c>
      <c r="K53" s="238" t="s">
        <v>3572</v>
      </c>
      <c r="L53" s="238"/>
      <c r="M53" s="238"/>
      <c r="N53" s="238" t="s">
        <v>955</v>
      </c>
      <c r="O53" s="238"/>
      <c r="P53" s="238"/>
      <c r="Q53" s="238" t="s">
        <v>6891</v>
      </c>
      <c r="R53" s="238"/>
      <c r="S53" s="238"/>
      <c r="T53" s="238"/>
      <c r="U53" s="238"/>
      <c r="V53" s="238"/>
      <c r="W53" s="238" t="s">
        <v>956</v>
      </c>
      <c r="X53" s="238"/>
      <c r="Y53" s="10" t="s">
        <v>4072</v>
      </c>
      <c r="Z53" s="10" t="s">
        <v>4105</v>
      </c>
      <c r="AA53" s="238" t="s">
        <v>957</v>
      </c>
      <c r="AB53" s="238"/>
      <c r="AC53" s="238"/>
      <c r="AD53" s="238"/>
      <c r="AE53" s="10" t="s">
        <v>3052</v>
      </c>
      <c r="AF53" s="237" t="s">
        <v>958</v>
      </c>
      <c r="AG53" s="237"/>
      <c r="AH53" s="237"/>
      <c r="AI53" s="237"/>
      <c r="AJ53" s="2"/>
      <c r="AK53" s="2"/>
      <c r="AL53" s="2"/>
      <c r="AM53" s="2"/>
      <c r="AN53" s="7"/>
    </row>
    <row r="54" spans="1:40" ht="13.5" thickBot="1">
      <c r="A54" s="6"/>
      <c r="B54" s="2"/>
      <c r="C54" s="2"/>
      <c r="D54" s="244" t="s">
        <v>307</v>
      </c>
      <c r="E54" s="244"/>
      <c r="F54" s="238" t="s">
        <v>4847</v>
      </c>
      <c r="G54" s="238"/>
      <c r="H54" s="238"/>
      <c r="I54" s="238"/>
      <c r="J54" s="10" t="s">
        <v>959</v>
      </c>
      <c r="K54" s="238" t="s">
        <v>573</v>
      </c>
      <c r="L54" s="238"/>
      <c r="M54" s="238"/>
      <c r="N54" s="238" t="s">
        <v>960</v>
      </c>
      <c r="O54" s="238"/>
      <c r="P54" s="238"/>
      <c r="Q54" s="238" t="s">
        <v>6906</v>
      </c>
      <c r="R54" s="238"/>
      <c r="S54" s="238"/>
      <c r="T54" s="238"/>
      <c r="U54" s="238"/>
      <c r="V54" s="238"/>
      <c r="W54" s="238" t="s">
        <v>6340</v>
      </c>
      <c r="X54" s="238"/>
      <c r="Y54" s="10" t="s">
        <v>961</v>
      </c>
      <c r="Z54" s="10" t="s">
        <v>4662</v>
      </c>
      <c r="AA54" s="238" t="s">
        <v>962</v>
      </c>
      <c r="AB54" s="238"/>
      <c r="AC54" s="238"/>
      <c r="AD54" s="238"/>
      <c r="AE54" s="10" t="s">
        <v>4005</v>
      </c>
      <c r="AF54" s="237" t="s">
        <v>963</v>
      </c>
      <c r="AG54" s="237"/>
      <c r="AH54" s="237"/>
      <c r="AI54" s="237"/>
      <c r="AJ54" s="2"/>
      <c r="AK54" s="2"/>
      <c r="AL54" s="2"/>
      <c r="AM54" s="2"/>
      <c r="AN54" s="7"/>
    </row>
    <row r="55" spans="1:40" ht="13.5" thickBot="1">
      <c r="A55" s="6"/>
      <c r="B55" s="2"/>
      <c r="C55" s="2"/>
      <c r="D55" s="244" t="s">
        <v>319</v>
      </c>
      <c r="E55" s="244"/>
      <c r="F55" s="237" t="s">
        <v>964</v>
      </c>
      <c r="G55" s="237"/>
      <c r="H55" s="237"/>
      <c r="I55" s="237"/>
      <c r="J55" s="11" t="s">
        <v>965</v>
      </c>
      <c r="K55" s="237" t="s">
        <v>966</v>
      </c>
      <c r="L55" s="237"/>
      <c r="M55" s="237"/>
      <c r="N55" s="237" t="s">
        <v>967</v>
      </c>
      <c r="O55" s="237"/>
      <c r="P55" s="237"/>
      <c r="Q55" s="237" t="s">
        <v>968</v>
      </c>
      <c r="R55" s="237"/>
      <c r="S55" s="237"/>
      <c r="T55" s="237"/>
      <c r="U55" s="237"/>
      <c r="V55" s="237"/>
      <c r="W55" s="237" t="s">
        <v>5113</v>
      </c>
      <c r="X55" s="237"/>
      <c r="Y55" s="11" t="s">
        <v>1856</v>
      </c>
      <c r="Z55" s="11" t="s">
        <v>969</v>
      </c>
      <c r="AA55" s="237" t="s">
        <v>970</v>
      </c>
      <c r="AB55" s="237"/>
      <c r="AC55" s="237"/>
      <c r="AD55" s="237"/>
      <c r="AE55" s="11" t="s">
        <v>971</v>
      </c>
      <c r="AF55" s="237" t="s">
        <v>972</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indexed="10"/>
  </sheetPr>
  <dimension ref="A1:AU61"/>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973</v>
      </c>
      <c r="E7" s="269"/>
      <c r="F7" s="269"/>
      <c r="G7" s="269"/>
      <c r="H7" s="269" t="s">
        <v>974</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CHINON-B-4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4473</v>
      </c>
      <c r="AE16" s="248"/>
      <c r="AF16" s="248"/>
      <c r="AG16" s="248"/>
      <c r="AH16" s="248"/>
      <c r="AI16" s="2"/>
      <c r="AJ16" s="1"/>
      <c r="AK16" s="2"/>
      <c r="AL16" s="1"/>
      <c r="AM16" s="2"/>
      <c r="AN16" s="7"/>
      <c r="AT16" s="24" t="str">
        <f>D17 &amp; " [MWe]"</f>
        <v>Latest gross electrical power [MWe]</v>
      </c>
      <c r="AU16" s="24">
        <f>M17</f>
        <v>954</v>
      </c>
    </row>
    <row r="17" spans="1:47" ht="13.5" thickBot="1">
      <c r="A17" s="6"/>
      <c r="B17" s="1"/>
      <c r="C17" s="1"/>
      <c r="D17" s="248" t="s">
        <v>189</v>
      </c>
      <c r="E17" s="248"/>
      <c r="F17" s="248"/>
      <c r="G17" s="248"/>
      <c r="H17" s="248"/>
      <c r="I17" s="248"/>
      <c r="J17" s="248"/>
      <c r="K17" s="248"/>
      <c r="L17" s="8" t="s">
        <v>5709</v>
      </c>
      <c r="M17" s="264">
        <v>954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905</v>
      </c>
    </row>
    <row r="18" spans="1:47" ht="13.5" thickBot="1">
      <c r="A18" s="6"/>
      <c r="B18" s="1"/>
      <c r="C18" s="1"/>
      <c r="D18" s="248" t="s">
        <v>193</v>
      </c>
      <c r="E18" s="248"/>
      <c r="F18" s="248"/>
      <c r="G18" s="248"/>
      <c r="H18" s="248"/>
      <c r="I18" s="248"/>
      <c r="J18" s="248"/>
      <c r="K18" s="248"/>
      <c r="L18" s="8" t="s">
        <v>5709</v>
      </c>
      <c r="M18" s="264">
        <v>905</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32095</v>
      </c>
    </row>
    <row r="19" spans="1:47" ht="13.5" thickBot="1">
      <c r="A19" s="6"/>
      <c r="B19" s="1"/>
      <c r="C19" s="1"/>
      <c r="D19" s="248" t="s">
        <v>196</v>
      </c>
      <c r="E19" s="248"/>
      <c r="F19" s="248"/>
      <c r="G19" s="248"/>
      <c r="H19" s="248"/>
      <c r="I19" s="248"/>
      <c r="J19" s="248"/>
      <c r="K19" s="248"/>
      <c r="L19" s="8" t="s">
        <v>5709</v>
      </c>
      <c r="M19" s="264">
        <v>905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67.57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54.27</v>
      </c>
    </row>
    <row r="22" spans="1:47" ht="8.85" customHeight="1" thickBot="1">
      <c r="A22" s="6"/>
      <c r="B22" s="1"/>
      <c r="C22" s="1"/>
      <c r="D22" s="248" t="s">
        <v>205</v>
      </c>
      <c r="E22" s="248"/>
      <c r="F22" s="248"/>
      <c r="G22" s="248"/>
      <c r="H22" s="248"/>
      <c r="I22" s="248"/>
      <c r="J22" s="248"/>
      <c r="K22" s="248"/>
      <c r="L22" s="247" t="s">
        <v>5709</v>
      </c>
      <c r="M22" s="259">
        <v>29618</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32095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32234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414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5288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836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975</v>
      </c>
      <c r="G49" s="238"/>
      <c r="H49" s="238"/>
      <c r="I49" s="238"/>
      <c r="J49" s="10" t="s">
        <v>976</v>
      </c>
      <c r="K49" s="238" t="s">
        <v>977</v>
      </c>
      <c r="L49" s="238"/>
      <c r="M49" s="238"/>
      <c r="N49" s="238" t="s">
        <v>978</v>
      </c>
      <c r="O49" s="238"/>
      <c r="P49" s="238"/>
      <c r="Q49" s="238" t="s">
        <v>979</v>
      </c>
      <c r="R49" s="238"/>
      <c r="S49" s="238"/>
      <c r="T49" s="238"/>
      <c r="U49" s="238"/>
      <c r="V49" s="238"/>
      <c r="W49" s="238" t="s">
        <v>980</v>
      </c>
      <c r="X49" s="238"/>
      <c r="Y49" s="10" t="s">
        <v>981</v>
      </c>
      <c r="Z49" s="10" t="s">
        <v>982</v>
      </c>
      <c r="AA49" s="238" t="s">
        <v>983</v>
      </c>
      <c r="AB49" s="238"/>
      <c r="AC49" s="238"/>
      <c r="AD49" s="238"/>
      <c r="AE49" s="10" t="s">
        <v>984</v>
      </c>
      <c r="AF49" s="237" t="s">
        <v>985</v>
      </c>
      <c r="AG49" s="237"/>
      <c r="AH49" s="237"/>
      <c r="AI49" s="237"/>
      <c r="AJ49" s="2"/>
      <c r="AK49" s="2"/>
      <c r="AL49" s="2"/>
      <c r="AM49" s="2"/>
      <c r="AN49" s="7"/>
    </row>
    <row r="50" spans="1:40" ht="13.5" thickBot="1">
      <c r="A50" s="6"/>
      <c r="B50" s="2"/>
      <c r="C50" s="2"/>
      <c r="D50" s="244" t="s">
        <v>261</v>
      </c>
      <c r="E50" s="244"/>
      <c r="F50" s="238" t="s">
        <v>487</v>
      </c>
      <c r="G50" s="238"/>
      <c r="H50" s="238"/>
      <c r="I50" s="238"/>
      <c r="J50" s="10" t="s">
        <v>4601</v>
      </c>
      <c r="K50" s="238" t="s">
        <v>2963</v>
      </c>
      <c r="L50" s="238"/>
      <c r="M50" s="238"/>
      <c r="N50" s="238" t="s">
        <v>986</v>
      </c>
      <c r="O50" s="238"/>
      <c r="P50" s="238"/>
      <c r="Q50" s="238" t="s">
        <v>987</v>
      </c>
      <c r="R50" s="238"/>
      <c r="S50" s="238"/>
      <c r="T50" s="238"/>
      <c r="U50" s="238"/>
      <c r="V50" s="238"/>
      <c r="W50" s="238" t="s">
        <v>988</v>
      </c>
      <c r="X50" s="238"/>
      <c r="Y50" s="10" t="s">
        <v>989</v>
      </c>
      <c r="Z50" s="10" t="s">
        <v>990</v>
      </c>
      <c r="AA50" s="238" t="s">
        <v>991</v>
      </c>
      <c r="AB50" s="238"/>
      <c r="AC50" s="238"/>
      <c r="AD50" s="238"/>
      <c r="AE50" s="10" t="s">
        <v>992</v>
      </c>
      <c r="AF50" s="237" t="s">
        <v>993</v>
      </c>
      <c r="AG50" s="237"/>
      <c r="AH50" s="237"/>
      <c r="AI50" s="237"/>
      <c r="AJ50" s="2"/>
      <c r="AK50" s="2"/>
      <c r="AL50" s="2"/>
      <c r="AM50" s="2"/>
      <c r="AN50" s="7"/>
    </row>
    <row r="51" spans="1:40" ht="13.5" thickBot="1">
      <c r="A51" s="6"/>
      <c r="B51" s="2"/>
      <c r="C51" s="2"/>
      <c r="D51" s="244" t="s">
        <v>273</v>
      </c>
      <c r="E51" s="244"/>
      <c r="F51" s="238" t="s">
        <v>994</v>
      </c>
      <c r="G51" s="238"/>
      <c r="H51" s="238"/>
      <c r="I51" s="238"/>
      <c r="J51" s="10" t="s">
        <v>4414</v>
      </c>
      <c r="K51" s="238" t="s">
        <v>733</v>
      </c>
      <c r="L51" s="238"/>
      <c r="M51" s="238"/>
      <c r="N51" s="238" t="s">
        <v>1822</v>
      </c>
      <c r="O51" s="238"/>
      <c r="P51" s="238"/>
      <c r="Q51" s="238" t="s">
        <v>995</v>
      </c>
      <c r="R51" s="238"/>
      <c r="S51" s="238"/>
      <c r="T51" s="238"/>
      <c r="U51" s="238"/>
      <c r="V51" s="238"/>
      <c r="W51" s="238" t="s">
        <v>996</v>
      </c>
      <c r="X51" s="238"/>
      <c r="Y51" s="10" t="s">
        <v>997</v>
      </c>
      <c r="Z51" s="10" t="s">
        <v>998</v>
      </c>
      <c r="AA51" s="238" t="s">
        <v>447</v>
      </c>
      <c r="AB51" s="238"/>
      <c r="AC51" s="238"/>
      <c r="AD51" s="238"/>
      <c r="AE51" s="10" t="s">
        <v>6801</v>
      </c>
      <c r="AF51" s="237" t="s">
        <v>999</v>
      </c>
      <c r="AG51" s="237"/>
      <c r="AH51" s="237"/>
      <c r="AI51" s="237"/>
      <c r="AJ51" s="2"/>
      <c r="AK51" s="2"/>
      <c r="AL51" s="2"/>
      <c r="AM51" s="2"/>
      <c r="AN51" s="7"/>
    </row>
    <row r="52" spans="1:40" ht="13.5" thickBot="1">
      <c r="A52" s="6"/>
      <c r="B52" s="2"/>
      <c r="C52" s="2"/>
      <c r="D52" s="244" t="s">
        <v>285</v>
      </c>
      <c r="E52" s="244"/>
      <c r="F52" s="238" t="s">
        <v>1858</v>
      </c>
      <c r="G52" s="238"/>
      <c r="H52" s="238"/>
      <c r="I52" s="238"/>
      <c r="J52" s="10" t="s">
        <v>138</v>
      </c>
      <c r="K52" s="238" t="s">
        <v>4215</v>
      </c>
      <c r="L52" s="238"/>
      <c r="M52" s="238"/>
      <c r="N52" s="238" t="s">
        <v>1000</v>
      </c>
      <c r="O52" s="238"/>
      <c r="P52" s="238"/>
      <c r="Q52" s="238" t="s">
        <v>1001</v>
      </c>
      <c r="R52" s="238"/>
      <c r="S52" s="238"/>
      <c r="T52" s="238"/>
      <c r="U52" s="238"/>
      <c r="V52" s="238"/>
      <c r="W52" s="238" t="s">
        <v>6324</v>
      </c>
      <c r="X52" s="238"/>
      <c r="Y52" s="10" t="s">
        <v>1002</v>
      </c>
      <c r="Z52" s="10" t="s">
        <v>182</v>
      </c>
      <c r="AA52" s="238" t="s">
        <v>138</v>
      </c>
      <c r="AB52" s="238"/>
      <c r="AC52" s="238"/>
      <c r="AD52" s="238"/>
      <c r="AE52" s="10" t="s">
        <v>1003</v>
      </c>
      <c r="AF52" s="237" t="s">
        <v>1004</v>
      </c>
      <c r="AG52" s="237"/>
      <c r="AH52" s="237"/>
      <c r="AI52" s="237"/>
      <c r="AJ52" s="2"/>
      <c r="AK52" s="2"/>
      <c r="AL52" s="2"/>
      <c r="AM52" s="2"/>
      <c r="AN52" s="7"/>
    </row>
    <row r="53" spans="1:40" ht="13.5" thickBot="1">
      <c r="A53" s="6"/>
      <c r="B53" s="2"/>
      <c r="C53" s="2"/>
      <c r="D53" s="244" t="s">
        <v>295</v>
      </c>
      <c r="E53" s="244"/>
      <c r="F53" s="238" t="s">
        <v>3341</v>
      </c>
      <c r="G53" s="238"/>
      <c r="H53" s="238"/>
      <c r="I53" s="238"/>
      <c r="J53" s="10" t="s">
        <v>1005</v>
      </c>
      <c r="K53" s="238" t="s">
        <v>3272</v>
      </c>
      <c r="L53" s="238"/>
      <c r="M53" s="238"/>
      <c r="N53" s="238" t="s">
        <v>3567</v>
      </c>
      <c r="O53" s="238"/>
      <c r="P53" s="238"/>
      <c r="Q53" s="238" t="s">
        <v>1006</v>
      </c>
      <c r="R53" s="238"/>
      <c r="S53" s="238"/>
      <c r="T53" s="238"/>
      <c r="U53" s="238"/>
      <c r="V53" s="238"/>
      <c r="W53" s="238" t="s">
        <v>3348</v>
      </c>
      <c r="X53" s="238"/>
      <c r="Y53" s="10" t="s">
        <v>3682</v>
      </c>
      <c r="Z53" s="10" t="s">
        <v>1007</v>
      </c>
      <c r="AA53" s="238" t="s">
        <v>1008</v>
      </c>
      <c r="AB53" s="238"/>
      <c r="AC53" s="238"/>
      <c r="AD53" s="238"/>
      <c r="AE53" s="10" t="s">
        <v>3271</v>
      </c>
      <c r="AF53" s="237" t="s">
        <v>1009</v>
      </c>
      <c r="AG53" s="237"/>
      <c r="AH53" s="237"/>
      <c r="AI53" s="237"/>
      <c r="AJ53" s="2"/>
      <c r="AK53" s="2"/>
      <c r="AL53" s="2"/>
      <c r="AM53" s="2"/>
      <c r="AN53" s="7"/>
    </row>
    <row r="54" spans="1:40" ht="13.5" thickBot="1">
      <c r="A54" s="6"/>
      <c r="B54" s="2"/>
      <c r="C54" s="2"/>
      <c r="D54" s="244" t="s">
        <v>307</v>
      </c>
      <c r="E54" s="244"/>
      <c r="F54" s="238" t="s">
        <v>6855</v>
      </c>
      <c r="G54" s="238"/>
      <c r="H54" s="238"/>
      <c r="I54" s="238"/>
      <c r="J54" s="10" t="s">
        <v>477</v>
      </c>
      <c r="K54" s="238" t="s">
        <v>1010</v>
      </c>
      <c r="L54" s="238"/>
      <c r="M54" s="238"/>
      <c r="N54" s="238" t="s">
        <v>7053</v>
      </c>
      <c r="O54" s="238"/>
      <c r="P54" s="238"/>
      <c r="Q54" s="238" t="s">
        <v>6151</v>
      </c>
      <c r="R54" s="238"/>
      <c r="S54" s="238"/>
      <c r="T54" s="238"/>
      <c r="U54" s="238"/>
      <c r="V54" s="238"/>
      <c r="W54" s="238" t="s">
        <v>1011</v>
      </c>
      <c r="X54" s="238"/>
      <c r="Y54" s="10" t="s">
        <v>6853</v>
      </c>
      <c r="Z54" s="10" t="s">
        <v>1012</v>
      </c>
      <c r="AA54" s="238" t="s">
        <v>4633</v>
      </c>
      <c r="AB54" s="238"/>
      <c r="AC54" s="238"/>
      <c r="AD54" s="238"/>
      <c r="AE54" s="10" t="s">
        <v>1013</v>
      </c>
      <c r="AF54" s="237" t="s">
        <v>5317</v>
      </c>
      <c r="AG54" s="237"/>
      <c r="AH54" s="237"/>
      <c r="AI54" s="237"/>
      <c r="AJ54" s="2"/>
      <c r="AK54" s="2"/>
      <c r="AL54" s="2"/>
      <c r="AM54" s="2"/>
      <c r="AN54" s="7"/>
    </row>
    <row r="55" spans="1:40" ht="13.5" thickBot="1">
      <c r="A55" s="6"/>
      <c r="B55" s="2"/>
      <c r="C55" s="2"/>
      <c r="D55" s="244" t="s">
        <v>319</v>
      </c>
      <c r="E55" s="244"/>
      <c r="F55" s="237" t="s">
        <v>1014</v>
      </c>
      <c r="G55" s="237"/>
      <c r="H55" s="237"/>
      <c r="I55" s="237"/>
      <c r="J55" s="11" t="s">
        <v>5272</v>
      </c>
      <c r="K55" s="237" t="s">
        <v>5494</v>
      </c>
      <c r="L55" s="237"/>
      <c r="M55" s="237"/>
      <c r="N55" s="237" t="s">
        <v>1015</v>
      </c>
      <c r="O55" s="237"/>
      <c r="P55" s="237"/>
      <c r="Q55" s="237" t="s">
        <v>1016</v>
      </c>
      <c r="R55" s="237"/>
      <c r="S55" s="237"/>
      <c r="T55" s="237"/>
      <c r="U55" s="237"/>
      <c r="V55" s="237"/>
      <c r="W55" s="237" t="s">
        <v>5498</v>
      </c>
      <c r="X55" s="237"/>
      <c r="Y55" s="11" t="s">
        <v>4469</v>
      </c>
      <c r="Z55" s="11" t="s">
        <v>1017</v>
      </c>
      <c r="AA55" s="237" t="s">
        <v>1018</v>
      </c>
      <c r="AB55" s="237"/>
      <c r="AC55" s="237"/>
      <c r="AD55" s="237"/>
      <c r="AE55" s="11" t="s">
        <v>1019</v>
      </c>
      <c r="AF55" s="237" t="s">
        <v>3745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1020</v>
      </c>
      <c r="E7" s="269"/>
      <c r="F7" s="269"/>
      <c r="G7" s="269"/>
      <c r="H7" s="269" t="s">
        <v>1021</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CHOOZ-B-1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N4 REP 1450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4270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1022</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4270</v>
      </c>
      <c r="N16" s="264"/>
      <c r="O16" s="264"/>
      <c r="P16" s="248" t="s">
        <v>186</v>
      </c>
      <c r="Q16" s="248"/>
      <c r="R16" s="248"/>
      <c r="S16" s="2"/>
      <c r="T16" s="2"/>
      <c r="U16" s="252" t="s">
        <v>187</v>
      </c>
      <c r="V16" s="252"/>
      <c r="W16" s="252"/>
      <c r="X16" s="252"/>
      <c r="Y16" s="252"/>
      <c r="Z16" s="252"/>
      <c r="AA16" s="252"/>
      <c r="AB16" s="247" t="s">
        <v>5709</v>
      </c>
      <c r="AC16" s="247"/>
      <c r="AD16" s="248" t="s">
        <v>1023</v>
      </c>
      <c r="AE16" s="248"/>
      <c r="AF16" s="248"/>
      <c r="AG16" s="248"/>
      <c r="AH16" s="248"/>
      <c r="AI16" s="2"/>
      <c r="AJ16" s="1"/>
      <c r="AK16" s="2"/>
      <c r="AL16" s="1"/>
      <c r="AM16" s="2"/>
      <c r="AN16" s="7"/>
      <c r="AT16" s="24" t="str">
        <f>D17 &amp; " [MWe]"</f>
        <v>Latest gross electrical power [MWe]</v>
      </c>
      <c r="AU16" s="24">
        <f>M17</f>
        <v>1560</v>
      </c>
    </row>
    <row r="17" spans="1:47" ht="13.5" thickBot="1">
      <c r="A17" s="6"/>
      <c r="B17" s="1"/>
      <c r="C17" s="1"/>
      <c r="D17" s="248" t="s">
        <v>189</v>
      </c>
      <c r="E17" s="248"/>
      <c r="F17" s="248"/>
      <c r="G17" s="248"/>
      <c r="H17" s="248"/>
      <c r="I17" s="248"/>
      <c r="J17" s="248"/>
      <c r="K17" s="248"/>
      <c r="L17" s="8" t="s">
        <v>5709</v>
      </c>
      <c r="M17" s="264">
        <v>1560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1500</v>
      </c>
    </row>
    <row r="18" spans="1:47" ht="13.5" thickBot="1">
      <c r="A18" s="6"/>
      <c r="B18" s="1"/>
      <c r="C18" s="1"/>
      <c r="D18" s="248" t="s">
        <v>193</v>
      </c>
      <c r="E18" s="248"/>
      <c r="F18" s="248"/>
      <c r="G18" s="248"/>
      <c r="H18" s="248"/>
      <c r="I18" s="248"/>
      <c r="J18" s="248"/>
      <c r="K18" s="248"/>
      <c r="L18" s="8" t="s">
        <v>5709</v>
      </c>
      <c r="M18" s="264">
        <v>1455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35307</v>
      </c>
    </row>
    <row r="19" spans="1:47" ht="13.5" thickBot="1">
      <c r="A19" s="6"/>
      <c r="B19" s="1"/>
      <c r="C19" s="1"/>
      <c r="D19" s="248" t="s">
        <v>196</v>
      </c>
      <c r="E19" s="248"/>
      <c r="F19" s="248"/>
      <c r="G19" s="248"/>
      <c r="H19" s="248"/>
      <c r="I19" s="248"/>
      <c r="J19" s="248"/>
      <c r="K19" s="248"/>
      <c r="L19" s="8" t="s">
        <v>5709</v>
      </c>
      <c r="M19" s="264">
        <v>1500</v>
      </c>
      <c r="N19" s="264"/>
      <c r="O19" s="264"/>
      <c r="P19" s="248" t="s">
        <v>190</v>
      </c>
      <c r="Q19" s="248"/>
      <c r="R19" s="248"/>
      <c r="S19" s="2"/>
      <c r="T19" s="2"/>
      <c r="U19" s="252" t="s">
        <v>197</v>
      </c>
      <c r="V19" s="252"/>
      <c r="W19" s="252"/>
      <c r="X19" s="252"/>
      <c r="Y19" s="252"/>
      <c r="Z19" s="252"/>
      <c r="AA19" s="252"/>
      <c r="AB19" s="247" t="s">
        <v>5709</v>
      </c>
      <c r="AC19" s="247"/>
      <c r="AD19" s="248" t="s">
        <v>3239</v>
      </c>
      <c r="AE19" s="248"/>
      <c r="AF19" s="248"/>
      <c r="AG19" s="248"/>
      <c r="AH19" s="248"/>
      <c r="AI19" s="2"/>
      <c r="AJ19" s="1"/>
      <c r="AK19" s="2"/>
      <c r="AL19" s="1"/>
      <c r="AM19" s="2"/>
      <c r="AN19" s="7"/>
      <c r="AT19" s="23" t="str">
        <f>U19</f>
        <v>Average discharge burnup  [MWd/t]</v>
      </c>
      <c r="AU19" s="23" t="str">
        <f>AD19</f>
        <v>39000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5107</v>
      </c>
      <c r="AE20" s="248"/>
      <c r="AF20" s="248"/>
      <c r="AG20" s="248"/>
      <c r="AH20" s="248"/>
      <c r="AI20" s="2"/>
      <c r="AJ20" s="1"/>
      <c r="AK20" s="2"/>
      <c r="AL20" s="1"/>
      <c r="AM20" s="2"/>
      <c r="AN20" s="7"/>
      <c r="AT20" s="23" t="str">
        <f>D55 &amp; Q48</f>
        <v>LF [%]2005</v>
      </c>
      <c r="AU20" s="26" t="str">
        <f>Q55</f>
        <v>68.85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65.93</v>
      </c>
    </row>
    <row r="22" spans="1:47" ht="8.85" customHeight="1" thickBot="1">
      <c r="A22" s="6"/>
      <c r="B22" s="1"/>
      <c r="C22" s="1"/>
      <c r="D22" s="248" t="s">
        <v>205</v>
      </c>
      <c r="E22" s="248"/>
      <c r="F22" s="248"/>
      <c r="G22" s="248"/>
      <c r="H22" s="248"/>
      <c r="I22" s="248"/>
      <c r="J22" s="248"/>
      <c r="K22" s="248"/>
      <c r="L22" s="247" t="s">
        <v>5709</v>
      </c>
      <c r="M22" s="259">
        <v>30682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1024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35307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1025</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36661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5464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1026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1027</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1028</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1029</v>
      </c>
      <c r="G49" s="238"/>
      <c r="H49" s="238"/>
      <c r="I49" s="238"/>
      <c r="J49" s="10" t="s">
        <v>1030</v>
      </c>
      <c r="K49" s="238" t="s">
        <v>1031</v>
      </c>
      <c r="L49" s="238"/>
      <c r="M49" s="238"/>
      <c r="N49" s="238" t="s">
        <v>1032</v>
      </c>
      <c r="O49" s="238"/>
      <c r="P49" s="238"/>
      <c r="Q49" s="238" t="s">
        <v>1033</v>
      </c>
      <c r="R49" s="238"/>
      <c r="S49" s="238"/>
      <c r="T49" s="238"/>
      <c r="U49" s="238"/>
      <c r="V49" s="238"/>
      <c r="W49" s="238" t="s">
        <v>1034</v>
      </c>
      <c r="X49" s="238"/>
      <c r="Y49" s="10" t="s">
        <v>1035</v>
      </c>
      <c r="Z49" s="10" t="s">
        <v>1036</v>
      </c>
      <c r="AA49" s="238" t="s">
        <v>1037</v>
      </c>
      <c r="AB49" s="238"/>
      <c r="AC49" s="238"/>
      <c r="AD49" s="238"/>
      <c r="AE49" s="10" t="s">
        <v>1038</v>
      </c>
      <c r="AF49" s="237" t="s">
        <v>1039</v>
      </c>
      <c r="AG49" s="237"/>
      <c r="AH49" s="237"/>
      <c r="AI49" s="237"/>
      <c r="AJ49" s="2"/>
      <c r="AK49" s="2"/>
      <c r="AL49" s="2"/>
      <c r="AM49" s="2"/>
      <c r="AN49" s="7"/>
    </row>
    <row r="50" spans="1:40" ht="13.5" thickBot="1">
      <c r="A50" s="6"/>
      <c r="B50" s="2"/>
      <c r="C50" s="2"/>
      <c r="D50" s="244" t="s">
        <v>261</v>
      </c>
      <c r="E50" s="244"/>
      <c r="F50" s="238" t="s">
        <v>1040</v>
      </c>
      <c r="G50" s="238"/>
      <c r="H50" s="238"/>
      <c r="I50" s="238"/>
      <c r="J50" s="10" t="s">
        <v>6699</v>
      </c>
      <c r="K50" s="238" t="s">
        <v>6224</v>
      </c>
      <c r="L50" s="238"/>
      <c r="M50" s="238"/>
      <c r="N50" s="238" t="s">
        <v>4283</v>
      </c>
      <c r="O50" s="238"/>
      <c r="P50" s="238"/>
      <c r="Q50" s="238" t="s">
        <v>1041</v>
      </c>
      <c r="R50" s="238"/>
      <c r="S50" s="238"/>
      <c r="T50" s="238"/>
      <c r="U50" s="238"/>
      <c r="V50" s="238"/>
      <c r="W50" s="238" t="s">
        <v>1042</v>
      </c>
      <c r="X50" s="238"/>
      <c r="Y50" s="10" t="s">
        <v>1043</v>
      </c>
      <c r="Z50" s="10" t="s">
        <v>6031</v>
      </c>
      <c r="AA50" s="238" t="s">
        <v>1044</v>
      </c>
      <c r="AB50" s="238"/>
      <c r="AC50" s="238"/>
      <c r="AD50" s="238"/>
      <c r="AE50" s="10" t="s">
        <v>1045</v>
      </c>
      <c r="AF50" s="237" t="s">
        <v>5115</v>
      </c>
      <c r="AG50" s="237"/>
      <c r="AH50" s="237"/>
      <c r="AI50" s="237"/>
      <c r="AJ50" s="2"/>
      <c r="AK50" s="2"/>
      <c r="AL50" s="2"/>
      <c r="AM50" s="2"/>
      <c r="AN50" s="7"/>
    </row>
    <row r="51" spans="1:40" ht="13.5" thickBot="1">
      <c r="A51" s="6"/>
      <c r="B51" s="2"/>
      <c r="C51" s="2"/>
      <c r="D51" s="244" t="s">
        <v>273</v>
      </c>
      <c r="E51" s="244"/>
      <c r="F51" s="238" t="s">
        <v>1046</v>
      </c>
      <c r="G51" s="238"/>
      <c r="H51" s="238"/>
      <c r="I51" s="238"/>
      <c r="J51" s="10" t="s">
        <v>1047</v>
      </c>
      <c r="K51" s="238" t="s">
        <v>6892</v>
      </c>
      <c r="L51" s="238"/>
      <c r="M51" s="238"/>
      <c r="N51" s="238" t="s">
        <v>3051</v>
      </c>
      <c r="O51" s="238"/>
      <c r="P51" s="238"/>
      <c r="Q51" s="238" t="s">
        <v>1048</v>
      </c>
      <c r="R51" s="238"/>
      <c r="S51" s="238"/>
      <c r="T51" s="238"/>
      <c r="U51" s="238"/>
      <c r="V51" s="238"/>
      <c r="W51" s="238" t="s">
        <v>1049</v>
      </c>
      <c r="X51" s="238"/>
      <c r="Y51" s="10" t="s">
        <v>4258</v>
      </c>
      <c r="Z51" s="10" t="s">
        <v>375</v>
      </c>
      <c r="AA51" s="238" t="s">
        <v>731</v>
      </c>
      <c r="AB51" s="238"/>
      <c r="AC51" s="238"/>
      <c r="AD51" s="238"/>
      <c r="AE51" s="10" t="s">
        <v>1050</v>
      </c>
      <c r="AF51" s="237" t="s">
        <v>4982</v>
      </c>
      <c r="AG51" s="237"/>
      <c r="AH51" s="237"/>
      <c r="AI51" s="237"/>
      <c r="AJ51" s="2"/>
      <c r="AK51" s="2"/>
      <c r="AL51" s="2"/>
      <c r="AM51" s="2"/>
      <c r="AN51" s="7"/>
    </row>
    <row r="52" spans="1:40" ht="13.5" thickBot="1">
      <c r="A52" s="6"/>
      <c r="B52" s="2"/>
      <c r="C52" s="2"/>
      <c r="D52" s="244" t="s">
        <v>285</v>
      </c>
      <c r="E52" s="244"/>
      <c r="F52" s="238" t="s">
        <v>3784</v>
      </c>
      <c r="G52" s="238"/>
      <c r="H52" s="238"/>
      <c r="I52" s="238"/>
      <c r="J52" s="10" t="s">
        <v>1051</v>
      </c>
      <c r="K52" s="238" t="s">
        <v>6910</v>
      </c>
      <c r="L52" s="238"/>
      <c r="M52" s="238"/>
      <c r="N52" s="238" t="s">
        <v>2803</v>
      </c>
      <c r="O52" s="238"/>
      <c r="P52" s="238"/>
      <c r="Q52" s="238" t="s">
        <v>3634</v>
      </c>
      <c r="R52" s="238"/>
      <c r="S52" s="238"/>
      <c r="T52" s="238"/>
      <c r="U52" s="238"/>
      <c r="V52" s="238"/>
      <c r="W52" s="238" t="s">
        <v>1052</v>
      </c>
      <c r="X52" s="238"/>
      <c r="Y52" s="10" t="s">
        <v>1053</v>
      </c>
      <c r="Z52" s="10" t="s">
        <v>1054</v>
      </c>
      <c r="AA52" s="238" t="s">
        <v>1055</v>
      </c>
      <c r="AB52" s="238"/>
      <c r="AC52" s="238"/>
      <c r="AD52" s="238"/>
      <c r="AE52" s="10" t="s">
        <v>1056</v>
      </c>
      <c r="AF52" s="237" t="s">
        <v>1057</v>
      </c>
      <c r="AG52" s="237"/>
      <c r="AH52" s="237"/>
      <c r="AI52" s="237"/>
      <c r="AJ52" s="2"/>
      <c r="AK52" s="2"/>
      <c r="AL52" s="2"/>
      <c r="AM52" s="2"/>
      <c r="AN52" s="7"/>
    </row>
    <row r="53" spans="1:40" ht="13.5" thickBot="1">
      <c r="A53" s="6"/>
      <c r="B53" s="2"/>
      <c r="C53" s="2"/>
      <c r="D53" s="244" t="s">
        <v>295</v>
      </c>
      <c r="E53" s="244"/>
      <c r="F53" s="238" t="s">
        <v>1058</v>
      </c>
      <c r="G53" s="238"/>
      <c r="H53" s="238"/>
      <c r="I53" s="238"/>
      <c r="J53" s="10" t="s">
        <v>6083</v>
      </c>
      <c r="K53" s="238" t="s">
        <v>1059</v>
      </c>
      <c r="L53" s="238"/>
      <c r="M53" s="238"/>
      <c r="N53" s="238" t="s">
        <v>5580</v>
      </c>
      <c r="O53" s="238"/>
      <c r="P53" s="238"/>
      <c r="Q53" s="238" t="s">
        <v>4563</v>
      </c>
      <c r="R53" s="238"/>
      <c r="S53" s="238"/>
      <c r="T53" s="238"/>
      <c r="U53" s="238"/>
      <c r="V53" s="238"/>
      <c r="W53" s="238" t="s">
        <v>3518</v>
      </c>
      <c r="X53" s="238"/>
      <c r="Y53" s="10" t="s">
        <v>6902</v>
      </c>
      <c r="Z53" s="10" t="s">
        <v>6247</v>
      </c>
      <c r="AA53" s="238" t="s">
        <v>1060</v>
      </c>
      <c r="AB53" s="238"/>
      <c r="AC53" s="238"/>
      <c r="AD53" s="238"/>
      <c r="AE53" s="10" t="s">
        <v>6125</v>
      </c>
      <c r="AF53" s="237" t="s">
        <v>202</v>
      </c>
      <c r="AG53" s="237"/>
      <c r="AH53" s="237"/>
      <c r="AI53" s="237"/>
      <c r="AJ53" s="2"/>
      <c r="AK53" s="2"/>
      <c r="AL53" s="2"/>
      <c r="AM53" s="2"/>
      <c r="AN53" s="7"/>
    </row>
    <row r="54" spans="1:40" ht="13.5" thickBot="1">
      <c r="A54" s="6"/>
      <c r="B54" s="2"/>
      <c r="C54" s="2"/>
      <c r="D54" s="244" t="s">
        <v>307</v>
      </c>
      <c r="E54" s="244"/>
      <c r="F54" s="238" t="s">
        <v>4565</v>
      </c>
      <c r="G54" s="238"/>
      <c r="H54" s="238"/>
      <c r="I54" s="238"/>
      <c r="J54" s="10" t="s">
        <v>1061</v>
      </c>
      <c r="K54" s="238" t="s">
        <v>4886</v>
      </c>
      <c r="L54" s="238"/>
      <c r="M54" s="238"/>
      <c r="N54" s="238" t="s">
        <v>2972</v>
      </c>
      <c r="O54" s="238"/>
      <c r="P54" s="238"/>
      <c r="Q54" s="238" t="s">
        <v>1062</v>
      </c>
      <c r="R54" s="238"/>
      <c r="S54" s="238"/>
      <c r="T54" s="238"/>
      <c r="U54" s="238"/>
      <c r="V54" s="238"/>
      <c r="W54" s="238" t="s">
        <v>1063</v>
      </c>
      <c r="X54" s="238"/>
      <c r="Y54" s="10" t="s">
        <v>3408</v>
      </c>
      <c r="Z54" s="10" t="s">
        <v>1064</v>
      </c>
      <c r="AA54" s="238" t="s">
        <v>1065</v>
      </c>
      <c r="AB54" s="238"/>
      <c r="AC54" s="238"/>
      <c r="AD54" s="238"/>
      <c r="AE54" s="10" t="s">
        <v>7093</v>
      </c>
      <c r="AF54" s="237" t="s">
        <v>812</v>
      </c>
      <c r="AG54" s="237"/>
      <c r="AH54" s="237"/>
      <c r="AI54" s="237"/>
      <c r="AJ54" s="2"/>
      <c r="AK54" s="2"/>
      <c r="AL54" s="2"/>
      <c r="AM54" s="2"/>
      <c r="AN54" s="7"/>
    </row>
    <row r="55" spans="1:40" ht="13.5" thickBot="1">
      <c r="A55" s="6"/>
      <c r="B55" s="2"/>
      <c r="C55" s="2"/>
      <c r="D55" s="244" t="s">
        <v>319</v>
      </c>
      <c r="E55" s="244"/>
      <c r="F55" s="237" t="s">
        <v>1066</v>
      </c>
      <c r="G55" s="237"/>
      <c r="H55" s="237"/>
      <c r="I55" s="237"/>
      <c r="J55" s="11" t="s">
        <v>1067</v>
      </c>
      <c r="K55" s="237" t="s">
        <v>1797</v>
      </c>
      <c r="L55" s="237"/>
      <c r="M55" s="237"/>
      <c r="N55" s="237" t="s">
        <v>1068</v>
      </c>
      <c r="O55" s="237"/>
      <c r="P55" s="237"/>
      <c r="Q55" s="237" t="s">
        <v>1069</v>
      </c>
      <c r="R55" s="237"/>
      <c r="S55" s="237"/>
      <c r="T55" s="237"/>
      <c r="U55" s="237"/>
      <c r="V55" s="237"/>
      <c r="W55" s="237" t="s">
        <v>1070</v>
      </c>
      <c r="X55" s="237"/>
      <c r="Y55" s="11" t="s">
        <v>4611</v>
      </c>
      <c r="Z55" s="11" t="s">
        <v>3192</v>
      </c>
      <c r="AA55" s="237" t="s">
        <v>1071</v>
      </c>
      <c r="AB55" s="237"/>
      <c r="AC55" s="237"/>
      <c r="AD55" s="237"/>
      <c r="AE55" s="11" t="s">
        <v>1072</v>
      </c>
      <c r="AF55" s="237" t="s">
        <v>6220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indexed="10"/>
  </sheetPr>
  <dimension ref="A1:AU61"/>
  <sheetViews>
    <sheetView topLeftCell="J4"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1073</v>
      </c>
      <c r="E7" s="269"/>
      <c r="F7" s="269"/>
      <c r="G7" s="269"/>
      <c r="H7" s="269" t="s">
        <v>1074</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CHOOZ-B-2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N4 REP 1450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4270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1022</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4270</v>
      </c>
      <c r="N16" s="264"/>
      <c r="O16" s="264"/>
      <c r="P16" s="248" t="s">
        <v>186</v>
      </c>
      <c r="Q16" s="248"/>
      <c r="R16" s="248"/>
      <c r="S16" s="2"/>
      <c r="T16" s="2"/>
      <c r="U16" s="252" t="s">
        <v>187</v>
      </c>
      <c r="V16" s="252"/>
      <c r="W16" s="252"/>
      <c r="X16" s="252"/>
      <c r="Y16" s="252"/>
      <c r="Z16" s="252"/>
      <c r="AA16" s="252"/>
      <c r="AB16" s="247" t="s">
        <v>5709</v>
      </c>
      <c r="AC16" s="247"/>
      <c r="AD16" s="248" t="s">
        <v>1023</v>
      </c>
      <c r="AE16" s="248"/>
      <c r="AF16" s="248"/>
      <c r="AG16" s="248"/>
      <c r="AH16" s="248"/>
      <c r="AI16" s="2"/>
      <c r="AJ16" s="1"/>
      <c r="AK16" s="2"/>
      <c r="AL16" s="1"/>
      <c r="AM16" s="2"/>
      <c r="AN16" s="7"/>
      <c r="AT16" s="24" t="str">
        <f>D17 &amp; " [MWe]"</f>
        <v>Latest gross electrical power [MWe]</v>
      </c>
      <c r="AU16" s="24">
        <f>M17</f>
        <v>1560</v>
      </c>
    </row>
    <row r="17" spans="1:47" ht="13.5" thickBot="1">
      <c r="A17" s="6"/>
      <c r="B17" s="1"/>
      <c r="C17" s="1"/>
      <c r="D17" s="248" t="s">
        <v>189</v>
      </c>
      <c r="E17" s="248"/>
      <c r="F17" s="248"/>
      <c r="G17" s="248"/>
      <c r="H17" s="248"/>
      <c r="I17" s="248"/>
      <c r="J17" s="248"/>
      <c r="K17" s="248"/>
      <c r="L17" s="8" t="s">
        <v>5709</v>
      </c>
      <c r="M17" s="264">
        <v>1560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1500</v>
      </c>
    </row>
    <row r="18" spans="1:47" ht="13.5" thickBot="1">
      <c r="A18" s="6"/>
      <c r="B18" s="1"/>
      <c r="C18" s="1"/>
      <c r="D18" s="248" t="s">
        <v>193</v>
      </c>
      <c r="E18" s="248"/>
      <c r="F18" s="248"/>
      <c r="G18" s="248"/>
      <c r="H18" s="248"/>
      <c r="I18" s="248"/>
      <c r="J18" s="248"/>
      <c r="K18" s="248"/>
      <c r="L18" s="8" t="s">
        <v>5709</v>
      </c>
      <c r="M18" s="264">
        <v>1455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35530</v>
      </c>
    </row>
    <row r="19" spans="1:47" ht="13.5" thickBot="1">
      <c r="A19" s="6"/>
      <c r="B19" s="1"/>
      <c r="C19" s="1"/>
      <c r="D19" s="248" t="s">
        <v>196</v>
      </c>
      <c r="E19" s="248"/>
      <c r="F19" s="248"/>
      <c r="G19" s="248"/>
      <c r="H19" s="248"/>
      <c r="I19" s="248"/>
      <c r="J19" s="248"/>
      <c r="K19" s="248"/>
      <c r="L19" s="8" t="s">
        <v>5709</v>
      </c>
      <c r="M19" s="264">
        <v>1500</v>
      </c>
      <c r="N19" s="264"/>
      <c r="O19" s="264"/>
      <c r="P19" s="248" t="s">
        <v>190</v>
      </c>
      <c r="Q19" s="248"/>
      <c r="R19" s="248"/>
      <c r="S19" s="2"/>
      <c r="T19" s="2"/>
      <c r="U19" s="252" t="s">
        <v>197</v>
      </c>
      <c r="V19" s="252"/>
      <c r="W19" s="252"/>
      <c r="X19" s="252"/>
      <c r="Y19" s="252"/>
      <c r="Z19" s="252"/>
      <c r="AA19" s="252"/>
      <c r="AB19" s="247" t="s">
        <v>5709</v>
      </c>
      <c r="AC19" s="247"/>
      <c r="AD19" s="248" t="s">
        <v>3239</v>
      </c>
      <c r="AE19" s="248"/>
      <c r="AF19" s="248"/>
      <c r="AG19" s="248"/>
      <c r="AH19" s="248"/>
      <c r="AI19" s="2"/>
      <c r="AJ19" s="1"/>
      <c r="AK19" s="2"/>
      <c r="AL19" s="1"/>
      <c r="AM19" s="2"/>
      <c r="AN19" s="7"/>
      <c r="AT19" s="23" t="str">
        <f>U19</f>
        <v>Average discharge burnup  [MWd/t]</v>
      </c>
      <c r="AU19" s="23" t="str">
        <f>AD19</f>
        <v>39000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5107</v>
      </c>
      <c r="AE20" s="248"/>
      <c r="AF20" s="248"/>
      <c r="AG20" s="248"/>
      <c r="AH20" s="248"/>
      <c r="AI20" s="2"/>
      <c r="AJ20" s="1"/>
      <c r="AK20" s="2"/>
      <c r="AL20" s="1"/>
      <c r="AM20" s="2"/>
      <c r="AN20" s="7"/>
      <c r="AT20" s="23" t="str">
        <f>D55 &amp; Q48</f>
        <v>LF [%]2005</v>
      </c>
      <c r="AU20" s="26" t="str">
        <f>Q55</f>
        <v>78.55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81.73</v>
      </c>
    </row>
    <row r="22" spans="1:47" ht="8.85" customHeight="1" thickBot="1">
      <c r="A22" s="6"/>
      <c r="B22" s="1"/>
      <c r="C22" s="1"/>
      <c r="D22" s="248" t="s">
        <v>205</v>
      </c>
      <c r="E22" s="248"/>
      <c r="F22" s="248"/>
      <c r="G22" s="248"/>
      <c r="H22" s="248"/>
      <c r="I22" s="248"/>
      <c r="J22" s="248"/>
      <c r="K22" s="248"/>
      <c r="L22" s="247" t="s">
        <v>5709</v>
      </c>
      <c r="M22" s="259">
        <v>31412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1024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35530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1025</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36798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5464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1026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1027</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1028</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1075</v>
      </c>
      <c r="G49" s="238"/>
      <c r="H49" s="238"/>
      <c r="I49" s="238"/>
      <c r="J49" s="10" t="s">
        <v>1076</v>
      </c>
      <c r="K49" s="238" t="s">
        <v>1077</v>
      </c>
      <c r="L49" s="238"/>
      <c r="M49" s="238"/>
      <c r="N49" s="238" t="s">
        <v>1078</v>
      </c>
      <c r="O49" s="238"/>
      <c r="P49" s="238"/>
      <c r="Q49" s="238" t="s">
        <v>1079</v>
      </c>
      <c r="R49" s="238"/>
      <c r="S49" s="238"/>
      <c r="T49" s="238"/>
      <c r="U49" s="238"/>
      <c r="V49" s="238"/>
      <c r="W49" s="238" t="s">
        <v>1080</v>
      </c>
      <c r="X49" s="238"/>
      <c r="Y49" s="10" t="s">
        <v>1081</v>
      </c>
      <c r="Z49" s="10" t="s">
        <v>1082</v>
      </c>
      <c r="AA49" s="238" t="s">
        <v>1083</v>
      </c>
      <c r="AB49" s="238"/>
      <c r="AC49" s="238"/>
      <c r="AD49" s="238"/>
      <c r="AE49" s="10" t="s">
        <v>1084</v>
      </c>
      <c r="AF49" s="237" t="s">
        <v>1085</v>
      </c>
      <c r="AG49" s="237"/>
      <c r="AH49" s="237"/>
      <c r="AI49" s="237"/>
      <c r="AJ49" s="2"/>
      <c r="AK49" s="2"/>
      <c r="AL49" s="2"/>
      <c r="AM49" s="2"/>
      <c r="AN49" s="7"/>
    </row>
    <row r="50" spans="1:40" ht="13.5" thickBot="1">
      <c r="A50" s="6"/>
      <c r="B50" s="2"/>
      <c r="C50" s="2"/>
      <c r="D50" s="244" t="s">
        <v>261</v>
      </c>
      <c r="E50" s="244"/>
      <c r="F50" s="238" t="s">
        <v>1086</v>
      </c>
      <c r="G50" s="238"/>
      <c r="H50" s="238"/>
      <c r="I50" s="238"/>
      <c r="J50" s="10" t="s">
        <v>1087</v>
      </c>
      <c r="K50" s="238" t="s">
        <v>482</v>
      </c>
      <c r="L50" s="238"/>
      <c r="M50" s="238"/>
      <c r="N50" s="238" t="s">
        <v>3904</v>
      </c>
      <c r="O50" s="238"/>
      <c r="P50" s="238"/>
      <c r="Q50" s="238" t="s">
        <v>1088</v>
      </c>
      <c r="R50" s="238"/>
      <c r="S50" s="238"/>
      <c r="T50" s="238"/>
      <c r="U50" s="238"/>
      <c r="V50" s="238"/>
      <c r="W50" s="238" t="s">
        <v>771</v>
      </c>
      <c r="X50" s="238"/>
      <c r="Y50" s="10" t="s">
        <v>1850</v>
      </c>
      <c r="Z50" s="10" t="s">
        <v>3702</v>
      </c>
      <c r="AA50" s="238" t="s">
        <v>1089</v>
      </c>
      <c r="AB50" s="238"/>
      <c r="AC50" s="238"/>
      <c r="AD50" s="238"/>
      <c r="AE50" s="10" t="s">
        <v>3411</v>
      </c>
      <c r="AF50" s="237" t="s">
        <v>1090</v>
      </c>
      <c r="AG50" s="237"/>
      <c r="AH50" s="237"/>
      <c r="AI50" s="237"/>
      <c r="AJ50" s="2"/>
      <c r="AK50" s="2"/>
      <c r="AL50" s="2"/>
      <c r="AM50" s="2"/>
      <c r="AN50" s="7"/>
    </row>
    <row r="51" spans="1:40" ht="13.5" thickBot="1">
      <c r="A51" s="6"/>
      <c r="B51" s="2"/>
      <c r="C51" s="2"/>
      <c r="D51" s="244" t="s">
        <v>273</v>
      </c>
      <c r="E51" s="244"/>
      <c r="F51" s="238" t="s">
        <v>1091</v>
      </c>
      <c r="G51" s="238"/>
      <c r="H51" s="238"/>
      <c r="I51" s="238"/>
      <c r="J51" s="10" t="s">
        <v>1092</v>
      </c>
      <c r="K51" s="238" t="s">
        <v>6709</v>
      </c>
      <c r="L51" s="238"/>
      <c r="M51" s="238"/>
      <c r="N51" s="238" t="s">
        <v>1826</v>
      </c>
      <c r="O51" s="238"/>
      <c r="P51" s="238"/>
      <c r="Q51" s="238" t="s">
        <v>3726</v>
      </c>
      <c r="R51" s="238"/>
      <c r="S51" s="238"/>
      <c r="T51" s="238"/>
      <c r="U51" s="238"/>
      <c r="V51" s="238"/>
      <c r="W51" s="238" t="s">
        <v>1093</v>
      </c>
      <c r="X51" s="238"/>
      <c r="Y51" s="10" t="s">
        <v>1094</v>
      </c>
      <c r="Z51" s="10" t="s">
        <v>6889</v>
      </c>
      <c r="AA51" s="238" t="s">
        <v>1095</v>
      </c>
      <c r="AB51" s="238"/>
      <c r="AC51" s="238"/>
      <c r="AD51" s="238"/>
      <c r="AE51" s="10" t="s">
        <v>6441</v>
      </c>
      <c r="AF51" s="237" t="s">
        <v>4367</v>
      </c>
      <c r="AG51" s="237"/>
      <c r="AH51" s="237"/>
      <c r="AI51" s="237"/>
      <c r="AJ51" s="2"/>
      <c r="AK51" s="2"/>
      <c r="AL51" s="2"/>
      <c r="AM51" s="2"/>
      <c r="AN51" s="7"/>
    </row>
    <row r="52" spans="1:40" ht="13.5" thickBot="1">
      <c r="A52" s="6"/>
      <c r="B52" s="2"/>
      <c r="C52" s="2"/>
      <c r="D52" s="244" t="s">
        <v>285</v>
      </c>
      <c r="E52" s="244"/>
      <c r="F52" s="238" t="s">
        <v>1096</v>
      </c>
      <c r="G52" s="238"/>
      <c r="H52" s="238"/>
      <c r="I52" s="238"/>
      <c r="J52" s="10" t="s">
        <v>1097</v>
      </c>
      <c r="K52" s="238" t="s">
        <v>6825</v>
      </c>
      <c r="L52" s="238"/>
      <c r="M52" s="238"/>
      <c r="N52" s="238" t="s">
        <v>3355</v>
      </c>
      <c r="O52" s="238"/>
      <c r="P52" s="238"/>
      <c r="Q52" s="238" t="s">
        <v>4387</v>
      </c>
      <c r="R52" s="238"/>
      <c r="S52" s="238"/>
      <c r="T52" s="238"/>
      <c r="U52" s="238"/>
      <c r="V52" s="238"/>
      <c r="W52" s="238" t="s">
        <v>879</v>
      </c>
      <c r="X52" s="238"/>
      <c r="Y52" s="10" t="s">
        <v>4205</v>
      </c>
      <c r="Z52" s="10" t="s">
        <v>4525</v>
      </c>
      <c r="AA52" s="238" t="s">
        <v>4706</v>
      </c>
      <c r="AB52" s="238"/>
      <c r="AC52" s="238"/>
      <c r="AD52" s="238"/>
      <c r="AE52" s="10" t="s">
        <v>2793</v>
      </c>
      <c r="AF52" s="237" t="s">
        <v>6461</v>
      </c>
      <c r="AG52" s="237"/>
      <c r="AH52" s="237"/>
      <c r="AI52" s="237"/>
      <c r="AJ52" s="2"/>
      <c r="AK52" s="2"/>
      <c r="AL52" s="2"/>
      <c r="AM52" s="2"/>
      <c r="AN52" s="7"/>
    </row>
    <row r="53" spans="1:40" ht="13.5" thickBot="1">
      <c r="A53" s="6"/>
      <c r="B53" s="2"/>
      <c r="C53" s="2"/>
      <c r="D53" s="244" t="s">
        <v>295</v>
      </c>
      <c r="E53" s="244"/>
      <c r="F53" s="238" t="s">
        <v>1779</v>
      </c>
      <c r="G53" s="238"/>
      <c r="H53" s="238"/>
      <c r="I53" s="238"/>
      <c r="J53" s="10" t="s">
        <v>6180</v>
      </c>
      <c r="K53" s="238" t="s">
        <v>1098</v>
      </c>
      <c r="L53" s="238"/>
      <c r="M53" s="238"/>
      <c r="N53" s="238" t="s">
        <v>5259</v>
      </c>
      <c r="O53" s="238"/>
      <c r="P53" s="238"/>
      <c r="Q53" s="238" t="s">
        <v>7017</v>
      </c>
      <c r="R53" s="238"/>
      <c r="S53" s="238"/>
      <c r="T53" s="238"/>
      <c r="U53" s="238"/>
      <c r="V53" s="238"/>
      <c r="W53" s="238" t="s">
        <v>576</v>
      </c>
      <c r="X53" s="238"/>
      <c r="Y53" s="10" t="s">
        <v>1099</v>
      </c>
      <c r="Z53" s="10" t="s">
        <v>2739</v>
      </c>
      <c r="AA53" s="238" t="s">
        <v>6013</v>
      </c>
      <c r="AB53" s="238"/>
      <c r="AC53" s="238"/>
      <c r="AD53" s="238"/>
      <c r="AE53" s="10" t="s">
        <v>7018</v>
      </c>
      <c r="AF53" s="237" t="s">
        <v>867</v>
      </c>
      <c r="AG53" s="237"/>
      <c r="AH53" s="237"/>
      <c r="AI53" s="237"/>
      <c r="AJ53" s="2"/>
      <c r="AK53" s="2"/>
      <c r="AL53" s="2"/>
      <c r="AM53" s="2"/>
      <c r="AN53" s="7"/>
    </row>
    <row r="54" spans="1:40" ht="13.5" thickBot="1">
      <c r="A54" s="6"/>
      <c r="B54" s="2"/>
      <c r="C54" s="2"/>
      <c r="D54" s="244" t="s">
        <v>307</v>
      </c>
      <c r="E54" s="244"/>
      <c r="F54" s="238" t="s">
        <v>1100</v>
      </c>
      <c r="G54" s="238"/>
      <c r="H54" s="238"/>
      <c r="I54" s="238"/>
      <c r="J54" s="10" t="s">
        <v>6633</v>
      </c>
      <c r="K54" s="238" t="s">
        <v>4948</v>
      </c>
      <c r="L54" s="238"/>
      <c r="M54" s="238"/>
      <c r="N54" s="238" t="s">
        <v>4929</v>
      </c>
      <c r="O54" s="238"/>
      <c r="P54" s="238"/>
      <c r="Q54" s="238" t="s">
        <v>1978</v>
      </c>
      <c r="R54" s="238"/>
      <c r="S54" s="238"/>
      <c r="T54" s="238"/>
      <c r="U54" s="238"/>
      <c r="V54" s="238"/>
      <c r="W54" s="238" t="s">
        <v>1101</v>
      </c>
      <c r="X54" s="238"/>
      <c r="Y54" s="10" t="s">
        <v>3382</v>
      </c>
      <c r="Z54" s="10" t="s">
        <v>6842</v>
      </c>
      <c r="AA54" s="238" t="s">
        <v>1102</v>
      </c>
      <c r="AB54" s="238"/>
      <c r="AC54" s="238"/>
      <c r="AD54" s="238"/>
      <c r="AE54" s="10" t="s">
        <v>1103</v>
      </c>
      <c r="AF54" s="237" t="s">
        <v>1894</v>
      </c>
      <c r="AG54" s="237"/>
      <c r="AH54" s="237"/>
      <c r="AI54" s="237"/>
      <c r="AJ54" s="2"/>
      <c r="AK54" s="2"/>
      <c r="AL54" s="2"/>
      <c r="AM54" s="2"/>
      <c r="AN54" s="7"/>
    </row>
    <row r="55" spans="1:40" ht="13.5" thickBot="1">
      <c r="A55" s="6"/>
      <c r="B55" s="2"/>
      <c r="C55" s="2"/>
      <c r="D55" s="244" t="s">
        <v>319</v>
      </c>
      <c r="E55" s="244"/>
      <c r="F55" s="237" t="s">
        <v>6701</v>
      </c>
      <c r="G55" s="237"/>
      <c r="H55" s="237"/>
      <c r="I55" s="237"/>
      <c r="J55" s="11" t="s">
        <v>6525</v>
      </c>
      <c r="K55" s="237" t="s">
        <v>1104</v>
      </c>
      <c r="L55" s="237"/>
      <c r="M55" s="237"/>
      <c r="N55" s="237" t="s">
        <v>6187</v>
      </c>
      <c r="O55" s="237"/>
      <c r="P55" s="237"/>
      <c r="Q55" s="237" t="s">
        <v>1105</v>
      </c>
      <c r="R55" s="237"/>
      <c r="S55" s="237"/>
      <c r="T55" s="237"/>
      <c r="U55" s="237"/>
      <c r="V55" s="237"/>
      <c r="W55" s="237" t="s">
        <v>1065</v>
      </c>
      <c r="X55" s="237"/>
      <c r="Y55" s="11" t="s">
        <v>1106</v>
      </c>
      <c r="Z55" s="11" t="s">
        <v>6448</v>
      </c>
      <c r="AA55" s="237" t="s">
        <v>1107</v>
      </c>
      <c r="AB55" s="237"/>
      <c r="AC55" s="237"/>
      <c r="AD55" s="237"/>
      <c r="AE55" s="11" t="s">
        <v>4627</v>
      </c>
      <c r="AF55" s="237" t="s">
        <v>1108</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indexed="10"/>
  </sheetPr>
  <dimension ref="A1:AU61"/>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1109</v>
      </c>
      <c r="E7" s="269"/>
      <c r="F7" s="269"/>
      <c r="G7" s="269"/>
      <c r="H7" s="269" t="s">
        <v>1110</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CIVAUX-1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N4 REP 1450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4270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1022</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4270</v>
      </c>
      <c r="N16" s="264"/>
      <c r="O16" s="264"/>
      <c r="P16" s="248" t="s">
        <v>186</v>
      </c>
      <c r="Q16" s="248"/>
      <c r="R16" s="248"/>
      <c r="S16" s="2"/>
      <c r="T16" s="2"/>
      <c r="U16" s="252" t="s">
        <v>187</v>
      </c>
      <c r="V16" s="252"/>
      <c r="W16" s="252"/>
      <c r="X16" s="252"/>
      <c r="Y16" s="252"/>
      <c r="Z16" s="252"/>
      <c r="AA16" s="252"/>
      <c r="AB16" s="247" t="s">
        <v>5709</v>
      </c>
      <c r="AC16" s="247"/>
      <c r="AD16" s="248" t="s">
        <v>1023</v>
      </c>
      <c r="AE16" s="248"/>
      <c r="AF16" s="248"/>
      <c r="AG16" s="248"/>
      <c r="AH16" s="248"/>
      <c r="AI16" s="2"/>
      <c r="AJ16" s="1"/>
      <c r="AK16" s="2"/>
      <c r="AL16" s="1"/>
      <c r="AM16" s="2"/>
      <c r="AN16" s="7"/>
      <c r="AT16" s="24" t="str">
        <f>D17 &amp; " [MWe]"</f>
        <v>Latest gross electrical power [MWe]</v>
      </c>
      <c r="AU16" s="24">
        <f>M17</f>
        <v>1561</v>
      </c>
    </row>
    <row r="17" spans="1:47" ht="13.5" thickBot="1">
      <c r="A17" s="6"/>
      <c r="B17" s="1"/>
      <c r="C17" s="1"/>
      <c r="D17" s="248" t="s">
        <v>189</v>
      </c>
      <c r="E17" s="248"/>
      <c r="F17" s="248"/>
      <c r="G17" s="248"/>
      <c r="H17" s="248"/>
      <c r="I17" s="248"/>
      <c r="J17" s="248"/>
      <c r="K17" s="248"/>
      <c r="L17" s="8" t="s">
        <v>5709</v>
      </c>
      <c r="M17" s="264">
        <v>1561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1495</v>
      </c>
    </row>
    <row r="18" spans="1:47" ht="13.5" thickBot="1">
      <c r="A18" s="6"/>
      <c r="B18" s="1"/>
      <c r="C18" s="1"/>
      <c r="D18" s="248" t="s">
        <v>193</v>
      </c>
      <c r="E18" s="248"/>
      <c r="F18" s="248"/>
      <c r="G18" s="248"/>
      <c r="H18" s="248"/>
      <c r="I18" s="248"/>
      <c r="J18" s="248"/>
      <c r="K18" s="248"/>
      <c r="L18" s="8" t="s">
        <v>5709</v>
      </c>
      <c r="M18" s="264">
        <v>1450</v>
      </c>
      <c r="N18" s="264"/>
      <c r="O18" s="264"/>
      <c r="P18" s="248" t="s">
        <v>190</v>
      </c>
      <c r="Q18" s="248"/>
      <c r="R18" s="248"/>
      <c r="S18" s="2"/>
      <c r="T18" s="2"/>
      <c r="U18" s="252" t="s">
        <v>194</v>
      </c>
      <c r="V18" s="252"/>
      <c r="W18" s="252"/>
      <c r="X18" s="252"/>
      <c r="Y18" s="252"/>
      <c r="Z18" s="252"/>
      <c r="AA18" s="252"/>
      <c r="AB18" s="247" t="s">
        <v>5709</v>
      </c>
      <c r="AC18" s="247"/>
      <c r="AD18" s="248" t="s">
        <v>1929</v>
      </c>
      <c r="AE18" s="248"/>
      <c r="AF18" s="248"/>
      <c r="AG18" s="248"/>
      <c r="AH18" s="248"/>
      <c r="AI18" s="2"/>
      <c r="AJ18" s="1"/>
      <c r="AK18" s="2"/>
      <c r="AL18" s="1"/>
      <c r="AM18" s="2"/>
      <c r="AN18" s="7"/>
      <c r="AT18" s="25" t="str">
        <f>D24</f>
        <v>Grid Date</v>
      </c>
      <c r="AU18" s="25">
        <f>M24</f>
        <v>35788</v>
      </c>
    </row>
    <row r="19" spans="1:47" ht="13.5" thickBot="1">
      <c r="A19" s="6"/>
      <c r="B19" s="1"/>
      <c r="C19" s="1"/>
      <c r="D19" s="248" t="s">
        <v>196</v>
      </c>
      <c r="E19" s="248"/>
      <c r="F19" s="248"/>
      <c r="G19" s="248"/>
      <c r="H19" s="248"/>
      <c r="I19" s="248"/>
      <c r="J19" s="248"/>
      <c r="K19" s="248"/>
      <c r="L19" s="8" t="s">
        <v>5709</v>
      </c>
      <c r="M19" s="264">
        <v>1495</v>
      </c>
      <c r="N19" s="264"/>
      <c r="O19" s="264"/>
      <c r="P19" s="248" t="s">
        <v>190</v>
      </c>
      <c r="Q19" s="248"/>
      <c r="R19" s="248"/>
      <c r="S19" s="2"/>
      <c r="T19" s="2"/>
      <c r="U19" s="252" t="s">
        <v>197</v>
      </c>
      <c r="V19" s="252"/>
      <c r="W19" s="252"/>
      <c r="X19" s="252"/>
      <c r="Y19" s="252"/>
      <c r="Z19" s="252"/>
      <c r="AA19" s="252"/>
      <c r="AB19" s="247" t="s">
        <v>5709</v>
      </c>
      <c r="AC19" s="247"/>
      <c r="AD19" s="248" t="s">
        <v>1111</v>
      </c>
      <c r="AE19" s="248"/>
      <c r="AF19" s="248"/>
      <c r="AG19" s="248"/>
      <c r="AH19" s="248"/>
      <c r="AI19" s="2"/>
      <c r="AJ19" s="1"/>
      <c r="AK19" s="2"/>
      <c r="AL19" s="1"/>
      <c r="AM19" s="2"/>
      <c r="AN19" s="7"/>
      <c r="AT19" s="23" t="str">
        <f>U19</f>
        <v>Average discharge burnup  [MWd/t]</v>
      </c>
      <c r="AU19" s="23" t="str">
        <f>AD19</f>
        <v>35000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5107</v>
      </c>
      <c r="AE20" s="248"/>
      <c r="AF20" s="248"/>
      <c r="AG20" s="248"/>
      <c r="AH20" s="248"/>
      <c r="AI20" s="2"/>
      <c r="AJ20" s="1"/>
      <c r="AK20" s="2"/>
      <c r="AL20" s="1"/>
      <c r="AM20" s="2"/>
      <c r="AN20" s="7"/>
      <c r="AT20" s="23" t="str">
        <f>D55 &amp; Q48</f>
        <v>LF [%]2005</v>
      </c>
      <c r="AU20" s="26" t="str">
        <f>Q55</f>
        <v>73.85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80.86</v>
      </c>
    </row>
    <row r="22" spans="1:47" ht="8.85" customHeight="1" thickBot="1">
      <c r="A22" s="6"/>
      <c r="B22" s="1"/>
      <c r="C22" s="1"/>
      <c r="D22" s="248" t="s">
        <v>205</v>
      </c>
      <c r="E22" s="248"/>
      <c r="F22" s="248"/>
      <c r="G22" s="248"/>
      <c r="H22" s="248"/>
      <c r="I22" s="248"/>
      <c r="J22" s="248"/>
      <c r="K22" s="248"/>
      <c r="L22" s="247" t="s">
        <v>5709</v>
      </c>
      <c r="M22" s="259">
        <v>32431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1024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35788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1025</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37285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1026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1112</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1028</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1113</v>
      </c>
      <c r="G49" s="238"/>
      <c r="H49" s="238"/>
      <c r="I49" s="238"/>
      <c r="J49" s="10" t="s">
        <v>1114</v>
      </c>
      <c r="K49" s="238" t="s">
        <v>1115</v>
      </c>
      <c r="L49" s="238"/>
      <c r="M49" s="238"/>
      <c r="N49" s="238" t="s">
        <v>1116</v>
      </c>
      <c r="O49" s="238"/>
      <c r="P49" s="238"/>
      <c r="Q49" s="238" t="s">
        <v>1117</v>
      </c>
      <c r="R49" s="238"/>
      <c r="S49" s="238"/>
      <c r="T49" s="238"/>
      <c r="U49" s="238"/>
      <c r="V49" s="238"/>
      <c r="W49" s="238" t="s">
        <v>1118</v>
      </c>
      <c r="X49" s="238"/>
      <c r="Y49" s="10" t="s">
        <v>1119</v>
      </c>
      <c r="Z49" s="10" t="s">
        <v>1120</v>
      </c>
      <c r="AA49" s="238" t="s">
        <v>1121</v>
      </c>
      <c r="AB49" s="238"/>
      <c r="AC49" s="238"/>
      <c r="AD49" s="238"/>
      <c r="AE49" s="10" t="s">
        <v>1122</v>
      </c>
      <c r="AF49" s="237" t="s">
        <v>1123</v>
      </c>
      <c r="AG49" s="237"/>
      <c r="AH49" s="237"/>
      <c r="AI49" s="237"/>
      <c r="AJ49" s="2"/>
      <c r="AK49" s="2"/>
      <c r="AL49" s="2"/>
      <c r="AM49" s="2"/>
      <c r="AN49" s="7"/>
    </row>
    <row r="50" spans="1:40" ht="13.5" thickBot="1">
      <c r="A50" s="6"/>
      <c r="B50" s="2"/>
      <c r="C50" s="2"/>
      <c r="D50" s="244" t="s">
        <v>261</v>
      </c>
      <c r="E50" s="244"/>
      <c r="F50" s="238" t="s">
        <v>6563</v>
      </c>
      <c r="G50" s="238"/>
      <c r="H50" s="238"/>
      <c r="I50" s="238"/>
      <c r="J50" s="10" t="s">
        <v>6390</v>
      </c>
      <c r="K50" s="238" t="s">
        <v>4483</v>
      </c>
      <c r="L50" s="238"/>
      <c r="M50" s="238"/>
      <c r="N50" s="238" t="s">
        <v>6000</v>
      </c>
      <c r="O50" s="238"/>
      <c r="P50" s="238"/>
      <c r="Q50" s="238" t="s">
        <v>1124</v>
      </c>
      <c r="R50" s="238"/>
      <c r="S50" s="238"/>
      <c r="T50" s="238"/>
      <c r="U50" s="238"/>
      <c r="V50" s="238"/>
      <c r="W50" s="238" t="s">
        <v>3525</v>
      </c>
      <c r="X50" s="238"/>
      <c r="Y50" s="10" t="s">
        <v>1125</v>
      </c>
      <c r="Z50" s="10" t="s">
        <v>3674</v>
      </c>
      <c r="AA50" s="238" t="s">
        <v>3745</v>
      </c>
      <c r="AB50" s="238"/>
      <c r="AC50" s="238"/>
      <c r="AD50" s="238"/>
      <c r="AE50" s="10" t="s">
        <v>4623</v>
      </c>
      <c r="AF50" s="237" t="s">
        <v>1012</v>
      </c>
      <c r="AG50" s="237"/>
      <c r="AH50" s="237"/>
      <c r="AI50" s="237"/>
      <c r="AJ50" s="2"/>
      <c r="AK50" s="2"/>
      <c r="AL50" s="2"/>
      <c r="AM50" s="2"/>
      <c r="AN50" s="7"/>
    </row>
    <row r="51" spans="1:40" ht="13.5" thickBot="1">
      <c r="A51" s="6"/>
      <c r="B51" s="2"/>
      <c r="C51" s="2"/>
      <c r="D51" s="244" t="s">
        <v>273</v>
      </c>
      <c r="E51" s="244"/>
      <c r="F51" s="238" t="s">
        <v>6563</v>
      </c>
      <c r="G51" s="238"/>
      <c r="H51" s="238"/>
      <c r="I51" s="238"/>
      <c r="J51" s="10" t="s">
        <v>1126</v>
      </c>
      <c r="K51" s="238" t="s">
        <v>908</v>
      </c>
      <c r="L51" s="238"/>
      <c r="M51" s="238"/>
      <c r="N51" s="238" t="s">
        <v>920</v>
      </c>
      <c r="O51" s="238"/>
      <c r="P51" s="238"/>
      <c r="Q51" s="238" t="s">
        <v>1127</v>
      </c>
      <c r="R51" s="238"/>
      <c r="S51" s="238"/>
      <c r="T51" s="238"/>
      <c r="U51" s="238"/>
      <c r="V51" s="238"/>
      <c r="W51" s="238" t="s">
        <v>6773</v>
      </c>
      <c r="X51" s="238"/>
      <c r="Y51" s="10" t="s">
        <v>1128</v>
      </c>
      <c r="Z51" s="10" t="s">
        <v>6891</v>
      </c>
      <c r="AA51" s="238" t="s">
        <v>1129</v>
      </c>
      <c r="AB51" s="238"/>
      <c r="AC51" s="238"/>
      <c r="AD51" s="238"/>
      <c r="AE51" s="10" t="s">
        <v>1130</v>
      </c>
      <c r="AF51" s="237" t="s">
        <v>1131</v>
      </c>
      <c r="AG51" s="237"/>
      <c r="AH51" s="237"/>
      <c r="AI51" s="237"/>
      <c r="AJ51" s="2"/>
      <c r="AK51" s="2"/>
      <c r="AL51" s="2"/>
      <c r="AM51" s="2"/>
      <c r="AN51" s="7"/>
    </row>
    <row r="52" spans="1:40" ht="13.5" thickBot="1">
      <c r="A52" s="6"/>
      <c r="B52" s="2"/>
      <c r="C52" s="2"/>
      <c r="D52" s="244" t="s">
        <v>285</v>
      </c>
      <c r="E52" s="244"/>
      <c r="F52" s="238" t="s">
        <v>6563</v>
      </c>
      <c r="G52" s="238"/>
      <c r="H52" s="238"/>
      <c r="I52" s="238"/>
      <c r="J52" s="10" t="s">
        <v>643</v>
      </c>
      <c r="K52" s="238" t="s">
        <v>4759</v>
      </c>
      <c r="L52" s="238"/>
      <c r="M52" s="238"/>
      <c r="N52" s="238" t="s">
        <v>4218</v>
      </c>
      <c r="O52" s="238"/>
      <c r="P52" s="238"/>
      <c r="Q52" s="238" t="s">
        <v>6779</v>
      </c>
      <c r="R52" s="238"/>
      <c r="S52" s="238"/>
      <c r="T52" s="238"/>
      <c r="U52" s="238"/>
      <c r="V52" s="238"/>
      <c r="W52" s="238" t="s">
        <v>3669</v>
      </c>
      <c r="X52" s="238"/>
      <c r="Y52" s="10" t="s">
        <v>137</v>
      </c>
      <c r="Z52" s="10" t="s">
        <v>3224</v>
      </c>
      <c r="AA52" s="238" t="s">
        <v>942</v>
      </c>
      <c r="AB52" s="238"/>
      <c r="AC52" s="238"/>
      <c r="AD52" s="238"/>
      <c r="AE52" s="10" t="s">
        <v>4304</v>
      </c>
      <c r="AF52" s="237" t="s">
        <v>963</v>
      </c>
      <c r="AG52" s="237"/>
      <c r="AH52" s="237"/>
      <c r="AI52" s="237"/>
      <c r="AJ52" s="2"/>
      <c r="AK52" s="2"/>
      <c r="AL52" s="2"/>
      <c r="AM52" s="2"/>
      <c r="AN52" s="7"/>
    </row>
    <row r="53" spans="1:40" ht="13.5" thickBot="1">
      <c r="A53" s="6"/>
      <c r="B53" s="2"/>
      <c r="C53" s="2"/>
      <c r="D53" s="244" t="s">
        <v>295</v>
      </c>
      <c r="E53" s="244"/>
      <c r="F53" s="238" t="s">
        <v>6563</v>
      </c>
      <c r="G53" s="238"/>
      <c r="H53" s="238"/>
      <c r="I53" s="238"/>
      <c r="J53" s="10" t="s">
        <v>2909</v>
      </c>
      <c r="K53" s="238" t="s">
        <v>1132</v>
      </c>
      <c r="L53" s="238"/>
      <c r="M53" s="238"/>
      <c r="N53" s="238" t="s">
        <v>5270</v>
      </c>
      <c r="O53" s="238"/>
      <c r="P53" s="238"/>
      <c r="Q53" s="238" t="s">
        <v>3179</v>
      </c>
      <c r="R53" s="238"/>
      <c r="S53" s="238"/>
      <c r="T53" s="238"/>
      <c r="U53" s="238"/>
      <c r="V53" s="238"/>
      <c r="W53" s="238" t="s">
        <v>5258</v>
      </c>
      <c r="X53" s="238"/>
      <c r="Y53" s="10" t="s">
        <v>1133</v>
      </c>
      <c r="Z53" s="10" t="s">
        <v>1134</v>
      </c>
      <c r="AA53" s="238" t="s">
        <v>1135</v>
      </c>
      <c r="AB53" s="238"/>
      <c r="AC53" s="238"/>
      <c r="AD53" s="238"/>
      <c r="AE53" s="10" t="s">
        <v>1136</v>
      </c>
      <c r="AF53" s="237" t="s">
        <v>657</v>
      </c>
      <c r="AG53" s="237"/>
      <c r="AH53" s="237"/>
      <c r="AI53" s="237"/>
      <c r="AJ53" s="2"/>
      <c r="AK53" s="2"/>
      <c r="AL53" s="2"/>
      <c r="AM53" s="2"/>
      <c r="AN53" s="7"/>
    </row>
    <row r="54" spans="1:40" ht="13.5" thickBot="1">
      <c r="A54" s="6"/>
      <c r="B54" s="2"/>
      <c r="C54" s="2"/>
      <c r="D54" s="244" t="s">
        <v>307</v>
      </c>
      <c r="E54" s="244"/>
      <c r="F54" s="238" t="s">
        <v>6563</v>
      </c>
      <c r="G54" s="238"/>
      <c r="H54" s="238"/>
      <c r="I54" s="238"/>
      <c r="J54" s="10" t="s">
        <v>1137</v>
      </c>
      <c r="K54" s="238" t="s">
        <v>4843</v>
      </c>
      <c r="L54" s="238"/>
      <c r="M54" s="238"/>
      <c r="N54" s="238" t="s">
        <v>1138</v>
      </c>
      <c r="O54" s="238"/>
      <c r="P54" s="238"/>
      <c r="Q54" s="238" t="s">
        <v>3898</v>
      </c>
      <c r="R54" s="238"/>
      <c r="S54" s="238"/>
      <c r="T54" s="238"/>
      <c r="U54" s="238"/>
      <c r="V54" s="238"/>
      <c r="W54" s="238" t="s">
        <v>1894</v>
      </c>
      <c r="X54" s="238"/>
      <c r="Y54" s="10" t="s">
        <v>1139</v>
      </c>
      <c r="Z54" s="10" t="s">
        <v>6859</v>
      </c>
      <c r="AA54" s="238" t="s">
        <v>1140</v>
      </c>
      <c r="AB54" s="238"/>
      <c r="AC54" s="238"/>
      <c r="AD54" s="238"/>
      <c r="AE54" s="10" t="s">
        <v>822</v>
      </c>
      <c r="AF54" s="237" t="s">
        <v>1141</v>
      </c>
      <c r="AG54" s="237"/>
      <c r="AH54" s="237"/>
      <c r="AI54" s="237"/>
      <c r="AJ54" s="2"/>
      <c r="AK54" s="2"/>
      <c r="AL54" s="2"/>
      <c r="AM54" s="2"/>
      <c r="AN54" s="7"/>
    </row>
    <row r="55" spans="1:40" ht="13.5" thickBot="1">
      <c r="A55" s="6"/>
      <c r="B55" s="2"/>
      <c r="C55" s="2"/>
      <c r="D55" s="244" t="s">
        <v>319</v>
      </c>
      <c r="E55" s="244"/>
      <c r="F55" s="237" t="s">
        <v>6563</v>
      </c>
      <c r="G55" s="237"/>
      <c r="H55" s="237"/>
      <c r="I55" s="237"/>
      <c r="J55" s="11" t="s">
        <v>3224</v>
      </c>
      <c r="K55" s="237" t="s">
        <v>1142</v>
      </c>
      <c r="L55" s="237"/>
      <c r="M55" s="237"/>
      <c r="N55" s="237" t="s">
        <v>6154</v>
      </c>
      <c r="O55" s="237"/>
      <c r="P55" s="237"/>
      <c r="Q55" s="237" t="s">
        <v>6614</v>
      </c>
      <c r="R55" s="237"/>
      <c r="S55" s="237"/>
      <c r="T55" s="237"/>
      <c r="U55" s="237"/>
      <c r="V55" s="237"/>
      <c r="W55" s="237" t="s">
        <v>1143</v>
      </c>
      <c r="X55" s="237"/>
      <c r="Y55" s="11" t="s">
        <v>1055</v>
      </c>
      <c r="Z55" s="11" t="s">
        <v>6611</v>
      </c>
      <c r="AA55" s="237" t="s">
        <v>3952</v>
      </c>
      <c r="AB55" s="237"/>
      <c r="AC55" s="237"/>
      <c r="AD55" s="237"/>
      <c r="AE55" s="11" t="s">
        <v>3943</v>
      </c>
      <c r="AF55" s="237" t="s">
        <v>6541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indexed="10"/>
  </sheetPr>
  <dimension ref="A1:AU61"/>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1144</v>
      </c>
      <c r="E7" s="269"/>
      <c r="F7" s="269"/>
      <c r="G7" s="269"/>
      <c r="H7" s="269" t="s">
        <v>1145</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CIVAUX-2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N4 REP 1450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4270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1022</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4270</v>
      </c>
      <c r="N16" s="264"/>
      <c r="O16" s="264"/>
      <c r="P16" s="248" t="s">
        <v>186</v>
      </c>
      <c r="Q16" s="248"/>
      <c r="R16" s="248"/>
      <c r="S16" s="2"/>
      <c r="T16" s="2"/>
      <c r="U16" s="252" t="s">
        <v>187</v>
      </c>
      <c r="V16" s="252"/>
      <c r="W16" s="252"/>
      <c r="X16" s="252"/>
      <c r="Y16" s="252"/>
      <c r="Z16" s="252"/>
      <c r="AA16" s="252"/>
      <c r="AB16" s="247" t="s">
        <v>5709</v>
      </c>
      <c r="AC16" s="247"/>
      <c r="AD16" s="248" t="s">
        <v>1023</v>
      </c>
      <c r="AE16" s="248"/>
      <c r="AF16" s="248"/>
      <c r="AG16" s="248"/>
      <c r="AH16" s="248"/>
      <c r="AI16" s="2"/>
      <c r="AJ16" s="1"/>
      <c r="AK16" s="2"/>
      <c r="AL16" s="1"/>
      <c r="AM16" s="2"/>
      <c r="AN16" s="7"/>
      <c r="AT16" s="24" t="str">
        <f>D17 &amp; " [MWe]"</f>
        <v>Latest gross electrical power [MWe]</v>
      </c>
      <c r="AU16" s="24">
        <f>M17</f>
        <v>1561</v>
      </c>
    </row>
    <row r="17" spans="1:47" ht="13.5" thickBot="1">
      <c r="A17" s="6"/>
      <c r="B17" s="1"/>
      <c r="C17" s="1"/>
      <c r="D17" s="248" t="s">
        <v>189</v>
      </c>
      <c r="E17" s="248"/>
      <c r="F17" s="248"/>
      <c r="G17" s="248"/>
      <c r="H17" s="248"/>
      <c r="I17" s="248"/>
      <c r="J17" s="248"/>
      <c r="K17" s="248"/>
      <c r="L17" s="8" t="s">
        <v>5709</v>
      </c>
      <c r="M17" s="264">
        <v>1561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1495</v>
      </c>
    </row>
    <row r="18" spans="1:47" ht="13.5" thickBot="1">
      <c r="A18" s="6"/>
      <c r="B18" s="1"/>
      <c r="C18" s="1"/>
      <c r="D18" s="248" t="s">
        <v>193</v>
      </c>
      <c r="E18" s="248"/>
      <c r="F18" s="248"/>
      <c r="G18" s="248"/>
      <c r="H18" s="248"/>
      <c r="I18" s="248"/>
      <c r="J18" s="248"/>
      <c r="K18" s="248"/>
      <c r="L18" s="8" t="s">
        <v>5709</v>
      </c>
      <c r="M18" s="264">
        <v>1450</v>
      </c>
      <c r="N18" s="264"/>
      <c r="O18" s="264"/>
      <c r="P18" s="248" t="s">
        <v>190</v>
      </c>
      <c r="Q18" s="248"/>
      <c r="R18" s="248"/>
      <c r="S18" s="2"/>
      <c r="T18" s="2"/>
      <c r="U18" s="252" t="s">
        <v>194</v>
      </c>
      <c r="V18" s="252"/>
      <c r="W18" s="252"/>
      <c r="X18" s="252"/>
      <c r="Y18" s="252"/>
      <c r="Z18" s="252"/>
      <c r="AA18" s="252"/>
      <c r="AB18" s="247" t="s">
        <v>5709</v>
      </c>
      <c r="AC18" s="247"/>
      <c r="AD18" s="248" t="s">
        <v>1929</v>
      </c>
      <c r="AE18" s="248"/>
      <c r="AF18" s="248"/>
      <c r="AG18" s="248"/>
      <c r="AH18" s="248"/>
      <c r="AI18" s="2"/>
      <c r="AJ18" s="1"/>
      <c r="AK18" s="2"/>
      <c r="AL18" s="1"/>
      <c r="AM18" s="2"/>
      <c r="AN18" s="7"/>
      <c r="AT18" s="25" t="str">
        <f>D24</f>
        <v>Grid Date</v>
      </c>
      <c r="AU18" s="25">
        <f>M24</f>
        <v>36518</v>
      </c>
    </row>
    <row r="19" spans="1:47" ht="13.5" thickBot="1">
      <c r="A19" s="6"/>
      <c r="B19" s="1"/>
      <c r="C19" s="1"/>
      <c r="D19" s="248" t="s">
        <v>196</v>
      </c>
      <c r="E19" s="248"/>
      <c r="F19" s="248"/>
      <c r="G19" s="248"/>
      <c r="H19" s="248"/>
      <c r="I19" s="248"/>
      <c r="J19" s="248"/>
      <c r="K19" s="248"/>
      <c r="L19" s="8" t="s">
        <v>5709</v>
      </c>
      <c r="M19" s="264">
        <v>1495</v>
      </c>
      <c r="N19" s="264"/>
      <c r="O19" s="264"/>
      <c r="P19" s="248" t="s">
        <v>190</v>
      </c>
      <c r="Q19" s="248"/>
      <c r="R19" s="248"/>
      <c r="S19" s="2"/>
      <c r="T19" s="2"/>
      <c r="U19" s="252" t="s">
        <v>197</v>
      </c>
      <c r="V19" s="252"/>
      <c r="W19" s="252"/>
      <c r="X19" s="252"/>
      <c r="Y19" s="252"/>
      <c r="Z19" s="252"/>
      <c r="AA19" s="252"/>
      <c r="AB19" s="247" t="s">
        <v>5709</v>
      </c>
      <c r="AC19" s="247"/>
      <c r="AD19" s="248" t="s">
        <v>1111</v>
      </c>
      <c r="AE19" s="248"/>
      <c r="AF19" s="248"/>
      <c r="AG19" s="248"/>
      <c r="AH19" s="248"/>
      <c r="AI19" s="2"/>
      <c r="AJ19" s="1"/>
      <c r="AK19" s="2"/>
      <c r="AL19" s="1"/>
      <c r="AM19" s="2"/>
      <c r="AN19" s="7"/>
      <c r="AT19" s="23" t="str">
        <f>U19</f>
        <v>Average discharge burnup  [MWd/t]</v>
      </c>
      <c r="AU19" s="23" t="str">
        <f>AD19</f>
        <v>35000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5107</v>
      </c>
      <c r="AE20" s="248"/>
      <c r="AF20" s="248"/>
      <c r="AG20" s="248"/>
      <c r="AH20" s="248"/>
      <c r="AI20" s="2"/>
      <c r="AJ20" s="1"/>
      <c r="AK20" s="2"/>
      <c r="AL20" s="1"/>
      <c r="AM20" s="2"/>
      <c r="AN20" s="7"/>
      <c r="AT20" s="23" t="str">
        <f>D55 &amp; Q48</f>
        <v>LF [%]2005</v>
      </c>
      <c r="AU20" s="26" t="str">
        <f>Q55</f>
        <v>73.47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84.71</v>
      </c>
    </row>
    <row r="22" spans="1:47" ht="8.85" customHeight="1" thickBot="1">
      <c r="A22" s="6"/>
      <c r="B22" s="1"/>
      <c r="C22" s="1"/>
      <c r="D22" s="248" t="s">
        <v>205</v>
      </c>
      <c r="E22" s="248"/>
      <c r="F22" s="248"/>
      <c r="G22" s="248"/>
      <c r="H22" s="248"/>
      <c r="I22" s="248"/>
      <c r="J22" s="248"/>
      <c r="K22" s="248"/>
      <c r="L22" s="247" t="s">
        <v>5709</v>
      </c>
      <c r="M22" s="259">
        <v>33329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1024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36518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1025</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37369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1026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1112</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1028</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1146</v>
      </c>
      <c r="G49" s="238"/>
      <c r="H49" s="238"/>
      <c r="I49" s="238"/>
      <c r="J49" s="10" t="s">
        <v>1147</v>
      </c>
      <c r="K49" s="238" t="s">
        <v>1148</v>
      </c>
      <c r="L49" s="238"/>
      <c r="M49" s="238"/>
      <c r="N49" s="238" t="s">
        <v>1149</v>
      </c>
      <c r="O49" s="238"/>
      <c r="P49" s="238"/>
      <c r="Q49" s="238" t="s">
        <v>1150</v>
      </c>
      <c r="R49" s="238"/>
      <c r="S49" s="238"/>
      <c r="T49" s="238"/>
      <c r="U49" s="238"/>
      <c r="V49" s="238"/>
      <c r="W49" s="238" t="s">
        <v>1151</v>
      </c>
      <c r="X49" s="238"/>
      <c r="Y49" s="10" t="s">
        <v>1152</v>
      </c>
      <c r="Z49" s="10" t="s">
        <v>1153</v>
      </c>
      <c r="AA49" s="238" t="s">
        <v>1154</v>
      </c>
      <c r="AB49" s="238"/>
      <c r="AC49" s="238"/>
      <c r="AD49" s="238"/>
      <c r="AE49" s="10" t="s">
        <v>1155</v>
      </c>
      <c r="AF49" s="237" t="s">
        <v>1156</v>
      </c>
      <c r="AG49" s="237"/>
      <c r="AH49" s="237"/>
      <c r="AI49" s="237"/>
      <c r="AJ49" s="2"/>
      <c r="AK49" s="2"/>
      <c r="AL49" s="2"/>
      <c r="AM49" s="2"/>
      <c r="AN49" s="7"/>
    </row>
    <row r="50" spans="1:40" ht="13.5" thickBot="1">
      <c r="A50" s="6"/>
      <c r="B50" s="2"/>
      <c r="C50" s="2"/>
      <c r="D50" s="244" t="s">
        <v>261</v>
      </c>
      <c r="E50" s="244"/>
      <c r="F50" s="238" t="s">
        <v>6563</v>
      </c>
      <c r="G50" s="238"/>
      <c r="H50" s="238"/>
      <c r="I50" s="238"/>
      <c r="J50" s="10" t="s">
        <v>5601</v>
      </c>
      <c r="K50" s="238" t="s">
        <v>1157</v>
      </c>
      <c r="L50" s="238"/>
      <c r="M50" s="238"/>
      <c r="N50" s="238" t="s">
        <v>1158</v>
      </c>
      <c r="O50" s="238"/>
      <c r="P50" s="238"/>
      <c r="Q50" s="238" t="s">
        <v>1159</v>
      </c>
      <c r="R50" s="238"/>
      <c r="S50" s="238"/>
      <c r="T50" s="238"/>
      <c r="U50" s="238"/>
      <c r="V50" s="238"/>
      <c r="W50" s="238" t="s">
        <v>5497</v>
      </c>
      <c r="X50" s="238"/>
      <c r="Y50" s="10" t="s">
        <v>3562</v>
      </c>
      <c r="Z50" s="10" t="s">
        <v>2808</v>
      </c>
      <c r="AA50" s="238" t="s">
        <v>3771</v>
      </c>
      <c r="AB50" s="238"/>
      <c r="AC50" s="238"/>
      <c r="AD50" s="238"/>
      <c r="AE50" s="10" t="s">
        <v>6717</v>
      </c>
      <c r="AF50" s="237" t="s">
        <v>5222</v>
      </c>
      <c r="AG50" s="237"/>
      <c r="AH50" s="237"/>
      <c r="AI50" s="237"/>
      <c r="AJ50" s="2"/>
      <c r="AK50" s="2"/>
      <c r="AL50" s="2"/>
      <c r="AM50" s="2"/>
      <c r="AN50" s="7"/>
    </row>
    <row r="51" spans="1:40" ht="13.5" thickBot="1">
      <c r="A51" s="6"/>
      <c r="B51" s="2"/>
      <c r="C51" s="2"/>
      <c r="D51" s="244" t="s">
        <v>273</v>
      </c>
      <c r="E51" s="244"/>
      <c r="F51" s="238" t="s">
        <v>6563</v>
      </c>
      <c r="G51" s="238"/>
      <c r="H51" s="238"/>
      <c r="I51" s="238"/>
      <c r="J51" s="10" t="s">
        <v>4938</v>
      </c>
      <c r="K51" s="238" t="s">
        <v>1160</v>
      </c>
      <c r="L51" s="238"/>
      <c r="M51" s="238"/>
      <c r="N51" s="238" t="s">
        <v>1161</v>
      </c>
      <c r="O51" s="238"/>
      <c r="P51" s="238"/>
      <c r="Q51" s="238" t="s">
        <v>1162</v>
      </c>
      <c r="R51" s="238"/>
      <c r="S51" s="238"/>
      <c r="T51" s="238"/>
      <c r="U51" s="238"/>
      <c r="V51" s="238"/>
      <c r="W51" s="238" t="s">
        <v>1163</v>
      </c>
      <c r="X51" s="238"/>
      <c r="Y51" s="10" t="s">
        <v>3852</v>
      </c>
      <c r="Z51" s="10" t="s">
        <v>447</v>
      </c>
      <c r="AA51" s="238" t="s">
        <v>1164</v>
      </c>
      <c r="AB51" s="238"/>
      <c r="AC51" s="238"/>
      <c r="AD51" s="238"/>
      <c r="AE51" s="10" t="s">
        <v>6309</v>
      </c>
      <c r="AF51" s="237" t="s">
        <v>449</v>
      </c>
      <c r="AG51" s="237"/>
      <c r="AH51" s="237"/>
      <c r="AI51" s="237"/>
      <c r="AJ51" s="2"/>
      <c r="AK51" s="2"/>
      <c r="AL51" s="2"/>
      <c r="AM51" s="2"/>
      <c r="AN51" s="7"/>
    </row>
    <row r="52" spans="1:40" ht="13.5" thickBot="1">
      <c r="A52" s="6"/>
      <c r="B52" s="2"/>
      <c r="C52" s="2"/>
      <c r="D52" s="244" t="s">
        <v>285</v>
      </c>
      <c r="E52" s="244"/>
      <c r="F52" s="238" t="s">
        <v>6563</v>
      </c>
      <c r="G52" s="238"/>
      <c r="H52" s="238"/>
      <c r="I52" s="238"/>
      <c r="J52" s="10" t="s">
        <v>2842</v>
      </c>
      <c r="K52" s="238" t="s">
        <v>1165</v>
      </c>
      <c r="L52" s="238"/>
      <c r="M52" s="238"/>
      <c r="N52" s="238" t="s">
        <v>4935</v>
      </c>
      <c r="O52" s="238"/>
      <c r="P52" s="238"/>
      <c r="Q52" s="238" t="s">
        <v>6797</v>
      </c>
      <c r="R52" s="238"/>
      <c r="S52" s="238"/>
      <c r="T52" s="238"/>
      <c r="U52" s="238"/>
      <c r="V52" s="238"/>
      <c r="W52" s="238" t="s">
        <v>3066</v>
      </c>
      <c r="X52" s="238"/>
      <c r="Y52" s="10" t="s">
        <v>1166</v>
      </c>
      <c r="Z52" s="10" t="s">
        <v>3512</v>
      </c>
      <c r="AA52" s="238" t="s">
        <v>4752</v>
      </c>
      <c r="AB52" s="238"/>
      <c r="AC52" s="238"/>
      <c r="AD52" s="238"/>
      <c r="AE52" s="10" t="s">
        <v>2969</v>
      </c>
      <c r="AF52" s="237" t="s">
        <v>2685</v>
      </c>
      <c r="AG52" s="237"/>
      <c r="AH52" s="237"/>
      <c r="AI52" s="237"/>
      <c r="AJ52" s="2"/>
      <c r="AK52" s="2"/>
      <c r="AL52" s="2"/>
      <c r="AM52" s="2"/>
      <c r="AN52" s="7"/>
    </row>
    <row r="53" spans="1:40" ht="13.5" thickBot="1">
      <c r="A53" s="6"/>
      <c r="B53" s="2"/>
      <c r="C53" s="2"/>
      <c r="D53" s="244" t="s">
        <v>295</v>
      </c>
      <c r="E53" s="244"/>
      <c r="F53" s="238" t="s">
        <v>6563</v>
      </c>
      <c r="G53" s="238"/>
      <c r="H53" s="238"/>
      <c r="I53" s="238"/>
      <c r="J53" s="10" t="s">
        <v>6786</v>
      </c>
      <c r="K53" s="238" t="s">
        <v>1167</v>
      </c>
      <c r="L53" s="238"/>
      <c r="M53" s="238"/>
      <c r="N53" s="238" t="s">
        <v>3464</v>
      </c>
      <c r="O53" s="238"/>
      <c r="P53" s="238"/>
      <c r="Q53" s="238" t="s">
        <v>2960</v>
      </c>
      <c r="R53" s="238"/>
      <c r="S53" s="238"/>
      <c r="T53" s="238"/>
      <c r="U53" s="238"/>
      <c r="V53" s="238"/>
      <c r="W53" s="238" t="s">
        <v>6902</v>
      </c>
      <c r="X53" s="238"/>
      <c r="Y53" s="10" t="s">
        <v>1783</v>
      </c>
      <c r="Z53" s="10" t="s">
        <v>4273</v>
      </c>
      <c r="AA53" s="238" t="s">
        <v>304</v>
      </c>
      <c r="AB53" s="238"/>
      <c r="AC53" s="238"/>
      <c r="AD53" s="238"/>
      <c r="AE53" s="10" t="s">
        <v>4841</v>
      </c>
      <c r="AF53" s="237" t="s">
        <v>6722</v>
      </c>
      <c r="AG53" s="237"/>
      <c r="AH53" s="237"/>
      <c r="AI53" s="237"/>
      <c r="AJ53" s="2"/>
      <c r="AK53" s="2"/>
      <c r="AL53" s="2"/>
      <c r="AM53" s="2"/>
      <c r="AN53" s="7"/>
    </row>
    <row r="54" spans="1:40" ht="13.5" thickBot="1">
      <c r="A54" s="6"/>
      <c r="B54" s="2"/>
      <c r="C54" s="2"/>
      <c r="D54" s="244" t="s">
        <v>307</v>
      </c>
      <c r="E54" s="244"/>
      <c r="F54" s="238" t="s">
        <v>6563</v>
      </c>
      <c r="G54" s="238"/>
      <c r="H54" s="238"/>
      <c r="I54" s="238"/>
      <c r="J54" s="10" t="s">
        <v>6467</v>
      </c>
      <c r="K54" s="238" t="s">
        <v>4101</v>
      </c>
      <c r="L54" s="238"/>
      <c r="M54" s="238"/>
      <c r="N54" s="238" t="s">
        <v>4775</v>
      </c>
      <c r="O54" s="238"/>
      <c r="P54" s="238"/>
      <c r="Q54" s="238" t="s">
        <v>7115</v>
      </c>
      <c r="R54" s="238"/>
      <c r="S54" s="238"/>
      <c r="T54" s="238"/>
      <c r="U54" s="238"/>
      <c r="V54" s="238"/>
      <c r="W54" s="238" t="s">
        <v>1010</v>
      </c>
      <c r="X54" s="238"/>
      <c r="Y54" s="10" t="s">
        <v>4739</v>
      </c>
      <c r="Z54" s="10" t="s">
        <v>4786</v>
      </c>
      <c r="AA54" s="238" t="s">
        <v>4886</v>
      </c>
      <c r="AB54" s="238"/>
      <c r="AC54" s="238"/>
      <c r="AD54" s="238"/>
      <c r="AE54" s="10" t="s">
        <v>3785</v>
      </c>
      <c r="AF54" s="237" t="s">
        <v>1168</v>
      </c>
      <c r="AG54" s="237"/>
      <c r="AH54" s="237"/>
      <c r="AI54" s="237"/>
      <c r="AJ54" s="2"/>
      <c r="AK54" s="2"/>
      <c r="AL54" s="2"/>
      <c r="AM54" s="2"/>
      <c r="AN54" s="7"/>
    </row>
    <row r="55" spans="1:40" ht="13.5" thickBot="1">
      <c r="A55" s="6"/>
      <c r="B55" s="2"/>
      <c r="C55" s="2"/>
      <c r="D55" s="244" t="s">
        <v>319</v>
      </c>
      <c r="E55" s="244"/>
      <c r="F55" s="237" t="s">
        <v>6563</v>
      </c>
      <c r="G55" s="237"/>
      <c r="H55" s="237"/>
      <c r="I55" s="237"/>
      <c r="J55" s="11" t="s">
        <v>1169</v>
      </c>
      <c r="K55" s="237" t="s">
        <v>1170</v>
      </c>
      <c r="L55" s="237"/>
      <c r="M55" s="237"/>
      <c r="N55" s="237" t="s">
        <v>4328</v>
      </c>
      <c r="O55" s="237"/>
      <c r="P55" s="237"/>
      <c r="Q55" s="237" t="s">
        <v>1159</v>
      </c>
      <c r="R55" s="237"/>
      <c r="S55" s="237"/>
      <c r="T55" s="237"/>
      <c r="U55" s="237"/>
      <c r="V55" s="237"/>
      <c r="W55" s="237" t="s">
        <v>711</v>
      </c>
      <c r="X55" s="237"/>
      <c r="Y55" s="11" t="s">
        <v>6534</v>
      </c>
      <c r="Z55" s="11" t="s">
        <v>3501</v>
      </c>
      <c r="AA55" s="237" t="s">
        <v>1063</v>
      </c>
      <c r="AB55" s="237"/>
      <c r="AC55" s="237"/>
      <c r="AD55" s="237"/>
      <c r="AE55" s="11" t="s">
        <v>4946</v>
      </c>
      <c r="AF55" s="237" t="s">
        <v>3695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1171</v>
      </c>
      <c r="E7" s="269"/>
      <c r="F7" s="269"/>
      <c r="G7" s="269"/>
      <c r="H7" s="269" t="s">
        <v>1172</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CRUAS-1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956</v>
      </c>
    </row>
    <row r="17" spans="1:47" ht="13.5" thickBot="1">
      <c r="A17" s="6"/>
      <c r="B17" s="1"/>
      <c r="C17" s="1"/>
      <c r="D17" s="248" t="s">
        <v>189</v>
      </c>
      <c r="E17" s="248"/>
      <c r="F17" s="248"/>
      <c r="G17" s="248"/>
      <c r="H17" s="248"/>
      <c r="I17" s="248"/>
      <c r="J17" s="248"/>
      <c r="K17" s="248"/>
      <c r="L17" s="8" t="s">
        <v>5709</v>
      </c>
      <c r="M17" s="264">
        <v>956</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880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30435</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66.69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81.46</v>
      </c>
    </row>
    <row r="22" spans="1:47" ht="8.85" customHeight="1" thickBot="1">
      <c r="A22" s="6"/>
      <c r="B22" s="1"/>
      <c r="C22" s="1"/>
      <c r="D22" s="248" t="s">
        <v>205</v>
      </c>
      <c r="E22" s="248"/>
      <c r="F22" s="248"/>
      <c r="G22" s="248"/>
      <c r="H22" s="248"/>
      <c r="I22" s="248"/>
      <c r="J22" s="248"/>
      <c r="K22" s="248"/>
      <c r="L22" s="247" t="s">
        <v>5709</v>
      </c>
      <c r="M22" s="259">
        <v>28703</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30435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30774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1175</v>
      </c>
      <c r="G49" s="238"/>
      <c r="H49" s="238"/>
      <c r="I49" s="238"/>
      <c r="J49" s="10" t="s">
        <v>1176</v>
      </c>
      <c r="K49" s="238" t="s">
        <v>1177</v>
      </c>
      <c r="L49" s="238"/>
      <c r="M49" s="238"/>
      <c r="N49" s="238" t="s">
        <v>1178</v>
      </c>
      <c r="O49" s="238"/>
      <c r="P49" s="238"/>
      <c r="Q49" s="238" t="s">
        <v>1179</v>
      </c>
      <c r="R49" s="238"/>
      <c r="S49" s="238"/>
      <c r="T49" s="238"/>
      <c r="U49" s="238"/>
      <c r="V49" s="238"/>
      <c r="W49" s="238" t="s">
        <v>1180</v>
      </c>
      <c r="X49" s="238"/>
      <c r="Y49" s="10" t="s">
        <v>1181</v>
      </c>
      <c r="Z49" s="10" t="s">
        <v>1182</v>
      </c>
      <c r="AA49" s="238" t="s">
        <v>1183</v>
      </c>
      <c r="AB49" s="238"/>
      <c r="AC49" s="238"/>
      <c r="AD49" s="238"/>
      <c r="AE49" s="10" t="s">
        <v>1184</v>
      </c>
      <c r="AF49" s="237" t="s">
        <v>1185</v>
      </c>
      <c r="AG49" s="237"/>
      <c r="AH49" s="237"/>
      <c r="AI49" s="237"/>
      <c r="AJ49" s="2"/>
      <c r="AK49" s="2"/>
      <c r="AL49" s="2"/>
      <c r="AM49" s="2"/>
      <c r="AN49" s="7"/>
    </row>
    <row r="50" spans="1:40" ht="13.5" thickBot="1">
      <c r="A50" s="6"/>
      <c r="B50" s="2"/>
      <c r="C50" s="2"/>
      <c r="D50" s="244" t="s">
        <v>261</v>
      </c>
      <c r="E50" s="244"/>
      <c r="F50" s="238" t="s">
        <v>488</v>
      </c>
      <c r="G50" s="238"/>
      <c r="H50" s="238"/>
      <c r="I50" s="238"/>
      <c r="J50" s="10" t="s">
        <v>1090</v>
      </c>
      <c r="K50" s="238" t="s">
        <v>1186</v>
      </c>
      <c r="L50" s="238"/>
      <c r="M50" s="238"/>
      <c r="N50" s="238" t="s">
        <v>1187</v>
      </c>
      <c r="O50" s="238"/>
      <c r="P50" s="238"/>
      <c r="Q50" s="238" t="s">
        <v>1188</v>
      </c>
      <c r="R50" s="238"/>
      <c r="S50" s="238"/>
      <c r="T50" s="238"/>
      <c r="U50" s="238"/>
      <c r="V50" s="238"/>
      <c r="W50" s="238" t="s">
        <v>2695</v>
      </c>
      <c r="X50" s="238"/>
      <c r="Y50" s="10" t="s">
        <v>876</v>
      </c>
      <c r="Z50" s="10" t="s">
        <v>3525</v>
      </c>
      <c r="AA50" s="238" t="s">
        <v>642</v>
      </c>
      <c r="AB50" s="238"/>
      <c r="AC50" s="238"/>
      <c r="AD50" s="238"/>
      <c r="AE50" s="10" t="s">
        <v>4480</v>
      </c>
      <c r="AF50" s="237" t="s">
        <v>7117</v>
      </c>
      <c r="AG50" s="237"/>
      <c r="AH50" s="237"/>
      <c r="AI50" s="237"/>
      <c r="AJ50" s="2"/>
      <c r="AK50" s="2"/>
      <c r="AL50" s="2"/>
      <c r="AM50" s="2"/>
      <c r="AN50" s="7"/>
    </row>
    <row r="51" spans="1:40" ht="13.5" thickBot="1">
      <c r="A51" s="6"/>
      <c r="B51" s="2"/>
      <c r="C51" s="2"/>
      <c r="D51" s="244" t="s">
        <v>273</v>
      </c>
      <c r="E51" s="244"/>
      <c r="F51" s="238" t="s">
        <v>1189</v>
      </c>
      <c r="G51" s="238"/>
      <c r="H51" s="238"/>
      <c r="I51" s="238"/>
      <c r="J51" s="10" t="s">
        <v>4212</v>
      </c>
      <c r="K51" s="238" t="s">
        <v>1190</v>
      </c>
      <c r="L51" s="238"/>
      <c r="M51" s="238"/>
      <c r="N51" s="238" t="s">
        <v>4095</v>
      </c>
      <c r="O51" s="238"/>
      <c r="P51" s="238"/>
      <c r="Q51" s="238" t="s">
        <v>1191</v>
      </c>
      <c r="R51" s="238"/>
      <c r="S51" s="238"/>
      <c r="T51" s="238"/>
      <c r="U51" s="238"/>
      <c r="V51" s="238"/>
      <c r="W51" s="238" t="s">
        <v>5604</v>
      </c>
      <c r="X51" s="238"/>
      <c r="Y51" s="10" t="s">
        <v>1192</v>
      </c>
      <c r="Z51" s="10" t="s">
        <v>4876</v>
      </c>
      <c r="AA51" s="238" t="s">
        <v>1193</v>
      </c>
      <c r="AB51" s="238"/>
      <c r="AC51" s="238"/>
      <c r="AD51" s="238"/>
      <c r="AE51" s="10" t="s">
        <v>5583</v>
      </c>
      <c r="AF51" s="237" t="s">
        <v>1194</v>
      </c>
      <c r="AG51" s="237"/>
      <c r="AH51" s="237"/>
      <c r="AI51" s="237"/>
      <c r="AJ51" s="2"/>
      <c r="AK51" s="2"/>
      <c r="AL51" s="2"/>
      <c r="AM51" s="2"/>
      <c r="AN51" s="7"/>
    </row>
    <row r="52" spans="1:40" ht="13.5" thickBot="1">
      <c r="A52" s="6"/>
      <c r="B52" s="2"/>
      <c r="C52" s="2"/>
      <c r="D52" s="244" t="s">
        <v>285</v>
      </c>
      <c r="E52" s="244"/>
      <c r="F52" s="238" t="s">
        <v>1195</v>
      </c>
      <c r="G52" s="238"/>
      <c r="H52" s="238"/>
      <c r="I52" s="238"/>
      <c r="J52" s="10" t="s">
        <v>5034</v>
      </c>
      <c r="K52" s="238" t="s">
        <v>1196</v>
      </c>
      <c r="L52" s="238"/>
      <c r="M52" s="238"/>
      <c r="N52" s="238" t="s">
        <v>6221</v>
      </c>
      <c r="O52" s="238"/>
      <c r="P52" s="238"/>
      <c r="Q52" s="238" t="s">
        <v>1197</v>
      </c>
      <c r="R52" s="238"/>
      <c r="S52" s="238"/>
      <c r="T52" s="238"/>
      <c r="U52" s="238"/>
      <c r="V52" s="238"/>
      <c r="W52" s="238" t="s">
        <v>6755</v>
      </c>
      <c r="X52" s="238"/>
      <c r="Y52" s="10" t="s">
        <v>3801</v>
      </c>
      <c r="Z52" s="10" t="s">
        <v>1198</v>
      </c>
      <c r="AA52" s="238" t="s">
        <v>4896</v>
      </c>
      <c r="AB52" s="238"/>
      <c r="AC52" s="238"/>
      <c r="AD52" s="238"/>
      <c r="AE52" s="10" t="s">
        <v>3070</v>
      </c>
      <c r="AF52" s="237" t="s">
        <v>1199</v>
      </c>
      <c r="AG52" s="237"/>
      <c r="AH52" s="237"/>
      <c r="AI52" s="237"/>
      <c r="AJ52" s="2"/>
      <c r="AK52" s="2"/>
      <c r="AL52" s="2"/>
      <c r="AM52" s="2"/>
      <c r="AN52" s="7"/>
    </row>
    <row r="53" spans="1:40" ht="13.5" thickBot="1">
      <c r="A53" s="6"/>
      <c r="B53" s="2"/>
      <c r="C53" s="2"/>
      <c r="D53" s="244" t="s">
        <v>295</v>
      </c>
      <c r="E53" s="244"/>
      <c r="F53" s="238" t="s">
        <v>4780</v>
      </c>
      <c r="G53" s="238"/>
      <c r="H53" s="238"/>
      <c r="I53" s="238"/>
      <c r="J53" s="10" t="s">
        <v>1200</v>
      </c>
      <c r="K53" s="238" t="s">
        <v>1201</v>
      </c>
      <c r="L53" s="238"/>
      <c r="M53" s="238"/>
      <c r="N53" s="238" t="s">
        <v>1202</v>
      </c>
      <c r="O53" s="238"/>
      <c r="P53" s="238"/>
      <c r="Q53" s="238" t="s">
        <v>1203</v>
      </c>
      <c r="R53" s="238"/>
      <c r="S53" s="238"/>
      <c r="T53" s="238"/>
      <c r="U53" s="238"/>
      <c r="V53" s="238"/>
      <c r="W53" s="238" t="s">
        <v>202</v>
      </c>
      <c r="X53" s="238"/>
      <c r="Y53" s="10" t="s">
        <v>1204</v>
      </c>
      <c r="Z53" s="10" t="s">
        <v>1205</v>
      </c>
      <c r="AA53" s="238" t="s">
        <v>5163</v>
      </c>
      <c r="AB53" s="238"/>
      <c r="AC53" s="238"/>
      <c r="AD53" s="238"/>
      <c r="AE53" s="10" t="s">
        <v>3350</v>
      </c>
      <c r="AF53" s="237" t="s">
        <v>1206</v>
      </c>
      <c r="AG53" s="237"/>
      <c r="AH53" s="237"/>
      <c r="AI53" s="237"/>
      <c r="AJ53" s="2"/>
      <c r="AK53" s="2"/>
      <c r="AL53" s="2"/>
      <c r="AM53" s="2"/>
      <c r="AN53" s="7"/>
    </row>
    <row r="54" spans="1:40" ht="13.5" thickBot="1">
      <c r="A54" s="6"/>
      <c r="B54" s="2"/>
      <c r="C54" s="2"/>
      <c r="D54" s="244" t="s">
        <v>307</v>
      </c>
      <c r="E54" s="244"/>
      <c r="F54" s="238" t="s">
        <v>4630</v>
      </c>
      <c r="G54" s="238"/>
      <c r="H54" s="238"/>
      <c r="I54" s="238"/>
      <c r="J54" s="10" t="s">
        <v>3283</v>
      </c>
      <c r="K54" s="238" t="s">
        <v>442</v>
      </c>
      <c r="L54" s="238"/>
      <c r="M54" s="238"/>
      <c r="N54" s="238" t="s">
        <v>5335</v>
      </c>
      <c r="O54" s="238"/>
      <c r="P54" s="238"/>
      <c r="Q54" s="238" t="s">
        <v>1207</v>
      </c>
      <c r="R54" s="238"/>
      <c r="S54" s="238"/>
      <c r="T54" s="238"/>
      <c r="U54" s="238"/>
      <c r="V54" s="238"/>
      <c r="W54" s="238" t="s">
        <v>6399</v>
      </c>
      <c r="X54" s="238"/>
      <c r="Y54" s="10" t="s">
        <v>1208</v>
      </c>
      <c r="Z54" s="10" t="s">
        <v>1209</v>
      </c>
      <c r="AA54" s="238" t="s">
        <v>1210</v>
      </c>
      <c r="AB54" s="238"/>
      <c r="AC54" s="238"/>
      <c r="AD54" s="238"/>
      <c r="AE54" s="10" t="s">
        <v>1211</v>
      </c>
      <c r="AF54" s="237" t="s">
        <v>1794</v>
      </c>
      <c r="AG54" s="237"/>
      <c r="AH54" s="237"/>
      <c r="AI54" s="237"/>
      <c r="AJ54" s="2"/>
      <c r="AK54" s="2"/>
      <c r="AL54" s="2"/>
      <c r="AM54" s="2"/>
      <c r="AN54" s="7"/>
    </row>
    <row r="55" spans="1:40" ht="13.5" thickBot="1">
      <c r="A55" s="6"/>
      <c r="B55" s="2"/>
      <c r="C55" s="2"/>
      <c r="D55" s="244" t="s">
        <v>319</v>
      </c>
      <c r="E55" s="244"/>
      <c r="F55" s="237" t="s">
        <v>7074</v>
      </c>
      <c r="G55" s="237"/>
      <c r="H55" s="237"/>
      <c r="I55" s="237"/>
      <c r="J55" s="11" t="s">
        <v>6150</v>
      </c>
      <c r="K55" s="237" t="s">
        <v>6675</v>
      </c>
      <c r="L55" s="237"/>
      <c r="M55" s="237"/>
      <c r="N55" s="237" t="s">
        <v>1212</v>
      </c>
      <c r="O55" s="237"/>
      <c r="P55" s="237"/>
      <c r="Q55" s="237" t="s">
        <v>1213</v>
      </c>
      <c r="R55" s="237"/>
      <c r="S55" s="237"/>
      <c r="T55" s="237"/>
      <c r="U55" s="237"/>
      <c r="V55" s="237"/>
      <c r="W55" s="237" t="s">
        <v>1214</v>
      </c>
      <c r="X55" s="237"/>
      <c r="Y55" s="11" t="s">
        <v>1215</v>
      </c>
      <c r="Z55" s="11" t="s">
        <v>6532</v>
      </c>
      <c r="AA55" s="237" t="s">
        <v>1216</v>
      </c>
      <c r="AB55" s="237"/>
      <c r="AC55" s="237"/>
      <c r="AD55" s="237"/>
      <c r="AE55" s="11" t="s">
        <v>6666</v>
      </c>
      <c r="AF55" s="237" t="s">
        <v>1217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tabColor indexed="10"/>
  </sheetPr>
  <dimension ref="A1:AU61"/>
  <sheetViews>
    <sheetView topLeftCell="K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1218</v>
      </c>
      <c r="E7" s="269"/>
      <c r="F7" s="269"/>
      <c r="G7" s="269"/>
      <c r="H7" s="269" t="s">
        <v>1219</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CRUAS-2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956</v>
      </c>
    </row>
    <row r="17" spans="1:47" ht="13.5" thickBot="1">
      <c r="A17" s="6"/>
      <c r="B17" s="1"/>
      <c r="C17" s="1"/>
      <c r="D17" s="248" t="s">
        <v>189</v>
      </c>
      <c r="E17" s="248"/>
      <c r="F17" s="248"/>
      <c r="G17" s="248"/>
      <c r="H17" s="248"/>
      <c r="I17" s="248"/>
      <c r="J17" s="248"/>
      <c r="K17" s="248"/>
      <c r="L17" s="8" t="s">
        <v>5709</v>
      </c>
      <c r="M17" s="264">
        <v>956</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915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30931</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81.14</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66.19</v>
      </c>
    </row>
    <row r="22" spans="1:47" ht="8.85" customHeight="1" thickBot="1">
      <c r="A22" s="6"/>
      <c r="B22" s="1"/>
      <c r="C22" s="1"/>
      <c r="D22" s="248" t="s">
        <v>205</v>
      </c>
      <c r="E22" s="248"/>
      <c r="F22" s="248"/>
      <c r="G22" s="248"/>
      <c r="H22" s="248"/>
      <c r="I22" s="248"/>
      <c r="J22" s="248"/>
      <c r="K22" s="248"/>
      <c r="L22" s="247" t="s">
        <v>5709</v>
      </c>
      <c r="M22" s="259">
        <v>28809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30931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31138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1220</v>
      </c>
      <c r="G49" s="238"/>
      <c r="H49" s="238"/>
      <c r="I49" s="238"/>
      <c r="J49" s="10" t="s">
        <v>1221</v>
      </c>
      <c r="K49" s="238" t="s">
        <v>1222</v>
      </c>
      <c r="L49" s="238"/>
      <c r="M49" s="238"/>
      <c r="N49" s="238" t="s">
        <v>1223</v>
      </c>
      <c r="O49" s="238"/>
      <c r="P49" s="238"/>
      <c r="Q49" s="238" t="s">
        <v>1224</v>
      </c>
      <c r="R49" s="238"/>
      <c r="S49" s="238"/>
      <c r="T49" s="238"/>
      <c r="U49" s="238"/>
      <c r="V49" s="238"/>
      <c r="W49" s="238" t="s">
        <v>1225</v>
      </c>
      <c r="X49" s="238"/>
      <c r="Y49" s="10" t="s">
        <v>1226</v>
      </c>
      <c r="Z49" s="10" t="s">
        <v>1227</v>
      </c>
      <c r="AA49" s="238" t="s">
        <v>1228</v>
      </c>
      <c r="AB49" s="238"/>
      <c r="AC49" s="238"/>
      <c r="AD49" s="238"/>
      <c r="AE49" s="10" t="s">
        <v>1229</v>
      </c>
      <c r="AF49" s="237" t="s">
        <v>1230</v>
      </c>
      <c r="AG49" s="237"/>
      <c r="AH49" s="237"/>
      <c r="AI49" s="237"/>
      <c r="AJ49" s="2"/>
      <c r="AK49" s="2"/>
      <c r="AL49" s="2"/>
      <c r="AM49" s="2"/>
      <c r="AN49" s="7"/>
    </row>
    <row r="50" spans="1:40" ht="13.5" thickBot="1">
      <c r="A50" s="6"/>
      <c r="B50" s="2"/>
      <c r="C50" s="2"/>
      <c r="D50" s="244" t="s">
        <v>261</v>
      </c>
      <c r="E50" s="244"/>
      <c r="F50" s="238" t="s">
        <v>6804</v>
      </c>
      <c r="G50" s="238"/>
      <c r="H50" s="238"/>
      <c r="I50" s="238"/>
      <c r="J50" s="10" t="s">
        <v>1917</v>
      </c>
      <c r="K50" s="238" t="s">
        <v>6492</v>
      </c>
      <c r="L50" s="238"/>
      <c r="M50" s="238"/>
      <c r="N50" s="238" t="s">
        <v>1231</v>
      </c>
      <c r="O50" s="238"/>
      <c r="P50" s="238"/>
      <c r="Q50" s="238" t="s">
        <v>1232</v>
      </c>
      <c r="R50" s="238"/>
      <c r="S50" s="238"/>
      <c r="T50" s="238"/>
      <c r="U50" s="238"/>
      <c r="V50" s="238"/>
      <c r="W50" s="238" t="s">
        <v>687</v>
      </c>
      <c r="X50" s="238"/>
      <c r="Y50" s="10" t="s">
        <v>1233</v>
      </c>
      <c r="Z50" s="10" t="s">
        <v>811</v>
      </c>
      <c r="AA50" s="238" t="s">
        <v>5689</v>
      </c>
      <c r="AB50" s="238"/>
      <c r="AC50" s="238"/>
      <c r="AD50" s="238"/>
      <c r="AE50" s="10" t="s">
        <v>1234</v>
      </c>
      <c r="AF50" s="237" t="s">
        <v>6254</v>
      </c>
      <c r="AG50" s="237"/>
      <c r="AH50" s="237"/>
      <c r="AI50" s="237"/>
      <c r="AJ50" s="2"/>
      <c r="AK50" s="2"/>
      <c r="AL50" s="2"/>
      <c r="AM50" s="2"/>
      <c r="AN50" s="7"/>
    </row>
    <row r="51" spans="1:40" ht="13.5" thickBot="1">
      <c r="A51" s="6"/>
      <c r="B51" s="2"/>
      <c r="C51" s="2"/>
      <c r="D51" s="244" t="s">
        <v>273</v>
      </c>
      <c r="E51" s="244"/>
      <c r="F51" s="238" t="s">
        <v>567</v>
      </c>
      <c r="G51" s="238"/>
      <c r="H51" s="238"/>
      <c r="I51" s="238"/>
      <c r="J51" s="10" t="s">
        <v>1235</v>
      </c>
      <c r="K51" s="238" t="s">
        <v>1236</v>
      </c>
      <c r="L51" s="238"/>
      <c r="M51" s="238"/>
      <c r="N51" s="238" t="s">
        <v>1237</v>
      </c>
      <c r="O51" s="238"/>
      <c r="P51" s="238"/>
      <c r="Q51" s="238" t="s">
        <v>1238</v>
      </c>
      <c r="R51" s="238"/>
      <c r="S51" s="238"/>
      <c r="T51" s="238"/>
      <c r="U51" s="238"/>
      <c r="V51" s="238"/>
      <c r="W51" s="238" t="s">
        <v>4745</v>
      </c>
      <c r="X51" s="238"/>
      <c r="Y51" s="10" t="s">
        <v>1239</v>
      </c>
      <c r="Z51" s="10" t="s">
        <v>72</v>
      </c>
      <c r="AA51" s="238" t="s">
        <v>5036</v>
      </c>
      <c r="AB51" s="238"/>
      <c r="AC51" s="238"/>
      <c r="AD51" s="238"/>
      <c r="AE51" s="10" t="s">
        <v>5482</v>
      </c>
      <c r="AF51" s="237" t="s">
        <v>1129</v>
      </c>
      <c r="AG51" s="237"/>
      <c r="AH51" s="237"/>
      <c r="AI51" s="237"/>
      <c r="AJ51" s="2"/>
      <c r="AK51" s="2"/>
      <c r="AL51" s="2"/>
      <c r="AM51" s="2"/>
      <c r="AN51" s="7"/>
    </row>
    <row r="52" spans="1:40" ht="13.5" thickBot="1">
      <c r="A52" s="6"/>
      <c r="B52" s="2"/>
      <c r="C52" s="2"/>
      <c r="D52" s="244" t="s">
        <v>285</v>
      </c>
      <c r="E52" s="244"/>
      <c r="F52" s="238" t="s">
        <v>1104</v>
      </c>
      <c r="G52" s="238"/>
      <c r="H52" s="238"/>
      <c r="I52" s="238"/>
      <c r="J52" s="10" t="s">
        <v>3515</v>
      </c>
      <c r="K52" s="238" t="s">
        <v>1240</v>
      </c>
      <c r="L52" s="238"/>
      <c r="M52" s="238"/>
      <c r="N52" s="238" t="s">
        <v>1241</v>
      </c>
      <c r="O52" s="238"/>
      <c r="P52" s="238"/>
      <c r="Q52" s="238" t="s">
        <v>1242</v>
      </c>
      <c r="R52" s="238"/>
      <c r="S52" s="238"/>
      <c r="T52" s="238"/>
      <c r="U52" s="238"/>
      <c r="V52" s="238"/>
      <c r="W52" s="238" t="s">
        <v>3574</v>
      </c>
      <c r="X52" s="238"/>
      <c r="Y52" s="10" t="s">
        <v>1243</v>
      </c>
      <c r="Z52" s="10" t="s">
        <v>1244</v>
      </c>
      <c r="AA52" s="238" t="s">
        <v>1245</v>
      </c>
      <c r="AB52" s="238"/>
      <c r="AC52" s="238"/>
      <c r="AD52" s="238"/>
      <c r="AE52" s="10" t="s">
        <v>6605</v>
      </c>
      <c r="AF52" s="237" t="s">
        <v>2723</v>
      </c>
      <c r="AG52" s="237"/>
      <c r="AH52" s="237"/>
      <c r="AI52" s="237"/>
      <c r="AJ52" s="2"/>
      <c r="AK52" s="2"/>
      <c r="AL52" s="2"/>
      <c r="AM52" s="2"/>
      <c r="AN52" s="7"/>
    </row>
    <row r="53" spans="1:40" ht="13.5" thickBot="1">
      <c r="A53" s="6"/>
      <c r="B53" s="2"/>
      <c r="C53" s="2"/>
      <c r="D53" s="244" t="s">
        <v>295</v>
      </c>
      <c r="E53" s="244"/>
      <c r="F53" s="238" t="s">
        <v>1246</v>
      </c>
      <c r="G53" s="238"/>
      <c r="H53" s="238"/>
      <c r="I53" s="238"/>
      <c r="J53" s="10" t="s">
        <v>1247</v>
      </c>
      <c r="K53" s="238" t="s">
        <v>1248</v>
      </c>
      <c r="L53" s="238"/>
      <c r="M53" s="238"/>
      <c r="N53" s="238" t="s">
        <v>6979</v>
      </c>
      <c r="O53" s="238"/>
      <c r="P53" s="238"/>
      <c r="Q53" s="238" t="s">
        <v>146</v>
      </c>
      <c r="R53" s="238"/>
      <c r="S53" s="238"/>
      <c r="T53" s="238"/>
      <c r="U53" s="238"/>
      <c r="V53" s="238"/>
      <c r="W53" s="238" t="s">
        <v>4575</v>
      </c>
      <c r="X53" s="238"/>
      <c r="Y53" s="10" t="s">
        <v>576</v>
      </c>
      <c r="Z53" s="10" t="s">
        <v>1249</v>
      </c>
      <c r="AA53" s="238" t="s">
        <v>180</v>
      </c>
      <c r="AB53" s="238"/>
      <c r="AC53" s="238"/>
      <c r="AD53" s="238"/>
      <c r="AE53" s="10" t="s">
        <v>1250</v>
      </c>
      <c r="AF53" s="237" t="s">
        <v>1251</v>
      </c>
      <c r="AG53" s="237"/>
      <c r="AH53" s="237"/>
      <c r="AI53" s="237"/>
      <c r="AJ53" s="2"/>
      <c r="AK53" s="2"/>
      <c r="AL53" s="2"/>
      <c r="AM53" s="2"/>
      <c r="AN53" s="7"/>
    </row>
    <row r="54" spans="1:40" ht="13.5" thickBot="1">
      <c r="A54" s="6"/>
      <c r="B54" s="2"/>
      <c r="C54" s="2"/>
      <c r="D54" s="244" t="s">
        <v>307</v>
      </c>
      <c r="E54" s="244"/>
      <c r="F54" s="238" t="s">
        <v>1787</v>
      </c>
      <c r="G54" s="238"/>
      <c r="H54" s="238"/>
      <c r="I54" s="238"/>
      <c r="J54" s="10" t="s">
        <v>6918</v>
      </c>
      <c r="K54" s="238" t="s">
        <v>4710</v>
      </c>
      <c r="L54" s="238"/>
      <c r="M54" s="238"/>
      <c r="N54" s="238" t="s">
        <v>1252</v>
      </c>
      <c r="O54" s="238"/>
      <c r="P54" s="238"/>
      <c r="Q54" s="238" t="s">
        <v>4215</v>
      </c>
      <c r="R54" s="238"/>
      <c r="S54" s="238"/>
      <c r="T54" s="238"/>
      <c r="U54" s="238"/>
      <c r="V54" s="238"/>
      <c r="W54" s="238" t="s">
        <v>1895</v>
      </c>
      <c r="X54" s="238"/>
      <c r="Y54" s="10" t="s">
        <v>1253</v>
      </c>
      <c r="Z54" s="10" t="s">
        <v>1254</v>
      </c>
      <c r="AA54" s="238" t="s">
        <v>993</v>
      </c>
      <c r="AB54" s="238"/>
      <c r="AC54" s="238"/>
      <c r="AD54" s="238"/>
      <c r="AE54" s="10" t="s">
        <v>3747</v>
      </c>
      <c r="AF54" s="237" t="s">
        <v>487</v>
      </c>
      <c r="AG54" s="237"/>
      <c r="AH54" s="237"/>
      <c r="AI54" s="237"/>
      <c r="AJ54" s="2"/>
      <c r="AK54" s="2"/>
      <c r="AL54" s="2"/>
      <c r="AM54" s="2"/>
      <c r="AN54" s="7"/>
    </row>
    <row r="55" spans="1:40" ht="13.5" thickBot="1">
      <c r="A55" s="6"/>
      <c r="B55" s="2"/>
      <c r="C55" s="2"/>
      <c r="D55" s="244" t="s">
        <v>319</v>
      </c>
      <c r="E55" s="244"/>
      <c r="F55" s="237" t="s">
        <v>1255</v>
      </c>
      <c r="G55" s="237"/>
      <c r="H55" s="237"/>
      <c r="I55" s="237"/>
      <c r="J55" s="11" t="s">
        <v>1195</v>
      </c>
      <c r="K55" s="237" t="s">
        <v>1256</v>
      </c>
      <c r="L55" s="237"/>
      <c r="M55" s="237"/>
      <c r="N55" s="237" t="s">
        <v>1814</v>
      </c>
      <c r="O55" s="237"/>
      <c r="P55" s="237"/>
      <c r="Q55" s="237" t="s">
        <v>1186</v>
      </c>
      <c r="R55" s="237"/>
      <c r="S55" s="237"/>
      <c r="T55" s="237"/>
      <c r="U55" s="237"/>
      <c r="V55" s="237"/>
      <c r="W55" s="237" t="s">
        <v>486</v>
      </c>
      <c r="X55" s="237"/>
      <c r="Y55" s="11" t="s">
        <v>1257</v>
      </c>
      <c r="Z55" s="11" t="s">
        <v>137</v>
      </c>
      <c r="AA55" s="237" t="s">
        <v>4033</v>
      </c>
      <c r="AB55" s="237"/>
      <c r="AC55" s="237"/>
      <c r="AD55" s="237"/>
      <c r="AE55" s="11" t="s">
        <v>1258</v>
      </c>
      <c r="AF55" s="237" t="s">
        <v>4626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1259</v>
      </c>
      <c r="E7" s="269"/>
      <c r="F7" s="269"/>
      <c r="G7" s="269"/>
      <c r="H7" s="269" t="s">
        <v>1260</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CRUAS-3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956</v>
      </c>
    </row>
    <row r="17" spans="1:47" ht="13.5" thickBot="1">
      <c r="A17" s="6"/>
      <c r="B17" s="1"/>
      <c r="C17" s="1"/>
      <c r="D17" s="248" t="s">
        <v>189</v>
      </c>
      <c r="E17" s="248"/>
      <c r="F17" s="248"/>
      <c r="G17" s="248"/>
      <c r="H17" s="248"/>
      <c r="I17" s="248"/>
      <c r="J17" s="248"/>
      <c r="K17" s="248"/>
      <c r="L17" s="8" t="s">
        <v>5709</v>
      </c>
      <c r="M17" s="264">
        <v>956</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880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30816</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86.59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78.32</v>
      </c>
    </row>
    <row r="22" spans="1:47" ht="8.85" customHeight="1" thickBot="1">
      <c r="A22" s="6"/>
      <c r="B22" s="1"/>
      <c r="C22" s="1"/>
      <c r="D22" s="248" t="s">
        <v>205</v>
      </c>
      <c r="E22" s="248"/>
      <c r="F22" s="248"/>
      <c r="G22" s="248"/>
      <c r="H22" s="248"/>
      <c r="I22" s="248"/>
      <c r="J22" s="248"/>
      <c r="K22" s="248"/>
      <c r="L22" s="247" t="s">
        <v>5709</v>
      </c>
      <c r="M22" s="259">
        <v>28960</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30816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30935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1261</v>
      </c>
      <c r="G49" s="238"/>
      <c r="H49" s="238"/>
      <c r="I49" s="238"/>
      <c r="J49" s="10" t="s">
        <v>1262</v>
      </c>
      <c r="K49" s="238" t="s">
        <v>1263</v>
      </c>
      <c r="L49" s="238"/>
      <c r="M49" s="238"/>
      <c r="N49" s="238" t="s">
        <v>1264</v>
      </c>
      <c r="O49" s="238"/>
      <c r="P49" s="238"/>
      <c r="Q49" s="238" t="s">
        <v>1265</v>
      </c>
      <c r="R49" s="238"/>
      <c r="S49" s="238"/>
      <c r="T49" s="238"/>
      <c r="U49" s="238"/>
      <c r="V49" s="238"/>
      <c r="W49" s="238" t="s">
        <v>1266</v>
      </c>
      <c r="X49" s="238"/>
      <c r="Y49" s="10" t="s">
        <v>1267</v>
      </c>
      <c r="Z49" s="10" t="s">
        <v>1268</v>
      </c>
      <c r="AA49" s="238" t="s">
        <v>1269</v>
      </c>
      <c r="AB49" s="238"/>
      <c r="AC49" s="238"/>
      <c r="AD49" s="238"/>
      <c r="AE49" s="10" t="s">
        <v>1270</v>
      </c>
      <c r="AF49" s="237" t="s">
        <v>1271</v>
      </c>
      <c r="AG49" s="237"/>
      <c r="AH49" s="237"/>
      <c r="AI49" s="237"/>
      <c r="AJ49" s="2"/>
      <c r="AK49" s="2"/>
      <c r="AL49" s="2"/>
      <c r="AM49" s="2"/>
      <c r="AN49" s="7"/>
    </row>
    <row r="50" spans="1:40" ht="13.5" thickBot="1">
      <c r="A50" s="6"/>
      <c r="B50" s="2"/>
      <c r="C50" s="2"/>
      <c r="D50" s="244" t="s">
        <v>261</v>
      </c>
      <c r="E50" s="244"/>
      <c r="F50" s="238" t="s">
        <v>149</v>
      </c>
      <c r="G50" s="238"/>
      <c r="H50" s="238"/>
      <c r="I50" s="238"/>
      <c r="J50" s="10" t="s">
        <v>6188</v>
      </c>
      <c r="K50" s="238" t="s">
        <v>1272</v>
      </c>
      <c r="L50" s="238"/>
      <c r="M50" s="238"/>
      <c r="N50" s="238" t="s">
        <v>5098</v>
      </c>
      <c r="O50" s="238"/>
      <c r="P50" s="238"/>
      <c r="Q50" s="238" t="s">
        <v>6516</v>
      </c>
      <c r="R50" s="238"/>
      <c r="S50" s="238"/>
      <c r="T50" s="238"/>
      <c r="U50" s="238"/>
      <c r="V50" s="238"/>
      <c r="W50" s="238" t="s">
        <v>4483</v>
      </c>
      <c r="X50" s="238"/>
      <c r="Y50" s="10" t="s">
        <v>1273</v>
      </c>
      <c r="Z50" s="10" t="s">
        <v>4090</v>
      </c>
      <c r="AA50" s="238" t="s">
        <v>1274</v>
      </c>
      <c r="AB50" s="238"/>
      <c r="AC50" s="238"/>
      <c r="AD50" s="238"/>
      <c r="AE50" s="10" t="s">
        <v>1275</v>
      </c>
      <c r="AF50" s="237" t="s">
        <v>3471</v>
      </c>
      <c r="AG50" s="237"/>
      <c r="AH50" s="237"/>
      <c r="AI50" s="237"/>
      <c r="AJ50" s="2"/>
      <c r="AK50" s="2"/>
      <c r="AL50" s="2"/>
      <c r="AM50" s="2"/>
      <c r="AN50" s="7"/>
    </row>
    <row r="51" spans="1:40" ht="13.5" thickBot="1">
      <c r="A51" s="6"/>
      <c r="B51" s="2"/>
      <c r="C51" s="2"/>
      <c r="D51" s="244" t="s">
        <v>273</v>
      </c>
      <c r="E51" s="244"/>
      <c r="F51" s="238" t="s">
        <v>4508</v>
      </c>
      <c r="G51" s="238"/>
      <c r="H51" s="238"/>
      <c r="I51" s="238"/>
      <c r="J51" s="10" t="s">
        <v>7120</v>
      </c>
      <c r="K51" s="238" t="s">
        <v>6511</v>
      </c>
      <c r="L51" s="238"/>
      <c r="M51" s="238"/>
      <c r="N51" s="238" t="s">
        <v>4519</v>
      </c>
      <c r="O51" s="238"/>
      <c r="P51" s="238"/>
      <c r="Q51" s="238" t="s">
        <v>5309</v>
      </c>
      <c r="R51" s="238"/>
      <c r="S51" s="238"/>
      <c r="T51" s="238"/>
      <c r="U51" s="238"/>
      <c r="V51" s="238"/>
      <c r="W51" s="238" t="s">
        <v>1276</v>
      </c>
      <c r="X51" s="238"/>
      <c r="Y51" s="10" t="s">
        <v>1277</v>
      </c>
      <c r="Z51" s="10" t="s">
        <v>1278</v>
      </c>
      <c r="AA51" s="238" t="s">
        <v>6706</v>
      </c>
      <c r="AB51" s="238"/>
      <c r="AC51" s="238"/>
      <c r="AD51" s="238"/>
      <c r="AE51" s="10" t="s">
        <v>1279</v>
      </c>
      <c r="AF51" s="237" t="s">
        <v>6960</v>
      </c>
      <c r="AG51" s="237"/>
      <c r="AH51" s="237"/>
      <c r="AI51" s="237"/>
      <c r="AJ51" s="2"/>
      <c r="AK51" s="2"/>
      <c r="AL51" s="2"/>
      <c r="AM51" s="2"/>
      <c r="AN51" s="7"/>
    </row>
    <row r="52" spans="1:40" ht="13.5" thickBot="1">
      <c r="A52" s="6"/>
      <c r="B52" s="2"/>
      <c r="C52" s="2"/>
      <c r="D52" s="244" t="s">
        <v>285</v>
      </c>
      <c r="E52" s="244"/>
      <c r="F52" s="238" t="s">
        <v>1280</v>
      </c>
      <c r="G52" s="238"/>
      <c r="H52" s="238"/>
      <c r="I52" s="238"/>
      <c r="J52" s="10" t="s">
        <v>3526</v>
      </c>
      <c r="K52" s="238" t="s">
        <v>1281</v>
      </c>
      <c r="L52" s="238"/>
      <c r="M52" s="238"/>
      <c r="N52" s="238" t="s">
        <v>1282</v>
      </c>
      <c r="O52" s="238"/>
      <c r="P52" s="238"/>
      <c r="Q52" s="238" t="s">
        <v>3017</v>
      </c>
      <c r="R52" s="238"/>
      <c r="S52" s="238"/>
      <c r="T52" s="238"/>
      <c r="U52" s="238"/>
      <c r="V52" s="238"/>
      <c r="W52" s="238" t="s">
        <v>1283</v>
      </c>
      <c r="X52" s="238"/>
      <c r="Y52" s="10" t="s">
        <v>1284</v>
      </c>
      <c r="Z52" s="10" t="s">
        <v>1285</v>
      </c>
      <c r="AA52" s="238" t="s">
        <v>7112</v>
      </c>
      <c r="AB52" s="238"/>
      <c r="AC52" s="238"/>
      <c r="AD52" s="238"/>
      <c r="AE52" s="10" t="s">
        <v>1286</v>
      </c>
      <c r="AF52" s="237" t="s">
        <v>1287</v>
      </c>
      <c r="AG52" s="237"/>
      <c r="AH52" s="237"/>
      <c r="AI52" s="237"/>
      <c r="AJ52" s="2"/>
      <c r="AK52" s="2"/>
      <c r="AL52" s="2"/>
      <c r="AM52" s="2"/>
      <c r="AN52" s="7"/>
    </row>
    <row r="53" spans="1:40" ht="13.5" thickBot="1">
      <c r="A53" s="6"/>
      <c r="B53" s="2"/>
      <c r="C53" s="2"/>
      <c r="D53" s="244" t="s">
        <v>295</v>
      </c>
      <c r="E53" s="244"/>
      <c r="F53" s="238" t="s">
        <v>6073</v>
      </c>
      <c r="G53" s="238"/>
      <c r="H53" s="238"/>
      <c r="I53" s="238"/>
      <c r="J53" s="10" t="s">
        <v>5526</v>
      </c>
      <c r="K53" s="238" t="s">
        <v>3680</v>
      </c>
      <c r="L53" s="238"/>
      <c r="M53" s="238"/>
      <c r="N53" s="238" t="s">
        <v>6279</v>
      </c>
      <c r="O53" s="238"/>
      <c r="P53" s="238"/>
      <c r="Q53" s="238" t="s">
        <v>31</v>
      </c>
      <c r="R53" s="238"/>
      <c r="S53" s="238"/>
      <c r="T53" s="238"/>
      <c r="U53" s="238"/>
      <c r="V53" s="238"/>
      <c r="W53" s="238" t="s">
        <v>2960</v>
      </c>
      <c r="X53" s="238"/>
      <c r="Y53" s="10" t="s">
        <v>2786</v>
      </c>
      <c r="Z53" s="10" t="s">
        <v>1288</v>
      </c>
      <c r="AA53" s="238" t="s">
        <v>1289</v>
      </c>
      <c r="AB53" s="238"/>
      <c r="AC53" s="238"/>
      <c r="AD53" s="238"/>
      <c r="AE53" s="10" t="s">
        <v>3894</v>
      </c>
      <c r="AF53" s="237" t="s">
        <v>1290</v>
      </c>
      <c r="AG53" s="237"/>
      <c r="AH53" s="237"/>
      <c r="AI53" s="237"/>
      <c r="AJ53" s="2"/>
      <c r="AK53" s="2"/>
      <c r="AL53" s="2"/>
      <c r="AM53" s="2"/>
      <c r="AN53" s="7"/>
    </row>
    <row r="54" spans="1:40" ht="13.5" thickBot="1">
      <c r="A54" s="6"/>
      <c r="B54" s="2"/>
      <c r="C54" s="2"/>
      <c r="D54" s="244" t="s">
        <v>307</v>
      </c>
      <c r="E54" s="244"/>
      <c r="F54" s="238" t="s">
        <v>1907</v>
      </c>
      <c r="G54" s="238"/>
      <c r="H54" s="238"/>
      <c r="I54" s="238"/>
      <c r="J54" s="10" t="s">
        <v>5229</v>
      </c>
      <c r="K54" s="238" t="s">
        <v>6466</v>
      </c>
      <c r="L54" s="238"/>
      <c r="M54" s="238"/>
      <c r="N54" s="238" t="s">
        <v>3720</v>
      </c>
      <c r="O54" s="238"/>
      <c r="P54" s="238"/>
      <c r="Q54" s="238" t="s">
        <v>3472</v>
      </c>
      <c r="R54" s="238"/>
      <c r="S54" s="238"/>
      <c r="T54" s="238"/>
      <c r="U54" s="238"/>
      <c r="V54" s="238"/>
      <c r="W54" s="238" t="s">
        <v>5621</v>
      </c>
      <c r="X54" s="238"/>
      <c r="Y54" s="10" t="s">
        <v>4420</v>
      </c>
      <c r="Z54" s="10" t="s">
        <v>1291</v>
      </c>
      <c r="AA54" s="238" t="s">
        <v>1878</v>
      </c>
      <c r="AB54" s="238"/>
      <c r="AC54" s="238"/>
      <c r="AD54" s="238"/>
      <c r="AE54" s="10" t="s">
        <v>1292</v>
      </c>
      <c r="AF54" s="237" t="s">
        <v>4699</v>
      </c>
      <c r="AG54" s="237"/>
      <c r="AH54" s="237"/>
      <c r="AI54" s="237"/>
      <c r="AJ54" s="2"/>
      <c r="AK54" s="2"/>
      <c r="AL54" s="2"/>
      <c r="AM54" s="2"/>
      <c r="AN54" s="7"/>
    </row>
    <row r="55" spans="1:40" ht="13.5" thickBot="1">
      <c r="A55" s="6"/>
      <c r="B55" s="2"/>
      <c r="C55" s="2"/>
      <c r="D55" s="244" t="s">
        <v>319</v>
      </c>
      <c r="E55" s="244"/>
      <c r="F55" s="237" t="s">
        <v>4581</v>
      </c>
      <c r="G55" s="237"/>
      <c r="H55" s="237"/>
      <c r="I55" s="237"/>
      <c r="J55" s="11" t="s">
        <v>3772</v>
      </c>
      <c r="K55" s="237" t="s">
        <v>1871</v>
      </c>
      <c r="L55" s="237"/>
      <c r="M55" s="237"/>
      <c r="N55" s="237" t="s">
        <v>1293</v>
      </c>
      <c r="O55" s="237"/>
      <c r="P55" s="237"/>
      <c r="Q55" s="237" t="s">
        <v>6668</v>
      </c>
      <c r="R55" s="237"/>
      <c r="S55" s="237"/>
      <c r="T55" s="237"/>
      <c r="U55" s="237"/>
      <c r="V55" s="237"/>
      <c r="W55" s="237" t="s">
        <v>6188</v>
      </c>
      <c r="X55" s="237"/>
      <c r="Y55" s="11" t="s">
        <v>1294</v>
      </c>
      <c r="Z55" s="11" t="s">
        <v>485</v>
      </c>
      <c r="AA55" s="237" t="s">
        <v>5200</v>
      </c>
      <c r="AB55" s="237"/>
      <c r="AC55" s="237"/>
      <c r="AD55" s="237"/>
      <c r="AE55" s="11" t="s">
        <v>3517</v>
      </c>
      <c r="AF55" s="237" t="s">
        <v>4009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1295</v>
      </c>
      <c r="E7" s="269"/>
      <c r="F7" s="269"/>
      <c r="G7" s="269"/>
      <c r="H7" s="269" t="s">
        <v>1296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CRUAS-4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956</v>
      </c>
    </row>
    <row r="17" spans="1:47" ht="13.5" thickBot="1">
      <c r="A17" s="6"/>
      <c r="B17" s="1"/>
      <c r="C17" s="1"/>
      <c r="D17" s="248" t="s">
        <v>189</v>
      </c>
      <c r="E17" s="248"/>
      <c r="F17" s="248"/>
      <c r="G17" s="248"/>
      <c r="H17" s="248"/>
      <c r="I17" s="248"/>
      <c r="J17" s="248"/>
      <c r="K17" s="248"/>
      <c r="L17" s="8" t="s">
        <v>5709</v>
      </c>
      <c r="M17" s="264">
        <v>956</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880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30982</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78.04</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63.72</v>
      </c>
    </row>
    <row r="22" spans="1:47" ht="8.85" customHeight="1" thickBot="1">
      <c r="A22" s="6"/>
      <c r="B22" s="1"/>
      <c r="C22" s="1"/>
      <c r="D22" s="248" t="s">
        <v>205</v>
      </c>
      <c r="E22" s="248"/>
      <c r="F22" s="248"/>
      <c r="G22" s="248"/>
      <c r="H22" s="248"/>
      <c r="I22" s="248"/>
      <c r="J22" s="248"/>
      <c r="K22" s="248"/>
      <c r="L22" s="247" t="s">
        <v>5709</v>
      </c>
      <c r="M22" s="259">
        <v>29129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30982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31089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1297</v>
      </c>
      <c r="G49" s="238"/>
      <c r="H49" s="238"/>
      <c r="I49" s="238"/>
      <c r="J49" s="10" t="s">
        <v>1298</v>
      </c>
      <c r="K49" s="238" t="s">
        <v>1299</v>
      </c>
      <c r="L49" s="238"/>
      <c r="M49" s="238"/>
      <c r="N49" s="238" t="s">
        <v>1300</v>
      </c>
      <c r="O49" s="238"/>
      <c r="P49" s="238"/>
      <c r="Q49" s="238" t="s">
        <v>1301</v>
      </c>
      <c r="R49" s="238"/>
      <c r="S49" s="238"/>
      <c r="T49" s="238"/>
      <c r="U49" s="238"/>
      <c r="V49" s="238"/>
      <c r="W49" s="238" t="s">
        <v>1302</v>
      </c>
      <c r="X49" s="238"/>
      <c r="Y49" s="10" t="s">
        <v>1303</v>
      </c>
      <c r="Z49" s="10" t="s">
        <v>1304</v>
      </c>
      <c r="AA49" s="238" t="s">
        <v>1305</v>
      </c>
      <c r="AB49" s="238"/>
      <c r="AC49" s="238"/>
      <c r="AD49" s="238"/>
      <c r="AE49" s="10" t="s">
        <v>1306</v>
      </c>
      <c r="AF49" s="237" t="s">
        <v>1307</v>
      </c>
      <c r="AG49" s="237"/>
      <c r="AH49" s="237"/>
      <c r="AI49" s="237"/>
      <c r="AJ49" s="2"/>
      <c r="AK49" s="2"/>
      <c r="AL49" s="2"/>
      <c r="AM49" s="2"/>
      <c r="AN49" s="7"/>
    </row>
    <row r="50" spans="1:40" ht="13.5" thickBot="1">
      <c r="A50" s="6"/>
      <c r="B50" s="2"/>
      <c r="C50" s="2"/>
      <c r="D50" s="244" t="s">
        <v>261</v>
      </c>
      <c r="E50" s="244"/>
      <c r="F50" s="238" t="s">
        <v>1308</v>
      </c>
      <c r="G50" s="238"/>
      <c r="H50" s="238"/>
      <c r="I50" s="238"/>
      <c r="J50" s="10" t="s">
        <v>6317</v>
      </c>
      <c r="K50" s="238" t="s">
        <v>1309</v>
      </c>
      <c r="L50" s="238"/>
      <c r="M50" s="238"/>
      <c r="N50" s="238" t="s">
        <v>3906</v>
      </c>
      <c r="O50" s="238"/>
      <c r="P50" s="238"/>
      <c r="Q50" s="238" t="s">
        <v>4301</v>
      </c>
      <c r="R50" s="238"/>
      <c r="S50" s="238"/>
      <c r="T50" s="238"/>
      <c r="U50" s="238"/>
      <c r="V50" s="238"/>
      <c r="W50" s="238" t="s">
        <v>1310</v>
      </c>
      <c r="X50" s="238"/>
      <c r="Y50" s="10" t="s">
        <v>1311</v>
      </c>
      <c r="Z50" s="10" t="s">
        <v>699</v>
      </c>
      <c r="AA50" s="238" t="s">
        <v>1794</v>
      </c>
      <c r="AB50" s="238"/>
      <c r="AC50" s="238"/>
      <c r="AD50" s="238"/>
      <c r="AE50" s="10" t="s">
        <v>1312</v>
      </c>
      <c r="AF50" s="237" t="s">
        <v>1313</v>
      </c>
      <c r="AG50" s="237"/>
      <c r="AH50" s="237"/>
      <c r="AI50" s="237"/>
      <c r="AJ50" s="2"/>
      <c r="AK50" s="2"/>
      <c r="AL50" s="2"/>
      <c r="AM50" s="2"/>
      <c r="AN50" s="7"/>
    </row>
    <row r="51" spans="1:40" ht="13.5" thickBot="1">
      <c r="A51" s="6"/>
      <c r="B51" s="2"/>
      <c r="C51" s="2"/>
      <c r="D51" s="244" t="s">
        <v>273</v>
      </c>
      <c r="E51" s="244"/>
      <c r="F51" s="238" t="s">
        <v>860</v>
      </c>
      <c r="G51" s="238"/>
      <c r="H51" s="238"/>
      <c r="I51" s="238"/>
      <c r="J51" s="10" t="s">
        <v>3394</v>
      </c>
      <c r="K51" s="238" t="s">
        <v>452</v>
      </c>
      <c r="L51" s="238"/>
      <c r="M51" s="238"/>
      <c r="N51" s="238" t="s">
        <v>1314</v>
      </c>
      <c r="O51" s="238"/>
      <c r="P51" s="238"/>
      <c r="Q51" s="238" t="s">
        <v>3831</v>
      </c>
      <c r="R51" s="238"/>
      <c r="S51" s="238"/>
      <c r="T51" s="238"/>
      <c r="U51" s="238"/>
      <c r="V51" s="238"/>
      <c r="W51" s="238" t="s">
        <v>1315</v>
      </c>
      <c r="X51" s="238"/>
      <c r="Y51" s="10" t="s">
        <v>1316</v>
      </c>
      <c r="Z51" s="10" t="s">
        <v>1129</v>
      </c>
      <c r="AA51" s="238" t="s">
        <v>1161</v>
      </c>
      <c r="AB51" s="238"/>
      <c r="AC51" s="238"/>
      <c r="AD51" s="238"/>
      <c r="AE51" s="10" t="s">
        <v>5608</v>
      </c>
      <c r="AF51" s="237" t="s">
        <v>1317</v>
      </c>
      <c r="AG51" s="237"/>
      <c r="AH51" s="237"/>
      <c r="AI51" s="237"/>
      <c r="AJ51" s="2"/>
      <c r="AK51" s="2"/>
      <c r="AL51" s="2"/>
      <c r="AM51" s="2"/>
      <c r="AN51" s="7"/>
    </row>
    <row r="52" spans="1:40" ht="13.5" thickBot="1">
      <c r="A52" s="6"/>
      <c r="B52" s="2"/>
      <c r="C52" s="2"/>
      <c r="D52" s="244" t="s">
        <v>285</v>
      </c>
      <c r="E52" s="244"/>
      <c r="F52" s="238" t="s">
        <v>1318</v>
      </c>
      <c r="G52" s="238"/>
      <c r="H52" s="238"/>
      <c r="I52" s="238"/>
      <c r="J52" s="10" t="s">
        <v>5229</v>
      </c>
      <c r="K52" s="238" t="s">
        <v>1319</v>
      </c>
      <c r="L52" s="238"/>
      <c r="M52" s="238"/>
      <c r="N52" s="238" t="s">
        <v>6461</v>
      </c>
      <c r="O52" s="238"/>
      <c r="P52" s="238"/>
      <c r="Q52" s="238" t="s">
        <v>6466</v>
      </c>
      <c r="R52" s="238"/>
      <c r="S52" s="238"/>
      <c r="T52" s="238"/>
      <c r="U52" s="238"/>
      <c r="V52" s="238"/>
      <c r="W52" s="238" t="s">
        <v>1310</v>
      </c>
      <c r="X52" s="238"/>
      <c r="Y52" s="10" t="s">
        <v>1320</v>
      </c>
      <c r="Z52" s="10" t="s">
        <v>877</v>
      </c>
      <c r="AA52" s="238" t="s">
        <v>2793</v>
      </c>
      <c r="AB52" s="238"/>
      <c r="AC52" s="238"/>
      <c r="AD52" s="238"/>
      <c r="AE52" s="10" t="s">
        <v>1321</v>
      </c>
      <c r="AF52" s="237" t="s">
        <v>6632</v>
      </c>
      <c r="AG52" s="237"/>
      <c r="AH52" s="237"/>
      <c r="AI52" s="237"/>
      <c r="AJ52" s="2"/>
      <c r="AK52" s="2"/>
      <c r="AL52" s="2"/>
      <c r="AM52" s="2"/>
      <c r="AN52" s="7"/>
    </row>
    <row r="53" spans="1:40" ht="13.5" thickBot="1">
      <c r="A53" s="6"/>
      <c r="B53" s="2"/>
      <c r="C53" s="2"/>
      <c r="D53" s="244" t="s">
        <v>295</v>
      </c>
      <c r="E53" s="244"/>
      <c r="F53" s="238" t="s">
        <v>2682</v>
      </c>
      <c r="G53" s="238"/>
      <c r="H53" s="238"/>
      <c r="I53" s="238"/>
      <c r="J53" s="10" t="s">
        <v>1322</v>
      </c>
      <c r="K53" s="238" t="s">
        <v>446</v>
      </c>
      <c r="L53" s="238"/>
      <c r="M53" s="238"/>
      <c r="N53" s="238" t="s">
        <v>4890</v>
      </c>
      <c r="O53" s="238"/>
      <c r="P53" s="238"/>
      <c r="Q53" s="238" t="s">
        <v>1323</v>
      </c>
      <c r="R53" s="238"/>
      <c r="S53" s="238"/>
      <c r="T53" s="238"/>
      <c r="U53" s="238"/>
      <c r="V53" s="238"/>
      <c r="W53" s="238" t="s">
        <v>1324</v>
      </c>
      <c r="X53" s="238"/>
      <c r="Y53" s="10" t="s">
        <v>1325</v>
      </c>
      <c r="Z53" s="10" t="s">
        <v>297</v>
      </c>
      <c r="AA53" s="238" t="s">
        <v>1326</v>
      </c>
      <c r="AB53" s="238"/>
      <c r="AC53" s="238"/>
      <c r="AD53" s="238"/>
      <c r="AE53" s="10" t="s">
        <v>3265</v>
      </c>
      <c r="AF53" s="237" t="s">
        <v>446</v>
      </c>
      <c r="AG53" s="237"/>
      <c r="AH53" s="237"/>
      <c r="AI53" s="237"/>
      <c r="AJ53" s="2"/>
      <c r="AK53" s="2"/>
      <c r="AL53" s="2"/>
      <c r="AM53" s="2"/>
      <c r="AN53" s="7"/>
    </row>
    <row r="54" spans="1:40" ht="13.5" thickBot="1">
      <c r="A54" s="6"/>
      <c r="B54" s="2"/>
      <c r="C54" s="2"/>
      <c r="D54" s="244" t="s">
        <v>307</v>
      </c>
      <c r="E54" s="244"/>
      <c r="F54" s="238" t="s">
        <v>5393</v>
      </c>
      <c r="G54" s="238"/>
      <c r="H54" s="238"/>
      <c r="I54" s="238"/>
      <c r="J54" s="10" t="s">
        <v>1327</v>
      </c>
      <c r="K54" s="238" t="s">
        <v>4759</v>
      </c>
      <c r="L54" s="238"/>
      <c r="M54" s="238"/>
      <c r="N54" s="238" t="s">
        <v>1328</v>
      </c>
      <c r="O54" s="238"/>
      <c r="P54" s="238"/>
      <c r="Q54" s="238" t="s">
        <v>5401</v>
      </c>
      <c r="R54" s="238"/>
      <c r="S54" s="238"/>
      <c r="T54" s="238"/>
      <c r="U54" s="238"/>
      <c r="V54" s="238"/>
      <c r="W54" s="238" t="s">
        <v>1329</v>
      </c>
      <c r="X54" s="238"/>
      <c r="Y54" s="10" t="s">
        <v>1330</v>
      </c>
      <c r="Z54" s="10" t="s">
        <v>5096</v>
      </c>
      <c r="AA54" s="238" t="s">
        <v>5456</v>
      </c>
      <c r="AB54" s="238"/>
      <c r="AC54" s="238"/>
      <c r="AD54" s="238"/>
      <c r="AE54" s="10" t="s">
        <v>1331</v>
      </c>
      <c r="AF54" s="237" t="s">
        <v>6254</v>
      </c>
      <c r="AG54" s="237"/>
      <c r="AH54" s="237"/>
      <c r="AI54" s="237"/>
      <c r="AJ54" s="2"/>
      <c r="AK54" s="2"/>
      <c r="AL54" s="2"/>
      <c r="AM54" s="2"/>
      <c r="AN54" s="7"/>
    </row>
    <row r="55" spans="1:40" ht="13.5" thickBot="1">
      <c r="A55" s="6"/>
      <c r="B55" s="2"/>
      <c r="C55" s="2"/>
      <c r="D55" s="244" t="s">
        <v>319</v>
      </c>
      <c r="E55" s="244"/>
      <c r="F55" s="237" t="s">
        <v>6571</v>
      </c>
      <c r="G55" s="237"/>
      <c r="H55" s="237"/>
      <c r="I55" s="237"/>
      <c r="J55" s="11" t="s">
        <v>1332</v>
      </c>
      <c r="K55" s="237" t="s">
        <v>1918</v>
      </c>
      <c r="L55" s="237"/>
      <c r="M55" s="237"/>
      <c r="N55" s="237" t="s">
        <v>1333</v>
      </c>
      <c r="O55" s="237"/>
      <c r="P55" s="237"/>
      <c r="Q55" s="237" t="s">
        <v>1334</v>
      </c>
      <c r="R55" s="237"/>
      <c r="S55" s="237"/>
      <c r="T55" s="237"/>
      <c r="U55" s="237"/>
      <c r="V55" s="237"/>
      <c r="W55" s="237" t="s">
        <v>1335</v>
      </c>
      <c r="X55" s="237"/>
      <c r="Y55" s="11" t="s">
        <v>1336</v>
      </c>
      <c r="Z55" s="11" t="s">
        <v>1337</v>
      </c>
      <c r="AA55" s="237" t="s">
        <v>1338</v>
      </c>
      <c r="AB55" s="237"/>
      <c r="AC55" s="237"/>
      <c r="AD55" s="237"/>
      <c r="AE55" s="11" t="s">
        <v>1339</v>
      </c>
      <c r="AF55" s="237" t="s">
        <v>1340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1341</v>
      </c>
      <c r="E7" s="269"/>
      <c r="F7" s="269"/>
      <c r="G7" s="269"/>
      <c r="H7" s="269" t="s">
        <v>1342</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DAMPIERRE-1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937</v>
      </c>
    </row>
    <row r="17" spans="1:47" ht="13.5" thickBot="1">
      <c r="A17" s="6"/>
      <c r="B17" s="1"/>
      <c r="C17" s="1"/>
      <c r="D17" s="248" t="s">
        <v>189</v>
      </c>
      <c r="E17" s="248"/>
      <c r="F17" s="248"/>
      <c r="G17" s="248"/>
      <c r="H17" s="248"/>
      <c r="I17" s="248"/>
      <c r="J17" s="248"/>
      <c r="K17" s="248"/>
      <c r="L17" s="8" t="s">
        <v>5709</v>
      </c>
      <c r="M17" s="264">
        <v>937</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890</v>
      </c>
    </row>
    <row r="18" spans="1:47" ht="13.5" thickBot="1">
      <c r="A18" s="6"/>
      <c r="B18" s="1"/>
      <c r="C18" s="1"/>
      <c r="D18" s="248" t="s">
        <v>193</v>
      </c>
      <c r="E18" s="248"/>
      <c r="F18" s="248"/>
      <c r="G18" s="248"/>
      <c r="H18" s="248"/>
      <c r="I18" s="248"/>
      <c r="J18" s="248"/>
      <c r="K18" s="248"/>
      <c r="L18" s="8" t="s">
        <v>5709</v>
      </c>
      <c r="M18" s="264">
        <v>890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29303</v>
      </c>
    </row>
    <row r="19" spans="1:47" ht="13.5" thickBot="1">
      <c r="A19" s="6"/>
      <c r="B19" s="1"/>
      <c r="C19" s="1"/>
      <c r="D19" s="248" t="s">
        <v>196</v>
      </c>
      <c r="E19" s="248"/>
      <c r="F19" s="248"/>
      <c r="G19" s="248"/>
      <c r="H19" s="248"/>
      <c r="I19" s="248"/>
      <c r="J19" s="248"/>
      <c r="K19" s="248"/>
      <c r="L19" s="8" t="s">
        <v>5709</v>
      </c>
      <c r="M19" s="264">
        <v>890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74.89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81.54</v>
      </c>
    </row>
    <row r="22" spans="1:47" ht="8.85" customHeight="1" thickBot="1">
      <c r="A22" s="6"/>
      <c r="B22" s="1"/>
      <c r="C22" s="1"/>
      <c r="D22" s="248" t="s">
        <v>205</v>
      </c>
      <c r="E22" s="248"/>
      <c r="F22" s="248"/>
      <c r="G22" s="248"/>
      <c r="H22" s="248"/>
      <c r="I22" s="248"/>
      <c r="J22" s="248"/>
      <c r="K22" s="248"/>
      <c r="L22" s="247" t="s">
        <v>5709</v>
      </c>
      <c r="M22" s="259">
        <v>27426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29303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29474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1343</v>
      </c>
      <c r="G49" s="238"/>
      <c r="H49" s="238"/>
      <c r="I49" s="238"/>
      <c r="J49" s="10" t="s">
        <v>1344</v>
      </c>
      <c r="K49" s="238" t="s">
        <v>1345</v>
      </c>
      <c r="L49" s="238"/>
      <c r="M49" s="238"/>
      <c r="N49" s="238" t="s">
        <v>1346</v>
      </c>
      <c r="O49" s="238"/>
      <c r="P49" s="238"/>
      <c r="Q49" s="238" t="s">
        <v>1347</v>
      </c>
      <c r="R49" s="238"/>
      <c r="S49" s="238"/>
      <c r="T49" s="238"/>
      <c r="U49" s="238"/>
      <c r="V49" s="238"/>
      <c r="W49" s="238" t="s">
        <v>1348</v>
      </c>
      <c r="X49" s="238"/>
      <c r="Y49" s="10" t="s">
        <v>1349</v>
      </c>
      <c r="Z49" s="10" t="s">
        <v>1350</v>
      </c>
      <c r="AA49" s="238" t="s">
        <v>1351</v>
      </c>
      <c r="AB49" s="238"/>
      <c r="AC49" s="238"/>
      <c r="AD49" s="238"/>
      <c r="AE49" s="10" t="s">
        <v>1352</v>
      </c>
      <c r="AF49" s="237" t="s">
        <v>1353</v>
      </c>
      <c r="AG49" s="237"/>
      <c r="AH49" s="237"/>
      <c r="AI49" s="237"/>
      <c r="AJ49" s="2"/>
      <c r="AK49" s="2"/>
      <c r="AL49" s="2"/>
      <c r="AM49" s="2"/>
      <c r="AN49" s="7"/>
    </row>
    <row r="50" spans="1:40" ht="13.5" thickBot="1">
      <c r="A50" s="6"/>
      <c r="B50" s="2"/>
      <c r="C50" s="2"/>
      <c r="D50" s="244" t="s">
        <v>261</v>
      </c>
      <c r="E50" s="244"/>
      <c r="F50" s="238" t="s">
        <v>1354</v>
      </c>
      <c r="G50" s="238"/>
      <c r="H50" s="238"/>
      <c r="I50" s="238"/>
      <c r="J50" s="10" t="s">
        <v>5535</v>
      </c>
      <c r="K50" s="238" t="s">
        <v>1355</v>
      </c>
      <c r="L50" s="238"/>
      <c r="M50" s="238"/>
      <c r="N50" s="238" t="s">
        <v>6912</v>
      </c>
      <c r="O50" s="238"/>
      <c r="P50" s="238"/>
      <c r="Q50" s="238" t="s">
        <v>5169</v>
      </c>
      <c r="R50" s="238"/>
      <c r="S50" s="238"/>
      <c r="T50" s="238"/>
      <c r="U50" s="238"/>
      <c r="V50" s="238"/>
      <c r="W50" s="238" t="s">
        <v>4947</v>
      </c>
      <c r="X50" s="238"/>
      <c r="Y50" s="10" t="s">
        <v>625</v>
      </c>
      <c r="Z50" s="10" t="s">
        <v>6806</v>
      </c>
      <c r="AA50" s="238" t="s">
        <v>1213</v>
      </c>
      <c r="AB50" s="238"/>
      <c r="AC50" s="238"/>
      <c r="AD50" s="238"/>
      <c r="AE50" s="10" t="s">
        <v>1356</v>
      </c>
      <c r="AF50" s="237" t="s">
        <v>6779</v>
      </c>
      <c r="AG50" s="237"/>
      <c r="AH50" s="237"/>
      <c r="AI50" s="237"/>
      <c r="AJ50" s="2"/>
      <c r="AK50" s="2"/>
      <c r="AL50" s="2"/>
      <c r="AM50" s="2"/>
      <c r="AN50" s="7"/>
    </row>
    <row r="51" spans="1:40" ht="13.5" thickBot="1">
      <c r="A51" s="6"/>
      <c r="B51" s="2"/>
      <c r="C51" s="2"/>
      <c r="D51" s="244" t="s">
        <v>273</v>
      </c>
      <c r="E51" s="244"/>
      <c r="F51" s="238" t="s">
        <v>5208</v>
      </c>
      <c r="G51" s="238"/>
      <c r="H51" s="238"/>
      <c r="I51" s="238"/>
      <c r="J51" s="10" t="s">
        <v>1357</v>
      </c>
      <c r="K51" s="238" t="s">
        <v>1358</v>
      </c>
      <c r="L51" s="238"/>
      <c r="M51" s="238"/>
      <c r="N51" s="238" t="s">
        <v>819</v>
      </c>
      <c r="O51" s="238"/>
      <c r="P51" s="238"/>
      <c r="Q51" s="238" t="s">
        <v>7121</v>
      </c>
      <c r="R51" s="238"/>
      <c r="S51" s="238"/>
      <c r="T51" s="238"/>
      <c r="U51" s="238"/>
      <c r="V51" s="238"/>
      <c r="W51" s="238" t="s">
        <v>4781</v>
      </c>
      <c r="X51" s="238"/>
      <c r="Y51" s="10" t="s">
        <v>5399</v>
      </c>
      <c r="Z51" s="10" t="s">
        <v>1359</v>
      </c>
      <c r="AA51" s="238" t="s">
        <v>1360</v>
      </c>
      <c r="AB51" s="238"/>
      <c r="AC51" s="238"/>
      <c r="AD51" s="238"/>
      <c r="AE51" s="10" t="s">
        <v>1361</v>
      </c>
      <c r="AF51" s="237" t="s">
        <v>1362</v>
      </c>
      <c r="AG51" s="237"/>
      <c r="AH51" s="237"/>
      <c r="AI51" s="237"/>
      <c r="AJ51" s="2"/>
      <c r="AK51" s="2"/>
      <c r="AL51" s="2"/>
      <c r="AM51" s="2"/>
      <c r="AN51" s="7"/>
    </row>
    <row r="52" spans="1:40" ht="13.5" thickBot="1">
      <c r="A52" s="6"/>
      <c r="B52" s="2"/>
      <c r="C52" s="2"/>
      <c r="D52" s="244" t="s">
        <v>285</v>
      </c>
      <c r="E52" s="244"/>
      <c r="F52" s="238" t="s">
        <v>1363</v>
      </c>
      <c r="G52" s="238"/>
      <c r="H52" s="238"/>
      <c r="I52" s="238"/>
      <c r="J52" s="10" t="s">
        <v>5095</v>
      </c>
      <c r="K52" s="238" t="s">
        <v>3517</v>
      </c>
      <c r="L52" s="238"/>
      <c r="M52" s="238"/>
      <c r="N52" s="238" t="s">
        <v>5305</v>
      </c>
      <c r="O52" s="238"/>
      <c r="P52" s="238"/>
      <c r="Q52" s="238" t="s">
        <v>6090</v>
      </c>
      <c r="R52" s="238"/>
      <c r="S52" s="238"/>
      <c r="T52" s="238"/>
      <c r="U52" s="238"/>
      <c r="V52" s="238"/>
      <c r="W52" s="238" t="s">
        <v>6388</v>
      </c>
      <c r="X52" s="238"/>
      <c r="Y52" s="10" t="s">
        <v>6053</v>
      </c>
      <c r="Z52" s="10" t="s">
        <v>6524</v>
      </c>
      <c r="AA52" s="238" t="s">
        <v>1052</v>
      </c>
      <c r="AB52" s="238"/>
      <c r="AC52" s="238"/>
      <c r="AD52" s="238"/>
      <c r="AE52" s="10" t="s">
        <v>1364</v>
      </c>
      <c r="AF52" s="237" t="s">
        <v>1365</v>
      </c>
      <c r="AG52" s="237"/>
      <c r="AH52" s="237"/>
      <c r="AI52" s="237"/>
      <c r="AJ52" s="2"/>
      <c r="AK52" s="2"/>
      <c r="AL52" s="2"/>
      <c r="AM52" s="2"/>
      <c r="AN52" s="7"/>
    </row>
    <row r="53" spans="1:40" ht="13.5" thickBot="1">
      <c r="A53" s="6"/>
      <c r="B53" s="2"/>
      <c r="C53" s="2"/>
      <c r="D53" s="244" t="s">
        <v>295</v>
      </c>
      <c r="E53" s="244"/>
      <c r="F53" s="238" t="s">
        <v>1366</v>
      </c>
      <c r="G53" s="238"/>
      <c r="H53" s="238"/>
      <c r="I53" s="238"/>
      <c r="J53" s="10" t="s">
        <v>359</v>
      </c>
      <c r="K53" s="238" t="s">
        <v>5039</v>
      </c>
      <c r="L53" s="238"/>
      <c r="M53" s="238"/>
      <c r="N53" s="238" t="s">
        <v>6459</v>
      </c>
      <c r="O53" s="238"/>
      <c r="P53" s="238"/>
      <c r="Q53" s="238" t="s">
        <v>3059</v>
      </c>
      <c r="R53" s="238"/>
      <c r="S53" s="238"/>
      <c r="T53" s="238"/>
      <c r="U53" s="238"/>
      <c r="V53" s="238"/>
      <c r="W53" s="238" t="s">
        <v>6977</v>
      </c>
      <c r="X53" s="238"/>
      <c r="Y53" s="10" t="s">
        <v>4841</v>
      </c>
      <c r="Z53" s="10" t="s">
        <v>5045</v>
      </c>
      <c r="AA53" s="238" t="s">
        <v>2951</v>
      </c>
      <c r="AB53" s="238"/>
      <c r="AC53" s="238"/>
      <c r="AD53" s="238"/>
      <c r="AE53" s="10" t="s">
        <v>5405</v>
      </c>
      <c r="AF53" s="237" t="s">
        <v>6379</v>
      </c>
      <c r="AG53" s="237"/>
      <c r="AH53" s="237"/>
      <c r="AI53" s="237"/>
      <c r="AJ53" s="2"/>
      <c r="AK53" s="2"/>
      <c r="AL53" s="2"/>
      <c r="AM53" s="2"/>
      <c r="AN53" s="7"/>
    </row>
    <row r="54" spans="1:40" ht="13.5" thickBot="1">
      <c r="A54" s="6"/>
      <c r="B54" s="2"/>
      <c r="C54" s="2"/>
      <c r="D54" s="244" t="s">
        <v>307</v>
      </c>
      <c r="E54" s="244"/>
      <c r="F54" s="238" t="s">
        <v>1367</v>
      </c>
      <c r="G54" s="238"/>
      <c r="H54" s="238"/>
      <c r="I54" s="238"/>
      <c r="J54" s="10" t="s">
        <v>7069</v>
      </c>
      <c r="K54" s="238" t="s">
        <v>1368</v>
      </c>
      <c r="L54" s="238"/>
      <c r="M54" s="238"/>
      <c r="N54" s="238" t="s">
        <v>6491</v>
      </c>
      <c r="O54" s="238"/>
      <c r="P54" s="238"/>
      <c r="Q54" s="238" t="s">
        <v>6339</v>
      </c>
      <c r="R54" s="238"/>
      <c r="S54" s="238"/>
      <c r="T54" s="238"/>
      <c r="U54" s="238"/>
      <c r="V54" s="238"/>
      <c r="W54" s="238" t="s">
        <v>1369</v>
      </c>
      <c r="X54" s="238"/>
      <c r="Y54" s="10" t="s">
        <v>6332</v>
      </c>
      <c r="Z54" s="10" t="s">
        <v>6727</v>
      </c>
      <c r="AA54" s="238" t="s">
        <v>1370</v>
      </c>
      <c r="AB54" s="238"/>
      <c r="AC54" s="238"/>
      <c r="AD54" s="238"/>
      <c r="AE54" s="10" t="s">
        <v>3067</v>
      </c>
      <c r="AF54" s="237" t="s">
        <v>1371</v>
      </c>
      <c r="AG54" s="237"/>
      <c r="AH54" s="237"/>
      <c r="AI54" s="237"/>
      <c r="AJ54" s="2"/>
      <c r="AK54" s="2"/>
      <c r="AL54" s="2"/>
      <c r="AM54" s="2"/>
      <c r="AN54" s="7"/>
    </row>
    <row r="55" spans="1:40" ht="13.5" thickBot="1">
      <c r="A55" s="6"/>
      <c r="B55" s="2"/>
      <c r="C55" s="2"/>
      <c r="D55" s="244" t="s">
        <v>319</v>
      </c>
      <c r="E55" s="244"/>
      <c r="F55" s="237" t="s">
        <v>1372</v>
      </c>
      <c r="G55" s="237"/>
      <c r="H55" s="237"/>
      <c r="I55" s="237"/>
      <c r="J55" s="11" t="s">
        <v>6857</v>
      </c>
      <c r="K55" s="237" t="s">
        <v>1373</v>
      </c>
      <c r="L55" s="237"/>
      <c r="M55" s="237"/>
      <c r="N55" s="237" t="s">
        <v>1374</v>
      </c>
      <c r="O55" s="237"/>
      <c r="P55" s="237"/>
      <c r="Q55" s="237" t="s">
        <v>1375</v>
      </c>
      <c r="R55" s="237"/>
      <c r="S55" s="237"/>
      <c r="T55" s="237"/>
      <c r="U55" s="237"/>
      <c r="V55" s="237"/>
      <c r="W55" s="237" t="s">
        <v>1364</v>
      </c>
      <c r="X55" s="237"/>
      <c r="Y55" s="11" t="s">
        <v>1376</v>
      </c>
      <c r="Z55" s="11" t="s">
        <v>1377</v>
      </c>
      <c r="AA55" s="237" t="s">
        <v>1378</v>
      </c>
      <c r="AB55" s="237"/>
      <c r="AC55" s="237"/>
      <c r="AD55" s="237"/>
      <c r="AE55" s="11" t="s">
        <v>830</v>
      </c>
      <c r="AF55" s="237" t="s">
        <v>1379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1380</v>
      </c>
      <c r="E7" s="269"/>
      <c r="F7" s="269"/>
      <c r="G7" s="269"/>
      <c r="H7" s="269" t="s">
        <v>1381</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DAMPIERRE-2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937</v>
      </c>
    </row>
    <row r="17" spans="1:47" ht="13.5" thickBot="1">
      <c r="A17" s="6"/>
      <c r="B17" s="1"/>
      <c r="C17" s="1"/>
      <c r="D17" s="248" t="s">
        <v>189</v>
      </c>
      <c r="E17" s="248"/>
      <c r="F17" s="248"/>
      <c r="G17" s="248"/>
      <c r="H17" s="248"/>
      <c r="I17" s="248"/>
      <c r="J17" s="248"/>
      <c r="K17" s="248"/>
      <c r="L17" s="8" t="s">
        <v>5709</v>
      </c>
      <c r="M17" s="264">
        <v>937</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890</v>
      </c>
    </row>
    <row r="18" spans="1:47" ht="13.5" thickBot="1">
      <c r="A18" s="6"/>
      <c r="B18" s="1"/>
      <c r="C18" s="1"/>
      <c r="D18" s="248" t="s">
        <v>193</v>
      </c>
      <c r="E18" s="248"/>
      <c r="F18" s="248"/>
      <c r="G18" s="248"/>
      <c r="H18" s="248"/>
      <c r="I18" s="248"/>
      <c r="J18" s="248"/>
      <c r="K18" s="248"/>
      <c r="L18" s="8" t="s">
        <v>5709</v>
      </c>
      <c r="M18" s="264">
        <v>890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29565</v>
      </c>
    </row>
    <row r="19" spans="1:47" ht="13.5" thickBot="1">
      <c r="A19" s="6"/>
      <c r="B19" s="1"/>
      <c r="C19" s="1"/>
      <c r="D19" s="248" t="s">
        <v>196</v>
      </c>
      <c r="E19" s="248"/>
      <c r="F19" s="248"/>
      <c r="G19" s="248"/>
      <c r="H19" s="248"/>
      <c r="I19" s="248"/>
      <c r="J19" s="248"/>
      <c r="K19" s="248"/>
      <c r="L19" s="8" t="s">
        <v>5709</v>
      </c>
      <c r="M19" s="264">
        <v>890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67.41</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69.26</v>
      </c>
    </row>
    <row r="22" spans="1:47" ht="8.85" customHeight="1" thickBot="1">
      <c r="A22" s="6"/>
      <c r="B22" s="1"/>
      <c r="C22" s="1"/>
      <c r="D22" s="248" t="s">
        <v>205</v>
      </c>
      <c r="E22" s="248"/>
      <c r="F22" s="248"/>
      <c r="G22" s="248"/>
      <c r="H22" s="248"/>
      <c r="I22" s="248"/>
      <c r="J22" s="248"/>
      <c r="K22" s="248"/>
      <c r="L22" s="247" t="s">
        <v>5709</v>
      </c>
      <c r="M22" s="259">
        <v>27485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29565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29633</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1382</v>
      </c>
      <c r="G49" s="238"/>
      <c r="H49" s="238"/>
      <c r="I49" s="238"/>
      <c r="J49" s="10" t="s">
        <v>1383</v>
      </c>
      <c r="K49" s="238" t="s">
        <v>1384</v>
      </c>
      <c r="L49" s="238"/>
      <c r="M49" s="238"/>
      <c r="N49" s="238" t="s">
        <v>1385</v>
      </c>
      <c r="O49" s="238"/>
      <c r="P49" s="238"/>
      <c r="Q49" s="238" t="s">
        <v>1386</v>
      </c>
      <c r="R49" s="238"/>
      <c r="S49" s="238"/>
      <c r="T49" s="238"/>
      <c r="U49" s="238"/>
      <c r="V49" s="238"/>
      <c r="W49" s="238" t="s">
        <v>1387</v>
      </c>
      <c r="X49" s="238"/>
      <c r="Y49" s="10" t="s">
        <v>1388</v>
      </c>
      <c r="Z49" s="10" t="s">
        <v>1389</v>
      </c>
      <c r="AA49" s="238" t="s">
        <v>1390</v>
      </c>
      <c r="AB49" s="238"/>
      <c r="AC49" s="238"/>
      <c r="AD49" s="238"/>
      <c r="AE49" s="10" t="s">
        <v>1391</v>
      </c>
      <c r="AF49" s="237" t="s">
        <v>1392</v>
      </c>
      <c r="AG49" s="237"/>
      <c r="AH49" s="237"/>
      <c r="AI49" s="237"/>
      <c r="AJ49" s="2"/>
      <c r="AK49" s="2"/>
      <c r="AL49" s="2"/>
      <c r="AM49" s="2"/>
      <c r="AN49" s="7"/>
    </row>
    <row r="50" spans="1:40" ht="13.5" thickBot="1">
      <c r="A50" s="6"/>
      <c r="B50" s="2"/>
      <c r="C50" s="2"/>
      <c r="D50" s="244" t="s">
        <v>261</v>
      </c>
      <c r="E50" s="244"/>
      <c r="F50" s="238" t="s">
        <v>6197</v>
      </c>
      <c r="G50" s="238"/>
      <c r="H50" s="238"/>
      <c r="I50" s="238"/>
      <c r="J50" s="10" t="s">
        <v>1393</v>
      </c>
      <c r="K50" s="238" t="s">
        <v>1394</v>
      </c>
      <c r="L50" s="238"/>
      <c r="M50" s="238"/>
      <c r="N50" s="238" t="s">
        <v>6092</v>
      </c>
      <c r="O50" s="238"/>
      <c r="P50" s="238"/>
      <c r="Q50" s="238" t="s">
        <v>4740</v>
      </c>
      <c r="R50" s="238"/>
      <c r="S50" s="238"/>
      <c r="T50" s="238"/>
      <c r="U50" s="238"/>
      <c r="V50" s="238"/>
      <c r="W50" s="238" t="s">
        <v>6648</v>
      </c>
      <c r="X50" s="238"/>
      <c r="Y50" s="10" t="s">
        <v>6702</v>
      </c>
      <c r="Z50" s="10" t="s">
        <v>1395</v>
      </c>
      <c r="AA50" s="238" t="s">
        <v>4228</v>
      </c>
      <c r="AB50" s="238"/>
      <c r="AC50" s="238"/>
      <c r="AD50" s="238"/>
      <c r="AE50" s="10" t="s">
        <v>1396</v>
      </c>
      <c r="AF50" s="237" t="s">
        <v>6665</v>
      </c>
      <c r="AG50" s="237"/>
      <c r="AH50" s="237"/>
      <c r="AI50" s="237"/>
      <c r="AJ50" s="2"/>
      <c r="AK50" s="2"/>
      <c r="AL50" s="2"/>
      <c r="AM50" s="2"/>
      <c r="AN50" s="7"/>
    </row>
    <row r="51" spans="1:40" ht="13.5" thickBot="1">
      <c r="A51" s="6"/>
      <c r="B51" s="2"/>
      <c r="C51" s="2"/>
      <c r="D51" s="244" t="s">
        <v>273</v>
      </c>
      <c r="E51" s="244"/>
      <c r="F51" s="238" t="s">
        <v>868</v>
      </c>
      <c r="G51" s="238"/>
      <c r="H51" s="238"/>
      <c r="I51" s="238"/>
      <c r="J51" s="10" t="s">
        <v>1397</v>
      </c>
      <c r="K51" s="238" t="s">
        <v>1398</v>
      </c>
      <c r="L51" s="238"/>
      <c r="M51" s="238"/>
      <c r="N51" s="238" t="s">
        <v>3519</v>
      </c>
      <c r="O51" s="238"/>
      <c r="P51" s="238"/>
      <c r="Q51" s="238" t="s">
        <v>1399</v>
      </c>
      <c r="R51" s="238"/>
      <c r="S51" s="238"/>
      <c r="T51" s="238"/>
      <c r="U51" s="238"/>
      <c r="V51" s="238"/>
      <c r="W51" s="238" t="s">
        <v>1400</v>
      </c>
      <c r="X51" s="238"/>
      <c r="Y51" s="10" t="s">
        <v>5995</v>
      </c>
      <c r="Z51" s="10" t="s">
        <v>1401</v>
      </c>
      <c r="AA51" s="238" t="s">
        <v>4401</v>
      </c>
      <c r="AB51" s="238"/>
      <c r="AC51" s="238"/>
      <c r="AD51" s="238"/>
      <c r="AE51" s="10" t="s">
        <v>4151</v>
      </c>
      <c r="AF51" s="237" t="s">
        <v>1402</v>
      </c>
      <c r="AG51" s="237"/>
      <c r="AH51" s="237"/>
      <c r="AI51" s="237"/>
      <c r="AJ51" s="2"/>
      <c r="AK51" s="2"/>
      <c r="AL51" s="2"/>
      <c r="AM51" s="2"/>
      <c r="AN51" s="7"/>
    </row>
    <row r="52" spans="1:40" ht="13.5" thickBot="1">
      <c r="A52" s="6"/>
      <c r="B52" s="2"/>
      <c r="C52" s="2"/>
      <c r="D52" s="244" t="s">
        <v>285</v>
      </c>
      <c r="E52" s="244"/>
      <c r="F52" s="238" t="s">
        <v>1403</v>
      </c>
      <c r="G52" s="238"/>
      <c r="H52" s="238"/>
      <c r="I52" s="238"/>
      <c r="J52" s="10" t="s">
        <v>1404</v>
      </c>
      <c r="K52" s="238" t="s">
        <v>1848</v>
      </c>
      <c r="L52" s="238"/>
      <c r="M52" s="238"/>
      <c r="N52" s="238" t="s">
        <v>317</v>
      </c>
      <c r="O52" s="238"/>
      <c r="P52" s="238"/>
      <c r="Q52" s="238" t="s">
        <v>7085</v>
      </c>
      <c r="R52" s="238"/>
      <c r="S52" s="238"/>
      <c r="T52" s="238"/>
      <c r="U52" s="238"/>
      <c r="V52" s="238"/>
      <c r="W52" s="238" t="s">
        <v>1405</v>
      </c>
      <c r="X52" s="238"/>
      <c r="Y52" s="10" t="s">
        <v>5599</v>
      </c>
      <c r="Z52" s="10" t="s">
        <v>6373</v>
      </c>
      <c r="AA52" s="238" t="s">
        <v>5052</v>
      </c>
      <c r="AB52" s="238"/>
      <c r="AC52" s="238"/>
      <c r="AD52" s="238"/>
      <c r="AE52" s="10" t="s">
        <v>3626</v>
      </c>
      <c r="AF52" s="237" t="s">
        <v>4330</v>
      </c>
      <c r="AG52" s="237"/>
      <c r="AH52" s="237"/>
      <c r="AI52" s="237"/>
      <c r="AJ52" s="2"/>
      <c r="AK52" s="2"/>
      <c r="AL52" s="2"/>
      <c r="AM52" s="2"/>
      <c r="AN52" s="7"/>
    </row>
    <row r="53" spans="1:40" ht="13.5" thickBot="1">
      <c r="A53" s="6"/>
      <c r="B53" s="2"/>
      <c r="C53" s="2"/>
      <c r="D53" s="244" t="s">
        <v>295</v>
      </c>
      <c r="E53" s="244"/>
      <c r="F53" s="238" t="s">
        <v>6507</v>
      </c>
      <c r="G53" s="238"/>
      <c r="H53" s="238"/>
      <c r="I53" s="238"/>
      <c r="J53" s="10" t="s">
        <v>1406</v>
      </c>
      <c r="K53" s="238" t="s">
        <v>1246</v>
      </c>
      <c r="L53" s="238"/>
      <c r="M53" s="238"/>
      <c r="N53" s="238" t="s">
        <v>357</v>
      </c>
      <c r="O53" s="238"/>
      <c r="P53" s="238"/>
      <c r="Q53" s="238" t="s">
        <v>1844</v>
      </c>
      <c r="R53" s="238"/>
      <c r="S53" s="238"/>
      <c r="T53" s="238"/>
      <c r="U53" s="238"/>
      <c r="V53" s="238"/>
      <c r="W53" s="238" t="s">
        <v>5268</v>
      </c>
      <c r="X53" s="238"/>
      <c r="Y53" s="10" t="s">
        <v>1407</v>
      </c>
      <c r="Z53" s="10" t="s">
        <v>3104</v>
      </c>
      <c r="AA53" s="238" t="s">
        <v>3518</v>
      </c>
      <c r="AB53" s="238"/>
      <c r="AC53" s="238"/>
      <c r="AD53" s="238"/>
      <c r="AE53" s="10" t="s">
        <v>3291</v>
      </c>
      <c r="AF53" s="237" t="s">
        <v>6963</v>
      </c>
      <c r="AG53" s="237"/>
      <c r="AH53" s="237"/>
      <c r="AI53" s="237"/>
      <c r="AJ53" s="2"/>
      <c r="AK53" s="2"/>
      <c r="AL53" s="2"/>
      <c r="AM53" s="2"/>
      <c r="AN53" s="7"/>
    </row>
    <row r="54" spans="1:40" ht="13.5" thickBot="1">
      <c r="A54" s="6"/>
      <c r="B54" s="2"/>
      <c r="C54" s="2"/>
      <c r="D54" s="244" t="s">
        <v>307</v>
      </c>
      <c r="E54" s="244"/>
      <c r="F54" s="238" t="s">
        <v>1408</v>
      </c>
      <c r="G54" s="238"/>
      <c r="H54" s="238"/>
      <c r="I54" s="238"/>
      <c r="J54" s="10" t="s">
        <v>1409</v>
      </c>
      <c r="K54" s="238" t="s">
        <v>2684</v>
      </c>
      <c r="L54" s="238"/>
      <c r="M54" s="238"/>
      <c r="N54" s="238" t="s">
        <v>3357</v>
      </c>
      <c r="O54" s="238"/>
      <c r="P54" s="238"/>
      <c r="Q54" s="238" t="s">
        <v>148</v>
      </c>
      <c r="R54" s="238"/>
      <c r="S54" s="238"/>
      <c r="T54" s="238"/>
      <c r="U54" s="238"/>
      <c r="V54" s="238"/>
      <c r="W54" s="238" t="s">
        <v>4759</v>
      </c>
      <c r="X54" s="238"/>
      <c r="Y54" s="10" t="s">
        <v>2867</v>
      </c>
      <c r="Z54" s="10" t="s">
        <v>4331</v>
      </c>
      <c r="AA54" s="238" t="s">
        <v>6716</v>
      </c>
      <c r="AB54" s="238"/>
      <c r="AC54" s="238"/>
      <c r="AD54" s="238"/>
      <c r="AE54" s="10" t="s">
        <v>1796</v>
      </c>
      <c r="AF54" s="237" t="s">
        <v>7052</v>
      </c>
      <c r="AG54" s="237"/>
      <c r="AH54" s="237"/>
      <c r="AI54" s="237"/>
      <c r="AJ54" s="2"/>
      <c r="AK54" s="2"/>
      <c r="AL54" s="2"/>
      <c r="AM54" s="2"/>
      <c r="AN54" s="7"/>
    </row>
    <row r="55" spans="1:40" ht="13.5" thickBot="1">
      <c r="A55" s="6"/>
      <c r="B55" s="2"/>
      <c r="C55" s="2"/>
      <c r="D55" s="244" t="s">
        <v>319</v>
      </c>
      <c r="E55" s="244"/>
      <c r="F55" s="237" t="s">
        <v>737</v>
      </c>
      <c r="G55" s="237"/>
      <c r="H55" s="237"/>
      <c r="I55" s="237"/>
      <c r="J55" s="11" t="s">
        <v>1410</v>
      </c>
      <c r="K55" s="237" t="s">
        <v>1411</v>
      </c>
      <c r="L55" s="237"/>
      <c r="M55" s="237"/>
      <c r="N55" s="237" t="s">
        <v>1412</v>
      </c>
      <c r="O55" s="237"/>
      <c r="P55" s="237"/>
      <c r="Q55" s="237" t="s">
        <v>1413</v>
      </c>
      <c r="R55" s="237"/>
      <c r="S55" s="237"/>
      <c r="T55" s="237"/>
      <c r="U55" s="237"/>
      <c r="V55" s="237"/>
      <c r="W55" s="237" t="s">
        <v>6673</v>
      </c>
      <c r="X55" s="237"/>
      <c r="Y55" s="11" t="s">
        <v>5390</v>
      </c>
      <c r="Z55" s="11" t="s">
        <v>6220</v>
      </c>
      <c r="AA55" s="237" t="s">
        <v>4753</v>
      </c>
      <c r="AB55" s="237"/>
      <c r="AC55" s="237"/>
      <c r="AD55" s="237"/>
      <c r="AE55" s="11" t="s">
        <v>1414</v>
      </c>
      <c r="AF55" s="237" t="s">
        <v>1415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1416</v>
      </c>
      <c r="E7" s="269"/>
      <c r="F7" s="269"/>
      <c r="G7" s="269"/>
      <c r="H7" s="269" t="s">
        <v>1417</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DAMPIERRE-3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937</v>
      </c>
    </row>
    <row r="17" spans="1:47" ht="13.5" thickBot="1">
      <c r="A17" s="6"/>
      <c r="B17" s="1"/>
      <c r="C17" s="1"/>
      <c r="D17" s="248" t="s">
        <v>189</v>
      </c>
      <c r="E17" s="248"/>
      <c r="F17" s="248"/>
      <c r="G17" s="248"/>
      <c r="H17" s="248"/>
      <c r="I17" s="248"/>
      <c r="J17" s="248"/>
      <c r="K17" s="248"/>
      <c r="L17" s="8" t="s">
        <v>5709</v>
      </c>
      <c r="M17" s="264">
        <v>937</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890</v>
      </c>
    </row>
    <row r="18" spans="1:47" ht="13.5" thickBot="1">
      <c r="A18" s="6"/>
      <c r="B18" s="1"/>
      <c r="C18" s="1"/>
      <c r="D18" s="248" t="s">
        <v>193</v>
      </c>
      <c r="E18" s="248"/>
      <c r="F18" s="248"/>
      <c r="G18" s="248"/>
      <c r="H18" s="248"/>
      <c r="I18" s="248"/>
      <c r="J18" s="248"/>
      <c r="K18" s="248"/>
      <c r="L18" s="8" t="s">
        <v>5709</v>
      </c>
      <c r="M18" s="264">
        <v>890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29616</v>
      </c>
    </row>
    <row r="19" spans="1:47" ht="13.5" thickBot="1">
      <c r="A19" s="6"/>
      <c r="B19" s="1"/>
      <c r="C19" s="1"/>
      <c r="D19" s="248" t="s">
        <v>196</v>
      </c>
      <c r="E19" s="248"/>
      <c r="F19" s="248"/>
      <c r="G19" s="248"/>
      <c r="H19" s="248"/>
      <c r="I19" s="248"/>
      <c r="J19" s="248"/>
      <c r="K19" s="248"/>
      <c r="L19" s="8" t="s">
        <v>5709</v>
      </c>
      <c r="M19" s="264">
        <v>890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80.06</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85.20</v>
      </c>
    </row>
    <row r="22" spans="1:47" ht="8.85" customHeight="1" thickBot="1">
      <c r="A22" s="6"/>
      <c r="B22" s="1"/>
      <c r="C22" s="1"/>
      <c r="D22" s="248" t="s">
        <v>205</v>
      </c>
      <c r="E22" s="248"/>
      <c r="F22" s="248"/>
      <c r="G22" s="248"/>
      <c r="H22" s="248"/>
      <c r="I22" s="248"/>
      <c r="J22" s="248"/>
      <c r="K22" s="248"/>
      <c r="L22" s="247" t="s">
        <v>5709</v>
      </c>
      <c r="M22" s="259">
        <v>27638</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29616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29733</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1418</v>
      </c>
      <c r="G49" s="238"/>
      <c r="H49" s="238"/>
      <c r="I49" s="238"/>
      <c r="J49" s="10" t="s">
        <v>1419</v>
      </c>
      <c r="K49" s="238" t="s">
        <v>1420</v>
      </c>
      <c r="L49" s="238"/>
      <c r="M49" s="238"/>
      <c r="N49" s="238" t="s">
        <v>1421</v>
      </c>
      <c r="O49" s="238"/>
      <c r="P49" s="238"/>
      <c r="Q49" s="238" t="s">
        <v>1422</v>
      </c>
      <c r="R49" s="238"/>
      <c r="S49" s="238"/>
      <c r="T49" s="238"/>
      <c r="U49" s="238"/>
      <c r="V49" s="238"/>
      <c r="W49" s="238" t="s">
        <v>1423</v>
      </c>
      <c r="X49" s="238"/>
      <c r="Y49" s="10" t="s">
        <v>1424</v>
      </c>
      <c r="Z49" s="10" t="s">
        <v>1425</v>
      </c>
      <c r="AA49" s="238" t="s">
        <v>1426</v>
      </c>
      <c r="AB49" s="238"/>
      <c r="AC49" s="238"/>
      <c r="AD49" s="238"/>
      <c r="AE49" s="10" t="s">
        <v>1427</v>
      </c>
      <c r="AF49" s="237" t="s">
        <v>1428</v>
      </c>
      <c r="AG49" s="237"/>
      <c r="AH49" s="237"/>
      <c r="AI49" s="237"/>
      <c r="AJ49" s="2"/>
      <c r="AK49" s="2"/>
      <c r="AL49" s="2"/>
      <c r="AM49" s="2"/>
      <c r="AN49" s="7"/>
    </row>
    <row r="50" spans="1:40" ht="13.5" thickBot="1">
      <c r="A50" s="6"/>
      <c r="B50" s="2"/>
      <c r="C50" s="2"/>
      <c r="D50" s="244" t="s">
        <v>261</v>
      </c>
      <c r="E50" s="244"/>
      <c r="F50" s="238" t="s">
        <v>1429</v>
      </c>
      <c r="G50" s="238"/>
      <c r="H50" s="238"/>
      <c r="I50" s="238"/>
      <c r="J50" s="10" t="s">
        <v>542</v>
      </c>
      <c r="K50" s="238" t="s">
        <v>1430</v>
      </c>
      <c r="L50" s="238"/>
      <c r="M50" s="238"/>
      <c r="N50" s="238" t="s">
        <v>4218</v>
      </c>
      <c r="O50" s="238"/>
      <c r="P50" s="238"/>
      <c r="Q50" s="238" t="s">
        <v>1431</v>
      </c>
      <c r="R50" s="238"/>
      <c r="S50" s="238"/>
      <c r="T50" s="238"/>
      <c r="U50" s="238"/>
      <c r="V50" s="238"/>
      <c r="W50" s="238" t="s">
        <v>3461</v>
      </c>
      <c r="X50" s="238"/>
      <c r="Y50" s="10" t="s">
        <v>3595</v>
      </c>
      <c r="Z50" s="10" t="s">
        <v>4798</v>
      </c>
      <c r="AA50" s="238" t="s">
        <v>510</v>
      </c>
      <c r="AB50" s="238"/>
      <c r="AC50" s="238"/>
      <c r="AD50" s="238"/>
      <c r="AE50" s="10" t="s">
        <v>1432</v>
      </c>
      <c r="AF50" s="237" t="s">
        <v>1433</v>
      </c>
      <c r="AG50" s="237"/>
      <c r="AH50" s="237"/>
      <c r="AI50" s="237"/>
      <c r="AJ50" s="2"/>
      <c r="AK50" s="2"/>
      <c r="AL50" s="2"/>
      <c r="AM50" s="2"/>
      <c r="AN50" s="7"/>
    </row>
    <row r="51" spans="1:40" ht="13.5" thickBot="1">
      <c r="A51" s="6"/>
      <c r="B51" s="2"/>
      <c r="C51" s="2"/>
      <c r="D51" s="244" t="s">
        <v>273</v>
      </c>
      <c r="E51" s="244"/>
      <c r="F51" s="238" t="s">
        <v>996</v>
      </c>
      <c r="G51" s="238"/>
      <c r="H51" s="238"/>
      <c r="I51" s="238"/>
      <c r="J51" s="10" t="s">
        <v>4888</v>
      </c>
      <c r="K51" s="238" t="s">
        <v>1434</v>
      </c>
      <c r="L51" s="238"/>
      <c r="M51" s="238"/>
      <c r="N51" s="238" t="s">
        <v>4318</v>
      </c>
      <c r="O51" s="238"/>
      <c r="P51" s="238"/>
      <c r="Q51" s="238" t="s">
        <v>1435</v>
      </c>
      <c r="R51" s="238"/>
      <c r="S51" s="238"/>
      <c r="T51" s="238"/>
      <c r="U51" s="238"/>
      <c r="V51" s="238"/>
      <c r="W51" s="238" t="s">
        <v>5360</v>
      </c>
      <c r="X51" s="238"/>
      <c r="Y51" s="10" t="s">
        <v>1236</v>
      </c>
      <c r="Z51" s="10" t="s">
        <v>1436</v>
      </c>
      <c r="AA51" s="238" t="s">
        <v>1437</v>
      </c>
      <c r="AB51" s="238"/>
      <c r="AC51" s="238"/>
      <c r="AD51" s="238"/>
      <c r="AE51" s="10" t="s">
        <v>1438</v>
      </c>
      <c r="AF51" s="237" t="s">
        <v>1439</v>
      </c>
      <c r="AG51" s="237"/>
      <c r="AH51" s="237"/>
      <c r="AI51" s="237"/>
      <c r="AJ51" s="2"/>
      <c r="AK51" s="2"/>
      <c r="AL51" s="2"/>
      <c r="AM51" s="2"/>
      <c r="AN51" s="7"/>
    </row>
    <row r="52" spans="1:40" ht="13.5" thickBot="1">
      <c r="A52" s="6"/>
      <c r="B52" s="2"/>
      <c r="C52" s="2"/>
      <c r="D52" s="244" t="s">
        <v>285</v>
      </c>
      <c r="E52" s="244"/>
      <c r="F52" s="238" t="s">
        <v>1440</v>
      </c>
      <c r="G52" s="238"/>
      <c r="H52" s="238"/>
      <c r="I52" s="238"/>
      <c r="J52" s="10" t="s">
        <v>1441</v>
      </c>
      <c r="K52" s="238" t="s">
        <v>20</v>
      </c>
      <c r="L52" s="238"/>
      <c r="M52" s="238"/>
      <c r="N52" s="238" t="s">
        <v>6491</v>
      </c>
      <c r="O52" s="238"/>
      <c r="P52" s="238"/>
      <c r="Q52" s="238" t="s">
        <v>2775</v>
      </c>
      <c r="R52" s="238"/>
      <c r="S52" s="238"/>
      <c r="T52" s="238"/>
      <c r="U52" s="238"/>
      <c r="V52" s="238"/>
      <c r="W52" s="238" t="s">
        <v>1908</v>
      </c>
      <c r="X52" s="238"/>
      <c r="Y52" s="10" t="s">
        <v>897</v>
      </c>
      <c r="Z52" s="10" t="s">
        <v>6403</v>
      </c>
      <c r="AA52" s="238" t="s">
        <v>6615</v>
      </c>
      <c r="AB52" s="238"/>
      <c r="AC52" s="238"/>
      <c r="AD52" s="238"/>
      <c r="AE52" s="10" t="s">
        <v>5049</v>
      </c>
      <c r="AF52" s="237" t="s">
        <v>1442</v>
      </c>
      <c r="AG52" s="237"/>
      <c r="AH52" s="237"/>
      <c r="AI52" s="237"/>
      <c r="AJ52" s="2"/>
      <c r="AK52" s="2"/>
      <c r="AL52" s="2"/>
      <c r="AM52" s="2"/>
      <c r="AN52" s="7"/>
    </row>
    <row r="53" spans="1:40" ht="13.5" thickBot="1">
      <c r="A53" s="6"/>
      <c r="B53" s="2"/>
      <c r="C53" s="2"/>
      <c r="D53" s="244" t="s">
        <v>295</v>
      </c>
      <c r="E53" s="244"/>
      <c r="F53" s="238" t="s">
        <v>5604</v>
      </c>
      <c r="G53" s="238"/>
      <c r="H53" s="238"/>
      <c r="I53" s="238"/>
      <c r="J53" s="10" t="s">
        <v>1443</v>
      </c>
      <c r="K53" s="238" t="s">
        <v>4221</v>
      </c>
      <c r="L53" s="238"/>
      <c r="M53" s="238"/>
      <c r="N53" s="238" t="s">
        <v>1843</v>
      </c>
      <c r="O53" s="238"/>
      <c r="P53" s="238"/>
      <c r="Q53" s="238" t="s">
        <v>6081</v>
      </c>
      <c r="R53" s="238"/>
      <c r="S53" s="238"/>
      <c r="T53" s="238"/>
      <c r="U53" s="238"/>
      <c r="V53" s="238"/>
      <c r="W53" s="238" t="s">
        <v>382</v>
      </c>
      <c r="X53" s="238"/>
      <c r="Y53" s="10" t="s">
        <v>3450</v>
      </c>
      <c r="Z53" s="10" t="s">
        <v>6522</v>
      </c>
      <c r="AA53" s="238" t="s">
        <v>4978</v>
      </c>
      <c r="AB53" s="238"/>
      <c r="AC53" s="238"/>
      <c r="AD53" s="238"/>
      <c r="AE53" s="10" t="s">
        <v>1444</v>
      </c>
      <c r="AF53" s="237" t="s">
        <v>5185</v>
      </c>
      <c r="AG53" s="237"/>
      <c r="AH53" s="237"/>
      <c r="AI53" s="237"/>
      <c r="AJ53" s="2"/>
      <c r="AK53" s="2"/>
      <c r="AL53" s="2"/>
      <c r="AM53" s="2"/>
      <c r="AN53" s="7"/>
    </row>
    <row r="54" spans="1:40" ht="13.5" thickBot="1">
      <c r="A54" s="6"/>
      <c r="B54" s="2"/>
      <c r="C54" s="2"/>
      <c r="D54" s="244" t="s">
        <v>307</v>
      </c>
      <c r="E54" s="244"/>
      <c r="F54" s="238" t="s">
        <v>1445</v>
      </c>
      <c r="G54" s="238"/>
      <c r="H54" s="238"/>
      <c r="I54" s="238"/>
      <c r="J54" s="10" t="s">
        <v>1446</v>
      </c>
      <c r="K54" s="238" t="s">
        <v>5279</v>
      </c>
      <c r="L54" s="238"/>
      <c r="M54" s="238"/>
      <c r="N54" s="238" t="s">
        <v>6294</v>
      </c>
      <c r="O54" s="238"/>
      <c r="P54" s="238"/>
      <c r="Q54" s="238" t="s">
        <v>2957</v>
      </c>
      <c r="R54" s="238"/>
      <c r="S54" s="238"/>
      <c r="T54" s="238"/>
      <c r="U54" s="238"/>
      <c r="V54" s="238"/>
      <c r="W54" s="238" t="s">
        <v>3018</v>
      </c>
      <c r="X54" s="238"/>
      <c r="Y54" s="10" t="s">
        <v>1447</v>
      </c>
      <c r="Z54" s="10" t="s">
        <v>6909</v>
      </c>
      <c r="AA54" s="238" t="s">
        <v>1448</v>
      </c>
      <c r="AB54" s="238"/>
      <c r="AC54" s="238"/>
      <c r="AD54" s="238"/>
      <c r="AE54" s="10" t="s">
        <v>2780</v>
      </c>
      <c r="AF54" s="237" t="s">
        <v>1449</v>
      </c>
      <c r="AG54" s="237"/>
      <c r="AH54" s="237"/>
      <c r="AI54" s="237"/>
      <c r="AJ54" s="2"/>
      <c r="AK54" s="2"/>
      <c r="AL54" s="2"/>
      <c r="AM54" s="2"/>
      <c r="AN54" s="7"/>
    </row>
    <row r="55" spans="1:40" ht="13.5" thickBot="1">
      <c r="A55" s="6"/>
      <c r="B55" s="2"/>
      <c r="C55" s="2"/>
      <c r="D55" s="244" t="s">
        <v>319</v>
      </c>
      <c r="E55" s="244"/>
      <c r="F55" s="237" t="s">
        <v>4674</v>
      </c>
      <c r="G55" s="237"/>
      <c r="H55" s="237"/>
      <c r="I55" s="237"/>
      <c r="J55" s="11" t="s">
        <v>6564</v>
      </c>
      <c r="K55" s="237" t="s">
        <v>4632</v>
      </c>
      <c r="L55" s="237"/>
      <c r="M55" s="237"/>
      <c r="N55" s="237" t="s">
        <v>5416</v>
      </c>
      <c r="O55" s="237"/>
      <c r="P55" s="237"/>
      <c r="Q55" s="237" t="s">
        <v>1450</v>
      </c>
      <c r="R55" s="237"/>
      <c r="S55" s="237"/>
      <c r="T55" s="237"/>
      <c r="U55" s="237"/>
      <c r="V55" s="237"/>
      <c r="W55" s="237" t="s">
        <v>1274</v>
      </c>
      <c r="X55" s="237"/>
      <c r="Y55" s="11" t="s">
        <v>1451</v>
      </c>
      <c r="Z55" s="11" t="s">
        <v>4708</v>
      </c>
      <c r="AA55" s="237" t="s">
        <v>1452</v>
      </c>
      <c r="AB55" s="237"/>
      <c r="AC55" s="237"/>
      <c r="AD55" s="237"/>
      <c r="AE55" s="11" t="s">
        <v>1453</v>
      </c>
      <c r="AF55" s="237" t="s">
        <v>1454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1455</v>
      </c>
      <c r="E7" s="269"/>
      <c r="F7" s="269"/>
      <c r="G7" s="269"/>
      <c r="H7" s="269" t="s">
        <v>1456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DAMPIERRE-4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937</v>
      </c>
    </row>
    <row r="17" spans="1:47" ht="13.5" thickBot="1">
      <c r="A17" s="6"/>
      <c r="B17" s="1"/>
      <c r="C17" s="1"/>
      <c r="D17" s="248" t="s">
        <v>189</v>
      </c>
      <c r="E17" s="248"/>
      <c r="F17" s="248"/>
      <c r="G17" s="248"/>
      <c r="H17" s="248"/>
      <c r="I17" s="248"/>
      <c r="J17" s="248"/>
      <c r="K17" s="248"/>
      <c r="L17" s="8" t="s">
        <v>5709</v>
      </c>
      <c r="M17" s="264">
        <v>937</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890</v>
      </c>
    </row>
    <row r="18" spans="1:47" ht="13.5" thickBot="1">
      <c r="A18" s="6"/>
      <c r="B18" s="1"/>
      <c r="C18" s="1"/>
      <c r="D18" s="248" t="s">
        <v>193</v>
      </c>
      <c r="E18" s="248"/>
      <c r="F18" s="248"/>
      <c r="G18" s="248"/>
      <c r="H18" s="248"/>
      <c r="I18" s="248"/>
      <c r="J18" s="248"/>
      <c r="K18" s="248"/>
      <c r="L18" s="8" t="s">
        <v>5709</v>
      </c>
      <c r="M18" s="264">
        <v>890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29816</v>
      </c>
    </row>
    <row r="19" spans="1:47" ht="13.5" thickBot="1">
      <c r="A19" s="6"/>
      <c r="B19" s="1"/>
      <c r="C19" s="1"/>
      <c r="D19" s="248" t="s">
        <v>196</v>
      </c>
      <c r="E19" s="248"/>
      <c r="F19" s="248"/>
      <c r="G19" s="248"/>
      <c r="H19" s="248"/>
      <c r="I19" s="248"/>
      <c r="J19" s="248"/>
      <c r="K19" s="248"/>
      <c r="L19" s="8" t="s">
        <v>5709</v>
      </c>
      <c r="M19" s="264">
        <v>890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84.22</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83.02</v>
      </c>
    </row>
    <row r="22" spans="1:47" ht="8.85" customHeight="1" thickBot="1">
      <c r="A22" s="6"/>
      <c r="B22" s="1"/>
      <c r="C22" s="1"/>
      <c r="D22" s="248" t="s">
        <v>205</v>
      </c>
      <c r="E22" s="248"/>
      <c r="F22" s="248"/>
      <c r="G22" s="248"/>
      <c r="H22" s="248"/>
      <c r="I22" s="248"/>
      <c r="J22" s="248"/>
      <c r="K22" s="248"/>
      <c r="L22" s="247" t="s">
        <v>5709</v>
      </c>
      <c r="M22" s="259">
        <v>27729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29816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29910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1457</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1458</v>
      </c>
      <c r="G49" s="238"/>
      <c r="H49" s="238"/>
      <c r="I49" s="238"/>
      <c r="J49" s="10" t="s">
        <v>1459</v>
      </c>
      <c r="K49" s="238" t="s">
        <v>1460</v>
      </c>
      <c r="L49" s="238"/>
      <c r="M49" s="238"/>
      <c r="N49" s="238" t="s">
        <v>1461</v>
      </c>
      <c r="O49" s="238"/>
      <c r="P49" s="238"/>
      <c r="Q49" s="238" t="s">
        <v>1462</v>
      </c>
      <c r="R49" s="238"/>
      <c r="S49" s="238"/>
      <c r="T49" s="238"/>
      <c r="U49" s="238"/>
      <c r="V49" s="238"/>
      <c r="W49" s="238" t="s">
        <v>1463</v>
      </c>
      <c r="X49" s="238"/>
      <c r="Y49" s="10" t="s">
        <v>1464</v>
      </c>
      <c r="Z49" s="10" t="s">
        <v>1465</v>
      </c>
      <c r="AA49" s="238" t="s">
        <v>1466</v>
      </c>
      <c r="AB49" s="238"/>
      <c r="AC49" s="238"/>
      <c r="AD49" s="238"/>
      <c r="AE49" s="10" t="s">
        <v>1467</v>
      </c>
      <c r="AF49" s="237" t="s">
        <v>1468</v>
      </c>
      <c r="AG49" s="237"/>
      <c r="AH49" s="237"/>
      <c r="AI49" s="237"/>
      <c r="AJ49" s="2"/>
      <c r="AK49" s="2"/>
      <c r="AL49" s="2"/>
      <c r="AM49" s="2"/>
      <c r="AN49" s="7"/>
    </row>
    <row r="50" spans="1:40" ht="13.5" thickBot="1">
      <c r="A50" s="6"/>
      <c r="B50" s="2"/>
      <c r="C50" s="2"/>
      <c r="D50" s="244" t="s">
        <v>261</v>
      </c>
      <c r="E50" s="244"/>
      <c r="F50" s="238" t="s">
        <v>1469</v>
      </c>
      <c r="G50" s="238"/>
      <c r="H50" s="238"/>
      <c r="I50" s="238"/>
      <c r="J50" s="10" t="s">
        <v>5412</v>
      </c>
      <c r="K50" s="238" t="s">
        <v>1470</v>
      </c>
      <c r="L50" s="238"/>
      <c r="M50" s="238"/>
      <c r="N50" s="238" t="s">
        <v>1471</v>
      </c>
      <c r="O50" s="238"/>
      <c r="P50" s="238"/>
      <c r="Q50" s="238" t="s">
        <v>5095</v>
      </c>
      <c r="R50" s="238"/>
      <c r="S50" s="238"/>
      <c r="T50" s="238"/>
      <c r="U50" s="238"/>
      <c r="V50" s="238"/>
      <c r="W50" s="238" t="s">
        <v>1915</v>
      </c>
      <c r="X50" s="238"/>
      <c r="Y50" s="10" t="s">
        <v>653</v>
      </c>
      <c r="Z50" s="10" t="s">
        <v>1472</v>
      </c>
      <c r="AA50" s="238" t="s">
        <v>923</v>
      </c>
      <c r="AB50" s="238"/>
      <c r="AC50" s="238"/>
      <c r="AD50" s="238"/>
      <c r="AE50" s="10" t="s">
        <v>3417</v>
      </c>
      <c r="AF50" s="237" t="s">
        <v>1473</v>
      </c>
      <c r="AG50" s="237"/>
      <c r="AH50" s="237"/>
      <c r="AI50" s="237"/>
      <c r="AJ50" s="2"/>
      <c r="AK50" s="2"/>
      <c r="AL50" s="2"/>
      <c r="AM50" s="2"/>
      <c r="AN50" s="7"/>
    </row>
    <row r="51" spans="1:40" ht="13.5" thickBot="1">
      <c r="A51" s="6"/>
      <c r="B51" s="2"/>
      <c r="C51" s="2"/>
      <c r="D51" s="244" t="s">
        <v>273</v>
      </c>
      <c r="E51" s="244"/>
      <c r="F51" s="238" t="s">
        <v>1474</v>
      </c>
      <c r="G51" s="238"/>
      <c r="H51" s="238"/>
      <c r="I51" s="238"/>
      <c r="J51" s="10" t="s">
        <v>1475</v>
      </c>
      <c r="K51" s="238" t="s">
        <v>1189</v>
      </c>
      <c r="L51" s="238"/>
      <c r="M51" s="238"/>
      <c r="N51" s="238" t="s">
        <v>5209</v>
      </c>
      <c r="O51" s="238"/>
      <c r="P51" s="238"/>
      <c r="Q51" s="238" t="s">
        <v>95</v>
      </c>
      <c r="R51" s="238"/>
      <c r="S51" s="238"/>
      <c r="T51" s="238"/>
      <c r="U51" s="238"/>
      <c r="V51" s="238"/>
      <c r="W51" s="238" t="s">
        <v>5404</v>
      </c>
      <c r="X51" s="238"/>
      <c r="Y51" s="10" t="s">
        <v>3520</v>
      </c>
      <c r="Z51" s="10" t="s">
        <v>1476</v>
      </c>
      <c r="AA51" s="238" t="s">
        <v>1888</v>
      </c>
      <c r="AB51" s="238"/>
      <c r="AC51" s="238"/>
      <c r="AD51" s="238"/>
      <c r="AE51" s="10" t="s">
        <v>1477</v>
      </c>
      <c r="AF51" s="237" t="s">
        <v>1478</v>
      </c>
      <c r="AG51" s="237"/>
      <c r="AH51" s="237"/>
      <c r="AI51" s="237"/>
      <c r="AJ51" s="2"/>
      <c r="AK51" s="2"/>
      <c r="AL51" s="2"/>
      <c r="AM51" s="2"/>
      <c r="AN51" s="7"/>
    </row>
    <row r="52" spans="1:40" ht="13.5" thickBot="1">
      <c r="A52" s="6"/>
      <c r="B52" s="2"/>
      <c r="C52" s="2"/>
      <c r="D52" s="244" t="s">
        <v>285</v>
      </c>
      <c r="E52" s="244"/>
      <c r="F52" s="238" t="s">
        <v>535</v>
      </c>
      <c r="G52" s="238"/>
      <c r="H52" s="238"/>
      <c r="I52" s="238"/>
      <c r="J52" s="10" t="s">
        <v>44</v>
      </c>
      <c r="K52" s="238" t="s">
        <v>1479</v>
      </c>
      <c r="L52" s="238"/>
      <c r="M52" s="238"/>
      <c r="N52" s="238" t="s">
        <v>1480</v>
      </c>
      <c r="O52" s="238"/>
      <c r="P52" s="238"/>
      <c r="Q52" s="238" t="s">
        <v>7000</v>
      </c>
      <c r="R52" s="238"/>
      <c r="S52" s="238"/>
      <c r="T52" s="238"/>
      <c r="U52" s="238"/>
      <c r="V52" s="238"/>
      <c r="W52" s="238" t="s">
        <v>3524</v>
      </c>
      <c r="X52" s="238"/>
      <c r="Y52" s="10" t="s">
        <v>6104</v>
      </c>
      <c r="Z52" s="10" t="s">
        <v>1481</v>
      </c>
      <c r="AA52" s="238" t="s">
        <v>1432</v>
      </c>
      <c r="AB52" s="238"/>
      <c r="AC52" s="238"/>
      <c r="AD52" s="238"/>
      <c r="AE52" s="10" t="s">
        <v>6268</v>
      </c>
      <c r="AF52" s="237" t="s">
        <v>1918</v>
      </c>
      <c r="AG52" s="237"/>
      <c r="AH52" s="237"/>
      <c r="AI52" s="237"/>
      <c r="AJ52" s="2"/>
      <c r="AK52" s="2"/>
      <c r="AL52" s="2"/>
      <c r="AM52" s="2"/>
      <c r="AN52" s="7"/>
    </row>
    <row r="53" spans="1:40" ht="13.5" thickBot="1">
      <c r="A53" s="6"/>
      <c r="B53" s="2"/>
      <c r="C53" s="2"/>
      <c r="D53" s="244" t="s">
        <v>295</v>
      </c>
      <c r="E53" s="244"/>
      <c r="F53" s="238" t="s">
        <v>1482</v>
      </c>
      <c r="G53" s="238"/>
      <c r="H53" s="238"/>
      <c r="I53" s="238"/>
      <c r="J53" s="10" t="s">
        <v>1483</v>
      </c>
      <c r="K53" s="238" t="s">
        <v>6895</v>
      </c>
      <c r="L53" s="238"/>
      <c r="M53" s="238"/>
      <c r="N53" s="238" t="s">
        <v>1484</v>
      </c>
      <c r="O53" s="238"/>
      <c r="P53" s="238"/>
      <c r="Q53" s="238" t="s">
        <v>956</v>
      </c>
      <c r="R53" s="238"/>
      <c r="S53" s="238"/>
      <c r="T53" s="238"/>
      <c r="U53" s="238"/>
      <c r="V53" s="238"/>
      <c r="W53" s="238" t="s">
        <v>3102</v>
      </c>
      <c r="X53" s="238"/>
      <c r="Y53" s="10" t="s">
        <v>1485</v>
      </c>
      <c r="Z53" s="10" t="s">
        <v>5397</v>
      </c>
      <c r="AA53" s="238" t="s">
        <v>6849</v>
      </c>
      <c r="AB53" s="238"/>
      <c r="AC53" s="238"/>
      <c r="AD53" s="238"/>
      <c r="AE53" s="10" t="s">
        <v>377</v>
      </c>
      <c r="AF53" s="237" t="s">
        <v>5102</v>
      </c>
      <c r="AG53" s="237"/>
      <c r="AH53" s="237"/>
      <c r="AI53" s="237"/>
      <c r="AJ53" s="2"/>
      <c r="AK53" s="2"/>
      <c r="AL53" s="2"/>
      <c r="AM53" s="2"/>
      <c r="AN53" s="7"/>
    </row>
    <row r="54" spans="1:40" ht="13.5" thickBot="1">
      <c r="A54" s="6"/>
      <c r="B54" s="2"/>
      <c r="C54" s="2"/>
      <c r="D54" s="244" t="s">
        <v>307</v>
      </c>
      <c r="E54" s="244"/>
      <c r="F54" s="238" t="s">
        <v>128</v>
      </c>
      <c r="G54" s="238"/>
      <c r="H54" s="238"/>
      <c r="I54" s="238"/>
      <c r="J54" s="10" t="s">
        <v>6408</v>
      </c>
      <c r="K54" s="238" t="s">
        <v>1486</v>
      </c>
      <c r="L54" s="238"/>
      <c r="M54" s="238"/>
      <c r="N54" s="238" t="s">
        <v>1487</v>
      </c>
      <c r="O54" s="238"/>
      <c r="P54" s="238"/>
      <c r="Q54" s="238" t="s">
        <v>4717</v>
      </c>
      <c r="R54" s="238"/>
      <c r="S54" s="238"/>
      <c r="T54" s="238"/>
      <c r="U54" s="238"/>
      <c r="V54" s="238"/>
      <c r="W54" s="238" t="s">
        <v>1488</v>
      </c>
      <c r="X54" s="238"/>
      <c r="Y54" s="10" t="s">
        <v>4601</v>
      </c>
      <c r="Z54" s="10" t="s">
        <v>1489</v>
      </c>
      <c r="AA54" s="238" t="s">
        <v>1309</v>
      </c>
      <c r="AB54" s="238"/>
      <c r="AC54" s="238"/>
      <c r="AD54" s="238"/>
      <c r="AE54" s="10" t="s">
        <v>1106</v>
      </c>
      <c r="AF54" s="237" t="s">
        <v>3475</v>
      </c>
      <c r="AG54" s="237"/>
      <c r="AH54" s="237"/>
      <c r="AI54" s="237"/>
      <c r="AJ54" s="2"/>
      <c r="AK54" s="2"/>
      <c r="AL54" s="2"/>
      <c r="AM54" s="2"/>
      <c r="AN54" s="7"/>
    </row>
    <row r="55" spans="1:40" ht="13.5" thickBot="1">
      <c r="A55" s="6"/>
      <c r="B55" s="2"/>
      <c r="C55" s="2"/>
      <c r="D55" s="244" t="s">
        <v>319</v>
      </c>
      <c r="E55" s="244"/>
      <c r="F55" s="237" t="s">
        <v>1490</v>
      </c>
      <c r="G55" s="237"/>
      <c r="H55" s="237"/>
      <c r="I55" s="237"/>
      <c r="J55" s="11" t="s">
        <v>6950</v>
      </c>
      <c r="K55" s="237" t="s">
        <v>1001</v>
      </c>
      <c r="L55" s="237"/>
      <c r="M55" s="237"/>
      <c r="N55" s="237" t="s">
        <v>1491</v>
      </c>
      <c r="O55" s="237"/>
      <c r="P55" s="237"/>
      <c r="Q55" s="237" t="s">
        <v>6519</v>
      </c>
      <c r="R55" s="237"/>
      <c r="S55" s="237"/>
      <c r="T55" s="237"/>
      <c r="U55" s="237"/>
      <c r="V55" s="237"/>
      <c r="W55" s="237" t="s">
        <v>1492</v>
      </c>
      <c r="X55" s="237"/>
      <c r="Y55" s="11" t="s">
        <v>1493</v>
      </c>
      <c r="Z55" s="11" t="s">
        <v>1494</v>
      </c>
      <c r="AA55" s="237" t="s">
        <v>1495</v>
      </c>
      <c r="AB55" s="237"/>
      <c r="AC55" s="237"/>
      <c r="AD55" s="237"/>
      <c r="AE55" s="11" t="s">
        <v>1097</v>
      </c>
      <c r="AF55" s="237" t="s">
        <v>540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1496</v>
      </c>
      <c r="E7" s="269"/>
      <c r="F7" s="269"/>
      <c r="G7" s="269"/>
      <c r="H7" s="269" t="s">
        <v>1497</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FESSENHEIM-1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2660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495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2660</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920</v>
      </c>
    </row>
    <row r="17" spans="1:47" ht="13.5" thickBot="1">
      <c r="A17" s="6"/>
      <c r="B17" s="1"/>
      <c r="C17" s="1"/>
      <c r="D17" s="248" t="s">
        <v>189</v>
      </c>
      <c r="E17" s="248"/>
      <c r="F17" s="248"/>
      <c r="G17" s="248"/>
      <c r="H17" s="248"/>
      <c r="I17" s="248"/>
      <c r="J17" s="248"/>
      <c r="K17" s="248"/>
      <c r="L17" s="8" t="s">
        <v>5709</v>
      </c>
      <c r="M17" s="264">
        <v>920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880</v>
      </c>
    </row>
    <row r="18" spans="1:47" ht="13.5" thickBot="1">
      <c r="A18" s="6"/>
      <c r="B18" s="1"/>
      <c r="C18" s="1"/>
      <c r="D18" s="248" t="s">
        <v>193</v>
      </c>
      <c r="E18" s="248"/>
      <c r="F18" s="248"/>
      <c r="G18" s="248"/>
      <c r="H18" s="248"/>
      <c r="I18" s="248"/>
      <c r="J18" s="248"/>
      <c r="K18" s="248"/>
      <c r="L18" s="8" t="s">
        <v>5709</v>
      </c>
      <c r="M18" s="264">
        <v>880</v>
      </c>
      <c r="N18" s="264"/>
      <c r="O18" s="264"/>
      <c r="P18" s="248" t="s">
        <v>190</v>
      </c>
      <c r="Q18" s="248"/>
      <c r="R18" s="248"/>
      <c r="S18" s="2"/>
      <c r="T18" s="2"/>
      <c r="U18" s="252" t="s">
        <v>194</v>
      </c>
      <c r="V18" s="252"/>
      <c r="W18" s="252"/>
      <c r="X18" s="252"/>
      <c r="Y18" s="252"/>
      <c r="Z18" s="252"/>
      <c r="AA18" s="252"/>
      <c r="AB18" s="247" t="s">
        <v>5709</v>
      </c>
      <c r="AC18" s="247"/>
      <c r="AD18" s="248" t="s">
        <v>5631</v>
      </c>
      <c r="AE18" s="248"/>
      <c r="AF18" s="248"/>
      <c r="AG18" s="248"/>
      <c r="AH18" s="248"/>
      <c r="AI18" s="2"/>
      <c r="AJ18" s="1"/>
      <c r="AK18" s="2"/>
      <c r="AL18" s="1"/>
      <c r="AM18" s="2"/>
      <c r="AN18" s="7"/>
      <c r="AT18" s="25" t="str">
        <f>D24</f>
        <v>Grid Date</v>
      </c>
      <c r="AU18" s="25">
        <f>M24</f>
        <v>28221</v>
      </c>
    </row>
    <row r="19" spans="1:47" ht="13.5" thickBot="1">
      <c r="A19" s="6"/>
      <c r="B19" s="1"/>
      <c r="C19" s="1"/>
      <c r="D19" s="248" t="s">
        <v>196</v>
      </c>
      <c r="E19" s="248"/>
      <c r="F19" s="248"/>
      <c r="G19" s="248"/>
      <c r="H19" s="248"/>
      <c r="I19" s="248"/>
      <c r="J19" s="248"/>
      <c r="K19" s="248"/>
      <c r="L19" s="8" t="s">
        <v>5709</v>
      </c>
      <c r="M19" s="264">
        <v>880</v>
      </c>
      <c r="N19" s="264"/>
      <c r="O19" s="264"/>
      <c r="P19" s="248" t="s">
        <v>190</v>
      </c>
      <c r="Q19" s="248"/>
      <c r="R19" s="248"/>
      <c r="S19" s="2"/>
      <c r="T19" s="2"/>
      <c r="U19" s="252" t="s">
        <v>197</v>
      </c>
      <c r="V19" s="252"/>
      <c r="W19" s="252"/>
      <c r="X19" s="252"/>
      <c r="Y19" s="252"/>
      <c r="Z19" s="252"/>
      <c r="AA19" s="252"/>
      <c r="AB19" s="247" t="s">
        <v>5709</v>
      </c>
      <c r="AC19" s="247"/>
      <c r="AD19" s="248" t="s">
        <v>6275</v>
      </c>
      <c r="AE19" s="248"/>
      <c r="AF19" s="248"/>
      <c r="AG19" s="248"/>
      <c r="AH19" s="248"/>
      <c r="AI19" s="2"/>
      <c r="AJ19" s="1"/>
      <c r="AK19" s="2"/>
      <c r="AL19" s="1"/>
      <c r="AM19" s="2"/>
      <c r="AN19" s="7"/>
      <c r="AT19" s="23" t="str">
        <f>U19</f>
        <v>Average discharge burnup  [MWd/t]</v>
      </c>
      <c r="AU19" s="23" t="str">
        <f>AD19</f>
        <v>44000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70.68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67.22</v>
      </c>
    </row>
    <row r="22" spans="1:47" ht="8.85" customHeight="1" thickBot="1">
      <c r="A22" s="6"/>
      <c r="B22" s="1"/>
      <c r="C22" s="1"/>
      <c r="D22" s="248" t="s">
        <v>205</v>
      </c>
      <c r="E22" s="248"/>
      <c r="F22" s="248"/>
      <c r="G22" s="248"/>
      <c r="H22" s="248"/>
      <c r="I22" s="248"/>
      <c r="J22" s="248"/>
      <c r="K22" s="248"/>
      <c r="L22" s="247" t="s">
        <v>5709</v>
      </c>
      <c r="M22" s="259">
        <v>26177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28221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4738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28491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5341</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1498</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1499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1500</v>
      </c>
      <c r="G49" s="238"/>
      <c r="H49" s="238"/>
      <c r="I49" s="238"/>
      <c r="J49" s="10" t="s">
        <v>1501</v>
      </c>
      <c r="K49" s="238" t="s">
        <v>1502</v>
      </c>
      <c r="L49" s="238"/>
      <c r="M49" s="238"/>
      <c r="N49" s="238" t="s">
        <v>1503</v>
      </c>
      <c r="O49" s="238"/>
      <c r="P49" s="238"/>
      <c r="Q49" s="238" t="s">
        <v>1504</v>
      </c>
      <c r="R49" s="238"/>
      <c r="S49" s="238"/>
      <c r="T49" s="238"/>
      <c r="U49" s="238"/>
      <c r="V49" s="238"/>
      <c r="W49" s="238" t="s">
        <v>1505</v>
      </c>
      <c r="X49" s="238"/>
      <c r="Y49" s="10" t="s">
        <v>1506</v>
      </c>
      <c r="Z49" s="10" t="s">
        <v>1507</v>
      </c>
      <c r="AA49" s="238" t="s">
        <v>1508</v>
      </c>
      <c r="AB49" s="238"/>
      <c r="AC49" s="238"/>
      <c r="AD49" s="238"/>
      <c r="AE49" s="10" t="s">
        <v>1509</v>
      </c>
      <c r="AF49" s="237" t="s">
        <v>1510</v>
      </c>
      <c r="AG49" s="237"/>
      <c r="AH49" s="237"/>
      <c r="AI49" s="237"/>
      <c r="AJ49" s="2"/>
      <c r="AK49" s="2"/>
      <c r="AL49" s="2"/>
      <c r="AM49" s="2"/>
      <c r="AN49" s="7"/>
    </row>
    <row r="50" spans="1:40" ht="13.5" thickBot="1">
      <c r="A50" s="6"/>
      <c r="B50" s="2"/>
      <c r="C50" s="2"/>
      <c r="D50" s="244" t="s">
        <v>261</v>
      </c>
      <c r="E50" s="244"/>
      <c r="F50" s="238" t="s">
        <v>7053</v>
      </c>
      <c r="G50" s="238"/>
      <c r="H50" s="238"/>
      <c r="I50" s="238"/>
      <c r="J50" s="10" t="s">
        <v>1511</v>
      </c>
      <c r="K50" s="238" t="s">
        <v>1512</v>
      </c>
      <c r="L50" s="238"/>
      <c r="M50" s="238"/>
      <c r="N50" s="238" t="s">
        <v>1513</v>
      </c>
      <c r="O50" s="238"/>
      <c r="P50" s="238"/>
      <c r="Q50" s="238" t="s">
        <v>1514</v>
      </c>
      <c r="R50" s="238"/>
      <c r="S50" s="238"/>
      <c r="T50" s="238"/>
      <c r="U50" s="238"/>
      <c r="V50" s="238"/>
      <c r="W50" s="238" t="s">
        <v>5563</v>
      </c>
      <c r="X50" s="238"/>
      <c r="Y50" s="10" t="s">
        <v>1515</v>
      </c>
      <c r="Z50" s="10" t="s">
        <v>1516</v>
      </c>
      <c r="AA50" s="238" t="s">
        <v>1517</v>
      </c>
      <c r="AB50" s="238"/>
      <c r="AC50" s="238"/>
      <c r="AD50" s="238"/>
      <c r="AE50" s="10" t="s">
        <v>6566</v>
      </c>
      <c r="AF50" s="237" t="s">
        <v>5726</v>
      </c>
      <c r="AG50" s="237"/>
      <c r="AH50" s="237"/>
      <c r="AI50" s="237"/>
      <c r="AJ50" s="2"/>
      <c r="AK50" s="2"/>
      <c r="AL50" s="2"/>
      <c r="AM50" s="2"/>
      <c r="AN50" s="7"/>
    </row>
    <row r="51" spans="1:40" ht="13.5" thickBot="1">
      <c r="A51" s="6"/>
      <c r="B51" s="2"/>
      <c r="C51" s="2"/>
      <c r="D51" s="244" t="s">
        <v>273</v>
      </c>
      <c r="E51" s="244"/>
      <c r="F51" s="238" t="s">
        <v>3467</v>
      </c>
      <c r="G51" s="238"/>
      <c r="H51" s="238"/>
      <c r="I51" s="238"/>
      <c r="J51" s="10" t="s">
        <v>5727</v>
      </c>
      <c r="K51" s="238" t="s">
        <v>6396</v>
      </c>
      <c r="L51" s="238"/>
      <c r="M51" s="238"/>
      <c r="N51" s="238" t="s">
        <v>3901</v>
      </c>
      <c r="O51" s="238"/>
      <c r="P51" s="238"/>
      <c r="Q51" s="238" t="s">
        <v>5728</v>
      </c>
      <c r="R51" s="238"/>
      <c r="S51" s="238"/>
      <c r="T51" s="238"/>
      <c r="U51" s="238"/>
      <c r="V51" s="238"/>
      <c r="W51" s="238" t="s">
        <v>375</v>
      </c>
      <c r="X51" s="238"/>
      <c r="Y51" s="10" t="s">
        <v>3392</v>
      </c>
      <c r="Z51" s="10" t="s">
        <v>3931</v>
      </c>
      <c r="AA51" s="238" t="s">
        <v>5729</v>
      </c>
      <c r="AB51" s="238"/>
      <c r="AC51" s="238"/>
      <c r="AD51" s="238"/>
      <c r="AE51" s="10" t="s">
        <v>4940</v>
      </c>
      <c r="AF51" s="237" t="s">
        <v>5730</v>
      </c>
      <c r="AG51" s="237"/>
      <c r="AH51" s="237"/>
      <c r="AI51" s="237"/>
      <c r="AJ51" s="2"/>
      <c r="AK51" s="2"/>
      <c r="AL51" s="2"/>
      <c r="AM51" s="2"/>
      <c r="AN51" s="7"/>
    </row>
    <row r="52" spans="1:40" ht="13.5" thickBot="1">
      <c r="A52" s="6"/>
      <c r="B52" s="2"/>
      <c r="C52" s="2"/>
      <c r="D52" s="244" t="s">
        <v>285</v>
      </c>
      <c r="E52" s="244"/>
      <c r="F52" s="238" t="s">
        <v>771</v>
      </c>
      <c r="G52" s="238"/>
      <c r="H52" s="238"/>
      <c r="I52" s="238"/>
      <c r="J52" s="10" t="s">
        <v>5731</v>
      </c>
      <c r="K52" s="238" t="s">
        <v>5732</v>
      </c>
      <c r="L52" s="238"/>
      <c r="M52" s="238"/>
      <c r="N52" s="238" t="s">
        <v>4482</v>
      </c>
      <c r="O52" s="238"/>
      <c r="P52" s="238"/>
      <c r="Q52" s="238" t="s">
        <v>5733</v>
      </c>
      <c r="R52" s="238"/>
      <c r="S52" s="238"/>
      <c r="T52" s="238"/>
      <c r="U52" s="238"/>
      <c r="V52" s="238"/>
      <c r="W52" s="238" t="s">
        <v>3057</v>
      </c>
      <c r="X52" s="238"/>
      <c r="Y52" s="10" t="s">
        <v>5734</v>
      </c>
      <c r="Z52" s="10" t="s">
        <v>5735</v>
      </c>
      <c r="AA52" s="238" t="s">
        <v>1284</v>
      </c>
      <c r="AB52" s="238"/>
      <c r="AC52" s="238"/>
      <c r="AD52" s="238"/>
      <c r="AE52" s="10" t="s">
        <v>5736</v>
      </c>
      <c r="AF52" s="237" t="s">
        <v>483</v>
      </c>
      <c r="AG52" s="237"/>
      <c r="AH52" s="237"/>
      <c r="AI52" s="237"/>
      <c r="AJ52" s="2"/>
      <c r="AK52" s="2"/>
      <c r="AL52" s="2"/>
      <c r="AM52" s="2"/>
      <c r="AN52" s="7"/>
    </row>
    <row r="53" spans="1:40" ht="13.5" thickBot="1">
      <c r="A53" s="6"/>
      <c r="B53" s="2"/>
      <c r="C53" s="2"/>
      <c r="D53" s="244" t="s">
        <v>295</v>
      </c>
      <c r="E53" s="244"/>
      <c r="F53" s="238" t="s">
        <v>5737</v>
      </c>
      <c r="G53" s="238"/>
      <c r="H53" s="238"/>
      <c r="I53" s="238"/>
      <c r="J53" s="10" t="s">
        <v>5044</v>
      </c>
      <c r="K53" s="238" t="s">
        <v>6082</v>
      </c>
      <c r="L53" s="238"/>
      <c r="M53" s="238"/>
      <c r="N53" s="238" t="s">
        <v>5738</v>
      </c>
      <c r="O53" s="238"/>
      <c r="P53" s="238"/>
      <c r="Q53" s="238" t="s">
        <v>5739</v>
      </c>
      <c r="R53" s="238"/>
      <c r="S53" s="238"/>
      <c r="T53" s="238"/>
      <c r="U53" s="238"/>
      <c r="V53" s="238"/>
      <c r="W53" s="238" t="s">
        <v>5219</v>
      </c>
      <c r="X53" s="238"/>
      <c r="Y53" s="10" t="s">
        <v>5740</v>
      </c>
      <c r="Z53" s="10" t="s">
        <v>5741</v>
      </c>
      <c r="AA53" s="238" t="s">
        <v>5742</v>
      </c>
      <c r="AB53" s="238"/>
      <c r="AC53" s="238"/>
      <c r="AD53" s="238"/>
      <c r="AE53" s="10" t="s">
        <v>5743</v>
      </c>
      <c r="AF53" s="237" t="s">
        <v>5744</v>
      </c>
      <c r="AG53" s="237"/>
      <c r="AH53" s="237"/>
      <c r="AI53" s="237"/>
      <c r="AJ53" s="2"/>
      <c r="AK53" s="2"/>
      <c r="AL53" s="2"/>
      <c r="AM53" s="2"/>
      <c r="AN53" s="7"/>
    </row>
    <row r="54" spans="1:40" ht="13.5" thickBot="1">
      <c r="A54" s="6"/>
      <c r="B54" s="2"/>
      <c r="C54" s="2"/>
      <c r="D54" s="244" t="s">
        <v>307</v>
      </c>
      <c r="E54" s="244"/>
      <c r="F54" s="238" t="s">
        <v>1068</v>
      </c>
      <c r="G54" s="238"/>
      <c r="H54" s="238"/>
      <c r="I54" s="238"/>
      <c r="J54" s="10" t="s">
        <v>5745</v>
      </c>
      <c r="K54" s="238" t="s">
        <v>5746</v>
      </c>
      <c r="L54" s="238"/>
      <c r="M54" s="238"/>
      <c r="N54" s="238" t="s">
        <v>5747</v>
      </c>
      <c r="O54" s="238"/>
      <c r="P54" s="238"/>
      <c r="Q54" s="238" t="s">
        <v>5748</v>
      </c>
      <c r="R54" s="238"/>
      <c r="S54" s="238"/>
      <c r="T54" s="238"/>
      <c r="U54" s="238"/>
      <c r="V54" s="238"/>
      <c r="W54" s="238" t="s">
        <v>5749</v>
      </c>
      <c r="X54" s="238"/>
      <c r="Y54" s="10" t="s">
        <v>5750</v>
      </c>
      <c r="Z54" s="10" t="s">
        <v>5751</v>
      </c>
      <c r="AA54" s="238" t="s">
        <v>5752</v>
      </c>
      <c r="AB54" s="238"/>
      <c r="AC54" s="238"/>
      <c r="AD54" s="238"/>
      <c r="AE54" s="10" t="s">
        <v>6264</v>
      </c>
      <c r="AF54" s="237" t="s">
        <v>508</v>
      </c>
      <c r="AG54" s="237"/>
      <c r="AH54" s="237"/>
      <c r="AI54" s="237"/>
      <c r="AJ54" s="2"/>
      <c r="AK54" s="2"/>
      <c r="AL54" s="2"/>
      <c r="AM54" s="2"/>
      <c r="AN54" s="7"/>
    </row>
    <row r="55" spans="1:40" ht="13.5" thickBot="1">
      <c r="A55" s="6"/>
      <c r="B55" s="2"/>
      <c r="C55" s="2"/>
      <c r="D55" s="244" t="s">
        <v>319</v>
      </c>
      <c r="E55" s="244"/>
      <c r="F55" s="237" t="s">
        <v>3739</v>
      </c>
      <c r="G55" s="237"/>
      <c r="H55" s="237"/>
      <c r="I55" s="237"/>
      <c r="J55" s="11" t="s">
        <v>5753</v>
      </c>
      <c r="K55" s="237" t="s">
        <v>6735</v>
      </c>
      <c r="L55" s="237"/>
      <c r="M55" s="237"/>
      <c r="N55" s="237" t="s">
        <v>5754</v>
      </c>
      <c r="O55" s="237"/>
      <c r="P55" s="237"/>
      <c r="Q55" s="237" t="s">
        <v>5755</v>
      </c>
      <c r="R55" s="237"/>
      <c r="S55" s="237"/>
      <c r="T55" s="237"/>
      <c r="U55" s="237"/>
      <c r="V55" s="237"/>
      <c r="W55" s="237" t="s">
        <v>3329</v>
      </c>
      <c r="X55" s="237"/>
      <c r="Y55" s="11" t="s">
        <v>5756</v>
      </c>
      <c r="Z55" s="11" t="s">
        <v>5757</v>
      </c>
      <c r="AA55" s="237" t="s">
        <v>5758</v>
      </c>
      <c r="AB55" s="237"/>
      <c r="AC55" s="237"/>
      <c r="AD55" s="237"/>
      <c r="AE55" s="11" t="s">
        <v>5759</v>
      </c>
      <c r="AF55" s="237" t="s">
        <v>5760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5761</v>
      </c>
      <c r="E7" s="269"/>
      <c r="F7" s="269"/>
      <c r="G7" s="269"/>
      <c r="H7" s="269" t="s">
        <v>5762</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FESSENHEIM-2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2660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495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2660</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920</v>
      </c>
    </row>
    <row r="17" spans="1:47" ht="13.5" thickBot="1">
      <c r="A17" s="6"/>
      <c r="B17" s="1"/>
      <c r="C17" s="1"/>
      <c r="D17" s="248" t="s">
        <v>189</v>
      </c>
      <c r="E17" s="248"/>
      <c r="F17" s="248"/>
      <c r="G17" s="248"/>
      <c r="H17" s="248"/>
      <c r="I17" s="248"/>
      <c r="J17" s="248"/>
      <c r="K17" s="248"/>
      <c r="L17" s="8" t="s">
        <v>5709</v>
      </c>
      <c r="M17" s="264">
        <v>920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880</v>
      </c>
    </row>
    <row r="18" spans="1:47" ht="13.5" thickBot="1">
      <c r="A18" s="6"/>
      <c r="B18" s="1"/>
      <c r="C18" s="1"/>
      <c r="D18" s="248" t="s">
        <v>193</v>
      </c>
      <c r="E18" s="248"/>
      <c r="F18" s="248"/>
      <c r="G18" s="248"/>
      <c r="H18" s="248"/>
      <c r="I18" s="248"/>
      <c r="J18" s="248"/>
      <c r="K18" s="248"/>
      <c r="L18" s="8" t="s">
        <v>5709</v>
      </c>
      <c r="M18" s="264">
        <v>880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28405</v>
      </c>
    </row>
    <row r="19" spans="1:47" ht="13.5" thickBot="1">
      <c r="A19" s="6"/>
      <c r="B19" s="1"/>
      <c r="C19" s="1"/>
      <c r="D19" s="248" t="s">
        <v>196</v>
      </c>
      <c r="E19" s="248"/>
      <c r="F19" s="248"/>
      <c r="G19" s="248"/>
      <c r="H19" s="248"/>
      <c r="I19" s="248"/>
      <c r="J19" s="248"/>
      <c r="K19" s="248"/>
      <c r="L19" s="8" t="s">
        <v>5709</v>
      </c>
      <c r="M19" s="264">
        <v>880</v>
      </c>
      <c r="N19" s="264"/>
      <c r="O19" s="264"/>
      <c r="P19" s="248" t="s">
        <v>190</v>
      </c>
      <c r="Q19" s="248"/>
      <c r="R19" s="248"/>
      <c r="S19" s="2"/>
      <c r="T19" s="2"/>
      <c r="U19" s="252" t="s">
        <v>197</v>
      </c>
      <c r="V19" s="252"/>
      <c r="W19" s="252"/>
      <c r="X19" s="252"/>
      <c r="Y19" s="252"/>
      <c r="Z19" s="252"/>
      <c r="AA19" s="252"/>
      <c r="AB19" s="247" t="s">
        <v>5709</v>
      </c>
      <c r="AC19" s="247"/>
      <c r="AD19" s="248" t="s">
        <v>6275</v>
      </c>
      <c r="AE19" s="248"/>
      <c r="AF19" s="248"/>
      <c r="AG19" s="248"/>
      <c r="AH19" s="248"/>
      <c r="AI19" s="2"/>
      <c r="AJ19" s="1"/>
      <c r="AK19" s="2"/>
      <c r="AL19" s="1"/>
      <c r="AM19" s="2"/>
      <c r="AN19" s="7"/>
      <c r="AT19" s="23" t="str">
        <f>U19</f>
        <v>Average discharge burnup  [MWd/t]</v>
      </c>
      <c r="AU19" s="23" t="str">
        <f>AD19</f>
        <v>44000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82.77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85.27</v>
      </c>
    </row>
    <row r="22" spans="1:47" ht="8.85" customHeight="1" thickBot="1">
      <c r="A22" s="6"/>
      <c r="B22" s="1"/>
      <c r="C22" s="1"/>
      <c r="D22" s="248" t="s">
        <v>205</v>
      </c>
      <c r="E22" s="248"/>
      <c r="F22" s="248"/>
      <c r="G22" s="248"/>
      <c r="H22" s="248"/>
      <c r="I22" s="248"/>
      <c r="J22" s="248"/>
      <c r="K22" s="248"/>
      <c r="L22" s="247" t="s">
        <v>5709</v>
      </c>
      <c r="M22" s="259">
        <v>26330</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28405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4738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28581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5763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1498</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1499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5764</v>
      </c>
      <c r="G49" s="238"/>
      <c r="H49" s="238"/>
      <c r="I49" s="238"/>
      <c r="J49" s="10" t="s">
        <v>5765</v>
      </c>
      <c r="K49" s="238" t="s">
        <v>5766</v>
      </c>
      <c r="L49" s="238"/>
      <c r="M49" s="238"/>
      <c r="N49" s="238" t="s">
        <v>5767</v>
      </c>
      <c r="O49" s="238"/>
      <c r="P49" s="238"/>
      <c r="Q49" s="238" t="s">
        <v>5768</v>
      </c>
      <c r="R49" s="238"/>
      <c r="S49" s="238"/>
      <c r="T49" s="238"/>
      <c r="U49" s="238"/>
      <c r="V49" s="238"/>
      <c r="W49" s="238" t="s">
        <v>5769</v>
      </c>
      <c r="X49" s="238"/>
      <c r="Y49" s="10" t="s">
        <v>5770</v>
      </c>
      <c r="Z49" s="10" t="s">
        <v>5771</v>
      </c>
      <c r="AA49" s="238" t="s">
        <v>5772</v>
      </c>
      <c r="AB49" s="238"/>
      <c r="AC49" s="238"/>
      <c r="AD49" s="238"/>
      <c r="AE49" s="10" t="s">
        <v>5773</v>
      </c>
      <c r="AF49" s="237" t="s">
        <v>5774</v>
      </c>
      <c r="AG49" s="237"/>
      <c r="AH49" s="237"/>
      <c r="AI49" s="237"/>
      <c r="AJ49" s="2"/>
      <c r="AK49" s="2"/>
      <c r="AL49" s="2"/>
      <c r="AM49" s="2"/>
      <c r="AN49" s="7"/>
    </row>
    <row r="50" spans="1:40" ht="13.5" thickBot="1">
      <c r="A50" s="6"/>
      <c r="B50" s="2"/>
      <c r="C50" s="2"/>
      <c r="D50" s="244" t="s">
        <v>261</v>
      </c>
      <c r="E50" s="244"/>
      <c r="F50" s="238" t="s">
        <v>4306</v>
      </c>
      <c r="G50" s="238"/>
      <c r="H50" s="238"/>
      <c r="I50" s="238"/>
      <c r="J50" s="10" t="s">
        <v>1897</v>
      </c>
      <c r="K50" s="238" t="s">
        <v>5775</v>
      </c>
      <c r="L50" s="238"/>
      <c r="M50" s="238"/>
      <c r="N50" s="238" t="s">
        <v>3146</v>
      </c>
      <c r="O50" s="238"/>
      <c r="P50" s="238"/>
      <c r="Q50" s="238" t="s">
        <v>3564</v>
      </c>
      <c r="R50" s="238"/>
      <c r="S50" s="238"/>
      <c r="T50" s="238"/>
      <c r="U50" s="238"/>
      <c r="V50" s="238"/>
      <c r="W50" s="238" t="s">
        <v>5776</v>
      </c>
      <c r="X50" s="238"/>
      <c r="Y50" s="10" t="s">
        <v>5777</v>
      </c>
      <c r="Z50" s="10" t="s">
        <v>5778</v>
      </c>
      <c r="AA50" s="238" t="s">
        <v>5779</v>
      </c>
      <c r="AB50" s="238"/>
      <c r="AC50" s="238"/>
      <c r="AD50" s="238"/>
      <c r="AE50" s="10" t="s">
        <v>4576</v>
      </c>
      <c r="AF50" s="237" t="s">
        <v>5780</v>
      </c>
      <c r="AG50" s="237"/>
      <c r="AH50" s="237"/>
      <c r="AI50" s="237"/>
      <c r="AJ50" s="2"/>
      <c r="AK50" s="2"/>
      <c r="AL50" s="2"/>
      <c r="AM50" s="2"/>
      <c r="AN50" s="7"/>
    </row>
    <row r="51" spans="1:40" ht="13.5" thickBot="1">
      <c r="A51" s="6"/>
      <c r="B51" s="2"/>
      <c r="C51" s="2"/>
      <c r="D51" s="244" t="s">
        <v>273</v>
      </c>
      <c r="E51" s="244"/>
      <c r="F51" s="238" t="s">
        <v>6849</v>
      </c>
      <c r="G51" s="238"/>
      <c r="H51" s="238"/>
      <c r="I51" s="238"/>
      <c r="J51" s="10" t="s">
        <v>5781</v>
      </c>
      <c r="K51" s="238" t="s">
        <v>5782</v>
      </c>
      <c r="L51" s="238"/>
      <c r="M51" s="238"/>
      <c r="N51" s="238" t="s">
        <v>382</v>
      </c>
      <c r="O51" s="238"/>
      <c r="P51" s="238"/>
      <c r="Q51" s="238" t="s">
        <v>733</v>
      </c>
      <c r="R51" s="238"/>
      <c r="S51" s="238"/>
      <c r="T51" s="238"/>
      <c r="U51" s="238"/>
      <c r="V51" s="238"/>
      <c r="W51" s="238" t="s">
        <v>5783</v>
      </c>
      <c r="X51" s="238"/>
      <c r="Y51" s="10" t="s">
        <v>6279</v>
      </c>
      <c r="Z51" s="10" t="s">
        <v>5162</v>
      </c>
      <c r="AA51" s="238" t="s">
        <v>5784</v>
      </c>
      <c r="AB51" s="238"/>
      <c r="AC51" s="238"/>
      <c r="AD51" s="238"/>
      <c r="AE51" s="10" t="s">
        <v>6848</v>
      </c>
      <c r="AF51" s="237" t="s">
        <v>3836</v>
      </c>
      <c r="AG51" s="237"/>
      <c r="AH51" s="237"/>
      <c r="AI51" s="237"/>
      <c r="AJ51" s="2"/>
      <c r="AK51" s="2"/>
      <c r="AL51" s="2"/>
      <c r="AM51" s="2"/>
      <c r="AN51" s="7"/>
    </row>
    <row r="52" spans="1:40" ht="13.5" thickBot="1">
      <c r="A52" s="6"/>
      <c r="B52" s="2"/>
      <c r="C52" s="2"/>
      <c r="D52" s="244" t="s">
        <v>285</v>
      </c>
      <c r="E52" s="244"/>
      <c r="F52" s="238" t="s">
        <v>4834</v>
      </c>
      <c r="G52" s="238"/>
      <c r="H52" s="238"/>
      <c r="I52" s="238"/>
      <c r="J52" s="10" t="s">
        <v>1845</v>
      </c>
      <c r="K52" s="238" t="s">
        <v>5775</v>
      </c>
      <c r="L52" s="238"/>
      <c r="M52" s="238"/>
      <c r="N52" s="238" t="s">
        <v>5785</v>
      </c>
      <c r="O52" s="238"/>
      <c r="P52" s="238"/>
      <c r="Q52" s="238" t="s">
        <v>5001</v>
      </c>
      <c r="R52" s="238"/>
      <c r="S52" s="238"/>
      <c r="T52" s="238"/>
      <c r="U52" s="238"/>
      <c r="V52" s="238"/>
      <c r="W52" s="238" t="s">
        <v>5776</v>
      </c>
      <c r="X52" s="238"/>
      <c r="Y52" s="10" t="s">
        <v>5786</v>
      </c>
      <c r="Z52" s="10" t="s">
        <v>5787</v>
      </c>
      <c r="AA52" s="238" t="s">
        <v>5788</v>
      </c>
      <c r="AB52" s="238"/>
      <c r="AC52" s="238"/>
      <c r="AD52" s="238"/>
      <c r="AE52" s="10" t="s">
        <v>6431</v>
      </c>
      <c r="AF52" s="237" t="s">
        <v>5789</v>
      </c>
      <c r="AG52" s="237"/>
      <c r="AH52" s="237"/>
      <c r="AI52" s="237"/>
      <c r="AJ52" s="2"/>
      <c r="AK52" s="2"/>
      <c r="AL52" s="2"/>
      <c r="AM52" s="2"/>
      <c r="AN52" s="7"/>
    </row>
    <row r="53" spans="1:40" ht="13.5" thickBot="1">
      <c r="A53" s="6"/>
      <c r="B53" s="2"/>
      <c r="C53" s="2"/>
      <c r="D53" s="244" t="s">
        <v>295</v>
      </c>
      <c r="E53" s="244"/>
      <c r="F53" s="238" t="s">
        <v>3216</v>
      </c>
      <c r="G53" s="238"/>
      <c r="H53" s="238"/>
      <c r="I53" s="238"/>
      <c r="J53" s="10" t="s">
        <v>31</v>
      </c>
      <c r="K53" s="238" t="s">
        <v>5790</v>
      </c>
      <c r="L53" s="238"/>
      <c r="M53" s="238"/>
      <c r="N53" s="238" t="s">
        <v>6071</v>
      </c>
      <c r="O53" s="238"/>
      <c r="P53" s="238"/>
      <c r="Q53" s="238" t="s">
        <v>1968</v>
      </c>
      <c r="R53" s="238"/>
      <c r="S53" s="238"/>
      <c r="T53" s="238"/>
      <c r="U53" s="238"/>
      <c r="V53" s="238"/>
      <c r="W53" s="238" t="s">
        <v>5791</v>
      </c>
      <c r="X53" s="238"/>
      <c r="Y53" s="10" t="s">
        <v>3852</v>
      </c>
      <c r="Z53" s="10" t="s">
        <v>3623</v>
      </c>
      <c r="AA53" s="238" t="s">
        <v>5255</v>
      </c>
      <c r="AB53" s="238"/>
      <c r="AC53" s="238"/>
      <c r="AD53" s="238"/>
      <c r="AE53" s="10" t="s">
        <v>4261</v>
      </c>
      <c r="AF53" s="237" t="s">
        <v>5487</v>
      </c>
      <c r="AG53" s="237"/>
      <c r="AH53" s="237"/>
      <c r="AI53" s="237"/>
      <c r="AJ53" s="2"/>
      <c r="AK53" s="2"/>
      <c r="AL53" s="2"/>
      <c r="AM53" s="2"/>
      <c r="AN53" s="7"/>
    </row>
    <row r="54" spans="1:40" ht="13.5" thickBot="1">
      <c r="A54" s="6"/>
      <c r="B54" s="2"/>
      <c r="C54" s="2"/>
      <c r="D54" s="244" t="s">
        <v>307</v>
      </c>
      <c r="E54" s="244"/>
      <c r="F54" s="238" t="s">
        <v>1975</v>
      </c>
      <c r="G54" s="238"/>
      <c r="H54" s="238"/>
      <c r="I54" s="238"/>
      <c r="J54" s="10" t="s">
        <v>1906</v>
      </c>
      <c r="K54" s="238" t="s">
        <v>5792</v>
      </c>
      <c r="L54" s="238"/>
      <c r="M54" s="238"/>
      <c r="N54" s="238" t="s">
        <v>5793</v>
      </c>
      <c r="O54" s="238"/>
      <c r="P54" s="238"/>
      <c r="Q54" s="238" t="s">
        <v>3362</v>
      </c>
      <c r="R54" s="238"/>
      <c r="S54" s="238"/>
      <c r="T54" s="238"/>
      <c r="U54" s="238"/>
      <c r="V54" s="238"/>
      <c r="W54" s="238" t="s">
        <v>1793</v>
      </c>
      <c r="X54" s="238"/>
      <c r="Y54" s="10" t="s">
        <v>5794</v>
      </c>
      <c r="Z54" s="10" t="s">
        <v>5795</v>
      </c>
      <c r="AA54" s="238" t="s">
        <v>5796</v>
      </c>
      <c r="AB54" s="238"/>
      <c r="AC54" s="238"/>
      <c r="AD54" s="238"/>
      <c r="AE54" s="10" t="s">
        <v>6862</v>
      </c>
      <c r="AF54" s="237" t="s">
        <v>831</v>
      </c>
      <c r="AG54" s="237"/>
      <c r="AH54" s="237"/>
      <c r="AI54" s="237"/>
      <c r="AJ54" s="2"/>
      <c r="AK54" s="2"/>
      <c r="AL54" s="2"/>
      <c r="AM54" s="2"/>
      <c r="AN54" s="7"/>
    </row>
    <row r="55" spans="1:40" ht="13.5" thickBot="1">
      <c r="A55" s="6"/>
      <c r="B55" s="2"/>
      <c r="C55" s="2"/>
      <c r="D55" s="244" t="s">
        <v>319</v>
      </c>
      <c r="E55" s="244"/>
      <c r="F55" s="237" t="s">
        <v>6000</v>
      </c>
      <c r="G55" s="237"/>
      <c r="H55" s="237"/>
      <c r="I55" s="237"/>
      <c r="J55" s="11" t="s">
        <v>4948</v>
      </c>
      <c r="K55" s="237" t="s">
        <v>5797</v>
      </c>
      <c r="L55" s="237"/>
      <c r="M55" s="237"/>
      <c r="N55" s="237" t="s">
        <v>4614</v>
      </c>
      <c r="O55" s="237"/>
      <c r="P55" s="237"/>
      <c r="Q55" s="237" t="s">
        <v>5798</v>
      </c>
      <c r="R55" s="237"/>
      <c r="S55" s="237"/>
      <c r="T55" s="237"/>
      <c r="U55" s="237"/>
      <c r="V55" s="237"/>
      <c r="W55" s="237" t="s">
        <v>5799</v>
      </c>
      <c r="X55" s="237"/>
      <c r="Y55" s="11" t="s">
        <v>1089</v>
      </c>
      <c r="Z55" s="11" t="s">
        <v>5800</v>
      </c>
      <c r="AA55" s="237" t="s">
        <v>5659</v>
      </c>
      <c r="AB55" s="237"/>
      <c r="AC55" s="237"/>
      <c r="AD55" s="237"/>
      <c r="AE55" s="11" t="s">
        <v>5005</v>
      </c>
      <c r="AF55" s="237" t="s">
        <v>5801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5.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5802</v>
      </c>
      <c r="E7" s="269"/>
      <c r="F7" s="269"/>
      <c r="G7" s="269"/>
      <c r="H7" s="269" t="s">
        <v>5803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FLAMANVILLE-1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31385</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78.10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73.13</v>
      </c>
    </row>
    <row r="22" spans="1:47" ht="8.85" customHeight="1" thickBot="1">
      <c r="A22" s="6"/>
      <c r="B22" s="1"/>
      <c r="C22" s="1"/>
      <c r="D22" s="248" t="s">
        <v>205</v>
      </c>
      <c r="E22" s="248"/>
      <c r="F22" s="248"/>
      <c r="G22" s="248"/>
      <c r="H22" s="248"/>
      <c r="I22" s="248"/>
      <c r="J22" s="248"/>
      <c r="K22" s="248"/>
      <c r="L22" s="247" t="s">
        <v>5709</v>
      </c>
      <c r="M22" s="259">
        <v>29190</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31385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31747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5805</v>
      </c>
      <c r="G49" s="238"/>
      <c r="H49" s="238"/>
      <c r="I49" s="238"/>
      <c r="J49" s="10" t="s">
        <v>5806</v>
      </c>
      <c r="K49" s="238" t="s">
        <v>5807</v>
      </c>
      <c r="L49" s="238"/>
      <c r="M49" s="238"/>
      <c r="N49" s="238" t="s">
        <v>5808</v>
      </c>
      <c r="O49" s="238"/>
      <c r="P49" s="238"/>
      <c r="Q49" s="238" t="s">
        <v>5809</v>
      </c>
      <c r="R49" s="238"/>
      <c r="S49" s="238"/>
      <c r="T49" s="238"/>
      <c r="U49" s="238"/>
      <c r="V49" s="238"/>
      <c r="W49" s="238" t="s">
        <v>5810</v>
      </c>
      <c r="X49" s="238"/>
      <c r="Y49" s="10" t="s">
        <v>5811</v>
      </c>
      <c r="Z49" s="10" t="s">
        <v>5812</v>
      </c>
      <c r="AA49" s="238" t="s">
        <v>5813</v>
      </c>
      <c r="AB49" s="238"/>
      <c r="AC49" s="238"/>
      <c r="AD49" s="238"/>
      <c r="AE49" s="10" t="s">
        <v>5814</v>
      </c>
      <c r="AF49" s="237" t="s">
        <v>5815</v>
      </c>
      <c r="AG49" s="237"/>
      <c r="AH49" s="237"/>
      <c r="AI49" s="237"/>
      <c r="AJ49" s="2"/>
      <c r="AK49" s="2"/>
      <c r="AL49" s="2"/>
      <c r="AM49" s="2"/>
      <c r="AN49" s="7"/>
    </row>
    <row r="50" spans="1:40" ht="13.5" thickBot="1">
      <c r="A50" s="6"/>
      <c r="B50" s="2"/>
      <c r="C50" s="2"/>
      <c r="D50" s="244" t="s">
        <v>261</v>
      </c>
      <c r="E50" s="244"/>
      <c r="F50" s="238" t="s">
        <v>354</v>
      </c>
      <c r="G50" s="238"/>
      <c r="H50" s="238"/>
      <c r="I50" s="238"/>
      <c r="J50" s="10" t="s">
        <v>4986</v>
      </c>
      <c r="K50" s="238" t="s">
        <v>6182</v>
      </c>
      <c r="L50" s="238"/>
      <c r="M50" s="238"/>
      <c r="N50" s="238" t="s">
        <v>7008</v>
      </c>
      <c r="O50" s="238"/>
      <c r="P50" s="238"/>
      <c r="Q50" s="238" t="s">
        <v>1985</v>
      </c>
      <c r="R50" s="238"/>
      <c r="S50" s="238"/>
      <c r="T50" s="238"/>
      <c r="U50" s="238"/>
      <c r="V50" s="238"/>
      <c r="W50" s="238" t="s">
        <v>5816</v>
      </c>
      <c r="X50" s="238"/>
      <c r="Y50" s="10" t="s">
        <v>1138</v>
      </c>
      <c r="Z50" s="10" t="s">
        <v>5817</v>
      </c>
      <c r="AA50" s="238" t="s">
        <v>5818</v>
      </c>
      <c r="AB50" s="238"/>
      <c r="AC50" s="238"/>
      <c r="AD50" s="238"/>
      <c r="AE50" s="10" t="s">
        <v>5819</v>
      </c>
      <c r="AF50" s="237" t="s">
        <v>5820</v>
      </c>
      <c r="AG50" s="237"/>
      <c r="AH50" s="237"/>
      <c r="AI50" s="237"/>
      <c r="AJ50" s="2"/>
      <c r="AK50" s="2"/>
      <c r="AL50" s="2"/>
      <c r="AM50" s="2"/>
      <c r="AN50" s="7"/>
    </row>
    <row r="51" spans="1:40" ht="13.5" thickBot="1">
      <c r="A51" s="6"/>
      <c r="B51" s="2"/>
      <c r="C51" s="2"/>
      <c r="D51" s="244" t="s">
        <v>273</v>
      </c>
      <c r="E51" s="244"/>
      <c r="F51" s="238" t="s">
        <v>4177</v>
      </c>
      <c r="G51" s="238"/>
      <c r="H51" s="238"/>
      <c r="I51" s="238"/>
      <c r="J51" s="10" t="s">
        <v>5821</v>
      </c>
      <c r="K51" s="238" t="s">
        <v>5822</v>
      </c>
      <c r="L51" s="238"/>
      <c r="M51" s="238"/>
      <c r="N51" s="238" t="s">
        <v>7010</v>
      </c>
      <c r="O51" s="238"/>
      <c r="P51" s="238"/>
      <c r="Q51" s="238" t="s">
        <v>5823</v>
      </c>
      <c r="R51" s="238"/>
      <c r="S51" s="238"/>
      <c r="T51" s="238"/>
      <c r="U51" s="238"/>
      <c r="V51" s="238"/>
      <c r="W51" s="238" t="s">
        <v>5824</v>
      </c>
      <c r="X51" s="238"/>
      <c r="Y51" s="10" t="s">
        <v>6086</v>
      </c>
      <c r="Z51" s="10" t="s">
        <v>5825</v>
      </c>
      <c r="AA51" s="238" t="s">
        <v>3568</v>
      </c>
      <c r="AB51" s="238"/>
      <c r="AC51" s="238"/>
      <c r="AD51" s="238"/>
      <c r="AE51" s="10" t="s">
        <v>2678</v>
      </c>
      <c r="AF51" s="237" t="s">
        <v>5826</v>
      </c>
      <c r="AG51" s="237"/>
      <c r="AH51" s="237"/>
      <c r="AI51" s="237"/>
      <c r="AJ51" s="2"/>
      <c r="AK51" s="2"/>
      <c r="AL51" s="2"/>
      <c r="AM51" s="2"/>
      <c r="AN51" s="7"/>
    </row>
    <row r="52" spans="1:40" ht="13.5" thickBot="1">
      <c r="A52" s="6"/>
      <c r="B52" s="2"/>
      <c r="C52" s="2"/>
      <c r="D52" s="244" t="s">
        <v>285</v>
      </c>
      <c r="E52" s="244"/>
      <c r="F52" s="238" t="s">
        <v>5827</v>
      </c>
      <c r="G52" s="238"/>
      <c r="H52" s="238"/>
      <c r="I52" s="238"/>
      <c r="J52" s="10" t="s">
        <v>1254</v>
      </c>
      <c r="K52" s="238" t="s">
        <v>5828</v>
      </c>
      <c r="L52" s="238"/>
      <c r="M52" s="238"/>
      <c r="N52" s="238" t="s">
        <v>5829</v>
      </c>
      <c r="O52" s="238"/>
      <c r="P52" s="238"/>
      <c r="Q52" s="238" t="s">
        <v>1897</v>
      </c>
      <c r="R52" s="238"/>
      <c r="S52" s="238"/>
      <c r="T52" s="238"/>
      <c r="U52" s="238"/>
      <c r="V52" s="238"/>
      <c r="W52" s="238" t="s">
        <v>1169</v>
      </c>
      <c r="X52" s="238"/>
      <c r="Y52" s="10" t="s">
        <v>6450</v>
      </c>
      <c r="Z52" s="10" t="s">
        <v>5830</v>
      </c>
      <c r="AA52" s="238" t="s">
        <v>5831</v>
      </c>
      <c r="AB52" s="238"/>
      <c r="AC52" s="238"/>
      <c r="AD52" s="238"/>
      <c r="AE52" s="10" t="s">
        <v>1108</v>
      </c>
      <c r="AF52" s="237" t="s">
        <v>5832</v>
      </c>
      <c r="AG52" s="237"/>
      <c r="AH52" s="237"/>
      <c r="AI52" s="237"/>
      <c r="AJ52" s="2"/>
      <c r="AK52" s="2"/>
      <c r="AL52" s="2"/>
      <c r="AM52" s="2"/>
      <c r="AN52" s="7"/>
    </row>
    <row r="53" spans="1:40" ht="13.5" thickBot="1">
      <c r="A53" s="6"/>
      <c r="B53" s="2"/>
      <c r="C53" s="2"/>
      <c r="D53" s="244" t="s">
        <v>295</v>
      </c>
      <c r="E53" s="244"/>
      <c r="F53" s="238" t="s">
        <v>1359</v>
      </c>
      <c r="G53" s="238"/>
      <c r="H53" s="238"/>
      <c r="I53" s="238"/>
      <c r="J53" s="10" t="s">
        <v>5833</v>
      </c>
      <c r="K53" s="238" t="s">
        <v>5834</v>
      </c>
      <c r="L53" s="238"/>
      <c r="M53" s="238"/>
      <c r="N53" s="238" t="s">
        <v>3789</v>
      </c>
      <c r="O53" s="238"/>
      <c r="P53" s="238"/>
      <c r="Q53" s="238" t="s">
        <v>5835</v>
      </c>
      <c r="R53" s="238"/>
      <c r="S53" s="238"/>
      <c r="T53" s="238"/>
      <c r="U53" s="238"/>
      <c r="V53" s="238"/>
      <c r="W53" s="238" t="s">
        <v>4264</v>
      </c>
      <c r="X53" s="238"/>
      <c r="Y53" s="10" t="s">
        <v>5836</v>
      </c>
      <c r="Z53" s="10" t="s">
        <v>1095</v>
      </c>
      <c r="AA53" s="238" t="s">
        <v>5837</v>
      </c>
      <c r="AB53" s="238"/>
      <c r="AC53" s="238"/>
      <c r="AD53" s="238"/>
      <c r="AE53" s="10" t="s">
        <v>3619</v>
      </c>
      <c r="AF53" s="237" t="s">
        <v>5838</v>
      </c>
      <c r="AG53" s="237"/>
      <c r="AH53" s="237"/>
      <c r="AI53" s="237"/>
      <c r="AJ53" s="2"/>
      <c r="AK53" s="2"/>
      <c r="AL53" s="2"/>
      <c r="AM53" s="2"/>
      <c r="AN53" s="7"/>
    </row>
    <row r="54" spans="1:40" ht="13.5" thickBot="1">
      <c r="A54" s="6"/>
      <c r="B54" s="2"/>
      <c r="C54" s="2"/>
      <c r="D54" s="244" t="s">
        <v>307</v>
      </c>
      <c r="E54" s="244"/>
      <c r="F54" s="238" t="s">
        <v>3152</v>
      </c>
      <c r="G54" s="238"/>
      <c r="H54" s="238"/>
      <c r="I54" s="238"/>
      <c r="J54" s="10" t="s">
        <v>4718</v>
      </c>
      <c r="K54" s="238" t="s">
        <v>5839</v>
      </c>
      <c r="L54" s="238"/>
      <c r="M54" s="238"/>
      <c r="N54" s="238" t="s">
        <v>2675</v>
      </c>
      <c r="O54" s="238"/>
      <c r="P54" s="238"/>
      <c r="Q54" s="238" t="s">
        <v>2957</v>
      </c>
      <c r="R54" s="238"/>
      <c r="S54" s="238"/>
      <c r="T54" s="238"/>
      <c r="U54" s="238"/>
      <c r="V54" s="238"/>
      <c r="W54" s="238" t="s">
        <v>4870</v>
      </c>
      <c r="X54" s="238"/>
      <c r="Y54" s="10" t="s">
        <v>5620</v>
      </c>
      <c r="Z54" s="10" t="s">
        <v>5840</v>
      </c>
      <c r="AA54" s="238" t="s">
        <v>1102</v>
      </c>
      <c r="AB54" s="238"/>
      <c r="AC54" s="238"/>
      <c r="AD54" s="238"/>
      <c r="AE54" s="10" t="s">
        <v>6146</v>
      </c>
      <c r="AF54" s="237" t="s">
        <v>5841</v>
      </c>
      <c r="AG54" s="237"/>
      <c r="AH54" s="237"/>
      <c r="AI54" s="237"/>
      <c r="AJ54" s="2"/>
      <c r="AK54" s="2"/>
      <c r="AL54" s="2"/>
      <c r="AM54" s="2"/>
      <c r="AN54" s="7"/>
    </row>
    <row r="55" spans="1:40" ht="13.5" thickBot="1">
      <c r="A55" s="6"/>
      <c r="B55" s="2"/>
      <c r="C55" s="2"/>
      <c r="D55" s="244" t="s">
        <v>319</v>
      </c>
      <c r="E55" s="244"/>
      <c r="F55" s="237" t="s">
        <v>2807</v>
      </c>
      <c r="G55" s="237"/>
      <c r="H55" s="237"/>
      <c r="I55" s="237"/>
      <c r="J55" s="11" t="s">
        <v>4531</v>
      </c>
      <c r="K55" s="237" t="s">
        <v>4362</v>
      </c>
      <c r="L55" s="237"/>
      <c r="M55" s="237"/>
      <c r="N55" s="237" t="s">
        <v>959</v>
      </c>
      <c r="O55" s="237"/>
      <c r="P55" s="237"/>
      <c r="Q55" s="237" t="s">
        <v>4500</v>
      </c>
      <c r="R55" s="237"/>
      <c r="S55" s="237"/>
      <c r="T55" s="237"/>
      <c r="U55" s="237"/>
      <c r="V55" s="237"/>
      <c r="W55" s="237" t="s">
        <v>5842</v>
      </c>
      <c r="X55" s="237"/>
      <c r="Y55" s="11" t="s">
        <v>5843</v>
      </c>
      <c r="Z55" s="11" t="s">
        <v>5844</v>
      </c>
      <c r="AA55" s="237" t="s">
        <v>5845</v>
      </c>
      <c r="AB55" s="237"/>
      <c r="AC55" s="237"/>
      <c r="AD55" s="237"/>
      <c r="AE55" s="11" t="s">
        <v>5275</v>
      </c>
      <c r="AF55" s="237" t="s">
        <v>464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5.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5846</v>
      </c>
      <c r="E7" s="269"/>
      <c r="F7" s="269"/>
      <c r="G7" s="269"/>
      <c r="H7" s="269" t="s">
        <v>5847</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FLAMANVILLE-2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31611</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83.94</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65.18</v>
      </c>
    </row>
    <row r="22" spans="1:47" ht="8.85" customHeight="1" thickBot="1">
      <c r="A22" s="6"/>
      <c r="B22" s="1"/>
      <c r="C22" s="1"/>
      <c r="D22" s="248" t="s">
        <v>205</v>
      </c>
      <c r="E22" s="248"/>
      <c r="F22" s="248"/>
      <c r="G22" s="248"/>
      <c r="H22" s="248"/>
      <c r="I22" s="248"/>
      <c r="J22" s="248"/>
      <c r="K22" s="248"/>
      <c r="L22" s="247" t="s">
        <v>5709</v>
      </c>
      <c r="M22" s="259">
        <v>29342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31611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31845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5848</v>
      </c>
      <c r="G49" s="238"/>
      <c r="H49" s="238"/>
      <c r="I49" s="238"/>
      <c r="J49" s="10" t="s">
        <v>5849</v>
      </c>
      <c r="K49" s="238" t="s">
        <v>5850</v>
      </c>
      <c r="L49" s="238"/>
      <c r="M49" s="238"/>
      <c r="N49" s="238" t="s">
        <v>5851</v>
      </c>
      <c r="O49" s="238"/>
      <c r="P49" s="238"/>
      <c r="Q49" s="238" t="s">
        <v>5852</v>
      </c>
      <c r="R49" s="238"/>
      <c r="S49" s="238"/>
      <c r="T49" s="238"/>
      <c r="U49" s="238"/>
      <c r="V49" s="238"/>
      <c r="W49" s="238" t="s">
        <v>5853</v>
      </c>
      <c r="X49" s="238"/>
      <c r="Y49" s="10" t="s">
        <v>5854</v>
      </c>
      <c r="Z49" s="10" t="s">
        <v>5855</v>
      </c>
      <c r="AA49" s="238" t="s">
        <v>5856</v>
      </c>
      <c r="AB49" s="238"/>
      <c r="AC49" s="238"/>
      <c r="AD49" s="238"/>
      <c r="AE49" s="10" t="s">
        <v>5857</v>
      </c>
      <c r="AF49" s="237" t="s">
        <v>5858</v>
      </c>
      <c r="AG49" s="237"/>
      <c r="AH49" s="237"/>
      <c r="AI49" s="237"/>
      <c r="AJ49" s="2"/>
      <c r="AK49" s="2"/>
      <c r="AL49" s="2"/>
      <c r="AM49" s="2"/>
      <c r="AN49" s="7"/>
    </row>
    <row r="50" spans="1:40" ht="13.5" thickBot="1">
      <c r="A50" s="6"/>
      <c r="B50" s="2"/>
      <c r="C50" s="2"/>
      <c r="D50" s="244" t="s">
        <v>261</v>
      </c>
      <c r="E50" s="244"/>
      <c r="F50" s="238" t="s">
        <v>827</v>
      </c>
      <c r="G50" s="238"/>
      <c r="H50" s="238"/>
      <c r="I50" s="238"/>
      <c r="J50" s="10" t="s">
        <v>5859</v>
      </c>
      <c r="K50" s="238" t="s">
        <v>6372</v>
      </c>
      <c r="L50" s="238"/>
      <c r="M50" s="238"/>
      <c r="N50" s="238" t="s">
        <v>5860</v>
      </c>
      <c r="O50" s="238"/>
      <c r="P50" s="238"/>
      <c r="Q50" s="238" t="s">
        <v>6970</v>
      </c>
      <c r="R50" s="238"/>
      <c r="S50" s="238"/>
      <c r="T50" s="238"/>
      <c r="U50" s="238"/>
      <c r="V50" s="238"/>
      <c r="W50" s="238" t="s">
        <v>685</v>
      </c>
      <c r="X50" s="238"/>
      <c r="Y50" s="10" t="s">
        <v>942</v>
      </c>
      <c r="Z50" s="10" t="s">
        <v>5861</v>
      </c>
      <c r="AA50" s="238" t="s">
        <v>5099</v>
      </c>
      <c r="AB50" s="238"/>
      <c r="AC50" s="238"/>
      <c r="AD50" s="238"/>
      <c r="AE50" s="10" t="s">
        <v>3809</v>
      </c>
      <c r="AF50" s="237" t="s">
        <v>5862</v>
      </c>
      <c r="AG50" s="237"/>
      <c r="AH50" s="237"/>
      <c r="AI50" s="237"/>
      <c r="AJ50" s="2"/>
      <c r="AK50" s="2"/>
      <c r="AL50" s="2"/>
      <c r="AM50" s="2"/>
      <c r="AN50" s="7"/>
    </row>
    <row r="51" spans="1:40" ht="13.5" thickBot="1">
      <c r="A51" s="6"/>
      <c r="B51" s="2"/>
      <c r="C51" s="2"/>
      <c r="D51" s="244" t="s">
        <v>273</v>
      </c>
      <c r="E51" s="244"/>
      <c r="F51" s="238" t="s">
        <v>3890</v>
      </c>
      <c r="G51" s="238"/>
      <c r="H51" s="238"/>
      <c r="I51" s="238"/>
      <c r="J51" s="10" t="s">
        <v>5863</v>
      </c>
      <c r="K51" s="238" t="s">
        <v>5</v>
      </c>
      <c r="L51" s="238"/>
      <c r="M51" s="238"/>
      <c r="N51" s="238" t="s">
        <v>5864</v>
      </c>
      <c r="O51" s="238"/>
      <c r="P51" s="238"/>
      <c r="Q51" s="238" t="s">
        <v>4145</v>
      </c>
      <c r="R51" s="238"/>
      <c r="S51" s="238"/>
      <c r="T51" s="238"/>
      <c r="U51" s="238"/>
      <c r="V51" s="238"/>
      <c r="W51" s="238" t="s">
        <v>375</v>
      </c>
      <c r="X51" s="238"/>
      <c r="Y51" s="10" t="s">
        <v>5865</v>
      </c>
      <c r="Z51" s="10" t="s">
        <v>5866</v>
      </c>
      <c r="AA51" s="238" t="s">
        <v>378</v>
      </c>
      <c r="AB51" s="238"/>
      <c r="AC51" s="238"/>
      <c r="AD51" s="238"/>
      <c r="AE51" s="10" t="s">
        <v>5867</v>
      </c>
      <c r="AF51" s="237" t="s">
        <v>5868</v>
      </c>
      <c r="AG51" s="237"/>
      <c r="AH51" s="237"/>
      <c r="AI51" s="237"/>
      <c r="AJ51" s="2"/>
      <c r="AK51" s="2"/>
      <c r="AL51" s="2"/>
      <c r="AM51" s="2"/>
      <c r="AN51" s="7"/>
    </row>
    <row r="52" spans="1:40" ht="13.5" thickBot="1">
      <c r="A52" s="6"/>
      <c r="B52" s="2"/>
      <c r="C52" s="2"/>
      <c r="D52" s="244" t="s">
        <v>285</v>
      </c>
      <c r="E52" s="244"/>
      <c r="F52" s="238" t="s">
        <v>5869</v>
      </c>
      <c r="G52" s="238"/>
      <c r="H52" s="238"/>
      <c r="I52" s="238"/>
      <c r="J52" s="10" t="s">
        <v>5083</v>
      </c>
      <c r="K52" s="238" t="s">
        <v>398</v>
      </c>
      <c r="L52" s="238"/>
      <c r="M52" s="238"/>
      <c r="N52" s="238" t="s">
        <v>5870</v>
      </c>
      <c r="O52" s="238"/>
      <c r="P52" s="238"/>
      <c r="Q52" s="238" t="s">
        <v>6995</v>
      </c>
      <c r="R52" s="238"/>
      <c r="S52" s="238"/>
      <c r="T52" s="238"/>
      <c r="U52" s="238"/>
      <c r="V52" s="238"/>
      <c r="W52" s="238" t="s">
        <v>4612</v>
      </c>
      <c r="X52" s="238"/>
      <c r="Y52" s="10" t="s">
        <v>3614</v>
      </c>
      <c r="Z52" s="10" t="s">
        <v>5871</v>
      </c>
      <c r="AA52" s="238" t="s">
        <v>4842</v>
      </c>
      <c r="AB52" s="238"/>
      <c r="AC52" s="238"/>
      <c r="AD52" s="238"/>
      <c r="AE52" s="10" t="s">
        <v>5872</v>
      </c>
      <c r="AF52" s="237" t="s">
        <v>5873</v>
      </c>
      <c r="AG52" s="237"/>
      <c r="AH52" s="237"/>
      <c r="AI52" s="237"/>
      <c r="AJ52" s="2"/>
      <c r="AK52" s="2"/>
      <c r="AL52" s="2"/>
      <c r="AM52" s="2"/>
      <c r="AN52" s="7"/>
    </row>
    <row r="53" spans="1:40" ht="13.5" thickBot="1">
      <c r="A53" s="6"/>
      <c r="B53" s="2"/>
      <c r="C53" s="2"/>
      <c r="D53" s="244" t="s">
        <v>295</v>
      </c>
      <c r="E53" s="244"/>
      <c r="F53" s="238" t="s">
        <v>5874</v>
      </c>
      <c r="G53" s="238"/>
      <c r="H53" s="238"/>
      <c r="I53" s="238"/>
      <c r="J53" s="10" t="s">
        <v>5488</v>
      </c>
      <c r="K53" s="238" t="s">
        <v>481</v>
      </c>
      <c r="L53" s="238"/>
      <c r="M53" s="238"/>
      <c r="N53" s="238" t="s">
        <v>1190</v>
      </c>
      <c r="O53" s="238"/>
      <c r="P53" s="238"/>
      <c r="Q53" s="238" t="s">
        <v>6081</v>
      </c>
      <c r="R53" s="238"/>
      <c r="S53" s="238"/>
      <c r="T53" s="238"/>
      <c r="U53" s="238"/>
      <c r="V53" s="238"/>
      <c r="W53" s="238" t="s">
        <v>6459</v>
      </c>
      <c r="X53" s="238"/>
      <c r="Y53" s="10" t="s">
        <v>5044</v>
      </c>
      <c r="Z53" s="10" t="s">
        <v>6962</v>
      </c>
      <c r="AA53" s="238" t="s">
        <v>4212</v>
      </c>
      <c r="AB53" s="238"/>
      <c r="AC53" s="238"/>
      <c r="AD53" s="238"/>
      <c r="AE53" s="10" t="s">
        <v>4395</v>
      </c>
      <c r="AF53" s="237" t="s">
        <v>6380</v>
      </c>
      <c r="AG53" s="237"/>
      <c r="AH53" s="237"/>
      <c r="AI53" s="237"/>
      <c r="AJ53" s="2"/>
      <c r="AK53" s="2"/>
      <c r="AL53" s="2"/>
      <c r="AM53" s="2"/>
      <c r="AN53" s="7"/>
    </row>
    <row r="54" spans="1:40" ht="13.5" thickBot="1">
      <c r="A54" s="6"/>
      <c r="B54" s="2"/>
      <c r="C54" s="2"/>
      <c r="D54" s="244" t="s">
        <v>307</v>
      </c>
      <c r="E54" s="244"/>
      <c r="F54" s="238" t="s">
        <v>1012</v>
      </c>
      <c r="G54" s="238"/>
      <c r="H54" s="238"/>
      <c r="I54" s="238"/>
      <c r="J54" s="10" t="s">
        <v>5306</v>
      </c>
      <c r="K54" s="238" t="s">
        <v>316</v>
      </c>
      <c r="L54" s="238"/>
      <c r="M54" s="238"/>
      <c r="N54" s="238" t="s">
        <v>5875</v>
      </c>
      <c r="O54" s="238"/>
      <c r="P54" s="238"/>
      <c r="Q54" s="238" t="s">
        <v>3384</v>
      </c>
      <c r="R54" s="238"/>
      <c r="S54" s="238"/>
      <c r="T54" s="238"/>
      <c r="U54" s="238"/>
      <c r="V54" s="238"/>
      <c r="W54" s="238" t="s">
        <v>5876</v>
      </c>
      <c r="X54" s="238"/>
      <c r="Y54" s="10" t="s">
        <v>5877</v>
      </c>
      <c r="Z54" s="10" t="s">
        <v>5878</v>
      </c>
      <c r="AA54" s="238" t="s">
        <v>1838</v>
      </c>
      <c r="AB54" s="238"/>
      <c r="AC54" s="238"/>
      <c r="AD54" s="238"/>
      <c r="AE54" s="10" t="s">
        <v>5879</v>
      </c>
      <c r="AF54" s="237" t="s">
        <v>5880</v>
      </c>
      <c r="AG54" s="237"/>
      <c r="AH54" s="237"/>
      <c r="AI54" s="237"/>
      <c r="AJ54" s="2"/>
      <c r="AK54" s="2"/>
      <c r="AL54" s="2"/>
      <c r="AM54" s="2"/>
      <c r="AN54" s="7"/>
    </row>
    <row r="55" spans="1:40" ht="13.5" thickBot="1">
      <c r="A55" s="6"/>
      <c r="B55" s="2"/>
      <c r="C55" s="2"/>
      <c r="D55" s="244" t="s">
        <v>319</v>
      </c>
      <c r="E55" s="244"/>
      <c r="F55" s="237" t="s">
        <v>5881</v>
      </c>
      <c r="G55" s="237"/>
      <c r="H55" s="237"/>
      <c r="I55" s="237"/>
      <c r="J55" s="11" t="s">
        <v>5882</v>
      </c>
      <c r="K55" s="237" t="s">
        <v>4652</v>
      </c>
      <c r="L55" s="237"/>
      <c r="M55" s="237"/>
      <c r="N55" s="237" t="s">
        <v>5883</v>
      </c>
      <c r="O55" s="237"/>
      <c r="P55" s="237"/>
      <c r="Q55" s="237" t="s">
        <v>1356</v>
      </c>
      <c r="R55" s="237"/>
      <c r="S55" s="237"/>
      <c r="T55" s="237"/>
      <c r="U55" s="237"/>
      <c r="V55" s="237"/>
      <c r="W55" s="237" t="s">
        <v>6000</v>
      </c>
      <c r="X55" s="237"/>
      <c r="Y55" s="11" t="s">
        <v>5884</v>
      </c>
      <c r="Z55" s="11" t="s">
        <v>5885</v>
      </c>
      <c r="AA55" s="237" t="s">
        <v>4469</v>
      </c>
      <c r="AB55" s="237"/>
      <c r="AC55" s="237"/>
      <c r="AD55" s="237"/>
      <c r="AE55" s="11" t="s">
        <v>5886</v>
      </c>
      <c r="AF55" s="237" t="s">
        <v>5887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5888</v>
      </c>
      <c r="E7" s="269"/>
      <c r="F7" s="269"/>
      <c r="G7" s="269"/>
      <c r="H7" s="269" t="s">
        <v>5889</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GOLFECH-1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1363</v>
      </c>
    </row>
    <row r="17" spans="1:47" ht="13.5" thickBot="1">
      <c r="A17" s="6"/>
      <c r="B17" s="1"/>
      <c r="C17" s="1"/>
      <c r="D17" s="248" t="s">
        <v>189</v>
      </c>
      <c r="E17" s="248"/>
      <c r="F17" s="248"/>
      <c r="G17" s="248"/>
      <c r="H17" s="248"/>
      <c r="I17" s="248"/>
      <c r="J17" s="248"/>
      <c r="K17" s="248"/>
      <c r="L17" s="8" t="s">
        <v>5709</v>
      </c>
      <c r="M17" s="264">
        <v>1363</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1310</v>
      </c>
    </row>
    <row r="18" spans="1:47" ht="13.5" thickBot="1">
      <c r="A18" s="6"/>
      <c r="B18" s="1"/>
      <c r="C18" s="1"/>
      <c r="D18" s="248" t="s">
        <v>193</v>
      </c>
      <c r="E18" s="248"/>
      <c r="F18" s="248"/>
      <c r="G18" s="248"/>
      <c r="H18" s="248"/>
      <c r="I18" s="248"/>
      <c r="J18" s="248"/>
      <c r="K18" s="248"/>
      <c r="L18" s="8" t="s">
        <v>5709</v>
      </c>
      <c r="M18" s="264">
        <v>1310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33031</v>
      </c>
    </row>
    <row r="19" spans="1:47" ht="13.5" thickBot="1">
      <c r="A19" s="6"/>
      <c r="B19" s="1"/>
      <c r="C19" s="1"/>
      <c r="D19" s="248" t="s">
        <v>196</v>
      </c>
      <c r="E19" s="248"/>
      <c r="F19" s="248"/>
      <c r="G19" s="248"/>
      <c r="H19" s="248"/>
      <c r="I19" s="248"/>
      <c r="J19" s="248"/>
      <c r="K19" s="248"/>
      <c r="L19" s="8" t="s">
        <v>5709</v>
      </c>
      <c r="M19" s="264">
        <v>1310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75.40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77.46</v>
      </c>
    </row>
    <row r="22" spans="1:47" ht="8.85" customHeight="1" thickBot="1">
      <c r="A22" s="6"/>
      <c r="B22" s="1"/>
      <c r="C22" s="1"/>
      <c r="D22" s="248" t="s">
        <v>205</v>
      </c>
      <c r="E22" s="248"/>
      <c r="F22" s="248"/>
      <c r="G22" s="248"/>
      <c r="H22" s="248"/>
      <c r="I22" s="248"/>
      <c r="J22" s="248"/>
      <c r="K22" s="248"/>
      <c r="L22" s="247" t="s">
        <v>5709</v>
      </c>
      <c r="M22" s="259">
        <v>30272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33031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33270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5890</v>
      </c>
      <c r="G49" s="238"/>
      <c r="H49" s="238"/>
      <c r="I49" s="238"/>
      <c r="J49" s="10" t="s">
        <v>5891</v>
      </c>
      <c r="K49" s="238" t="s">
        <v>5892</v>
      </c>
      <c r="L49" s="238"/>
      <c r="M49" s="238"/>
      <c r="N49" s="238" t="s">
        <v>5893</v>
      </c>
      <c r="O49" s="238"/>
      <c r="P49" s="238"/>
      <c r="Q49" s="238" t="s">
        <v>5894</v>
      </c>
      <c r="R49" s="238"/>
      <c r="S49" s="238"/>
      <c r="T49" s="238"/>
      <c r="U49" s="238"/>
      <c r="V49" s="238"/>
      <c r="W49" s="238" t="s">
        <v>5895</v>
      </c>
      <c r="X49" s="238"/>
      <c r="Y49" s="10" t="s">
        <v>5896</v>
      </c>
      <c r="Z49" s="10" t="s">
        <v>5897</v>
      </c>
      <c r="AA49" s="238" t="s">
        <v>5898</v>
      </c>
      <c r="AB49" s="238"/>
      <c r="AC49" s="238"/>
      <c r="AD49" s="238"/>
      <c r="AE49" s="10" t="s">
        <v>5899</v>
      </c>
      <c r="AF49" s="237" t="s">
        <v>5900</v>
      </c>
      <c r="AG49" s="237"/>
      <c r="AH49" s="237"/>
      <c r="AI49" s="237"/>
      <c r="AJ49" s="2"/>
      <c r="AK49" s="2"/>
      <c r="AL49" s="2"/>
      <c r="AM49" s="2"/>
      <c r="AN49" s="7"/>
    </row>
    <row r="50" spans="1:40" ht="13.5" thickBot="1">
      <c r="A50" s="6"/>
      <c r="B50" s="2"/>
      <c r="C50" s="2"/>
      <c r="D50" s="244" t="s">
        <v>261</v>
      </c>
      <c r="E50" s="244"/>
      <c r="F50" s="238" t="s">
        <v>5901</v>
      </c>
      <c r="G50" s="238"/>
      <c r="H50" s="238"/>
      <c r="I50" s="238"/>
      <c r="J50" s="10" t="s">
        <v>6321</v>
      </c>
      <c r="K50" s="238" t="s">
        <v>2894</v>
      </c>
      <c r="L50" s="238"/>
      <c r="M50" s="238"/>
      <c r="N50" s="238" t="s">
        <v>5902</v>
      </c>
      <c r="O50" s="238"/>
      <c r="P50" s="238"/>
      <c r="Q50" s="238" t="s">
        <v>5085</v>
      </c>
      <c r="R50" s="238"/>
      <c r="S50" s="238"/>
      <c r="T50" s="238"/>
      <c r="U50" s="238"/>
      <c r="V50" s="238"/>
      <c r="W50" s="238" t="s">
        <v>4006</v>
      </c>
      <c r="X50" s="238"/>
      <c r="Y50" s="10" t="s">
        <v>348</v>
      </c>
      <c r="Z50" s="10" t="s">
        <v>5903</v>
      </c>
      <c r="AA50" s="238" t="s">
        <v>663</v>
      </c>
      <c r="AB50" s="238"/>
      <c r="AC50" s="238"/>
      <c r="AD50" s="238"/>
      <c r="AE50" s="10" t="s">
        <v>5328</v>
      </c>
      <c r="AF50" s="237" t="s">
        <v>6633</v>
      </c>
      <c r="AG50" s="237"/>
      <c r="AH50" s="237"/>
      <c r="AI50" s="237"/>
      <c r="AJ50" s="2"/>
      <c r="AK50" s="2"/>
      <c r="AL50" s="2"/>
      <c r="AM50" s="2"/>
      <c r="AN50" s="7"/>
    </row>
    <row r="51" spans="1:40" ht="13.5" thickBot="1">
      <c r="A51" s="6"/>
      <c r="B51" s="2"/>
      <c r="C51" s="2"/>
      <c r="D51" s="244" t="s">
        <v>273</v>
      </c>
      <c r="E51" s="244"/>
      <c r="F51" s="238" t="s">
        <v>5904</v>
      </c>
      <c r="G51" s="238"/>
      <c r="H51" s="238"/>
      <c r="I51" s="238"/>
      <c r="J51" s="10" t="s">
        <v>5905</v>
      </c>
      <c r="K51" s="238" t="s">
        <v>380</v>
      </c>
      <c r="L51" s="238"/>
      <c r="M51" s="238"/>
      <c r="N51" s="238" t="s">
        <v>5906</v>
      </c>
      <c r="O51" s="238"/>
      <c r="P51" s="238"/>
      <c r="Q51" s="238" t="s">
        <v>5907</v>
      </c>
      <c r="R51" s="238"/>
      <c r="S51" s="238"/>
      <c r="T51" s="238"/>
      <c r="U51" s="238"/>
      <c r="V51" s="238"/>
      <c r="W51" s="238" t="s">
        <v>5908</v>
      </c>
      <c r="X51" s="238"/>
      <c r="Y51" s="10" t="s">
        <v>6086</v>
      </c>
      <c r="Z51" s="10" t="s">
        <v>5909</v>
      </c>
      <c r="AA51" s="238" t="s">
        <v>6503</v>
      </c>
      <c r="AB51" s="238"/>
      <c r="AC51" s="238"/>
      <c r="AD51" s="238"/>
      <c r="AE51" s="10" t="s">
        <v>5358</v>
      </c>
      <c r="AF51" s="237" t="s">
        <v>6164</v>
      </c>
      <c r="AG51" s="237"/>
      <c r="AH51" s="237"/>
      <c r="AI51" s="237"/>
      <c r="AJ51" s="2"/>
      <c r="AK51" s="2"/>
      <c r="AL51" s="2"/>
      <c r="AM51" s="2"/>
      <c r="AN51" s="7"/>
    </row>
    <row r="52" spans="1:40" ht="13.5" thickBot="1">
      <c r="A52" s="6"/>
      <c r="B52" s="2"/>
      <c r="C52" s="2"/>
      <c r="D52" s="244" t="s">
        <v>285</v>
      </c>
      <c r="E52" s="244"/>
      <c r="F52" s="238" t="s">
        <v>4455</v>
      </c>
      <c r="G52" s="238"/>
      <c r="H52" s="238"/>
      <c r="I52" s="238"/>
      <c r="J52" s="10" t="s">
        <v>2810</v>
      </c>
      <c r="K52" s="238" t="s">
        <v>5910</v>
      </c>
      <c r="L52" s="238"/>
      <c r="M52" s="238"/>
      <c r="N52" s="238" t="s">
        <v>5501</v>
      </c>
      <c r="O52" s="238"/>
      <c r="P52" s="238"/>
      <c r="Q52" s="238" t="s">
        <v>5085</v>
      </c>
      <c r="R52" s="238"/>
      <c r="S52" s="238"/>
      <c r="T52" s="238"/>
      <c r="U52" s="238"/>
      <c r="V52" s="238"/>
      <c r="W52" s="238" t="s">
        <v>5618</v>
      </c>
      <c r="X52" s="238"/>
      <c r="Y52" s="10" t="s">
        <v>5911</v>
      </c>
      <c r="Z52" s="10" t="s">
        <v>5402</v>
      </c>
      <c r="AA52" s="238" t="s">
        <v>6986</v>
      </c>
      <c r="AB52" s="238"/>
      <c r="AC52" s="238"/>
      <c r="AD52" s="238"/>
      <c r="AE52" s="10" t="s">
        <v>6342</v>
      </c>
      <c r="AF52" s="237" t="s">
        <v>4005</v>
      </c>
      <c r="AG52" s="237"/>
      <c r="AH52" s="237"/>
      <c r="AI52" s="237"/>
      <c r="AJ52" s="2"/>
      <c r="AK52" s="2"/>
      <c r="AL52" s="2"/>
      <c r="AM52" s="2"/>
      <c r="AN52" s="7"/>
    </row>
    <row r="53" spans="1:40" ht="13.5" thickBot="1">
      <c r="A53" s="6"/>
      <c r="B53" s="2"/>
      <c r="C53" s="2"/>
      <c r="D53" s="244" t="s">
        <v>295</v>
      </c>
      <c r="E53" s="244"/>
      <c r="F53" s="238" t="s">
        <v>5912</v>
      </c>
      <c r="G53" s="238"/>
      <c r="H53" s="238"/>
      <c r="I53" s="238"/>
      <c r="J53" s="10" t="s">
        <v>5913</v>
      </c>
      <c r="K53" s="238" t="s">
        <v>1059</v>
      </c>
      <c r="L53" s="238"/>
      <c r="M53" s="238"/>
      <c r="N53" s="238" t="s">
        <v>5914</v>
      </c>
      <c r="O53" s="238"/>
      <c r="P53" s="238"/>
      <c r="Q53" s="238" t="s">
        <v>6329</v>
      </c>
      <c r="R53" s="238"/>
      <c r="S53" s="238"/>
      <c r="T53" s="238"/>
      <c r="U53" s="238"/>
      <c r="V53" s="238"/>
      <c r="W53" s="238" t="s">
        <v>304</v>
      </c>
      <c r="X53" s="238"/>
      <c r="Y53" s="10" t="s">
        <v>5915</v>
      </c>
      <c r="Z53" s="10" t="s">
        <v>4272</v>
      </c>
      <c r="AA53" s="238" t="s">
        <v>6787</v>
      </c>
      <c r="AB53" s="238"/>
      <c r="AC53" s="238"/>
      <c r="AD53" s="238"/>
      <c r="AE53" s="10" t="s">
        <v>1059</v>
      </c>
      <c r="AF53" s="237" t="s">
        <v>1483</v>
      </c>
      <c r="AG53" s="237"/>
      <c r="AH53" s="237"/>
      <c r="AI53" s="237"/>
      <c r="AJ53" s="2"/>
      <c r="AK53" s="2"/>
      <c r="AL53" s="2"/>
      <c r="AM53" s="2"/>
      <c r="AN53" s="7"/>
    </row>
    <row r="54" spans="1:40" ht="13.5" thickBot="1">
      <c r="A54" s="6"/>
      <c r="B54" s="2"/>
      <c r="C54" s="2"/>
      <c r="D54" s="244" t="s">
        <v>307</v>
      </c>
      <c r="E54" s="244"/>
      <c r="F54" s="238" t="s">
        <v>522</v>
      </c>
      <c r="G54" s="238"/>
      <c r="H54" s="238"/>
      <c r="I54" s="238"/>
      <c r="J54" s="10" t="s">
        <v>5916</v>
      </c>
      <c r="K54" s="238" t="s">
        <v>5499</v>
      </c>
      <c r="L54" s="238"/>
      <c r="M54" s="238"/>
      <c r="N54" s="238" t="s">
        <v>4848</v>
      </c>
      <c r="O54" s="238"/>
      <c r="P54" s="238"/>
      <c r="Q54" s="238" t="s">
        <v>1450</v>
      </c>
      <c r="R54" s="238"/>
      <c r="S54" s="238"/>
      <c r="T54" s="238"/>
      <c r="U54" s="238"/>
      <c r="V54" s="238"/>
      <c r="W54" s="238" t="s">
        <v>3353</v>
      </c>
      <c r="X54" s="238"/>
      <c r="Y54" s="10" t="s">
        <v>389</v>
      </c>
      <c r="Z54" s="10" t="s">
        <v>5051</v>
      </c>
      <c r="AA54" s="238" t="s">
        <v>3499</v>
      </c>
      <c r="AB54" s="238"/>
      <c r="AC54" s="238"/>
      <c r="AD54" s="238"/>
      <c r="AE54" s="10" t="s">
        <v>5917</v>
      </c>
      <c r="AF54" s="237" t="s">
        <v>989</v>
      </c>
      <c r="AG54" s="237"/>
      <c r="AH54" s="237"/>
      <c r="AI54" s="237"/>
      <c r="AJ54" s="2"/>
      <c r="AK54" s="2"/>
      <c r="AL54" s="2"/>
      <c r="AM54" s="2"/>
      <c r="AN54" s="7"/>
    </row>
    <row r="55" spans="1:40" ht="13.5" thickBot="1">
      <c r="A55" s="6"/>
      <c r="B55" s="2"/>
      <c r="C55" s="2"/>
      <c r="D55" s="244" t="s">
        <v>319</v>
      </c>
      <c r="E55" s="244"/>
      <c r="F55" s="237" t="s">
        <v>1291</v>
      </c>
      <c r="G55" s="237"/>
      <c r="H55" s="237"/>
      <c r="I55" s="237"/>
      <c r="J55" s="11" t="s">
        <v>5918</v>
      </c>
      <c r="K55" s="237" t="s">
        <v>3381</v>
      </c>
      <c r="L55" s="237"/>
      <c r="M55" s="237"/>
      <c r="N55" s="237" t="s">
        <v>5919</v>
      </c>
      <c r="O55" s="237"/>
      <c r="P55" s="237"/>
      <c r="Q55" s="237" t="s">
        <v>5920</v>
      </c>
      <c r="R55" s="237"/>
      <c r="S55" s="237"/>
      <c r="T55" s="237"/>
      <c r="U55" s="237"/>
      <c r="V55" s="237"/>
      <c r="W55" s="237" t="s">
        <v>4707</v>
      </c>
      <c r="X55" s="237"/>
      <c r="Y55" s="11" t="s">
        <v>5921</v>
      </c>
      <c r="Z55" s="11" t="s">
        <v>3743</v>
      </c>
      <c r="AA55" s="237" t="s">
        <v>3230</v>
      </c>
      <c r="AB55" s="237"/>
      <c r="AC55" s="237"/>
      <c r="AD55" s="237"/>
      <c r="AE55" s="11" t="s">
        <v>4059</v>
      </c>
      <c r="AF55" s="237" t="s">
        <v>4123</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5922</v>
      </c>
      <c r="E7" s="269"/>
      <c r="F7" s="269"/>
      <c r="G7" s="269"/>
      <c r="H7" s="269" t="s">
        <v>5923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GOLFECH-2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1363</v>
      </c>
    </row>
    <row r="17" spans="1:47" ht="13.5" thickBot="1">
      <c r="A17" s="6"/>
      <c r="B17" s="1"/>
      <c r="C17" s="1"/>
      <c r="D17" s="248" t="s">
        <v>189</v>
      </c>
      <c r="E17" s="248"/>
      <c r="F17" s="248"/>
      <c r="G17" s="248"/>
      <c r="H17" s="248"/>
      <c r="I17" s="248"/>
      <c r="J17" s="248"/>
      <c r="K17" s="248"/>
      <c r="L17" s="8" t="s">
        <v>5709</v>
      </c>
      <c r="M17" s="264">
        <v>1363</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1310</v>
      </c>
    </row>
    <row r="18" spans="1:47" ht="13.5" thickBot="1">
      <c r="A18" s="6"/>
      <c r="B18" s="1"/>
      <c r="C18" s="1"/>
      <c r="D18" s="248" t="s">
        <v>193</v>
      </c>
      <c r="E18" s="248"/>
      <c r="F18" s="248"/>
      <c r="G18" s="248"/>
      <c r="H18" s="248"/>
      <c r="I18" s="248"/>
      <c r="J18" s="248"/>
      <c r="K18" s="248"/>
      <c r="L18" s="8" t="s">
        <v>5709</v>
      </c>
      <c r="M18" s="264">
        <v>1310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34138</v>
      </c>
    </row>
    <row r="19" spans="1:47" ht="13.5" thickBot="1">
      <c r="A19" s="6"/>
      <c r="B19" s="1"/>
      <c r="C19" s="1"/>
      <c r="D19" s="248" t="s">
        <v>196</v>
      </c>
      <c r="E19" s="248"/>
      <c r="F19" s="248"/>
      <c r="G19" s="248"/>
      <c r="H19" s="248"/>
      <c r="I19" s="248"/>
      <c r="J19" s="248"/>
      <c r="K19" s="248"/>
      <c r="L19" s="8" t="s">
        <v>5709</v>
      </c>
      <c r="M19" s="264">
        <v>1310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86.58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79.09</v>
      </c>
    </row>
    <row r="22" spans="1:47" ht="8.85" customHeight="1" thickBot="1">
      <c r="A22" s="6"/>
      <c r="B22" s="1"/>
      <c r="C22" s="1"/>
      <c r="D22" s="248" t="s">
        <v>205</v>
      </c>
      <c r="E22" s="248"/>
      <c r="F22" s="248"/>
      <c r="G22" s="248"/>
      <c r="H22" s="248"/>
      <c r="I22" s="248"/>
      <c r="J22" s="248"/>
      <c r="K22" s="248"/>
      <c r="L22" s="247" t="s">
        <v>5709</v>
      </c>
      <c r="M22" s="259">
        <v>30956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34138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34397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5924</v>
      </c>
      <c r="G49" s="238"/>
      <c r="H49" s="238"/>
      <c r="I49" s="238"/>
      <c r="J49" s="10" t="s">
        <v>5925</v>
      </c>
      <c r="K49" s="238" t="s">
        <v>5926</v>
      </c>
      <c r="L49" s="238"/>
      <c r="M49" s="238"/>
      <c r="N49" s="238" t="s">
        <v>5927</v>
      </c>
      <c r="O49" s="238"/>
      <c r="P49" s="238"/>
      <c r="Q49" s="238" t="s">
        <v>5928</v>
      </c>
      <c r="R49" s="238"/>
      <c r="S49" s="238"/>
      <c r="T49" s="238"/>
      <c r="U49" s="238"/>
      <c r="V49" s="238"/>
      <c r="W49" s="238" t="s">
        <v>5929</v>
      </c>
      <c r="X49" s="238"/>
      <c r="Y49" s="10" t="s">
        <v>5930</v>
      </c>
      <c r="Z49" s="10" t="s">
        <v>5931</v>
      </c>
      <c r="AA49" s="238" t="s">
        <v>5932</v>
      </c>
      <c r="AB49" s="238"/>
      <c r="AC49" s="238"/>
      <c r="AD49" s="238"/>
      <c r="AE49" s="10" t="s">
        <v>5933</v>
      </c>
      <c r="AF49" s="237" t="s">
        <v>5934</v>
      </c>
      <c r="AG49" s="237"/>
      <c r="AH49" s="237"/>
      <c r="AI49" s="237"/>
      <c r="AJ49" s="2"/>
      <c r="AK49" s="2"/>
      <c r="AL49" s="2"/>
      <c r="AM49" s="2"/>
      <c r="AN49" s="7"/>
    </row>
    <row r="50" spans="1:40" ht="13.5" thickBot="1">
      <c r="A50" s="6"/>
      <c r="B50" s="2"/>
      <c r="C50" s="2"/>
      <c r="D50" s="244" t="s">
        <v>261</v>
      </c>
      <c r="E50" s="244"/>
      <c r="F50" s="238" t="s">
        <v>6258</v>
      </c>
      <c r="G50" s="238"/>
      <c r="H50" s="238"/>
      <c r="I50" s="238"/>
      <c r="J50" s="10" t="s">
        <v>5935</v>
      </c>
      <c r="K50" s="238" t="s">
        <v>4117</v>
      </c>
      <c r="L50" s="238"/>
      <c r="M50" s="238"/>
      <c r="N50" s="238" t="s">
        <v>5936</v>
      </c>
      <c r="O50" s="238"/>
      <c r="P50" s="238"/>
      <c r="Q50" s="238" t="s">
        <v>5937</v>
      </c>
      <c r="R50" s="238"/>
      <c r="S50" s="238"/>
      <c r="T50" s="238"/>
      <c r="U50" s="238"/>
      <c r="V50" s="238"/>
      <c r="W50" s="238" t="s">
        <v>3898</v>
      </c>
      <c r="X50" s="238"/>
      <c r="Y50" s="10" t="s">
        <v>6956</v>
      </c>
      <c r="Z50" s="10" t="s">
        <v>7052</v>
      </c>
      <c r="AA50" s="238" t="s">
        <v>5938</v>
      </c>
      <c r="AB50" s="238"/>
      <c r="AC50" s="238"/>
      <c r="AD50" s="238"/>
      <c r="AE50" s="10" t="s">
        <v>2690</v>
      </c>
      <c r="AF50" s="237" t="s">
        <v>5939</v>
      </c>
      <c r="AG50" s="237"/>
      <c r="AH50" s="237"/>
      <c r="AI50" s="237"/>
      <c r="AJ50" s="2"/>
      <c r="AK50" s="2"/>
      <c r="AL50" s="2"/>
      <c r="AM50" s="2"/>
      <c r="AN50" s="7"/>
    </row>
    <row r="51" spans="1:40" ht="13.5" thickBot="1">
      <c r="A51" s="6"/>
      <c r="B51" s="2"/>
      <c r="C51" s="2"/>
      <c r="D51" s="244" t="s">
        <v>273</v>
      </c>
      <c r="E51" s="244"/>
      <c r="F51" s="238" t="s">
        <v>7065</v>
      </c>
      <c r="G51" s="238"/>
      <c r="H51" s="238"/>
      <c r="I51" s="238"/>
      <c r="J51" s="10" t="s">
        <v>6394</v>
      </c>
      <c r="K51" s="238" t="s">
        <v>5152</v>
      </c>
      <c r="L51" s="238"/>
      <c r="M51" s="238"/>
      <c r="N51" s="238" t="s">
        <v>5940</v>
      </c>
      <c r="O51" s="238"/>
      <c r="P51" s="238"/>
      <c r="Q51" s="238" t="s">
        <v>6086</v>
      </c>
      <c r="R51" s="238"/>
      <c r="S51" s="238"/>
      <c r="T51" s="238"/>
      <c r="U51" s="238"/>
      <c r="V51" s="238"/>
      <c r="W51" s="238" t="s">
        <v>1126</v>
      </c>
      <c r="X51" s="238"/>
      <c r="Y51" s="10" t="s">
        <v>469</v>
      </c>
      <c r="Z51" s="10" t="s">
        <v>4877</v>
      </c>
      <c r="AA51" s="238" t="s">
        <v>6086</v>
      </c>
      <c r="AB51" s="238"/>
      <c r="AC51" s="238"/>
      <c r="AD51" s="238"/>
      <c r="AE51" s="10" t="s">
        <v>5941</v>
      </c>
      <c r="AF51" s="237" t="s">
        <v>1357</v>
      </c>
      <c r="AG51" s="237"/>
      <c r="AH51" s="237"/>
      <c r="AI51" s="237"/>
      <c r="AJ51" s="2"/>
      <c r="AK51" s="2"/>
      <c r="AL51" s="2"/>
      <c r="AM51" s="2"/>
      <c r="AN51" s="7"/>
    </row>
    <row r="52" spans="1:40" ht="13.5" thickBot="1">
      <c r="A52" s="6"/>
      <c r="B52" s="2"/>
      <c r="C52" s="2"/>
      <c r="D52" s="244" t="s">
        <v>285</v>
      </c>
      <c r="E52" s="244"/>
      <c r="F52" s="238" t="s">
        <v>6410</v>
      </c>
      <c r="G52" s="238"/>
      <c r="H52" s="238"/>
      <c r="I52" s="238"/>
      <c r="J52" s="10" t="s">
        <v>5935</v>
      </c>
      <c r="K52" s="238" t="s">
        <v>4944</v>
      </c>
      <c r="L52" s="238"/>
      <c r="M52" s="238"/>
      <c r="N52" s="238" t="s">
        <v>5942</v>
      </c>
      <c r="O52" s="238"/>
      <c r="P52" s="238"/>
      <c r="Q52" s="238" t="s">
        <v>5943</v>
      </c>
      <c r="R52" s="238"/>
      <c r="S52" s="238"/>
      <c r="T52" s="238"/>
      <c r="U52" s="238"/>
      <c r="V52" s="238"/>
      <c r="W52" s="238" t="s">
        <v>5944</v>
      </c>
      <c r="X52" s="238"/>
      <c r="Y52" s="10" t="s">
        <v>1877</v>
      </c>
      <c r="Z52" s="10" t="s">
        <v>6993</v>
      </c>
      <c r="AA52" s="238" t="s">
        <v>5945</v>
      </c>
      <c r="AB52" s="238"/>
      <c r="AC52" s="238"/>
      <c r="AD52" s="238"/>
      <c r="AE52" s="10" t="s">
        <v>3887</v>
      </c>
      <c r="AF52" s="237" t="s">
        <v>3279</v>
      </c>
      <c r="AG52" s="237"/>
      <c r="AH52" s="237"/>
      <c r="AI52" s="237"/>
      <c r="AJ52" s="2"/>
      <c r="AK52" s="2"/>
      <c r="AL52" s="2"/>
      <c r="AM52" s="2"/>
      <c r="AN52" s="7"/>
    </row>
    <row r="53" spans="1:40" ht="13.5" thickBot="1">
      <c r="A53" s="6"/>
      <c r="B53" s="2"/>
      <c r="C53" s="2"/>
      <c r="D53" s="244" t="s">
        <v>295</v>
      </c>
      <c r="E53" s="244"/>
      <c r="F53" s="238" t="s">
        <v>3518</v>
      </c>
      <c r="G53" s="238"/>
      <c r="H53" s="238"/>
      <c r="I53" s="238"/>
      <c r="J53" s="10" t="s">
        <v>5739</v>
      </c>
      <c r="K53" s="238" t="s">
        <v>5946</v>
      </c>
      <c r="L53" s="238"/>
      <c r="M53" s="238"/>
      <c r="N53" s="238" t="s">
        <v>4891</v>
      </c>
      <c r="O53" s="238"/>
      <c r="P53" s="238"/>
      <c r="Q53" s="238" t="s">
        <v>5493</v>
      </c>
      <c r="R53" s="238"/>
      <c r="S53" s="238"/>
      <c r="T53" s="238"/>
      <c r="U53" s="238"/>
      <c r="V53" s="238"/>
      <c r="W53" s="238" t="s">
        <v>6900</v>
      </c>
      <c r="X53" s="238"/>
      <c r="Y53" s="10" t="s">
        <v>6328</v>
      </c>
      <c r="Z53" s="10" t="s">
        <v>6460</v>
      </c>
      <c r="AA53" s="238" t="s">
        <v>6847</v>
      </c>
      <c r="AB53" s="238"/>
      <c r="AC53" s="238"/>
      <c r="AD53" s="238"/>
      <c r="AE53" s="10" t="s">
        <v>7080</v>
      </c>
      <c r="AF53" s="237" t="s">
        <v>6016</v>
      </c>
      <c r="AG53" s="237"/>
      <c r="AH53" s="237"/>
      <c r="AI53" s="237"/>
      <c r="AJ53" s="2"/>
      <c r="AK53" s="2"/>
      <c r="AL53" s="2"/>
      <c r="AM53" s="2"/>
      <c r="AN53" s="7"/>
    </row>
    <row r="54" spans="1:40" ht="13.5" thickBot="1">
      <c r="A54" s="6"/>
      <c r="B54" s="2"/>
      <c r="C54" s="2"/>
      <c r="D54" s="244" t="s">
        <v>307</v>
      </c>
      <c r="E54" s="244"/>
      <c r="F54" s="238" t="s">
        <v>7069</v>
      </c>
      <c r="G54" s="238"/>
      <c r="H54" s="238"/>
      <c r="I54" s="238"/>
      <c r="J54" s="10" t="s">
        <v>365</v>
      </c>
      <c r="K54" s="238" t="s">
        <v>5947</v>
      </c>
      <c r="L54" s="238"/>
      <c r="M54" s="238"/>
      <c r="N54" s="238" t="s">
        <v>5948</v>
      </c>
      <c r="O54" s="238"/>
      <c r="P54" s="238"/>
      <c r="Q54" s="238" t="s">
        <v>2736</v>
      </c>
      <c r="R54" s="238"/>
      <c r="S54" s="238"/>
      <c r="T54" s="238"/>
      <c r="U54" s="238"/>
      <c r="V54" s="238"/>
      <c r="W54" s="238" t="s">
        <v>581</v>
      </c>
      <c r="X54" s="238"/>
      <c r="Y54" s="10" t="s">
        <v>3012</v>
      </c>
      <c r="Z54" s="10" t="s">
        <v>2731</v>
      </c>
      <c r="AA54" s="238" t="s">
        <v>3105</v>
      </c>
      <c r="AB54" s="238"/>
      <c r="AC54" s="238"/>
      <c r="AD54" s="238"/>
      <c r="AE54" s="10" t="s">
        <v>1911</v>
      </c>
      <c r="AF54" s="237" t="s">
        <v>2719</v>
      </c>
      <c r="AG54" s="237"/>
      <c r="AH54" s="237"/>
      <c r="AI54" s="237"/>
      <c r="AJ54" s="2"/>
      <c r="AK54" s="2"/>
      <c r="AL54" s="2"/>
      <c r="AM54" s="2"/>
      <c r="AN54" s="7"/>
    </row>
    <row r="55" spans="1:40" ht="13.5" thickBot="1">
      <c r="A55" s="6"/>
      <c r="B55" s="2"/>
      <c r="C55" s="2"/>
      <c r="D55" s="244" t="s">
        <v>319</v>
      </c>
      <c r="E55" s="244"/>
      <c r="F55" s="237" t="s">
        <v>5949</v>
      </c>
      <c r="G55" s="237"/>
      <c r="H55" s="237"/>
      <c r="I55" s="237"/>
      <c r="J55" s="11" t="s">
        <v>1242</v>
      </c>
      <c r="K55" s="237" t="s">
        <v>5950</v>
      </c>
      <c r="L55" s="237"/>
      <c r="M55" s="237"/>
      <c r="N55" s="237" t="s">
        <v>5951</v>
      </c>
      <c r="O55" s="237"/>
      <c r="P55" s="237"/>
      <c r="Q55" s="237" t="s">
        <v>477</v>
      </c>
      <c r="R55" s="237"/>
      <c r="S55" s="237"/>
      <c r="T55" s="237"/>
      <c r="U55" s="237"/>
      <c r="V55" s="237"/>
      <c r="W55" s="237" t="s">
        <v>5952</v>
      </c>
      <c r="X55" s="237"/>
      <c r="Y55" s="11" t="s">
        <v>1911</v>
      </c>
      <c r="Z55" s="11" t="s">
        <v>5953</v>
      </c>
      <c r="AA55" s="237" t="s">
        <v>3225</v>
      </c>
      <c r="AB55" s="237"/>
      <c r="AC55" s="237"/>
      <c r="AD55" s="237"/>
      <c r="AE55" s="11" t="s">
        <v>1447</v>
      </c>
      <c r="AF55" s="237" t="s">
        <v>5954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5955</v>
      </c>
      <c r="E7" s="269"/>
      <c r="F7" s="269"/>
      <c r="G7" s="269"/>
      <c r="H7" s="269" t="s">
        <v>5956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GRAVELINES-1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29293</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77.63</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79.47</v>
      </c>
    </row>
    <row r="22" spans="1:47" ht="8.85" customHeight="1" thickBot="1">
      <c r="A22" s="6"/>
      <c r="B22" s="1"/>
      <c r="C22" s="1"/>
      <c r="D22" s="248" t="s">
        <v>205</v>
      </c>
      <c r="E22" s="248"/>
      <c r="F22" s="248"/>
      <c r="G22" s="248"/>
      <c r="H22" s="248"/>
      <c r="I22" s="248"/>
      <c r="J22" s="248"/>
      <c r="K22" s="248"/>
      <c r="L22" s="247" t="s">
        <v>5709</v>
      </c>
      <c r="M22" s="259">
        <v>27426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29293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29550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5957</v>
      </c>
      <c r="G49" s="238"/>
      <c r="H49" s="238"/>
      <c r="I49" s="238"/>
      <c r="J49" s="10" t="s">
        <v>5958</v>
      </c>
      <c r="K49" s="238" t="s">
        <v>5959</v>
      </c>
      <c r="L49" s="238"/>
      <c r="M49" s="238"/>
      <c r="N49" s="238" t="s">
        <v>5960</v>
      </c>
      <c r="O49" s="238"/>
      <c r="P49" s="238"/>
      <c r="Q49" s="238" t="s">
        <v>5961</v>
      </c>
      <c r="R49" s="238"/>
      <c r="S49" s="238"/>
      <c r="T49" s="238"/>
      <c r="U49" s="238"/>
      <c r="V49" s="238"/>
      <c r="W49" s="238" t="s">
        <v>5962</v>
      </c>
      <c r="X49" s="238"/>
      <c r="Y49" s="10" t="s">
        <v>5963</v>
      </c>
      <c r="Z49" s="10" t="s">
        <v>5964</v>
      </c>
      <c r="AA49" s="238" t="s">
        <v>5965</v>
      </c>
      <c r="AB49" s="238"/>
      <c r="AC49" s="238"/>
      <c r="AD49" s="238"/>
      <c r="AE49" s="10" t="s">
        <v>5966</v>
      </c>
      <c r="AF49" s="237" t="s">
        <v>5967</v>
      </c>
      <c r="AG49" s="237"/>
      <c r="AH49" s="237"/>
      <c r="AI49" s="237"/>
      <c r="AJ49" s="2"/>
      <c r="AK49" s="2"/>
      <c r="AL49" s="2"/>
      <c r="AM49" s="2"/>
      <c r="AN49" s="7"/>
    </row>
    <row r="50" spans="1:40" ht="13.5" thickBot="1">
      <c r="A50" s="6"/>
      <c r="B50" s="2"/>
      <c r="C50" s="2"/>
      <c r="D50" s="244" t="s">
        <v>261</v>
      </c>
      <c r="E50" s="244"/>
      <c r="F50" s="238" t="s">
        <v>1213</v>
      </c>
      <c r="G50" s="238"/>
      <c r="H50" s="238"/>
      <c r="I50" s="238"/>
      <c r="J50" s="10" t="s">
        <v>4652</v>
      </c>
      <c r="K50" s="238" t="s">
        <v>5968</v>
      </c>
      <c r="L50" s="238"/>
      <c r="M50" s="238"/>
      <c r="N50" s="238" t="s">
        <v>6339</v>
      </c>
      <c r="O50" s="238"/>
      <c r="P50" s="238"/>
      <c r="Q50" s="238" t="s">
        <v>5254</v>
      </c>
      <c r="R50" s="238"/>
      <c r="S50" s="238"/>
      <c r="T50" s="238"/>
      <c r="U50" s="238"/>
      <c r="V50" s="238"/>
      <c r="W50" s="238" t="s">
        <v>1907</v>
      </c>
      <c r="X50" s="238"/>
      <c r="Y50" s="10" t="s">
        <v>6860</v>
      </c>
      <c r="Z50" s="10" t="s">
        <v>2965</v>
      </c>
      <c r="AA50" s="238" t="s">
        <v>6661</v>
      </c>
      <c r="AB50" s="238"/>
      <c r="AC50" s="238"/>
      <c r="AD50" s="238"/>
      <c r="AE50" s="10" t="s">
        <v>5969</v>
      </c>
      <c r="AF50" s="237" t="s">
        <v>5970</v>
      </c>
      <c r="AG50" s="237"/>
      <c r="AH50" s="237"/>
      <c r="AI50" s="237"/>
      <c r="AJ50" s="2"/>
      <c r="AK50" s="2"/>
      <c r="AL50" s="2"/>
      <c r="AM50" s="2"/>
      <c r="AN50" s="7"/>
    </row>
    <row r="51" spans="1:40" ht="13.5" thickBot="1">
      <c r="A51" s="6"/>
      <c r="B51" s="2"/>
      <c r="C51" s="2"/>
      <c r="D51" s="244" t="s">
        <v>273</v>
      </c>
      <c r="E51" s="244"/>
      <c r="F51" s="238" t="s">
        <v>5971</v>
      </c>
      <c r="G51" s="238"/>
      <c r="H51" s="238"/>
      <c r="I51" s="238"/>
      <c r="J51" s="10" t="s">
        <v>6064</v>
      </c>
      <c r="K51" s="238" t="s">
        <v>5972</v>
      </c>
      <c r="L51" s="238"/>
      <c r="M51" s="238"/>
      <c r="N51" s="238" t="s">
        <v>4212</v>
      </c>
      <c r="O51" s="238"/>
      <c r="P51" s="238"/>
      <c r="Q51" s="238" t="s">
        <v>5973</v>
      </c>
      <c r="R51" s="238"/>
      <c r="S51" s="238"/>
      <c r="T51" s="238"/>
      <c r="U51" s="238"/>
      <c r="V51" s="238"/>
      <c r="W51" s="238" t="s">
        <v>5974</v>
      </c>
      <c r="X51" s="238"/>
      <c r="Y51" s="10" t="s">
        <v>5975</v>
      </c>
      <c r="Z51" s="10" t="s">
        <v>4167</v>
      </c>
      <c r="AA51" s="238" t="s">
        <v>5976</v>
      </c>
      <c r="AB51" s="238"/>
      <c r="AC51" s="238"/>
      <c r="AD51" s="238"/>
      <c r="AE51" s="10" t="s">
        <v>5361</v>
      </c>
      <c r="AF51" s="237" t="s">
        <v>5977</v>
      </c>
      <c r="AG51" s="237"/>
      <c r="AH51" s="237"/>
      <c r="AI51" s="237"/>
      <c r="AJ51" s="2"/>
      <c r="AK51" s="2"/>
      <c r="AL51" s="2"/>
      <c r="AM51" s="2"/>
      <c r="AN51" s="7"/>
    </row>
    <row r="52" spans="1:40" ht="13.5" thickBot="1">
      <c r="A52" s="6"/>
      <c r="B52" s="2"/>
      <c r="C52" s="2"/>
      <c r="D52" s="244" t="s">
        <v>285</v>
      </c>
      <c r="E52" s="244"/>
      <c r="F52" s="238" t="s">
        <v>660</v>
      </c>
      <c r="G52" s="238"/>
      <c r="H52" s="238"/>
      <c r="I52" s="238"/>
      <c r="J52" s="10" t="s">
        <v>6517</v>
      </c>
      <c r="K52" s="238" t="s">
        <v>3268</v>
      </c>
      <c r="L52" s="238"/>
      <c r="M52" s="238"/>
      <c r="N52" s="238" t="s">
        <v>6363</v>
      </c>
      <c r="O52" s="238"/>
      <c r="P52" s="238"/>
      <c r="Q52" s="238" t="s">
        <v>5978</v>
      </c>
      <c r="R52" s="238"/>
      <c r="S52" s="238"/>
      <c r="T52" s="238"/>
      <c r="U52" s="238"/>
      <c r="V52" s="238"/>
      <c r="W52" s="238" t="s">
        <v>1231</v>
      </c>
      <c r="X52" s="238"/>
      <c r="Y52" s="10" t="s">
        <v>1837</v>
      </c>
      <c r="Z52" s="10" t="s">
        <v>5979</v>
      </c>
      <c r="AA52" s="238" t="s">
        <v>5980</v>
      </c>
      <c r="AB52" s="238"/>
      <c r="AC52" s="238"/>
      <c r="AD52" s="238"/>
      <c r="AE52" s="10" t="s">
        <v>6429</v>
      </c>
      <c r="AF52" s="237" t="s">
        <v>5157</v>
      </c>
      <c r="AG52" s="237"/>
      <c r="AH52" s="237"/>
      <c r="AI52" s="237"/>
      <c r="AJ52" s="2"/>
      <c r="AK52" s="2"/>
      <c r="AL52" s="2"/>
      <c r="AM52" s="2"/>
      <c r="AN52" s="7"/>
    </row>
    <row r="53" spans="1:40" ht="13.5" thickBot="1">
      <c r="A53" s="6"/>
      <c r="B53" s="2"/>
      <c r="C53" s="2"/>
      <c r="D53" s="244" t="s">
        <v>295</v>
      </c>
      <c r="E53" s="244"/>
      <c r="F53" s="238" t="s">
        <v>2949</v>
      </c>
      <c r="G53" s="238"/>
      <c r="H53" s="238"/>
      <c r="I53" s="238"/>
      <c r="J53" s="10" t="s">
        <v>2860</v>
      </c>
      <c r="K53" s="238" t="s">
        <v>6458</v>
      </c>
      <c r="L53" s="238"/>
      <c r="M53" s="238"/>
      <c r="N53" s="238" t="s">
        <v>5981</v>
      </c>
      <c r="O53" s="238"/>
      <c r="P53" s="238"/>
      <c r="Q53" s="238" t="s">
        <v>4038</v>
      </c>
      <c r="R53" s="238"/>
      <c r="S53" s="238"/>
      <c r="T53" s="238"/>
      <c r="U53" s="238"/>
      <c r="V53" s="238"/>
      <c r="W53" s="238" t="s">
        <v>1005</v>
      </c>
      <c r="X53" s="238"/>
      <c r="Y53" s="10" t="s">
        <v>6904</v>
      </c>
      <c r="Z53" s="10" t="s">
        <v>379</v>
      </c>
      <c r="AA53" s="238" t="s">
        <v>6015</v>
      </c>
      <c r="AB53" s="238"/>
      <c r="AC53" s="238"/>
      <c r="AD53" s="238"/>
      <c r="AE53" s="10" t="s">
        <v>5040</v>
      </c>
      <c r="AF53" s="237" t="s">
        <v>5874</v>
      </c>
      <c r="AG53" s="237"/>
      <c r="AH53" s="237"/>
      <c r="AI53" s="237"/>
      <c r="AJ53" s="2"/>
      <c r="AK53" s="2"/>
      <c r="AL53" s="2"/>
      <c r="AM53" s="2"/>
      <c r="AN53" s="7"/>
    </row>
    <row r="54" spans="1:40" ht="13.5" thickBot="1">
      <c r="A54" s="6"/>
      <c r="B54" s="2"/>
      <c r="C54" s="2"/>
      <c r="D54" s="244" t="s">
        <v>307</v>
      </c>
      <c r="E54" s="244"/>
      <c r="F54" s="238" t="s">
        <v>5982</v>
      </c>
      <c r="G54" s="238"/>
      <c r="H54" s="238"/>
      <c r="I54" s="238"/>
      <c r="J54" s="10" t="s">
        <v>5983</v>
      </c>
      <c r="K54" s="238" t="s">
        <v>1168</v>
      </c>
      <c r="L54" s="238"/>
      <c r="M54" s="238"/>
      <c r="N54" s="238" t="s">
        <v>863</v>
      </c>
      <c r="O54" s="238"/>
      <c r="P54" s="238"/>
      <c r="Q54" s="238" t="s">
        <v>6664</v>
      </c>
      <c r="R54" s="238"/>
      <c r="S54" s="238"/>
      <c r="T54" s="238"/>
      <c r="U54" s="238"/>
      <c r="V54" s="238"/>
      <c r="W54" s="238" t="s">
        <v>1912</v>
      </c>
      <c r="X54" s="238"/>
      <c r="Y54" s="10" t="s">
        <v>4140</v>
      </c>
      <c r="Z54" s="10" t="s">
        <v>6032</v>
      </c>
      <c r="AA54" s="238" t="s">
        <v>6605</v>
      </c>
      <c r="AB54" s="238"/>
      <c r="AC54" s="238"/>
      <c r="AD54" s="238"/>
      <c r="AE54" s="10" t="s">
        <v>6342</v>
      </c>
      <c r="AF54" s="237" t="s">
        <v>4056</v>
      </c>
      <c r="AG54" s="237"/>
      <c r="AH54" s="237"/>
      <c r="AI54" s="237"/>
      <c r="AJ54" s="2"/>
      <c r="AK54" s="2"/>
      <c r="AL54" s="2"/>
      <c r="AM54" s="2"/>
      <c r="AN54" s="7"/>
    </row>
    <row r="55" spans="1:40" ht="13.5" thickBot="1">
      <c r="A55" s="6"/>
      <c r="B55" s="2"/>
      <c r="C55" s="2"/>
      <c r="D55" s="244" t="s">
        <v>319</v>
      </c>
      <c r="E55" s="244"/>
      <c r="F55" s="237" t="s">
        <v>6610</v>
      </c>
      <c r="G55" s="237"/>
      <c r="H55" s="237"/>
      <c r="I55" s="237"/>
      <c r="J55" s="11" t="s">
        <v>5984</v>
      </c>
      <c r="K55" s="237" t="s">
        <v>5985</v>
      </c>
      <c r="L55" s="237"/>
      <c r="M55" s="237"/>
      <c r="N55" s="237" t="s">
        <v>512</v>
      </c>
      <c r="O55" s="237"/>
      <c r="P55" s="237"/>
      <c r="Q55" s="237" t="s">
        <v>4565</v>
      </c>
      <c r="R55" s="237"/>
      <c r="S55" s="237"/>
      <c r="T55" s="237"/>
      <c r="U55" s="237"/>
      <c r="V55" s="237"/>
      <c r="W55" s="237" t="s">
        <v>1905</v>
      </c>
      <c r="X55" s="237"/>
      <c r="Y55" s="11" t="s">
        <v>1429</v>
      </c>
      <c r="Z55" s="11" t="s">
        <v>5986</v>
      </c>
      <c r="AA55" s="237" t="s">
        <v>5987</v>
      </c>
      <c r="AB55" s="237"/>
      <c r="AC55" s="237"/>
      <c r="AD55" s="237"/>
      <c r="AE55" s="11" t="s">
        <v>5988</v>
      </c>
      <c r="AF55" s="237" t="s">
        <v>5989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5990</v>
      </c>
      <c r="E7" s="269"/>
      <c r="F7" s="269"/>
      <c r="G7" s="269"/>
      <c r="H7" s="269" t="s">
        <v>5991</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GRAVELINES-2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29459</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83.07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65.52</v>
      </c>
    </row>
    <row r="22" spans="1:47" ht="8.85" customHeight="1" thickBot="1">
      <c r="A22" s="6"/>
      <c r="B22" s="1"/>
      <c r="C22" s="1"/>
      <c r="D22" s="248" t="s">
        <v>205</v>
      </c>
      <c r="E22" s="248"/>
      <c r="F22" s="248"/>
      <c r="G22" s="248"/>
      <c r="H22" s="248"/>
      <c r="I22" s="248"/>
      <c r="J22" s="248"/>
      <c r="K22" s="248"/>
      <c r="L22" s="247" t="s">
        <v>5709</v>
      </c>
      <c r="M22" s="259">
        <v>27454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29459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29556</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5992</v>
      </c>
      <c r="G49" s="238"/>
      <c r="H49" s="238"/>
      <c r="I49" s="238"/>
      <c r="J49" s="10" t="s">
        <v>5993</v>
      </c>
      <c r="K49" s="238" t="s">
        <v>1986</v>
      </c>
      <c r="L49" s="238"/>
      <c r="M49" s="238"/>
      <c r="N49" s="238" t="s">
        <v>1987</v>
      </c>
      <c r="O49" s="238"/>
      <c r="P49" s="238"/>
      <c r="Q49" s="238" t="s">
        <v>1988</v>
      </c>
      <c r="R49" s="238"/>
      <c r="S49" s="238"/>
      <c r="T49" s="238"/>
      <c r="U49" s="238"/>
      <c r="V49" s="238"/>
      <c r="W49" s="238" t="s">
        <v>1989</v>
      </c>
      <c r="X49" s="238"/>
      <c r="Y49" s="10" t="s">
        <v>1990</v>
      </c>
      <c r="Z49" s="10" t="s">
        <v>1991</v>
      </c>
      <c r="AA49" s="238" t="s">
        <v>1992</v>
      </c>
      <c r="AB49" s="238"/>
      <c r="AC49" s="238"/>
      <c r="AD49" s="238"/>
      <c r="AE49" s="10" t="s">
        <v>1993</v>
      </c>
      <c r="AF49" s="237" t="s">
        <v>1994</v>
      </c>
      <c r="AG49" s="237"/>
      <c r="AH49" s="237"/>
      <c r="AI49" s="237"/>
      <c r="AJ49" s="2"/>
      <c r="AK49" s="2"/>
      <c r="AL49" s="2"/>
      <c r="AM49" s="2"/>
      <c r="AN49" s="7"/>
    </row>
    <row r="50" spans="1:40" ht="13.5" thickBot="1">
      <c r="A50" s="6"/>
      <c r="B50" s="2"/>
      <c r="C50" s="2"/>
      <c r="D50" s="244" t="s">
        <v>261</v>
      </c>
      <c r="E50" s="244"/>
      <c r="F50" s="238" t="s">
        <v>1995</v>
      </c>
      <c r="G50" s="238"/>
      <c r="H50" s="238"/>
      <c r="I50" s="238"/>
      <c r="J50" s="10" t="s">
        <v>747</v>
      </c>
      <c r="K50" s="238" t="s">
        <v>6365</v>
      </c>
      <c r="L50" s="238"/>
      <c r="M50" s="238"/>
      <c r="N50" s="238" t="s">
        <v>1996</v>
      </c>
      <c r="O50" s="238"/>
      <c r="P50" s="238"/>
      <c r="Q50" s="238" t="s">
        <v>5410</v>
      </c>
      <c r="R50" s="238"/>
      <c r="S50" s="238"/>
      <c r="T50" s="238"/>
      <c r="U50" s="238"/>
      <c r="V50" s="238"/>
      <c r="W50" s="238" t="s">
        <v>149</v>
      </c>
      <c r="X50" s="238"/>
      <c r="Y50" s="10" t="s">
        <v>4225</v>
      </c>
      <c r="Z50" s="10" t="s">
        <v>3517</v>
      </c>
      <c r="AA50" s="238" t="s">
        <v>3561</v>
      </c>
      <c r="AB50" s="238"/>
      <c r="AC50" s="238"/>
      <c r="AD50" s="238"/>
      <c r="AE50" s="10" t="s">
        <v>1997</v>
      </c>
      <c r="AF50" s="237" t="s">
        <v>4603</v>
      </c>
      <c r="AG50" s="237"/>
      <c r="AH50" s="237"/>
      <c r="AI50" s="237"/>
      <c r="AJ50" s="2"/>
      <c r="AK50" s="2"/>
      <c r="AL50" s="2"/>
      <c r="AM50" s="2"/>
      <c r="AN50" s="7"/>
    </row>
    <row r="51" spans="1:40" ht="13.5" thickBot="1">
      <c r="A51" s="6"/>
      <c r="B51" s="2"/>
      <c r="C51" s="2"/>
      <c r="D51" s="244" t="s">
        <v>273</v>
      </c>
      <c r="E51" s="244"/>
      <c r="F51" s="238" t="s">
        <v>3448</v>
      </c>
      <c r="G51" s="238"/>
      <c r="H51" s="238"/>
      <c r="I51" s="238"/>
      <c r="J51" s="10" t="s">
        <v>1998</v>
      </c>
      <c r="K51" s="238" t="s">
        <v>6073</v>
      </c>
      <c r="L51" s="238"/>
      <c r="M51" s="238"/>
      <c r="N51" s="238" t="s">
        <v>1437</v>
      </c>
      <c r="O51" s="238"/>
      <c r="P51" s="238"/>
      <c r="Q51" s="238" t="s">
        <v>1999</v>
      </c>
      <c r="R51" s="238"/>
      <c r="S51" s="238"/>
      <c r="T51" s="238"/>
      <c r="U51" s="238"/>
      <c r="V51" s="238"/>
      <c r="W51" s="238" t="s">
        <v>3568</v>
      </c>
      <c r="X51" s="238"/>
      <c r="Y51" s="10" t="s">
        <v>2000</v>
      </c>
      <c r="Z51" s="10" t="s">
        <v>2001</v>
      </c>
      <c r="AA51" s="238" t="s">
        <v>692</v>
      </c>
      <c r="AB51" s="238"/>
      <c r="AC51" s="238"/>
      <c r="AD51" s="238"/>
      <c r="AE51" s="10" t="s">
        <v>2002</v>
      </c>
      <c r="AF51" s="237" t="s">
        <v>859</v>
      </c>
      <c r="AG51" s="237"/>
      <c r="AH51" s="237"/>
      <c r="AI51" s="237"/>
      <c r="AJ51" s="2"/>
      <c r="AK51" s="2"/>
      <c r="AL51" s="2"/>
      <c r="AM51" s="2"/>
      <c r="AN51" s="7"/>
    </row>
    <row r="52" spans="1:40" ht="13.5" thickBot="1">
      <c r="A52" s="6"/>
      <c r="B52" s="2"/>
      <c r="C52" s="2"/>
      <c r="D52" s="244" t="s">
        <v>285</v>
      </c>
      <c r="E52" s="244"/>
      <c r="F52" s="238" t="s">
        <v>3331</v>
      </c>
      <c r="G52" s="238"/>
      <c r="H52" s="238"/>
      <c r="I52" s="238"/>
      <c r="J52" s="10" t="s">
        <v>3743</v>
      </c>
      <c r="K52" s="238" t="s">
        <v>4823</v>
      </c>
      <c r="L52" s="238"/>
      <c r="M52" s="238"/>
      <c r="N52" s="238" t="s">
        <v>3988</v>
      </c>
      <c r="O52" s="238"/>
      <c r="P52" s="238"/>
      <c r="Q52" s="238" t="s">
        <v>2968</v>
      </c>
      <c r="R52" s="238"/>
      <c r="S52" s="238"/>
      <c r="T52" s="238"/>
      <c r="U52" s="238"/>
      <c r="V52" s="238"/>
      <c r="W52" s="238" t="s">
        <v>4627</v>
      </c>
      <c r="X52" s="238"/>
      <c r="Y52" s="10" t="s">
        <v>4218</v>
      </c>
      <c r="Z52" s="10" t="s">
        <v>1053</v>
      </c>
      <c r="AA52" s="238" t="s">
        <v>3515</v>
      </c>
      <c r="AB52" s="238"/>
      <c r="AC52" s="238"/>
      <c r="AD52" s="238"/>
      <c r="AE52" s="10" t="s">
        <v>2003</v>
      </c>
      <c r="AF52" s="237" t="s">
        <v>1996</v>
      </c>
      <c r="AG52" s="237"/>
      <c r="AH52" s="237"/>
      <c r="AI52" s="237"/>
      <c r="AJ52" s="2"/>
      <c r="AK52" s="2"/>
      <c r="AL52" s="2"/>
      <c r="AM52" s="2"/>
      <c r="AN52" s="7"/>
    </row>
    <row r="53" spans="1:40" ht="13.5" thickBot="1">
      <c r="A53" s="6"/>
      <c r="B53" s="2"/>
      <c r="C53" s="2"/>
      <c r="D53" s="244" t="s">
        <v>295</v>
      </c>
      <c r="E53" s="244"/>
      <c r="F53" s="238" t="s">
        <v>2004</v>
      </c>
      <c r="G53" s="238"/>
      <c r="H53" s="238"/>
      <c r="I53" s="238"/>
      <c r="J53" s="10" t="s">
        <v>6721</v>
      </c>
      <c r="K53" s="238" t="s">
        <v>7081</v>
      </c>
      <c r="L53" s="238"/>
      <c r="M53" s="238"/>
      <c r="N53" s="238" t="s">
        <v>451</v>
      </c>
      <c r="O53" s="238"/>
      <c r="P53" s="238"/>
      <c r="Q53" s="238" t="s">
        <v>2005</v>
      </c>
      <c r="R53" s="238"/>
      <c r="S53" s="238"/>
      <c r="T53" s="238"/>
      <c r="U53" s="238"/>
      <c r="V53" s="238"/>
      <c r="W53" s="238" t="s">
        <v>1322</v>
      </c>
      <c r="X53" s="238"/>
      <c r="Y53" s="10" t="s">
        <v>578</v>
      </c>
      <c r="Z53" s="10" t="s">
        <v>5739</v>
      </c>
      <c r="AA53" s="238" t="s">
        <v>4375</v>
      </c>
      <c r="AB53" s="238"/>
      <c r="AC53" s="238"/>
      <c r="AD53" s="238"/>
      <c r="AE53" s="10" t="s">
        <v>2006</v>
      </c>
      <c r="AF53" s="237" t="s">
        <v>284</v>
      </c>
      <c r="AG53" s="237"/>
      <c r="AH53" s="237"/>
      <c r="AI53" s="237"/>
      <c r="AJ53" s="2"/>
      <c r="AK53" s="2"/>
      <c r="AL53" s="2"/>
      <c r="AM53" s="2"/>
      <c r="AN53" s="7"/>
    </row>
    <row r="54" spans="1:40" ht="13.5" thickBot="1">
      <c r="A54" s="6"/>
      <c r="B54" s="2"/>
      <c r="C54" s="2"/>
      <c r="D54" s="244" t="s">
        <v>307</v>
      </c>
      <c r="E54" s="244"/>
      <c r="F54" s="238" t="s">
        <v>2007</v>
      </c>
      <c r="G54" s="238"/>
      <c r="H54" s="238"/>
      <c r="I54" s="238"/>
      <c r="J54" s="10" t="s">
        <v>2008</v>
      </c>
      <c r="K54" s="238" t="s">
        <v>2009</v>
      </c>
      <c r="L54" s="238"/>
      <c r="M54" s="238"/>
      <c r="N54" s="238" t="s">
        <v>6429</v>
      </c>
      <c r="O54" s="238"/>
      <c r="P54" s="238"/>
      <c r="Q54" s="238" t="s">
        <v>3228</v>
      </c>
      <c r="R54" s="238"/>
      <c r="S54" s="238"/>
      <c r="T54" s="238"/>
      <c r="U54" s="238"/>
      <c r="V54" s="238"/>
      <c r="W54" s="238" t="s">
        <v>4025</v>
      </c>
      <c r="X54" s="238"/>
      <c r="Y54" s="10" t="s">
        <v>2796</v>
      </c>
      <c r="Z54" s="10" t="s">
        <v>1820</v>
      </c>
      <c r="AA54" s="238" t="s">
        <v>6152</v>
      </c>
      <c r="AB54" s="238"/>
      <c r="AC54" s="238"/>
      <c r="AD54" s="238"/>
      <c r="AE54" s="10" t="s">
        <v>2010</v>
      </c>
      <c r="AF54" s="237" t="s">
        <v>6840</v>
      </c>
      <c r="AG54" s="237"/>
      <c r="AH54" s="237"/>
      <c r="AI54" s="237"/>
      <c r="AJ54" s="2"/>
      <c r="AK54" s="2"/>
      <c r="AL54" s="2"/>
      <c r="AM54" s="2"/>
      <c r="AN54" s="7"/>
    </row>
    <row r="55" spans="1:40" ht="13.5" thickBot="1">
      <c r="A55" s="6"/>
      <c r="B55" s="2"/>
      <c r="C55" s="2"/>
      <c r="D55" s="244" t="s">
        <v>319</v>
      </c>
      <c r="E55" s="244"/>
      <c r="F55" s="237" t="s">
        <v>686</v>
      </c>
      <c r="G55" s="237"/>
      <c r="H55" s="237"/>
      <c r="I55" s="237"/>
      <c r="J55" s="11" t="s">
        <v>2011</v>
      </c>
      <c r="K55" s="237" t="s">
        <v>574</v>
      </c>
      <c r="L55" s="237"/>
      <c r="M55" s="237"/>
      <c r="N55" s="237" t="s">
        <v>2012</v>
      </c>
      <c r="O55" s="237"/>
      <c r="P55" s="237"/>
      <c r="Q55" s="237" t="s">
        <v>4139</v>
      </c>
      <c r="R55" s="237"/>
      <c r="S55" s="237"/>
      <c r="T55" s="237"/>
      <c r="U55" s="237"/>
      <c r="V55" s="237"/>
      <c r="W55" s="237" t="s">
        <v>5949</v>
      </c>
      <c r="X55" s="237"/>
      <c r="Y55" s="11" t="s">
        <v>6498</v>
      </c>
      <c r="Z55" s="11" t="s">
        <v>2013</v>
      </c>
      <c r="AA55" s="237" t="s">
        <v>6413</v>
      </c>
      <c r="AB55" s="237"/>
      <c r="AC55" s="237"/>
      <c r="AD55" s="237"/>
      <c r="AE55" s="11" t="s">
        <v>2014</v>
      </c>
      <c r="AF55" s="237" t="s">
        <v>6475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2015</v>
      </c>
      <c r="E7" s="269"/>
      <c r="F7" s="269"/>
      <c r="G7" s="269"/>
      <c r="H7" s="269" t="s">
        <v>2016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GRAVELINES-3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2878</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29567</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76.21</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71.37</v>
      </c>
    </row>
    <row r="22" spans="1:47" ht="8.85" customHeight="1" thickBot="1">
      <c r="A22" s="6"/>
      <c r="B22" s="1"/>
      <c r="C22" s="1"/>
      <c r="D22" s="248" t="s">
        <v>205</v>
      </c>
      <c r="E22" s="248"/>
      <c r="F22" s="248"/>
      <c r="G22" s="248"/>
      <c r="H22" s="248"/>
      <c r="I22" s="248"/>
      <c r="J22" s="248"/>
      <c r="K22" s="248"/>
      <c r="L22" s="247" t="s">
        <v>5709</v>
      </c>
      <c r="M22" s="259">
        <v>27729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29567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2702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29738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2017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2018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2019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2020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2021</v>
      </c>
      <c r="G49" s="238"/>
      <c r="H49" s="238"/>
      <c r="I49" s="238"/>
      <c r="J49" s="10" t="s">
        <v>2022</v>
      </c>
      <c r="K49" s="238" t="s">
        <v>2023</v>
      </c>
      <c r="L49" s="238"/>
      <c r="M49" s="238"/>
      <c r="N49" s="238" t="s">
        <v>2024</v>
      </c>
      <c r="O49" s="238"/>
      <c r="P49" s="238"/>
      <c r="Q49" s="238" t="s">
        <v>2025</v>
      </c>
      <c r="R49" s="238"/>
      <c r="S49" s="238"/>
      <c r="T49" s="238"/>
      <c r="U49" s="238"/>
      <c r="V49" s="238"/>
      <c r="W49" s="238" t="s">
        <v>2026</v>
      </c>
      <c r="X49" s="238"/>
      <c r="Y49" s="10" t="s">
        <v>2027</v>
      </c>
      <c r="Z49" s="10" t="s">
        <v>2028</v>
      </c>
      <c r="AA49" s="238" t="s">
        <v>2029</v>
      </c>
      <c r="AB49" s="238"/>
      <c r="AC49" s="238"/>
      <c r="AD49" s="238"/>
      <c r="AE49" s="10" t="s">
        <v>2030</v>
      </c>
      <c r="AF49" s="237" t="s">
        <v>2031</v>
      </c>
      <c r="AG49" s="237"/>
      <c r="AH49" s="237"/>
      <c r="AI49" s="237"/>
      <c r="AJ49" s="2"/>
      <c r="AK49" s="2"/>
      <c r="AL49" s="2"/>
      <c r="AM49" s="2"/>
      <c r="AN49" s="7"/>
    </row>
    <row r="50" spans="1:40" ht="13.5" thickBot="1">
      <c r="A50" s="6"/>
      <c r="B50" s="2"/>
      <c r="C50" s="2"/>
      <c r="D50" s="244" t="s">
        <v>261</v>
      </c>
      <c r="E50" s="244"/>
      <c r="F50" s="238" t="s">
        <v>3934</v>
      </c>
      <c r="G50" s="238"/>
      <c r="H50" s="238"/>
      <c r="I50" s="238"/>
      <c r="J50" s="10" t="s">
        <v>854</v>
      </c>
      <c r="K50" s="238" t="s">
        <v>872</v>
      </c>
      <c r="L50" s="238"/>
      <c r="M50" s="238"/>
      <c r="N50" s="238" t="s">
        <v>6448</v>
      </c>
      <c r="O50" s="238"/>
      <c r="P50" s="238"/>
      <c r="Q50" s="238" t="s">
        <v>2032</v>
      </c>
      <c r="R50" s="238"/>
      <c r="S50" s="238"/>
      <c r="T50" s="238"/>
      <c r="U50" s="238"/>
      <c r="V50" s="238"/>
      <c r="W50" s="238" t="s">
        <v>6034</v>
      </c>
      <c r="X50" s="238"/>
      <c r="Y50" s="10" t="s">
        <v>1286</v>
      </c>
      <c r="Z50" s="10" t="s">
        <v>5144</v>
      </c>
      <c r="AA50" s="238" t="s">
        <v>2033</v>
      </c>
      <c r="AB50" s="238"/>
      <c r="AC50" s="238"/>
      <c r="AD50" s="238"/>
      <c r="AE50" s="10" t="s">
        <v>3751</v>
      </c>
      <c r="AF50" s="237" t="s">
        <v>2034</v>
      </c>
      <c r="AG50" s="237"/>
      <c r="AH50" s="237"/>
      <c r="AI50" s="237"/>
      <c r="AJ50" s="2"/>
      <c r="AK50" s="2"/>
      <c r="AL50" s="2"/>
      <c r="AM50" s="2"/>
      <c r="AN50" s="7"/>
    </row>
    <row r="51" spans="1:40" ht="13.5" thickBot="1">
      <c r="A51" s="6"/>
      <c r="B51" s="2"/>
      <c r="C51" s="2"/>
      <c r="D51" s="244" t="s">
        <v>273</v>
      </c>
      <c r="E51" s="244"/>
      <c r="F51" s="238" t="s">
        <v>2035</v>
      </c>
      <c r="G51" s="238"/>
      <c r="H51" s="238"/>
      <c r="I51" s="238"/>
      <c r="J51" s="10" t="s">
        <v>2036</v>
      </c>
      <c r="K51" s="238" t="s">
        <v>2037</v>
      </c>
      <c r="L51" s="238"/>
      <c r="M51" s="238"/>
      <c r="N51" s="238" t="s">
        <v>2038</v>
      </c>
      <c r="O51" s="238"/>
      <c r="P51" s="238"/>
      <c r="Q51" s="238" t="s">
        <v>2039</v>
      </c>
      <c r="R51" s="238"/>
      <c r="S51" s="238"/>
      <c r="T51" s="238"/>
      <c r="U51" s="238"/>
      <c r="V51" s="238"/>
      <c r="W51" s="238" t="s">
        <v>50</v>
      </c>
      <c r="X51" s="238"/>
      <c r="Y51" s="10" t="s">
        <v>4106</v>
      </c>
      <c r="Z51" s="10" t="s">
        <v>2040</v>
      </c>
      <c r="AA51" s="238" t="s">
        <v>2784</v>
      </c>
      <c r="AB51" s="238"/>
      <c r="AC51" s="238"/>
      <c r="AD51" s="238"/>
      <c r="AE51" s="10" t="s">
        <v>2041</v>
      </c>
      <c r="AF51" s="237" t="s">
        <v>2042</v>
      </c>
      <c r="AG51" s="237"/>
      <c r="AH51" s="237"/>
      <c r="AI51" s="237"/>
      <c r="AJ51" s="2"/>
      <c r="AK51" s="2"/>
      <c r="AL51" s="2"/>
      <c r="AM51" s="2"/>
      <c r="AN51" s="7"/>
    </row>
    <row r="52" spans="1:40" ht="13.5" thickBot="1">
      <c r="A52" s="6"/>
      <c r="B52" s="2"/>
      <c r="C52" s="2"/>
      <c r="D52" s="244" t="s">
        <v>285</v>
      </c>
      <c r="E52" s="244"/>
      <c r="F52" s="238" t="s">
        <v>349</v>
      </c>
      <c r="G52" s="238"/>
      <c r="H52" s="238"/>
      <c r="I52" s="238"/>
      <c r="J52" s="10" t="s">
        <v>6602</v>
      </c>
      <c r="K52" s="238" t="s">
        <v>872</v>
      </c>
      <c r="L52" s="238"/>
      <c r="M52" s="238"/>
      <c r="N52" s="238" t="s">
        <v>7049</v>
      </c>
      <c r="O52" s="238"/>
      <c r="P52" s="238"/>
      <c r="Q52" s="238" t="s">
        <v>2043</v>
      </c>
      <c r="R52" s="238"/>
      <c r="S52" s="238"/>
      <c r="T52" s="238"/>
      <c r="U52" s="238"/>
      <c r="V52" s="238"/>
      <c r="W52" s="238" t="s">
        <v>4837</v>
      </c>
      <c r="X52" s="238"/>
      <c r="Y52" s="10" t="s">
        <v>618</v>
      </c>
      <c r="Z52" s="10" t="s">
        <v>3475</v>
      </c>
      <c r="AA52" s="238" t="s">
        <v>1481</v>
      </c>
      <c r="AB52" s="238"/>
      <c r="AC52" s="238"/>
      <c r="AD52" s="238"/>
      <c r="AE52" s="10" t="s">
        <v>2044</v>
      </c>
      <c r="AF52" s="237" t="s">
        <v>6471</v>
      </c>
      <c r="AG52" s="237"/>
      <c r="AH52" s="237"/>
      <c r="AI52" s="237"/>
      <c r="AJ52" s="2"/>
      <c r="AK52" s="2"/>
      <c r="AL52" s="2"/>
      <c r="AM52" s="2"/>
      <c r="AN52" s="7"/>
    </row>
    <row r="53" spans="1:40" ht="13.5" thickBot="1">
      <c r="A53" s="6"/>
      <c r="B53" s="2"/>
      <c r="C53" s="2"/>
      <c r="D53" s="244" t="s">
        <v>295</v>
      </c>
      <c r="E53" s="244"/>
      <c r="F53" s="238" t="s">
        <v>3518</v>
      </c>
      <c r="G53" s="238"/>
      <c r="H53" s="238"/>
      <c r="I53" s="238"/>
      <c r="J53" s="10" t="s">
        <v>658</v>
      </c>
      <c r="K53" s="238" t="s">
        <v>4619</v>
      </c>
      <c r="L53" s="238"/>
      <c r="M53" s="238"/>
      <c r="N53" s="238" t="s">
        <v>2045</v>
      </c>
      <c r="O53" s="238"/>
      <c r="P53" s="238"/>
      <c r="Q53" s="238" t="s">
        <v>3135</v>
      </c>
      <c r="R53" s="238"/>
      <c r="S53" s="238"/>
      <c r="T53" s="238"/>
      <c r="U53" s="238"/>
      <c r="V53" s="238"/>
      <c r="W53" s="238" t="s">
        <v>4575</v>
      </c>
      <c r="X53" s="238"/>
      <c r="Y53" s="10" t="s">
        <v>306</v>
      </c>
      <c r="Z53" s="10" t="s">
        <v>3452</v>
      </c>
      <c r="AA53" s="238" t="s">
        <v>2046</v>
      </c>
      <c r="AB53" s="238"/>
      <c r="AC53" s="238"/>
      <c r="AD53" s="238"/>
      <c r="AE53" s="10" t="s">
        <v>2047</v>
      </c>
      <c r="AF53" s="237" t="s">
        <v>3938</v>
      </c>
      <c r="AG53" s="237"/>
      <c r="AH53" s="237"/>
      <c r="AI53" s="237"/>
      <c r="AJ53" s="2"/>
      <c r="AK53" s="2"/>
      <c r="AL53" s="2"/>
      <c r="AM53" s="2"/>
      <c r="AN53" s="7"/>
    </row>
    <row r="54" spans="1:40" ht="13.5" thickBot="1">
      <c r="A54" s="6"/>
      <c r="B54" s="2"/>
      <c r="C54" s="2"/>
      <c r="D54" s="244" t="s">
        <v>307</v>
      </c>
      <c r="E54" s="244"/>
      <c r="F54" s="238" t="s">
        <v>4187</v>
      </c>
      <c r="G54" s="238"/>
      <c r="H54" s="238"/>
      <c r="I54" s="238"/>
      <c r="J54" s="10" t="s">
        <v>2048</v>
      </c>
      <c r="K54" s="238" t="s">
        <v>2049</v>
      </c>
      <c r="L54" s="238"/>
      <c r="M54" s="238"/>
      <c r="N54" s="238" t="s">
        <v>2050</v>
      </c>
      <c r="O54" s="238"/>
      <c r="P54" s="238"/>
      <c r="Q54" s="238" t="s">
        <v>4333</v>
      </c>
      <c r="R54" s="238"/>
      <c r="S54" s="238"/>
      <c r="T54" s="238"/>
      <c r="U54" s="238"/>
      <c r="V54" s="238"/>
      <c r="W54" s="238" t="s">
        <v>2791</v>
      </c>
      <c r="X54" s="238"/>
      <c r="Y54" s="10" t="s">
        <v>3357</v>
      </c>
      <c r="Z54" s="10" t="s">
        <v>4991</v>
      </c>
      <c r="AA54" s="238" t="s">
        <v>2051</v>
      </c>
      <c r="AB54" s="238"/>
      <c r="AC54" s="238"/>
      <c r="AD54" s="238"/>
      <c r="AE54" s="10" t="s">
        <v>2052</v>
      </c>
      <c r="AF54" s="237" t="s">
        <v>6168</v>
      </c>
      <c r="AG54" s="237"/>
      <c r="AH54" s="237"/>
      <c r="AI54" s="237"/>
      <c r="AJ54" s="2"/>
      <c r="AK54" s="2"/>
      <c r="AL54" s="2"/>
      <c r="AM54" s="2"/>
      <c r="AN54" s="7"/>
    </row>
    <row r="55" spans="1:40" ht="13.5" thickBot="1">
      <c r="A55" s="6"/>
      <c r="B55" s="2"/>
      <c r="C55" s="2"/>
      <c r="D55" s="244" t="s">
        <v>319</v>
      </c>
      <c r="E55" s="244"/>
      <c r="F55" s="237" t="s">
        <v>1440</v>
      </c>
      <c r="G55" s="237"/>
      <c r="H55" s="237"/>
      <c r="I55" s="237"/>
      <c r="J55" s="11" t="s">
        <v>2053</v>
      </c>
      <c r="K55" s="237" t="s">
        <v>6759</v>
      </c>
      <c r="L55" s="237"/>
      <c r="M55" s="237"/>
      <c r="N55" s="237" t="s">
        <v>2054</v>
      </c>
      <c r="O55" s="237"/>
      <c r="P55" s="237"/>
      <c r="Q55" s="237" t="s">
        <v>2055</v>
      </c>
      <c r="R55" s="237"/>
      <c r="S55" s="237"/>
      <c r="T55" s="237"/>
      <c r="U55" s="237"/>
      <c r="V55" s="237"/>
      <c r="W55" s="237" t="s">
        <v>879</v>
      </c>
      <c r="X55" s="237"/>
      <c r="Y55" s="11" t="s">
        <v>4119</v>
      </c>
      <c r="Z55" s="11" t="s">
        <v>5920</v>
      </c>
      <c r="AA55" s="237" t="s">
        <v>2056</v>
      </c>
      <c r="AB55" s="237"/>
      <c r="AC55" s="237"/>
      <c r="AD55" s="237"/>
      <c r="AE55" s="11" t="s">
        <v>5216</v>
      </c>
      <c r="AF55" s="237" t="s">
        <v>584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2057</v>
      </c>
      <c r="E7" s="269"/>
      <c r="F7" s="269"/>
      <c r="G7" s="269"/>
      <c r="H7" s="269" t="s">
        <v>2058</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GRAVELINES-4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2878</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29751</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80.75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85.12</v>
      </c>
    </row>
    <row r="22" spans="1:47" ht="8.85" customHeight="1" thickBot="1">
      <c r="A22" s="6"/>
      <c r="B22" s="1"/>
      <c r="C22" s="1"/>
      <c r="D22" s="248" t="s">
        <v>205</v>
      </c>
      <c r="E22" s="248"/>
      <c r="F22" s="248"/>
      <c r="G22" s="248"/>
      <c r="H22" s="248"/>
      <c r="I22" s="248"/>
      <c r="J22" s="248"/>
      <c r="K22" s="248"/>
      <c r="L22" s="247" t="s">
        <v>5709</v>
      </c>
      <c r="M22" s="259">
        <v>27851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29751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2702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29860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2017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2018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2019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2020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2059</v>
      </c>
      <c r="G49" s="238"/>
      <c r="H49" s="238"/>
      <c r="I49" s="238"/>
      <c r="J49" s="10" t="s">
        <v>2060</v>
      </c>
      <c r="K49" s="238" t="s">
        <v>2061</v>
      </c>
      <c r="L49" s="238"/>
      <c r="M49" s="238"/>
      <c r="N49" s="238" t="s">
        <v>2062</v>
      </c>
      <c r="O49" s="238"/>
      <c r="P49" s="238"/>
      <c r="Q49" s="238" t="s">
        <v>2063</v>
      </c>
      <c r="R49" s="238"/>
      <c r="S49" s="238"/>
      <c r="T49" s="238"/>
      <c r="U49" s="238"/>
      <c r="V49" s="238"/>
      <c r="W49" s="238" t="s">
        <v>2064</v>
      </c>
      <c r="X49" s="238"/>
      <c r="Y49" s="10" t="s">
        <v>2065</v>
      </c>
      <c r="Z49" s="10" t="s">
        <v>2066</v>
      </c>
      <c r="AA49" s="238" t="s">
        <v>2067</v>
      </c>
      <c r="AB49" s="238"/>
      <c r="AC49" s="238"/>
      <c r="AD49" s="238"/>
      <c r="AE49" s="10" t="s">
        <v>2068</v>
      </c>
      <c r="AF49" s="237" t="s">
        <v>2069</v>
      </c>
      <c r="AG49" s="237"/>
      <c r="AH49" s="237"/>
      <c r="AI49" s="237"/>
      <c r="AJ49" s="2"/>
      <c r="AK49" s="2"/>
      <c r="AL49" s="2"/>
      <c r="AM49" s="2"/>
      <c r="AN49" s="7"/>
    </row>
    <row r="50" spans="1:40" ht="13.5" thickBot="1">
      <c r="A50" s="6"/>
      <c r="B50" s="2"/>
      <c r="C50" s="2"/>
      <c r="D50" s="244" t="s">
        <v>261</v>
      </c>
      <c r="E50" s="244"/>
      <c r="F50" s="238" t="s">
        <v>2070</v>
      </c>
      <c r="G50" s="238"/>
      <c r="H50" s="238"/>
      <c r="I50" s="238"/>
      <c r="J50" s="10" t="s">
        <v>6860</v>
      </c>
      <c r="K50" s="238" t="s">
        <v>2071</v>
      </c>
      <c r="L50" s="238"/>
      <c r="M50" s="238"/>
      <c r="N50" s="238" t="s">
        <v>2806</v>
      </c>
      <c r="O50" s="238"/>
      <c r="P50" s="238"/>
      <c r="Q50" s="238" t="s">
        <v>4762</v>
      </c>
      <c r="R50" s="238"/>
      <c r="S50" s="238"/>
      <c r="T50" s="238"/>
      <c r="U50" s="238"/>
      <c r="V50" s="238"/>
      <c r="W50" s="238" t="s">
        <v>3228</v>
      </c>
      <c r="X50" s="238"/>
      <c r="Y50" s="10" t="s">
        <v>2072</v>
      </c>
      <c r="Z50" s="10" t="s">
        <v>2073</v>
      </c>
      <c r="AA50" s="238" t="s">
        <v>2809</v>
      </c>
      <c r="AB50" s="238"/>
      <c r="AC50" s="238"/>
      <c r="AD50" s="238"/>
      <c r="AE50" s="10" t="s">
        <v>2074</v>
      </c>
      <c r="AF50" s="237" t="s">
        <v>4664</v>
      </c>
      <c r="AG50" s="237"/>
      <c r="AH50" s="237"/>
      <c r="AI50" s="237"/>
      <c r="AJ50" s="2"/>
      <c r="AK50" s="2"/>
      <c r="AL50" s="2"/>
      <c r="AM50" s="2"/>
      <c r="AN50" s="7"/>
    </row>
    <row r="51" spans="1:40" ht="13.5" thickBot="1">
      <c r="A51" s="6"/>
      <c r="B51" s="2"/>
      <c r="C51" s="2"/>
      <c r="D51" s="244" t="s">
        <v>273</v>
      </c>
      <c r="E51" s="244"/>
      <c r="F51" s="238" t="s">
        <v>6122</v>
      </c>
      <c r="G51" s="238"/>
      <c r="H51" s="238"/>
      <c r="I51" s="238"/>
      <c r="J51" s="10" t="s">
        <v>1357</v>
      </c>
      <c r="K51" s="238" t="s">
        <v>2075</v>
      </c>
      <c r="L51" s="238"/>
      <c r="M51" s="238"/>
      <c r="N51" s="238" t="s">
        <v>2955</v>
      </c>
      <c r="O51" s="238"/>
      <c r="P51" s="238"/>
      <c r="Q51" s="238" t="s">
        <v>3571</v>
      </c>
      <c r="R51" s="238"/>
      <c r="S51" s="238"/>
      <c r="T51" s="238"/>
      <c r="U51" s="238"/>
      <c r="V51" s="238"/>
      <c r="W51" s="238" t="s">
        <v>2076</v>
      </c>
      <c r="X51" s="238"/>
      <c r="Y51" s="10" t="s">
        <v>1882</v>
      </c>
      <c r="Z51" s="10" t="s">
        <v>4145</v>
      </c>
      <c r="AA51" s="238" t="s">
        <v>3941</v>
      </c>
      <c r="AB51" s="238"/>
      <c r="AC51" s="238"/>
      <c r="AD51" s="238"/>
      <c r="AE51" s="10" t="s">
        <v>2077</v>
      </c>
      <c r="AF51" s="237" t="s">
        <v>1237</v>
      </c>
      <c r="AG51" s="237"/>
      <c r="AH51" s="237"/>
      <c r="AI51" s="237"/>
      <c r="AJ51" s="2"/>
      <c r="AK51" s="2"/>
      <c r="AL51" s="2"/>
      <c r="AM51" s="2"/>
      <c r="AN51" s="7"/>
    </row>
    <row r="52" spans="1:40" ht="13.5" thickBot="1">
      <c r="A52" s="6"/>
      <c r="B52" s="2"/>
      <c r="C52" s="2"/>
      <c r="D52" s="244" t="s">
        <v>285</v>
      </c>
      <c r="E52" s="244"/>
      <c r="F52" s="238" t="s">
        <v>2078</v>
      </c>
      <c r="G52" s="238"/>
      <c r="H52" s="238"/>
      <c r="I52" s="238"/>
      <c r="J52" s="10" t="s">
        <v>6674</v>
      </c>
      <c r="K52" s="238" t="s">
        <v>2071</v>
      </c>
      <c r="L52" s="238"/>
      <c r="M52" s="238"/>
      <c r="N52" s="238" t="s">
        <v>2806</v>
      </c>
      <c r="O52" s="238"/>
      <c r="P52" s="238"/>
      <c r="Q52" s="238" t="s">
        <v>4970</v>
      </c>
      <c r="R52" s="238"/>
      <c r="S52" s="238"/>
      <c r="T52" s="238"/>
      <c r="U52" s="238"/>
      <c r="V52" s="238"/>
      <c r="W52" s="238" t="s">
        <v>2079</v>
      </c>
      <c r="X52" s="238"/>
      <c r="Y52" s="10" t="s">
        <v>488</v>
      </c>
      <c r="Z52" s="10" t="s">
        <v>2080</v>
      </c>
      <c r="AA52" s="238" t="s">
        <v>1846</v>
      </c>
      <c r="AB52" s="238"/>
      <c r="AC52" s="238"/>
      <c r="AD52" s="238"/>
      <c r="AE52" s="10" t="s">
        <v>6995</v>
      </c>
      <c r="AF52" s="237" t="s">
        <v>2081</v>
      </c>
      <c r="AG52" s="237"/>
      <c r="AH52" s="237"/>
      <c r="AI52" s="237"/>
      <c r="AJ52" s="2"/>
      <c r="AK52" s="2"/>
      <c r="AL52" s="2"/>
      <c r="AM52" s="2"/>
      <c r="AN52" s="7"/>
    </row>
    <row r="53" spans="1:40" ht="13.5" thickBot="1">
      <c r="A53" s="6"/>
      <c r="B53" s="2"/>
      <c r="C53" s="2"/>
      <c r="D53" s="244" t="s">
        <v>295</v>
      </c>
      <c r="E53" s="244"/>
      <c r="F53" s="238" t="s">
        <v>3453</v>
      </c>
      <c r="G53" s="238"/>
      <c r="H53" s="238"/>
      <c r="I53" s="238"/>
      <c r="J53" s="10" t="s">
        <v>2082</v>
      </c>
      <c r="K53" s="238" t="s">
        <v>3186</v>
      </c>
      <c r="L53" s="238"/>
      <c r="M53" s="238"/>
      <c r="N53" s="238" t="s">
        <v>2083</v>
      </c>
      <c r="O53" s="238"/>
      <c r="P53" s="238"/>
      <c r="Q53" s="238" t="s">
        <v>702</v>
      </c>
      <c r="R53" s="238"/>
      <c r="S53" s="238"/>
      <c r="T53" s="238"/>
      <c r="U53" s="238"/>
      <c r="V53" s="238"/>
      <c r="W53" s="238" t="s">
        <v>6395</v>
      </c>
      <c r="X53" s="238"/>
      <c r="Y53" s="10" t="s">
        <v>202</v>
      </c>
      <c r="Z53" s="10" t="s">
        <v>2084</v>
      </c>
      <c r="AA53" s="238" t="s">
        <v>5162</v>
      </c>
      <c r="AB53" s="238"/>
      <c r="AC53" s="238"/>
      <c r="AD53" s="238"/>
      <c r="AE53" s="10" t="s">
        <v>4038</v>
      </c>
      <c r="AF53" s="237" t="s">
        <v>1288</v>
      </c>
      <c r="AG53" s="237"/>
      <c r="AH53" s="237"/>
      <c r="AI53" s="237"/>
      <c r="AJ53" s="2"/>
      <c r="AK53" s="2"/>
      <c r="AL53" s="2"/>
      <c r="AM53" s="2"/>
      <c r="AN53" s="7"/>
    </row>
    <row r="54" spans="1:40" ht="13.5" thickBot="1">
      <c r="A54" s="6"/>
      <c r="B54" s="2"/>
      <c r="C54" s="2"/>
      <c r="D54" s="244" t="s">
        <v>307</v>
      </c>
      <c r="E54" s="244"/>
      <c r="F54" s="238" t="s">
        <v>1214</v>
      </c>
      <c r="G54" s="238"/>
      <c r="H54" s="238"/>
      <c r="I54" s="238"/>
      <c r="J54" s="10" t="s">
        <v>4886</v>
      </c>
      <c r="K54" s="238" t="s">
        <v>6629</v>
      </c>
      <c r="L54" s="238"/>
      <c r="M54" s="238"/>
      <c r="N54" s="238" t="s">
        <v>663</v>
      </c>
      <c r="O54" s="238"/>
      <c r="P54" s="238"/>
      <c r="Q54" s="238" t="s">
        <v>2085</v>
      </c>
      <c r="R54" s="238"/>
      <c r="S54" s="238"/>
      <c r="T54" s="238"/>
      <c r="U54" s="238"/>
      <c r="V54" s="238"/>
      <c r="W54" s="238" t="s">
        <v>1984</v>
      </c>
      <c r="X54" s="238"/>
      <c r="Y54" s="10" t="s">
        <v>5030</v>
      </c>
      <c r="Z54" s="10" t="s">
        <v>6101</v>
      </c>
      <c r="AA54" s="238" t="s">
        <v>5334</v>
      </c>
      <c r="AB54" s="238"/>
      <c r="AC54" s="238"/>
      <c r="AD54" s="238"/>
      <c r="AE54" s="10" t="s">
        <v>3442</v>
      </c>
      <c r="AF54" s="237" t="s">
        <v>2086</v>
      </c>
      <c r="AG54" s="237"/>
      <c r="AH54" s="237"/>
      <c r="AI54" s="237"/>
      <c r="AJ54" s="2"/>
      <c r="AK54" s="2"/>
      <c r="AL54" s="2"/>
      <c r="AM54" s="2"/>
      <c r="AN54" s="7"/>
    </row>
    <row r="55" spans="1:40" ht="13.5" thickBot="1">
      <c r="A55" s="6"/>
      <c r="B55" s="2"/>
      <c r="C55" s="2"/>
      <c r="D55" s="244" t="s">
        <v>319</v>
      </c>
      <c r="E55" s="244"/>
      <c r="F55" s="237" t="s">
        <v>4409</v>
      </c>
      <c r="G55" s="237"/>
      <c r="H55" s="237"/>
      <c r="I55" s="237"/>
      <c r="J55" s="11" t="s">
        <v>5872</v>
      </c>
      <c r="K55" s="237" t="s">
        <v>2087</v>
      </c>
      <c r="L55" s="237"/>
      <c r="M55" s="237"/>
      <c r="N55" s="237" t="s">
        <v>5393</v>
      </c>
      <c r="O55" s="237"/>
      <c r="P55" s="237"/>
      <c r="Q55" s="237" t="s">
        <v>5231</v>
      </c>
      <c r="R55" s="237"/>
      <c r="S55" s="237"/>
      <c r="T55" s="237"/>
      <c r="U55" s="237"/>
      <c r="V55" s="237"/>
      <c r="W55" s="237" t="s">
        <v>2088</v>
      </c>
      <c r="X55" s="237"/>
      <c r="Y55" s="11" t="s">
        <v>2089</v>
      </c>
      <c r="Z55" s="11" t="s">
        <v>643</v>
      </c>
      <c r="AA55" s="237" t="s">
        <v>564</v>
      </c>
      <c r="AB55" s="237"/>
      <c r="AC55" s="237"/>
      <c r="AD55" s="237"/>
      <c r="AE55" s="11" t="s">
        <v>3908</v>
      </c>
      <c r="AF55" s="237" t="s">
        <v>2090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2091</v>
      </c>
      <c r="E7" s="269"/>
      <c r="F7" s="269"/>
      <c r="G7" s="269"/>
      <c r="H7" s="269" t="s">
        <v>2092</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GRAVELINES-5</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30922</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5286</v>
      </c>
      <c r="AE19" s="248"/>
      <c r="AF19" s="248"/>
      <c r="AG19" s="248"/>
      <c r="AH19" s="248"/>
      <c r="AI19" s="2"/>
      <c r="AJ19" s="1"/>
      <c r="AK19" s="2"/>
      <c r="AL19" s="1"/>
      <c r="AM19" s="2"/>
      <c r="AN19" s="7"/>
      <c r="AT19" s="23" t="str">
        <f>U19</f>
        <v>Average discharge burnup  [MWd/t]</v>
      </c>
      <c r="AU19" s="23" t="str">
        <f>AD19</f>
        <v>47000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80.40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78.13</v>
      </c>
    </row>
    <row r="22" spans="1:47" ht="8.85" customHeight="1" thickBot="1">
      <c r="A22" s="6"/>
      <c r="B22" s="1"/>
      <c r="C22" s="1"/>
      <c r="D22" s="248" t="s">
        <v>205</v>
      </c>
      <c r="E22" s="248"/>
      <c r="F22" s="248"/>
      <c r="G22" s="248"/>
      <c r="H22" s="248"/>
      <c r="I22" s="248"/>
      <c r="J22" s="248"/>
      <c r="K22" s="248"/>
      <c r="L22" s="247" t="s">
        <v>5709</v>
      </c>
      <c r="M22" s="259">
        <v>29129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30922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31062</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5543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4241</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2093</v>
      </c>
      <c r="G49" s="238"/>
      <c r="H49" s="238"/>
      <c r="I49" s="238"/>
      <c r="J49" s="10" t="s">
        <v>2094</v>
      </c>
      <c r="K49" s="238" t="s">
        <v>2095</v>
      </c>
      <c r="L49" s="238"/>
      <c r="M49" s="238"/>
      <c r="N49" s="238" t="s">
        <v>2096</v>
      </c>
      <c r="O49" s="238"/>
      <c r="P49" s="238"/>
      <c r="Q49" s="238" t="s">
        <v>2097</v>
      </c>
      <c r="R49" s="238"/>
      <c r="S49" s="238"/>
      <c r="T49" s="238"/>
      <c r="U49" s="238"/>
      <c r="V49" s="238"/>
      <c r="W49" s="238" t="s">
        <v>2098</v>
      </c>
      <c r="X49" s="238"/>
      <c r="Y49" s="10" t="s">
        <v>2099</v>
      </c>
      <c r="Z49" s="10" t="s">
        <v>2100</v>
      </c>
      <c r="AA49" s="238" t="s">
        <v>2101</v>
      </c>
      <c r="AB49" s="238"/>
      <c r="AC49" s="238"/>
      <c r="AD49" s="238"/>
      <c r="AE49" s="10" t="s">
        <v>2102</v>
      </c>
      <c r="AF49" s="237" t="s">
        <v>2103</v>
      </c>
      <c r="AG49" s="237"/>
      <c r="AH49" s="237"/>
      <c r="AI49" s="237"/>
      <c r="AJ49" s="2"/>
      <c r="AK49" s="2"/>
      <c r="AL49" s="2"/>
      <c r="AM49" s="2"/>
      <c r="AN49" s="7"/>
    </row>
    <row r="50" spans="1:40" ht="13.5" thickBot="1">
      <c r="A50" s="6"/>
      <c r="B50" s="2"/>
      <c r="C50" s="2"/>
      <c r="D50" s="244" t="s">
        <v>261</v>
      </c>
      <c r="E50" s="244"/>
      <c r="F50" s="238" t="s">
        <v>5172</v>
      </c>
      <c r="G50" s="238"/>
      <c r="H50" s="238"/>
      <c r="I50" s="238"/>
      <c r="J50" s="10" t="s">
        <v>6392</v>
      </c>
      <c r="K50" s="238" t="s">
        <v>2104</v>
      </c>
      <c r="L50" s="238"/>
      <c r="M50" s="238"/>
      <c r="N50" s="238" t="s">
        <v>3441</v>
      </c>
      <c r="O50" s="238"/>
      <c r="P50" s="238"/>
      <c r="Q50" s="238" t="s">
        <v>5328</v>
      </c>
      <c r="R50" s="238"/>
      <c r="S50" s="238"/>
      <c r="T50" s="238"/>
      <c r="U50" s="238"/>
      <c r="V50" s="238"/>
      <c r="W50" s="238" t="s">
        <v>5033</v>
      </c>
      <c r="X50" s="238"/>
      <c r="Y50" s="10" t="s">
        <v>2105</v>
      </c>
      <c r="Z50" s="10" t="s">
        <v>848</v>
      </c>
      <c r="AA50" s="238" t="s">
        <v>6255</v>
      </c>
      <c r="AB50" s="238"/>
      <c r="AC50" s="238"/>
      <c r="AD50" s="238"/>
      <c r="AE50" s="10" t="s">
        <v>2106</v>
      </c>
      <c r="AF50" s="237" t="s">
        <v>2107</v>
      </c>
      <c r="AG50" s="237"/>
      <c r="AH50" s="237"/>
      <c r="AI50" s="237"/>
      <c r="AJ50" s="2"/>
      <c r="AK50" s="2"/>
      <c r="AL50" s="2"/>
      <c r="AM50" s="2"/>
      <c r="AN50" s="7"/>
    </row>
    <row r="51" spans="1:40" ht="13.5" thickBot="1">
      <c r="A51" s="6"/>
      <c r="B51" s="2"/>
      <c r="C51" s="2"/>
      <c r="D51" s="244" t="s">
        <v>273</v>
      </c>
      <c r="E51" s="244"/>
      <c r="F51" s="238" t="s">
        <v>1238</v>
      </c>
      <c r="G51" s="238"/>
      <c r="H51" s="238"/>
      <c r="I51" s="238"/>
      <c r="J51" s="10" t="s">
        <v>2108</v>
      </c>
      <c r="K51" s="238" t="s">
        <v>518</v>
      </c>
      <c r="L51" s="238"/>
      <c r="M51" s="238"/>
      <c r="N51" s="238" t="s">
        <v>517</v>
      </c>
      <c r="O51" s="238"/>
      <c r="P51" s="238"/>
      <c r="Q51" s="238" t="s">
        <v>2109</v>
      </c>
      <c r="R51" s="238"/>
      <c r="S51" s="238"/>
      <c r="T51" s="238"/>
      <c r="U51" s="238"/>
      <c r="V51" s="238"/>
      <c r="W51" s="238" t="s">
        <v>2110</v>
      </c>
      <c r="X51" s="238"/>
      <c r="Y51" s="10" t="s">
        <v>5220</v>
      </c>
      <c r="Z51" s="10" t="s">
        <v>4700</v>
      </c>
      <c r="AA51" s="238" t="s">
        <v>2111</v>
      </c>
      <c r="AB51" s="238"/>
      <c r="AC51" s="238"/>
      <c r="AD51" s="238"/>
      <c r="AE51" s="10" t="s">
        <v>4831</v>
      </c>
      <c r="AF51" s="237" t="s">
        <v>2112</v>
      </c>
      <c r="AG51" s="237"/>
      <c r="AH51" s="237"/>
      <c r="AI51" s="237"/>
      <c r="AJ51" s="2"/>
      <c r="AK51" s="2"/>
      <c r="AL51" s="2"/>
      <c r="AM51" s="2"/>
      <c r="AN51" s="7"/>
    </row>
    <row r="52" spans="1:40" ht="13.5" thickBot="1">
      <c r="A52" s="6"/>
      <c r="B52" s="2"/>
      <c r="C52" s="2"/>
      <c r="D52" s="244" t="s">
        <v>285</v>
      </c>
      <c r="E52" s="244"/>
      <c r="F52" s="238" t="s">
        <v>5877</v>
      </c>
      <c r="G52" s="238"/>
      <c r="H52" s="238"/>
      <c r="I52" s="238"/>
      <c r="J52" s="10" t="s">
        <v>2113</v>
      </c>
      <c r="K52" s="238" t="s">
        <v>4271</v>
      </c>
      <c r="L52" s="238"/>
      <c r="M52" s="238"/>
      <c r="N52" s="238" t="s">
        <v>9</v>
      </c>
      <c r="O52" s="238"/>
      <c r="P52" s="238"/>
      <c r="Q52" s="238" t="s">
        <v>6341</v>
      </c>
      <c r="R52" s="238"/>
      <c r="S52" s="238"/>
      <c r="T52" s="238"/>
      <c r="U52" s="238"/>
      <c r="V52" s="238"/>
      <c r="W52" s="238" t="s">
        <v>5801</v>
      </c>
      <c r="X52" s="238"/>
      <c r="Y52" s="10" t="s">
        <v>4750</v>
      </c>
      <c r="Z52" s="10" t="s">
        <v>2114</v>
      </c>
      <c r="AA52" s="238" t="s">
        <v>6957</v>
      </c>
      <c r="AB52" s="238"/>
      <c r="AC52" s="238"/>
      <c r="AD52" s="238"/>
      <c r="AE52" s="10" t="s">
        <v>748</v>
      </c>
      <c r="AF52" s="237" t="s">
        <v>2115</v>
      </c>
      <c r="AG52" s="237"/>
      <c r="AH52" s="237"/>
      <c r="AI52" s="237"/>
      <c r="AJ52" s="2"/>
      <c r="AK52" s="2"/>
      <c r="AL52" s="2"/>
      <c r="AM52" s="2"/>
      <c r="AN52" s="7"/>
    </row>
    <row r="53" spans="1:40" ht="13.5" thickBot="1">
      <c r="A53" s="6"/>
      <c r="B53" s="2"/>
      <c r="C53" s="2"/>
      <c r="D53" s="244" t="s">
        <v>295</v>
      </c>
      <c r="E53" s="244"/>
      <c r="F53" s="238" t="s">
        <v>3520</v>
      </c>
      <c r="G53" s="238"/>
      <c r="H53" s="238"/>
      <c r="I53" s="238"/>
      <c r="J53" s="10" t="s">
        <v>6594</v>
      </c>
      <c r="K53" s="238" t="s">
        <v>7017</v>
      </c>
      <c r="L53" s="238"/>
      <c r="M53" s="238"/>
      <c r="N53" s="238" t="s">
        <v>2742</v>
      </c>
      <c r="O53" s="238"/>
      <c r="P53" s="238"/>
      <c r="Q53" s="238" t="s">
        <v>281</v>
      </c>
      <c r="R53" s="238"/>
      <c r="S53" s="238"/>
      <c r="T53" s="238"/>
      <c r="U53" s="238"/>
      <c r="V53" s="238"/>
      <c r="W53" s="238" t="s">
        <v>5360</v>
      </c>
      <c r="X53" s="238"/>
      <c r="Y53" s="10" t="s">
        <v>2116</v>
      </c>
      <c r="Z53" s="10" t="s">
        <v>2117</v>
      </c>
      <c r="AA53" s="238" t="s">
        <v>2118</v>
      </c>
      <c r="AB53" s="238"/>
      <c r="AC53" s="238"/>
      <c r="AD53" s="238"/>
      <c r="AE53" s="10" t="s">
        <v>7018</v>
      </c>
      <c r="AF53" s="237" t="s">
        <v>2035</v>
      </c>
      <c r="AG53" s="237"/>
      <c r="AH53" s="237"/>
      <c r="AI53" s="237"/>
      <c r="AJ53" s="2"/>
      <c r="AK53" s="2"/>
      <c r="AL53" s="2"/>
      <c r="AM53" s="2"/>
      <c r="AN53" s="7"/>
    </row>
    <row r="54" spans="1:40" ht="13.5" thickBot="1">
      <c r="A54" s="6"/>
      <c r="B54" s="2"/>
      <c r="C54" s="2"/>
      <c r="D54" s="244" t="s">
        <v>307</v>
      </c>
      <c r="E54" s="244"/>
      <c r="F54" s="238" t="s">
        <v>2072</v>
      </c>
      <c r="G54" s="238"/>
      <c r="H54" s="238"/>
      <c r="I54" s="238"/>
      <c r="J54" s="10" t="s">
        <v>6057</v>
      </c>
      <c r="K54" s="238" t="s">
        <v>7055</v>
      </c>
      <c r="L54" s="238"/>
      <c r="M54" s="238"/>
      <c r="N54" s="238" t="s">
        <v>1817</v>
      </c>
      <c r="O54" s="238"/>
      <c r="P54" s="238"/>
      <c r="Q54" s="238" t="s">
        <v>4229</v>
      </c>
      <c r="R54" s="238"/>
      <c r="S54" s="238"/>
      <c r="T54" s="238"/>
      <c r="U54" s="238"/>
      <c r="V54" s="238"/>
      <c r="W54" s="238" t="s">
        <v>3854</v>
      </c>
      <c r="X54" s="238"/>
      <c r="Y54" s="10" t="s">
        <v>6030</v>
      </c>
      <c r="Z54" s="10" t="s">
        <v>6242</v>
      </c>
      <c r="AA54" s="238" t="s">
        <v>5363</v>
      </c>
      <c r="AB54" s="238"/>
      <c r="AC54" s="238"/>
      <c r="AD54" s="238"/>
      <c r="AE54" s="10" t="s">
        <v>913</v>
      </c>
      <c r="AF54" s="237" t="s">
        <v>6598</v>
      </c>
      <c r="AG54" s="237"/>
      <c r="AH54" s="237"/>
      <c r="AI54" s="237"/>
      <c r="AJ54" s="2"/>
      <c r="AK54" s="2"/>
      <c r="AL54" s="2"/>
      <c r="AM54" s="2"/>
      <c r="AN54" s="7"/>
    </row>
    <row r="55" spans="1:40" ht="13.5" thickBot="1">
      <c r="A55" s="6"/>
      <c r="B55" s="2"/>
      <c r="C55" s="2"/>
      <c r="D55" s="244" t="s">
        <v>319</v>
      </c>
      <c r="E55" s="244"/>
      <c r="F55" s="237" t="s">
        <v>153</v>
      </c>
      <c r="G55" s="237"/>
      <c r="H55" s="237"/>
      <c r="I55" s="237"/>
      <c r="J55" s="11" t="s">
        <v>3771</v>
      </c>
      <c r="K55" s="237" t="s">
        <v>486</v>
      </c>
      <c r="L55" s="237"/>
      <c r="M55" s="237"/>
      <c r="N55" s="237" t="s">
        <v>2119</v>
      </c>
      <c r="O55" s="237"/>
      <c r="P55" s="237"/>
      <c r="Q55" s="237" t="s">
        <v>1411</v>
      </c>
      <c r="R55" s="237"/>
      <c r="S55" s="237"/>
      <c r="T55" s="237"/>
      <c r="U55" s="237"/>
      <c r="V55" s="237"/>
      <c r="W55" s="237" t="s">
        <v>2120</v>
      </c>
      <c r="X55" s="237"/>
      <c r="Y55" s="11" t="s">
        <v>2121</v>
      </c>
      <c r="Z55" s="11" t="s">
        <v>2089</v>
      </c>
      <c r="AA55" s="237" t="s">
        <v>961</v>
      </c>
      <c r="AB55" s="237"/>
      <c r="AC55" s="237"/>
      <c r="AD55" s="237"/>
      <c r="AE55" s="11" t="s">
        <v>3364</v>
      </c>
      <c r="AF55" s="237" t="s">
        <v>7050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2122</v>
      </c>
      <c r="E7" s="269"/>
      <c r="F7" s="269"/>
      <c r="G7" s="269"/>
      <c r="H7" s="269" t="s">
        <v>2123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GRAVELINES-6</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31260</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5286</v>
      </c>
      <c r="AE19" s="248"/>
      <c r="AF19" s="248"/>
      <c r="AG19" s="248"/>
      <c r="AH19" s="248"/>
      <c r="AI19" s="2"/>
      <c r="AJ19" s="1"/>
      <c r="AK19" s="2"/>
      <c r="AL19" s="1"/>
      <c r="AM19" s="2"/>
      <c r="AN19" s="7"/>
      <c r="AT19" s="23" t="str">
        <f>U19</f>
        <v>Average discharge burnup  [MWd/t]</v>
      </c>
      <c r="AU19" s="23" t="str">
        <f>AD19</f>
        <v>47000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82.00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79.83</v>
      </c>
    </row>
    <row r="22" spans="1:47" ht="8.85" customHeight="1" thickBot="1">
      <c r="A22" s="6"/>
      <c r="B22" s="1"/>
      <c r="C22" s="1"/>
      <c r="D22" s="248" t="s">
        <v>205</v>
      </c>
      <c r="E22" s="248"/>
      <c r="F22" s="248"/>
      <c r="G22" s="248"/>
      <c r="H22" s="248"/>
      <c r="I22" s="248"/>
      <c r="J22" s="248"/>
      <c r="K22" s="248"/>
      <c r="L22" s="247" t="s">
        <v>5709</v>
      </c>
      <c r="M22" s="259">
        <v>29129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31260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31345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5543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4241</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2124</v>
      </c>
      <c r="G49" s="238"/>
      <c r="H49" s="238"/>
      <c r="I49" s="238"/>
      <c r="J49" s="10" t="s">
        <v>2125</v>
      </c>
      <c r="K49" s="238" t="s">
        <v>2126</v>
      </c>
      <c r="L49" s="238"/>
      <c r="M49" s="238"/>
      <c r="N49" s="238" t="s">
        <v>2127</v>
      </c>
      <c r="O49" s="238"/>
      <c r="P49" s="238"/>
      <c r="Q49" s="238" t="s">
        <v>2128</v>
      </c>
      <c r="R49" s="238"/>
      <c r="S49" s="238"/>
      <c r="T49" s="238"/>
      <c r="U49" s="238"/>
      <c r="V49" s="238"/>
      <c r="W49" s="238" t="s">
        <v>2129</v>
      </c>
      <c r="X49" s="238"/>
      <c r="Y49" s="10" t="s">
        <v>2130</v>
      </c>
      <c r="Z49" s="10" t="s">
        <v>2131</v>
      </c>
      <c r="AA49" s="238" t="s">
        <v>2132</v>
      </c>
      <c r="AB49" s="238"/>
      <c r="AC49" s="238"/>
      <c r="AD49" s="238"/>
      <c r="AE49" s="10" t="s">
        <v>2133</v>
      </c>
      <c r="AF49" s="237" t="s">
        <v>2134</v>
      </c>
      <c r="AG49" s="237"/>
      <c r="AH49" s="237"/>
      <c r="AI49" s="237"/>
      <c r="AJ49" s="2"/>
      <c r="AK49" s="2"/>
      <c r="AL49" s="2"/>
      <c r="AM49" s="2"/>
      <c r="AN49" s="7"/>
    </row>
    <row r="50" spans="1:40" ht="13.5" thickBot="1">
      <c r="A50" s="6"/>
      <c r="B50" s="2"/>
      <c r="C50" s="2"/>
      <c r="D50" s="244" t="s">
        <v>261</v>
      </c>
      <c r="E50" s="244"/>
      <c r="F50" s="238" t="s">
        <v>3562</v>
      </c>
      <c r="G50" s="238"/>
      <c r="H50" s="238"/>
      <c r="I50" s="238"/>
      <c r="J50" s="10" t="s">
        <v>4206</v>
      </c>
      <c r="K50" s="238" t="s">
        <v>6672</v>
      </c>
      <c r="L50" s="238"/>
      <c r="M50" s="238"/>
      <c r="N50" s="238" t="s">
        <v>6739</v>
      </c>
      <c r="O50" s="238"/>
      <c r="P50" s="238"/>
      <c r="Q50" s="238" t="s">
        <v>2135</v>
      </c>
      <c r="R50" s="238"/>
      <c r="S50" s="238"/>
      <c r="T50" s="238"/>
      <c r="U50" s="238"/>
      <c r="V50" s="238"/>
      <c r="W50" s="238" t="s">
        <v>3330</v>
      </c>
      <c r="X50" s="238"/>
      <c r="Y50" s="10" t="s">
        <v>2136</v>
      </c>
      <c r="Z50" s="10" t="s">
        <v>2137</v>
      </c>
      <c r="AA50" s="238" t="s">
        <v>5372</v>
      </c>
      <c r="AB50" s="238"/>
      <c r="AC50" s="238"/>
      <c r="AD50" s="238"/>
      <c r="AE50" s="10" t="s">
        <v>5877</v>
      </c>
      <c r="AF50" s="237" t="s">
        <v>2138</v>
      </c>
      <c r="AG50" s="237"/>
      <c r="AH50" s="237"/>
      <c r="AI50" s="237"/>
      <c r="AJ50" s="2"/>
      <c r="AK50" s="2"/>
      <c r="AL50" s="2"/>
      <c r="AM50" s="2"/>
      <c r="AN50" s="7"/>
    </row>
    <row r="51" spans="1:40" ht="13.5" thickBot="1">
      <c r="A51" s="6"/>
      <c r="B51" s="2"/>
      <c r="C51" s="2"/>
      <c r="D51" s="244" t="s">
        <v>273</v>
      </c>
      <c r="E51" s="244"/>
      <c r="F51" s="238" t="s">
        <v>5221</v>
      </c>
      <c r="G51" s="238"/>
      <c r="H51" s="238"/>
      <c r="I51" s="238"/>
      <c r="J51" s="10" t="s">
        <v>6501</v>
      </c>
      <c r="K51" s="238" t="s">
        <v>2139</v>
      </c>
      <c r="L51" s="238"/>
      <c r="M51" s="238"/>
      <c r="N51" s="238" t="s">
        <v>5309</v>
      </c>
      <c r="O51" s="238"/>
      <c r="P51" s="238"/>
      <c r="Q51" s="238" t="s">
        <v>5905</v>
      </c>
      <c r="R51" s="238"/>
      <c r="S51" s="238"/>
      <c r="T51" s="238"/>
      <c r="U51" s="238"/>
      <c r="V51" s="238"/>
      <c r="W51" s="238" t="s">
        <v>4311</v>
      </c>
      <c r="X51" s="238"/>
      <c r="Y51" s="10" t="s">
        <v>2140</v>
      </c>
      <c r="Z51" s="10" t="s">
        <v>1766</v>
      </c>
      <c r="AA51" s="238" t="s">
        <v>2077</v>
      </c>
      <c r="AB51" s="238"/>
      <c r="AC51" s="238"/>
      <c r="AD51" s="238"/>
      <c r="AE51" s="10" t="s">
        <v>2141</v>
      </c>
      <c r="AF51" s="237" t="s">
        <v>2785</v>
      </c>
      <c r="AG51" s="237"/>
      <c r="AH51" s="237"/>
      <c r="AI51" s="237"/>
      <c r="AJ51" s="2"/>
      <c r="AK51" s="2"/>
      <c r="AL51" s="2"/>
      <c r="AM51" s="2"/>
      <c r="AN51" s="7"/>
    </row>
    <row r="52" spans="1:40" ht="13.5" thickBot="1">
      <c r="A52" s="6"/>
      <c r="B52" s="2"/>
      <c r="C52" s="2"/>
      <c r="D52" s="244" t="s">
        <v>285</v>
      </c>
      <c r="E52" s="244"/>
      <c r="F52" s="238" t="s">
        <v>4741</v>
      </c>
      <c r="G52" s="238"/>
      <c r="H52" s="238"/>
      <c r="I52" s="238"/>
      <c r="J52" s="10" t="s">
        <v>6007</v>
      </c>
      <c r="K52" s="238" t="s">
        <v>1318</v>
      </c>
      <c r="L52" s="238"/>
      <c r="M52" s="238"/>
      <c r="N52" s="238" t="s">
        <v>1785</v>
      </c>
      <c r="O52" s="238"/>
      <c r="P52" s="238"/>
      <c r="Q52" s="238" t="s">
        <v>6267</v>
      </c>
      <c r="R52" s="238"/>
      <c r="S52" s="238"/>
      <c r="T52" s="238"/>
      <c r="U52" s="238"/>
      <c r="V52" s="238"/>
      <c r="W52" s="238" t="s">
        <v>2752</v>
      </c>
      <c r="X52" s="238"/>
      <c r="Y52" s="10" t="s">
        <v>2142</v>
      </c>
      <c r="Z52" s="10" t="s">
        <v>2087</v>
      </c>
      <c r="AA52" s="238" t="s">
        <v>2796</v>
      </c>
      <c r="AB52" s="238"/>
      <c r="AC52" s="238"/>
      <c r="AD52" s="238"/>
      <c r="AE52" s="10" t="s">
        <v>3943</v>
      </c>
      <c r="AF52" s="237" t="s">
        <v>6466</v>
      </c>
      <c r="AG52" s="237"/>
      <c r="AH52" s="237"/>
      <c r="AI52" s="237"/>
      <c r="AJ52" s="2"/>
      <c r="AK52" s="2"/>
      <c r="AL52" s="2"/>
      <c r="AM52" s="2"/>
      <c r="AN52" s="7"/>
    </row>
    <row r="53" spans="1:40" ht="13.5" thickBot="1">
      <c r="A53" s="6"/>
      <c r="B53" s="2"/>
      <c r="C53" s="2"/>
      <c r="D53" s="244" t="s">
        <v>295</v>
      </c>
      <c r="E53" s="244"/>
      <c r="F53" s="238" t="s">
        <v>4891</v>
      </c>
      <c r="G53" s="238"/>
      <c r="H53" s="238"/>
      <c r="I53" s="238"/>
      <c r="J53" s="10" t="s">
        <v>6719</v>
      </c>
      <c r="K53" s="238" t="s">
        <v>4620</v>
      </c>
      <c r="L53" s="238"/>
      <c r="M53" s="238"/>
      <c r="N53" s="238" t="s">
        <v>2143</v>
      </c>
      <c r="O53" s="238"/>
      <c r="P53" s="238"/>
      <c r="Q53" s="238" t="s">
        <v>6459</v>
      </c>
      <c r="R53" s="238"/>
      <c r="S53" s="238"/>
      <c r="T53" s="238"/>
      <c r="U53" s="238"/>
      <c r="V53" s="238"/>
      <c r="W53" s="238" t="s">
        <v>1967</v>
      </c>
      <c r="X53" s="238"/>
      <c r="Y53" s="10" t="s">
        <v>146</v>
      </c>
      <c r="Z53" s="10" t="s">
        <v>3176</v>
      </c>
      <c r="AA53" s="238" t="s">
        <v>6848</v>
      </c>
      <c r="AB53" s="238"/>
      <c r="AC53" s="238"/>
      <c r="AD53" s="238"/>
      <c r="AE53" s="10" t="s">
        <v>4839</v>
      </c>
      <c r="AF53" s="237" t="s">
        <v>5606</v>
      </c>
      <c r="AG53" s="237"/>
      <c r="AH53" s="237"/>
      <c r="AI53" s="237"/>
      <c r="AJ53" s="2"/>
      <c r="AK53" s="2"/>
      <c r="AL53" s="2"/>
      <c r="AM53" s="2"/>
      <c r="AN53" s="7"/>
    </row>
    <row r="54" spans="1:40" ht="13.5" thickBot="1">
      <c r="A54" s="6"/>
      <c r="B54" s="2"/>
      <c r="C54" s="2"/>
      <c r="D54" s="244" t="s">
        <v>307</v>
      </c>
      <c r="E54" s="244"/>
      <c r="F54" s="238" t="s">
        <v>1209</v>
      </c>
      <c r="G54" s="238"/>
      <c r="H54" s="238"/>
      <c r="I54" s="238"/>
      <c r="J54" s="10" t="s">
        <v>3259</v>
      </c>
      <c r="K54" s="238" t="s">
        <v>2144</v>
      </c>
      <c r="L54" s="238"/>
      <c r="M54" s="238"/>
      <c r="N54" s="238" t="s">
        <v>2145</v>
      </c>
      <c r="O54" s="238"/>
      <c r="P54" s="238"/>
      <c r="Q54" s="238" t="s">
        <v>3067</v>
      </c>
      <c r="R54" s="238"/>
      <c r="S54" s="238"/>
      <c r="T54" s="238"/>
      <c r="U54" s="238"/>
      <c r="V54" s="238"/>
      <c r="W54" s="238" t="s">
        <v>3383</v>
      </c>
      <c r="X54" s="238"/>
      <c r="Y54" s="10" t="s">
        <v>2146</v>
      </c>
      <c r="Z54" s="10" t="s">
        <v>2147</v>
      </c>
      <c r="AA54" s="238" t="s">
        <v>4776</v>
      </c>
      <c r="AB54" s="238"/>
      <c r="AC54" s="238"/>
      <c r="AD54" s="238"/>
      <c r="AE54" s="10" t="s">
        <v>4333</v>
      </c>
      <c r="AF54" s="237" t="s">
        <v>1818</v>
      </c>
      <c r="AG54" s="237"/>
      <c r="AH54" s="237"/>
      <c r="AI54" s="237"/>
      <c r="AJ54" s="2"/>
      <c r="AK54" s="2"/>
      <c r="AL54" s="2"/>
      <c r="AM54" s="2"/>
      <c r="AN54" s="7"/>
    </row>
    <row r="55" spans="1:40" ht="13.5" thickBot="1">
      <c r="A55" s="6"/>
      <c r="B55" s="2"/>
      <c r="C55" s="2"/>
      <c r="D55" s="244" t="s">
        <v>319</v>
      </c>
      <c r="E55" s="244"/>
      <c r="F55" s="237" t="s">
        <v>3948</v>
      </c>
      <c r="G55" s="237"/>
      <c r="H55" s="237"/>
      <c r="I55" s="237"/>
      <c r="J55" s="11" t="s">
        <v>1142</v>
      </c>
      <c r="K55" s="237" t="s">
        <v>488</v>
      </c>
      <c r="L55" s="237"/>
      <c r="M55" s="237"/>
      <c r="N55" s="237" t="s">
        <v>2007</v>
      </c>
      <c r="O55" s="237"/>
      <c r="P55" s="237"/>
      <c r="Q55" s="237" t="s">
        <v>2148</v>
      </c>
      <c r="R55" s="237"/>
      <c r="S55" s="237"/>
      <c r="T55" s="237"/>
      <c r="U55" s="237"/>
      <c r="V55" s="237"/>
      <c r="W55" s="237" t="s">
        <v>4836</v>
      </c>
      <c r="X55" s="237"/>
      <c r="Y55" s="11" t="s">
        <v>2149</v>
      </c>
      <c r="Z55" s="11" t="s">
        <v>4238</v>
      </c>
      <c r="AA55" s="237" t="s">
        <v>1010</v>
      </c>
      <c r="AB55" s="237"/>
      <c r="AC55" s="237"/>
      <c r="AD55" s="237"/>
      <c r="AE55" s="11" t="s">
        <v>4002</v>
      </c>
      <c r="AF55" s="237" t="s">
        <v>5120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2150</v>
      </c>
      <c r="E7" s="269"/>
      <c r="F7" s="269"/>
      <c r="G7" s="269"/>
      <c r="H7" s="269" t="s">
        <v>2151</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NOGENT-1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1363</v>
      </c>
    </row>
    <row r="17" spans="1:47" ht="13.5" thickBot="1">
      <c r="A17" s="6"/>
      <c r="B17" s="1"/>
      <c r="C17" s="1"/>
      <c r="D17" s="248" t="s">
        <v>189</v>
      </c>
      <c r="E17" s="248"/>
      <c r="F17" s="248"/>
      <c r="G17" s="248"/>
      <c r="H17" s="248"/>
      <c r="I17" s="248"/>
      <c r="J17" s="248"/>
      <c r="K17" s="248"/>
      <c r="L17" s="8" t="s">
        <v>5709</v>
      </c>
      <c r="M17" s="264">
        <v>1363</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1310</v>
      </c>
    </row>
    <row r="18" spans="1:47" ht="13.5" thickBot="1">
      <c r="A18" s="6"/>
      <c r="B18" s="1"/>
      <c r="C18" s="1"/>
      <c r="D18" s="248" t="s">
        <v>193</v>
      </c>
      <c r="E18" s="248"/>
      <c r="F18" s="248"/>
      <c r="G18" s="248"/>
      <c r="H18" s="248"/>
      <c r="I18" s="248"/>
      <c r="J18" s="248"/>
      <c r="K18" s="248"/>
      <c r="L18" s="8" t="s">
        <v>5709</v>
      </c>
      <c r="M18" s="264">
        <v>1310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32071</v>
      </c>
    </row>
    <row r="19" spans="1:47" ht="13.5" thickBot="1">
      <c r="A19" s="6"/>
      <c r="B19" s="1"/>
      <c r="C19" s="1"/>
      <c r="D19" s="248" t="s">
        <v>196</v>
      </c>
      <c r="E19" s="248"/>
      <c r="F19" s="248"/>
      <c r="G19" s="248"/>
      <c r="H19" s="248"/>
      <c r="I19" s="248"/>
      <c r="J19" s="248"/>
      <c r="K19" s="248"/>
      <c r="L19" s="8" t="s">
        <v>5709</v>
      </c>
      <c r="M19" s="264">
        <v>1310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74.37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90.47</v>
      </c>
    </row>
    <row r="22" spans="1:47" ht="8.85" customHeight="1" thickBot="1">
      <c r="A22" s="6"/>
      <c r="B22" s="1"/>
      <c r="C22" s="1"/>
      <c r="D22" s="248" t="s">
        <v>205</v>
      </c>
      <c r="E22" s="248"/>
      <c r="F22" s="248"/>
      <c r="G22" s="248"/>
      <c r="H22" s="248"/>
      <c r="I22" s="248"/>
      <c r="J22" s="248"/>
      <c r="K22" s="248"/>
      <c r="L22" s="247" t="s">
        <v>5709</v>
      </c>
      <c r="M22" s="259">
        <v>29732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32071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2152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32197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2153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2880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2154</v>
      </c>
      <c r="G49" s="238"/>
      <c r="H49" s="238"/>
      <c r="I49" s="238"/>
      <c r="J49" s="10" t="s">
        <v>2155</v>
      </c>
      <c r="K49" s="238" t="s">
        <v>2156</v>
      </c>
      <c r="L49" s="238"/>
      <c r="M49" s="238"/>
      <c r="N49" s="238" t="s">
        <v>2157</v>
      </c>
      <c r="O49" s="238"/>
      <c r="P49" s="238"/>
      <c r="Q49" s="238" t="s">
        <v>2158</v>
      </c>
      <c r="R49" s="238"/>
      <c r="S49" s="238"/>
      <c r="T49" s="238"/>
      <c r="U49" s="238"/>
      <c r="V49" s="238"/>
      <c r="W49" s="238" t="s">
        <v>2159</v>
      </c>
      <c r="X49" s="238"/>
      <c r="Y49" s="10" t="s">
        <v>2160</v>
      </c>
      <c r="Z49" s="10" t="s">
        <v>2161</v>
      </c>
      <c r="AA49" s="238" t="s">
        <v>2162</v>
      </c>
      <c r="AB49" s="238"/>
      <c r="AC49" s="238"/>
      <c r="AD49" s="238"/>
      <c r="AE49" s="10" t="s">
        <v>2163</v>
      </c>
      <c r="AF49" s="237" t="s">
        <v>2164</v>
      </c>
      <c r="AG49" s="237"/>
      <c r="AH49" s="237"/>
      <c r="AI49" s="237"/>
      <c r="AJ49" s="2"/>
      <c r="AK49" s="2"/>
      <c r="AL49" s="2"/>
      <c r="AM49" s="2"/>
      <c r="AN49" s="7"/>
    </row>
    <row r="50" spans="1:40" ht="13.5" thickBot="1">
      <c r="A50" s="6"/>
      <c r="B50" s="2"/>
      <c r="C50" s="2"/>
      <c r="D50" s="244" t="s">
        <v>261</v>
      </c>
      <c r="E50" s="244"/>
      <c r="F50" s="238" t="s">
        <v>1978</v>
      </c>
      <c r="G50" s="238"/>
      <c r="H50" s="238"/>
      <c r="I50" s="238"/>
      <c r="J50" s="10" t="s">
        <v>3443</v>
      </c>
      <c r="K50" s="238" t="s">
        <v>2165</v>
      </c>
      <c r="L50" s="238"/>
      <c r="M50" s="238"/>
      <c r="N50" s="238" t="s">
        <v>2166</v>
      </c>
      <c r="O50" s="238"/>
      <c r="P50" s="238"/>
      <c r="Q50" s="238" t="s">
        <v>4514</v>
      </c>
      <c r="R50" s="238"/>
      <c r="S50" s="238"/>
      <c r="T50" s="238"/>
      <c r="U50" s="238"/>
      <c r="V50" s="238"/>
      <c r="W50" s="238" t="s">
        <v>6317</v>
      </c>
      <c r="X50" s="238"/>
      <c r="Y50" s="10" t="s">
        <v>2167</v>
      </c>
      <c r="Z50" s="10" t="s">
        <v>1070</v>
      </c>
      <c r="AA50" s="238" t="s">
        <v>2168</v>
      </c>
      <c r="AB50" s="238"/>
      <c r="AC50" s="238"/>
      <c r="AD50" s="238"/>
      <c r="AE50" s="10" t="s">
        <v>562</v>
      </c>
      <c r="AF50" s="237" t="s">
        <v>1486</v>
      </c>
      <c r="AG50" s="237"/>
      <c r="AH50" s="237"/>
      <c r="AI50" s="237"/>
      <c r="AJ50" s="2"/>
      <c r="AK50" s="2"/>
      <c r="AL50" s="2"/>
      <c r="AM50" s="2"/>
      <c r="AN50" s="7"/>
    </row>
    <row r="51" spans="1:40" ht="13.5" thickBot="1">
      <c r="A51" s="6"/>
      <c r="B51" s="2"/>
      <c r="C51" s="2"/>
      <c r="D51" s="244" t="s">
        <v>273</v>
      </c>
      <c r="E51" s="244"/>
      <c r="F51" s="238" t="s">
        <v>2169</v>
      </c>
      <c r="G51" s="238"/>
      <c r="H51" s="238"/>
      <c r="I51" s="238"/>
      <c r="J51" s="10" t="s">
        <v>2170</v>
      </c>
      <c r="K51" s="238" t="s">
        <v>6521</v>
      </c>
      <c r="L51" s="238"/>
      <c r="M51" s="238"/>
      <c r="N51" s="238" t="s">
        <v>5396</v>
      </c>
      <c r="O51" s="238"/>
      <c r="P51" s="238"/>
      <c r="Q51" s="238" t="s">
        <v>2171</v>
      </c>
      <c r="R51" s="238"/>
      <c r="S51" s="238"/>
      <c r="T51" s="238"/>
      <c r="U51" s="238"/>
      <c r="V51" s="238"/>
      <c r="W51" s="238" t="s">
        <v>6653</v>
      </c>
      <c r="X51" s="238"/>
      <c r="Y51" s="10" t="s">
        <v>6014</v>
      </c>
      <c r="Z51" s="10" t="s">
        <v>2172</v>
      </c>
      <c r="AA51" s="238" t="s">
        <v>2173</v>
      </c>
      <c r="AB51" s="238"/>
      <c r="AC51" s="238"/>
      <c r="AD51" s="238"/>
      <c r="AE51" s="10" t="s">
        <v>378</v>
      </c>
      <c r="AF51" s="237" t="s">
        <v>3507</v>
      </c>
      <c r="AG51" s="237"/>
      <c r="AH51" s="237"/>
      <c r="AI51" s="237"/>
      <c r="AJ51" s="2"/>
      <c r="AK51" s="2"/>
      <c r="AL51" s="2"/>
      <c r="AM51" s="2"/>
      <c r="AN51" s="7"/>
    </row>
    <row r="52" spans="1:40" ht="13.5" thickBot="1">
      <c r="A52" s="6"/>
      <c r="B52" s="2"/>
      <c r="C52" s="2"/>
      <c r="D52" s="244" t="s">
        <v>285</v>
      </c>
      <c r="E52" s="244"/>
      <c r="F52" s="238" t="s">
        <v>4946</v>
      </c>
      <c r="G52" s="238"/>
      <c r="H52" s="238"/>
      <c r="I52" s="238"/>
      <c r="J52" s="10" t="s">
        <v>863</v>
      </c>
      <c r="K52" s="238" t="s">
        <v>2174</v>
      </c>
      <c r="L52" s="238"/>
      <c r="M52" s="238"/>
      <c r="N52" s="238" t="s">
        <v>1004</v>
      </c>
      <c r="O52" s="238"/>
      <c r="P52" s="238"/>
      <c r="Q52" s="238" t="s">
        <v>2175</v>
      </c>
      <c r="R52" s="238"/>
      <c r="S52" s="238"/>
      <c r="T52" s="238"/>
      <c r="U52" s="238"/>
      <c r="V52" s="238"/>
      <c r="W52" s="238" t="s">
        <v>6317</v>
      </c>
      <c r="X52" s="238"/>
      <c r="Y52" s="10" t="s">
        <v>2176</v>
      </c>
      <c r="Z52" s="10" t="s">
        <v>5262</v>
      </c>
      <c r="AA52" s="238" t="s">
        <v>1255</v>
      </c>
      <c r="AB52" s="238"/>
      <c r="AC52" s="238"/>
      <c r="AD52" s="238"/>
      <c r="AE52" s="10" t="s">
        <v>2177</v>
      </c>
      <c r="AF52" s="237" t="s">
        <v>5115</v>
      </c>
      <c r="AG52" s="237"/>
      <c r="AH52" s="237"/>
      <c r="AI52" s="237"/>
      <c r="AJ52" s="2"/>
      <c r="AK52" s="2"/>
      <c r="AL52" s="2"/>
      <c r="AM52" s="2"/>
      <c r="AN52" s="7"/>
    </row>
    <row r="53" spans="1:40" ht="13.5" thickBot="1">
      <c r="A53" s="6"/>
      <c r="B53" s="2"/>
      <c r="C53" s="2"/>
      <c r="D53" s="244" t="s">
        <v>295</v>
      </c>
      <c r="E53" s="244"/>
      <c r="F53" s="238" t="s">
        <v>869</v>
      </c>
      <c r="G53" s="238"/>
      <c r="H53" s="238"/>
      <c r="I53" s="238"/>
      <c r="J53" s="10" t="s">
        <v>6847</v>
      </c>
      <c r="K53" s="238" t="s">
        <v>1900</v>
      </c>
      <c r="L53" s="238"/>
      <c r="M53" s="238"/>
      <c r="N53" s="238" t="s">
        <v>2178</v>
      </c>
      <c r="O53" s="238"/>
      <c r="P53" s="238"/>
      <c r="Q53" s="238" t="s">
        <v>6009</v>
      </c>
      <c r="R53" s="238"/>
      <c r="S53" s="238"/>
      <c r="T53" s="238"/>
      <c r="U53" s="238"/>
      <c r="V53" s="238"/>
      <c r="W53" s="238" t="s">
        <v>3680</v>
      </c>
      <c r="X53" s="238"/>
      <c r="Y53" s="10" t="s">
        <v>73</v>
      </c>
      <c r="Z53" s="10" t="s">
        <v>1009</v>
      </c>
      <c r="AA53" s="238" t="s">
        <v>5</v>
      </c>
      <c r="AB53" s="238"/>
      <c r="AC53" s="238"/>
      <c r="AD53" s="238"/>
      <c r="AE53" s="10" t="s">
        <v>2962</v>
      </c>
      <c r="AF53" s="237" t="s">
        <v>4617</v>
      </c>
      <c r="AG53" s="237"/>
      <c r="AH53" s="237"/>
      <c r="AI53" s="237"/>
      <c r="AJ53" s="2"/>
      <c r="AK53" s="2"/>
      <c r="AL53" s="2"/>
      <c r="AM53" s="2"/>
      <c r="AN53" s="7"/>
    </row>
    <row r="54" spans="1:40" ht="13.5" thickBot="1">
      <c r="A54" s="6"/>
      <c r="B54" s="2"/>
      <c r="C54" s="2"/>
      <c r="D54" s="244" t="s">
        <v>307</v>
      </c>
      <c r="E54" s="244"/>
      <c r="F54" s="238" t="s">
        <v>3515</v>
      </c>
      <c r="G54" s="238"/>
      <c r="H54" s="238"/>
      <c r="I54" s="238"/>
      <c r="J54" s="10" t="s">
        <v>6957</v>
      </c>
      <c r="K54" s="238" t="s">
        <v>2179</v>
      </c>
      <c r="L54" s="238"/>
      <c r="M54" s="238"/>
      <c r="N54" s="238" t="s">
        <v>2180</v>
      </c>
      <c r="O54" s="238"/>
      <c r="P54" s="238"/>
      <c r="Q54" s="238" t="s">
        <v>2181</v>
      </c>
      <c r="R54" s="238"/>
      <c r="S54" s="238"/>
      <c r="T54" s="238"/>
      <c r="U54" s="238"/>
      <c r="V54" s="238"/>
      <c r="W54" s="238" t="s">
        <v>6477</v>
      </c>
      <c r="X54" s="238"/>
      <c r="Y54" s="10" t="s">
        <v>7008</v>
      </c>
      <c r="Z54" s="10" t="s">
        <v>1495</v>
      </c>
      <c r="AA54" s="238" t="s">
        <v>2182</v>
      </c>
      <c r="AB54" s="238"/>
      <c r="AC54" s="238"/>
      <c r="AD54" s="238"/>
      <c r="AE54" s="10" t="s">
        <v>4941</v>
      </c>
      <c r="AF54" s="237" t="s">
        <v>2183</v>
      </c>
      <c r="AG54" s="237"/>
      <c r="AH54" s="237"/>
      <c r="AI54" s="237"/>
      <c r="AJ54" s="2"/>
      <c r="AK54" s="2"/>
      <c r="AL54" s="2"/>
      <c r="AM54" s="2"/>
      <c r="AN54" s="7"/>
    </row>
    <row r="55" spans="1:40" ht="13.5" thickBot="1">
      <c r="A55" s="6"/>
      <c r="B55" s="2"/>
      <c r="C55" s="2"/>
      <c r="D55" s="244" t="s">
        <v>319</v>
      </c>
      <c r="E55" s="244"/>
      <c r="F55" s="237" t="s">
        <v>5155</v>
      </c>
      <c r="G55" s="237"/>
      <c r="H55" s="237"/>
      <c r="I55" s="237"/>
      <c r="J55" s="11" t="s">
        <v>877</v>
      </c>
      <c r="K55" s="237" t="s">
        <v>6385</v>
      </c>
      <c r="L55" s="237"/>
      <c r="M55" s="237"/>
      <c r="N55" s="237" t="s">
        <v>2184</v>
      </c>
      <c r="O55" s="237"/>
      <c r="P55" s="237"/>
      <c r="Q55" s="237" t="s">
        <v>3803</v>
      </c>
      <c r="R55" s="237"/>
      <c r="S55" s="237"/>
      <c r="T55" s="237"/>
      <c r="U55" s="237"/>
      <c r="V55" s="237"/>
      <c r="W55" s="237" t="s">
        <v>6734</v>
      </c>
      <c r="X55" s="237"/>
      <c r="Y55" s="11" t="s">
        <v>2185</v>
      </c>
      <c r="Z55" s="11" t="s">
        <v>2186</v>
      </c>
      <c r="AA55" s="237" t="s">
        <v>4694</v>
      </c>
      <c r="AB55" s="237"/>
      <c r="AC55" s="237"/>
      <c r="AD55" s="237"/>
      <c r="AE55" s="11" t="s">
        <v>3328</v>
      </c>
      <c r="AF55" s="237" t="s">
        <v>2187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2188</v>
      </c>
      <c r="E7" s="269"/>
      <c r="F7" s="269"/>
      <c r="G7" s="269"/>
      <c r="H7" s="269" t="s">
        <v>2189</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NOGENT-2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1363</v>
      </c>
    </row>
    <row r="17" spans="1:47" ht="13.5" thickBot="1">
      <c r="A17" s="6"/>
      <c r="B17" s="1"/>
      <c r="C17" s="1"/>
      <c r="D17" s="248" t="s">
        <v>189</v>
      </c>
      <c r="E17" s="248"/>
      <c r="F17" s="248"/>
      <c r="G17" s="248"/>
      <c r="H17" s="248"/>
      <c r="I17" s="248"/>
      <c r="J17" s="248"/>
      <c r="K17" s="248"/>
      <c r="L17" s="8" t="s">
        <v>5709</v>
      </c>
      <c r="M17" s="264">
        <v>1363</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1310</v>
      </c>
    </row>
    <row r="18" spans="1:47" ht="13.5" thickBot="1">
      <c r="A18" s="6"/>
      <c r="B18" s="1"/>
      <c r="C18" s="1"/>
      <c r="D18" s="248" t="s">
        <v>193</v>
      </c>
      <c r="E18" s="248"/>
      <c r="F18" s="248"/>
      <c r="G18" s="248"/>
      <c r="H18" s="248"/>
      <c r="I18" s="248"/>
      <c r="J18" s="248"/>
      <c r="K18" s="248"/>
      <c r="L18" s="8" t="s">
        <v>5709</v>
      </c>
      <c r="M18" s="264">
        <v>1310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32491</v>
      </c>
    </row>
    <row r="19" spans="1:47" ht="13.5" thickBot="1">
      <c r="A19" s="6"/>
      <c r="B19" s="1"/>
      <c r="C19" s="1"/>
      <c r="D19" s="248" t="s">
        <v>196</v>
      </c>
      <c r="E19" s="248"/>
      <c r="F19" s="248"/>
      <c r="G19" s="248"/>
      <c r="H19" s="248"/>
      <c r="I19" s="248"/>
      <c r="J19" s="248"/>
      <c r="K19" s="248"/>
      <c r="L19" s="8" t="s">
        <v>5709</v>
      </c>
      <c r="M19" s="264">
        <v>1310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73.14</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70.19</v>
      </c>
    </row>
    <row r="22" spans="1:47" ht="8.85" customHeight="1" thickBot="1">
      <c r="A22" s="6"/>
      <c r="B22" s="1"/>
      <c r="C22" s="1"/>
      <c r="D22" s="248" t="s">
        <v>205</v>
      </c>
      <c r="E22" s="248"/>
      <c r="F22" s="248"/>
      <c r="G22" s="248"/>
      <c r="H22" s="248"/>
      <c r="I22" s="248"/>
      <c r="J22" s="248"/>
      <c r="K22" s="248"/>
      <c r="L22" s="247" t="s">
        <v>5709</v>
      </c>
      <c r="M22" s="259">
        <v>29952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32491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2152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32629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2153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2190</v>
      </c>
      <c r="G49" s="238"/>
      <c r="H49" s="238"/>
      <c r="I49" s="238"/>
      <c r="J49" s="10" t="s">
        <v>2191</v>
      </c>
      <c r="K49" s="238" t="s">
        <v>2192</v>
      </c>
      <c r="L49" s="238"/>
      <c r="M49" s="238"/>
      <c r="N49" s="238" t="s">
        <v>2193</v>
      </c>
      <c r="O49" s="238"/>
      <c r="P49" s="238"/>
      <c r="Q49" s="238" t="s">
        <v>2194</v>
      </c>
      <c r="R49" s="238"/>
      <c r="S49" s="238"/>
      <c r="T49" s="238"/>
      <c r="U49" s="238"/>
      <c r="V49" s="238"/>
      <c r="W49" s="238" t="s">
        <v>2195</v>
      </c>
      <c r="X49" s="238"/>
      <c r="Y49" s="10" t="s">
        <v>2196</v>
      </c>
      <c r="Z49" s="10" t="s">
        <v>2197</v>
      </c>
      <c r="AA49" s="238" t="s">
        <v>2198</v>
      </c>
      <c r="AB49" s="238"/>
      <c r="AC49" s="238"/>
      <c r="AD49" s="238"/>
      <c r="AE49" s="10" t="s">
        <v>2199</v>
      </c>
      <c r="AF49" s="237" t="s">
        <v>2200</v>
      </c>
      <c r="AG49" s="237"/>
      <c r="AH49" s="237"/>
      <c r="AI49" s="237"/>
      <c r="AJ49" s="2"/>
      <c r="AK49" s="2"/>
      <c r="AL49" s="2"/>
      <c r="AM49" s="2"/>
      <c r="AN49" s="7"/>
    </row>
    <row r="50" spans="1:40" ht="13.5" thickBot="1">
      <c r="A50" s="6"/>
      <c r="B50" s="2"/>
      <c r="C50" s="2"/>
      <c r="D50" s="244" t="s">
        <v>261</v>
      </c>
      <c r="E50" s="244"/>
      <c r="F50" s="238" t="s">
        <v>2794</v>
      </c>
      <c r="G50" s="238"/>
      <c r="H50" s="238"/>
      <c r="I50" s="238"/>
      <c r="J50" s="10" t="s">
        <v>6265</v>
      </c>
      <c r="K50" s="238" t="s">
        <v>1838</v>
      </c>
      <c r="L50" s="238"/>
      <c r="M50" s="238"/>
      <c r="N50" s="238" t="s">
        <v>2090</v>
      </c>
      <c r="O50" s="238"/>
      <c r="P50" s="238"/>
      <c r="Q50" s="238" t="s">
        <v>3911</v>
      </c>
      <c r="R50" s="238"/>
      <c r="S50" s="238"/>
      <c r="T50" s="238"/>
      <c r="U50" s="238"/>
      <c r="V50" s="238"/>
      <c r="W50" s="238" t="s">
        <v>4305</v>
      </c>
      <c r="X50" s="238"/>
      <c r="Y50" s="10" t="s">
        <v>543</v>
      </c>
      <c r="Z50" s="10" t="s">
        <v>2201</v>
      </c>
      <c r="AA50" s="238" t="s">
        <v>2202</v>
      </c>
      <c r="AB50" s="238"/>
      <c r="AC50" s="238"/>
      <c r="AD50" s="238"/>
      <c r="AE50" s="10" t="s">
        <v>2203</v>
      </c>
      <c r="AF50" s="237" t="s">
        <v>2204</v>
      </c>
      <c r="AG50" s="237"/>
      <c r="AH50" s="237"/>
      <c r="AI50" s="237"/>
      <c r="AJ50" s="2"/>
      <c r="AK50" s="2"/>
      <c r="AL50" s="2"/>
      <c r="AM50" s="2"/>
      <c r="AN50" s="7"/>
    </row>
    <row r="51" spans="1:40" ht="13.5" thickBot="1">
      <c r="A51" s="6"/>
      <c r="B51" s="2"/>
      <c r="C51" s="2"/>
      <c r="D51" s="244" t="s">
        <v>273</v>
      </c>
      <c r="E51" s="244"/>
      <c r="F51" s="238" t="s">
        <v>2205</v>
      </c>
      <c r="G51" s="238"/>
      <c r="H51" s="238"/>
      <c r="I51" s="238"/>
      <c r="J51" s="10" t="s">
        <v>3991</v>
      </c>
      <c r="K51" s="238" t="s">
        <v>3778</v>
      </c>
      <c r="L51" s="238"/>
      <c r="M51" s="238"/>
      <c r="N51" s="238" t="s">
        <v>2206</v>
      </c>
      <c r="O51" s="238"/>
      <c r="P51" s="238"/>
      <c r="Q51" s="238" t="s">
        <v>2207</v>
      </c>
      <c r="R51" s="238"/>
      <c r="S51" s="238"/>
      <c r="T51" s="238"/>
      <c r="U51" s="238"/>
      <c r="V51" s="238"/>
      <c r="W51" s="238" t="s">
        <v>380</v>
      </c>
      <c r="X51" s="238"/>
      <c r="Y51" s="10" t="s">
        <v>4070</v>
      </c>
      <c r="Z51" s="10" t="s">
        <v>4171</v>
      </c>
      <c r="AA51" s="238" t="s">
        <v>375</v>
      </c>
      <c r="AB51" s="238"/>
      <c r="AC51" s="238"/>
      <c r="AD51" s="238"/>
      <c r="AE51" s="10" t="s">
        <v>4519</v>
      </c>
      <c r="AF51" s="237" t="s">
        <v>5483</v>
      </c>
      <c r="AG51" s="237"/>
      <c r="AH51" s="237"/>
      <c r="AI51" s="237"/>
      <c r="AJ51" s="2"/>
      <c r="AK51" s="2"/>
      <c r="AL51" s="2"/>
      <c r="AM51" s="2"/>
      <c r="AN51" s="7"/>
    </row>
    <row r="52" spans="1:40" ht="13.5" thickBot="1">
      <c r="A52" s="6"/>
      <c r="B52" s="2"/>
      <c r="C52" s="2"/>
      <c r="D52" s="244" t="s">
        <v>285</v>
      </c>
      <c r="E52" s="244"/>
      <c r="F52" s="238" t="s">
        <v>6415</v>
      </c>
      <c r="G52" s="238"/>
      <c r="H52" s="238"/>
      <c r="I52" s="238"/>
      <c r="J52" s="10" t="s">
        <v>2208</v>
      </c>
      <c r="K52" s="238" t="s">
        <v>3925</v>
      </c>
      <c r="L52" s="238"/>
      <c r="M52" s="238"/>
      <c r="N52" s="238" t="s">
        <v>878</v>
      </c>
      <c r="O52" s="238"/>
      <c r="P52" s="238"/>
      <c r="Q52" s="238" t="s">
        <v>2209</v>
      </c>
      <c r="R52" s="238"/>
      <c r="S52" s="238"/>
      <c r="T52" s="238"/>
      <c r="U52" s="238"/>
      <c r="V52" s="238"/>
      <c r="W52" s="238" t="s">
        <v>4305</v>
      </c>
      <c r="X52" s="238"/>
      <c r="Y52" s="10" t="s">
        <v>4305</v>
      </c>
      <c r="Z52" s="10" t="s">
        <v>3809</v>
      </c>
      <c r="AA52" s="238" t="s">
        <v>2210</v>
      </c>
      <c r="AB52" s="238"/>
      <c r="AC52" s="238"/>
      <c r="AD52" s="238"/>
      <c r="AE52" s="10" t="s">
        <v>529</v>
      </c>
      <c r="AF52" s="237" t="s">
        <v>6498</v>
      </c>
      <c r="AG52" s="237"/>
      <c r="AH52" s="237"/>
      <c r="AI52" s="237"/>
      <c r="AJ52" s="2"/>
      <c r="AK52" s="2"/>
      <c r="AL52" s="2"/>
      <c r="AM52" s="2"/>
      <c r="AN52" s="7"/>
    </row>
    <row r="53" spans="1:40" ht="13.5" thickBot="1">
      <c r="A53" s="6"/>
      <c r="B53" s="2"/>
      <c r="C53" s="2"/>
      <c r="D53" s="244" t="s">
        <v>295</v>
      </c>
      <c r="E53" s="244"/>
      <c r="F53" s="238" t="s">
        <v>3007</v>
      </c>
      <c r="G53" s="238"/>
      <c r="H53" s="238"/>
      <c r="I53" s="238"/>
      <c r="J53" s="10" t="s">
        <v>2084</v>
      </c>
      <c r="K53" s="238" t="s">
        <v>3466</v>
      </c>
      <c r="L53" s="238"/>
      <c r="M53" s="238"/>
      <c r="N53" s="238" t="s">
        <v>994</v>
      </c>
      <c r="O53" s="238"/>
      <c r="P53" s="238"/>
      <c r="Q53" s="238" t="s">
        <v>3058</v>
      </c>
      <c r="R53" s="238"/>
      <c r="S53" s="238"/>
      <c r="T53" s="238"/>
      <c r="U53" s="238"/>
      <c r="V53" s="238"/>
      <c r="W53" s="238" t="s">
        <v>2782</v>
      </c>
      <c r="X53" s="238"/>
      <c r="Y53" s="10" t="s">
        <v>3349</v>
      </c>
      <c r="Z53" s="10" t="s">
        <v>6158</v>
      </c>
      <c r="AA53" s="238" t="s">
        <v>2211</v>
      </c>
      <c r="AB53" s="238"/>
      <c r="AC53" s="238"/>
      <c r="AD53" s="238"/>
      <c r="AE53" s="10" t="s">
        <v>6523</v>
      </c>
      <c r="AF53" s="237" t="s">
        <v>4265</v>
      </c>
      <c r="AG53" s="237"/>
      <c r="AH53" s="237"/>
      <c r="AI53" s="237"/>
      <c r="AJ53" s="2"/>
      <c r="AK53" s="2"/>
      <c r="AL53" s="2"/>
      <c r="AM53" s="2"/>
      <c r="AN53" s="7"/>
    </row>
    <row r="54" spans="1:40" ht="13.5" thickBot="1">
      <c r="A54" s="6"/>
      <c r="B54" s="2"/>
      <c r="C54" s="2"/>
      <c r="D54" s="244" t="s">
        <v>307</v>
      </c>
      <c r="E54" s="244"/>
      <c r="F54" s="238" t="s">
        <v>2743</v>
      </c>
      <c r="G54" s="238"/>
      <c r="H54" s="238"/>
      <c r="I54" s="238"/>
      <c r="J54" s="10" t="s">
        <v>2212</v>
      </c>
      <c r="K54" s="238" t="s">
        <v>1849</v>
      </c>
      <c r="L54" s="238"/>
      <c r="M54" s="238"/>
      <c r="N54" s="238" t="s">
        <v>6471</v>
      </c>
      <c r="O54" s="238"/>
      <c r="P54" s="238"/>
      <c r="Q54" s="238" t="s">
        <v>2213</v>
      </c>
      <c r="R54" s="238"/>
      <c r="S54" s="238"/>
      <c r="T54" s="238"/>
      <c r="U54" s="238"/>
      <c r="V54" s="238"/>
      <c r="W54" s="238" t="s">
        <v>6529</v>
      </c>
      <c r="X54" s="238"/>
      <c r="Y54" s="10" t="s">
        <v>583</v>
      </c>
      <c r="Z54" s="10" t="s">
        <v>4427</v>
      </c>
      <c r="AA54" s="238" t="s">
        <v>1197</v>
      </c>
      <c r="AB54" s="238"/>
      <c r="AC54" s="238"/>
      <c r="AD54" s="238"/>
      <c r="AE54" s="10" t="s">
        <v>686</v>
      </c>
      <c r="AF54" s="237" t="s">
        <v>1835</v>
      </c>
      <c r="AG54" s="237"/>
      <c r="AH54" s="237"/>
      <c r="AI54" s="237"/>
      <c r="AJ54" s="2"/>
      <c r="AK54" s="2"/>
      <c r="AL54" s="2"/>
      <c r="AM54" s="2"/>
      <c r="AN54" s="7"/>
    </row>
    <row r="55" spans="1:40" ht="13.5" thickBot="1">
      <c r="A55" s="6"/>
      <c r="B55" s="2"/>
      <c r="C55" s="2"/>
      <c r="D55" s="244" t="s">
        <v>319</v>
      </c>
      <c r="E55" s="244"/>
      <c r="F55" s="237" t="s">
        <v>4627</v>
      </c>
      <c r="G55" s="237"/>
      <c r="H55" s="237"/>
      <c r="I55" s="237"/>
      <c r="J55" s="11" t="s">
        <v>2214</v>
      </c>
      <c r="K55" s="237" t="s">
        <v>2115</v>
      </c>
      <c r="L55" s="237"/>
      <c r="M55" s="237"/>
      <c r="N55" s="237" t="s">
        <v>4470</v>
      </c>
      <c r="O55" s="237"/>
      <c r="P55" s="237"/>
      <c r="Q55" s="237" t="s">
        <v>4033</v>
      </c>
      <c r="R55" s="237"/>
      <c r="S55" s="237"/>
      <c r="T55" s="237"/>
      <c r="U55" s="237"/>
      <c r="V55" s="237"/>
      <c r="W55" s="237" t="s">
        <v>6409</v>
      </c>
      <c r="X55" s="237"/>
      <c r="Y55" s="11" t="s">
        <v>3696</v>
      </c>
      <c r="Z55" s="11" t="s">
        <v>2215</v>
      </c>
      <c r="AA55" s="237" t="s">
        <v>3975</v>
      </c>
      <c r="AB55" s="237"/>
      <c r="AC55" s="237"/>
      <c r="AD55" s="237"/>
      <c r="AE55" s="11" t="s">
        <v>2010</v>
      </c>
      <c r="AF55" s="237" t="s">
        <v>2216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2217</v>
      </c>
      <c r="E7" s="269"/>
      <c r="F7" s="269"/>
      <c r="G7" s="269"/>
      <c r="H7" s="269" t="s">
        <v>2218</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PALUEL-1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30855</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90.69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71.20</v>
      </c>
    </row>
    <row r="22" spans="1:47" ht="8.85" customHeight="1" thickBot="1">
      <c r="A22" s="6"/>
      <c r="B22" s="1"/>
      <c r="C22" s="1"/>
      <c r="D22" s="248" t="s">
        <v>205</v>
      </c>
      <c r="E22" s="248"/>
      <c r="F22" s="248"/>
      <c r="G22" s="248"/>
      <c r="H22" s="248"/>
      <c r="I22" s="248"/>
      <c r="J22" s="248"/>
      <c r="K22" s="248"/>
      <c r="L22" s="247" t="s">
        <v>5709</v>
      </c>
      <c r="M22" s="259">
        <v>28352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30855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31382</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2219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2220</v>
      </c>
      <c r="G49" s="238"/>
      <c r="H49" s="238"/>
      <c r="I49" s="238"/>
      <c r="J49" s="10" t="s">
        <v>2221</v>
      </c>
      <c r="K49" s="238" t="s">
        <v>2222</v>
      </c>
      <c r="L49" s="238"/>
      <c r="M49" s="238"/>
      <c r="N49" s="238" t="s">
        <v>2223</v>
      </c>
      <c r="O49" s="238"/>
      <c r="P49" s="238"/>
      <c r="Q49" s="238" t="s">
        <v>2224</v>
      </c>
      <c r="R49" s="238"/>
      <c r="S49" s="238"/>
      <c r="T49" s="238"/>
      <c r="U49" s="238"/>
      <c r="V49" s="238"/>
      <c r="W49" s="238" t="s">
        <v>2225</v>
      </c>
      <c r="X49" s="238"/>
      <c r="Y49" s="10" t="s">
        <v>2226</v>
      </c>
      <c r="Z49" s="10" t="s">
        <v>2227</v>
      </c>
      <c r="AA49" s="238" t="s">
        <v>2228</v>
      </c>
      <c r="AB49" s="238"/>
      <c r="AC49" s="238"/>
      <c r="AD49" s="238"/>
      <c r="AE49" s="10" t="s">
        <v>2229</v>
      </c>
      <c r="AF49" s="237" t="s">
        <v>2230</v>
      </c>
      <c r="AG49" s="237"/>
      <c r="AH49" s="237"/>
      <c r="AI49" s="237"/>
      <c r="AJ49" s="2"/>
      <c r="AK49" s="2"/>
      <c r="AL49" s="2"/>
      <c r="AM49" s="2"/>
      <c r="AN49" s="7"/>
    </row>
    <row r="50" spans="1:40" ht="13.5" thickBot="1">
      <c r="A50" s="6"/>
      <c r="B50" s="2"/>
      <c r="C50" s="2"/>
      <c r="D50" s="244" t="s">
        <v>261</v>
      </c>
      <c r="E50" s="244"/>
      <c r="F50" s="238" t="s">
        <v>391</v>
      </c>
      <c r="G50" s="238"/>
      <c r="H50" s="238"/>
      <c r="I50" s="238"/>
      <c r="J50" s="10" t="s">
        <v>1234</v>
      </c>
      <c r="K50" s="238" t="s">
        <v>2231</v>
      </c>
      <c r="L50" s="238"/>
      <c r="M50" s="238"/>
      <c r="N50" s="238" t="s">
        <v>6667</v>
      </c>
      <c r="O50" s="238"/>
      <c r="P50" s="238"/>
      <c r="Q50" s="238" t="s">
        <v>2232</v>
      </c>
      <c r="R50" s="238"/>
      <c r="S50" s="238"/>
      <c r="T50" s="238"/>
      <c r="U50" s="238"/>
      <c r="V50" s="238"/>
      <c r="W50" s="238" t="s">
        <v>1056</v>
      </c>
      <c r="X50" s="238"/>
      <c r="Y50" s="10" t="s">
        <v>966</v>
      </c>
      <c r="Z50" s="10" t="s">
        <v>6497</v>
      </c>
      <c r="AA50" s="238" t="s">
        <v>2233</v>
      </c>
      <c r="AB50" s="238"/>
      <c r="AC50" s="238"/>
      <c r="AD50" s="238"/>
      <c r="AE50" s="10" t="s">
        <v>2234</v>
      </c>
      <c r="AF50" s="237" t="s">
        <v>2235</v>
      </c>
      <c r="AG50" s="237"/>
      <c r="AH50" s="237"/>
      <c r="AI50" s="237"/>
      <c r="AJ50" s="2"/>
      <c r="AK50" s="2"/>
      <c r="AL50" s="2"/>
      <c r="AM50" s="2"/>
      <c r="AN50" s="7"/>
    </row>
    <row r="51" spans="1:40" ht="13.5" thickBot="1">
      <c r="A51" s="6"/>
      <c r="B51" s="2"/>
      <c r="C51" s="2"/>
      <c r="D51" s="244" t="s">
        <v>273</v>
      </c>
      <c r="E51" s="244"/>
      <c r="F51" s="238" t="s">
        <v>3008</v>
      </c>
      <c r="G51" s="238"/>
      <c r="H51" s="238"/>
      <c r="I51" s="238"/>
      <c r="J51" s="10" t="s">
        <v>2236</v>
      </c>
      <c r="K51" s="238" t="s">
        <v>6960</v>
      </c>
      <c r="L51" s="238"/>
      <c r="M51" s="238"/>
      <c r="N51" s="238" t="s">
        <v>2237</v>
      </c>
      <c r="O51" s="238"/>
      <c r="P51" s="238"/>
      <c r="Q51" s="238" t="s">
        <v>6848</v>
      </c>
      <c r="R51" s="238"/>
      <c r="S51" s="238"/>
      <c r="T51" s="238"/>
      <c r="U51" s="238"/>
      <c r="V51" s="238"/>
      <c r="W51" s="238" t="s">
        <v>2238</v>
      </c>
      <c r="X51" s="238"/>
      <c r="Y51" s="10" t="s">
        <v>2239</v>
      </c>
      <c r="Z51" s="10" t="s">
        <v>4937</v>
      </c>
      <c r="AA51" s="238" t="s">
        <v>2000</v>
      </c>
      <c r="AB51" s="238"/>
      <c r="AC51" s="238"/>
      <c r="AD51" s="238"/>
      <c r="AE51" s="10" t="s">
        <v>2240</v>
      </c>
      <c r="AF51" s="237" t="s">
        <v>2241</v>
      </c>
      <c r="AG51" s="237"/>
      <c r="AH51" s="237"/>
      <c r="AI51" s="237"/>
      <c r="AJ51" s="2"/>
      <c r="AK51" s="2"/>
      <c r="AL51" s="2"/>
      <c r="AM51" s="2"/>
      <c r="AN51" s="7"/>
    </row>
    <row r="52" spans="1:40" ht="13.5" thickBot="1">
      <c r="A52" s="6"/>
      <c r="B52" s="2"/>
      <c r="C52" s="2"/>
      <c r="D52" s="244" t="s">
        <v>285</v>
      </c>
      <c r="E52" s="244"/>
      <c r="F52" s="238" t="s">
        <v>2242</v>
      </c>
      <c r="G52" s="238"/>
      <c r="H52" s="238"/>
      <c r="I52" s="238"/>
      <c r="J52" s="10" t="s">
        <v>2243</v>
      </c>
      <c r="K52" s="238" t="s">
        <v>1313</v>
      </c>
      <c r="L52" s="238"/>
      <c r="M52" s="238"/>
      <c r="N52" s="238" t="s">
        <v>709</v>
      </c>
      <c r="O52" s="238"/>
      <c r="P52" s="238"/>
      <c r="Q52" s="238" t="s">
        <v>2244</v>
      </c>
      <c r="R52" s="238"/>
      <c r="S52" s="238"/>
      <c r="T52" s="238"/>
      <c r="U52" s="238"/>
      <c r="V52" s="238"/>
      <c r="W52" s="238" t="s">
        <v>2245</v>
      </c>
      <c r="X52" s="238"/>
      <c r="Y52" s="10" t="s">
        <v>5331</v>
      </c>
      <c r="Z52" s="10" t="s">
        <v>3344</v>
      </c>
      <c r="AA52" s="238" t="s">
        <v>2246</v>
      </c>
      <c r="AB52" s="238"/>
      <c r="AC52" s="238"/>
      <c r="AD52" s="238"/>
      <c r="AE52" s="10" t="s">
        <v>1786</v>
      </c>
      <c r="AF52" s="237" t="s">
        <v>5326</v>
      </c>
      <c r="AG52" s="237"/>
      <c r="AH52" s="237"/>
      <c r="AI52" s="237"/>
      <c r="AJ52" s="2"/>
      <c r="AK52" s="2"/>
      <c r="AL52" s="2"/>
      <c r="AM52" s="2"/>
      <c r="AN52" s="7"/>
    </row>
    <row r="53" spans="1:40" ht="13.5" thickBot="1">
      <c r="A53" s="6"/>
      <c r="B53" s="2"/>
      <c r="C53" s="2"/>
      <c r="D53" s="244" t="s">
        <v>295</v>
      </c>
      <c r="E53" s="244"/>
      <c r="F53" s="238" t="s">
        <v>869</v>
      </c>
      <c r="G53" s="238"/>
      <c r="H53" s="238"/>
      <c r="I53" s="238"/>
      <c r="J53" s="10" t="s">
        <v>3982</v>
      </c>
      <c r="K53" s="238" t="s">
        <v>5838</v>
      </c>
      <c r="L53" s="238"/>
      <c r="M53" s="238"/>
      <c r="N53" s="238" t="s">
        <v>4932</v>
      </c>
      <c r="O53" s="238"/>
      <c r="P53" s="238"/>
      <c r="Q53" s="238" t="s">
        <v>2247</v>
      </c>
      <c r="R53" s="238"/>
      <c r="S53" s="238"/>
      <c r="T53" s="238"/>
      <c r="U53" s="238"/>
      <c r="V53" s="238"/>
      <c r="W53" s="238" t="s">
        <v>4666</v>
      </c>
      <c r="X53" s="238"/>
      <c r="Y53" s="10" t="s">
        <v>2248</v>
      </c>
      <c r="Z53" s="10" t="s">
        <v>5103</v>
      </c>
      <c r="AA53" s="238" t="s">
        <v>2861</v>
      </c>
      <c r="AB53" s="238"/>
      <c r="AC53" s="238"/>
      <c r="AD53" s="238"/>
      <c r="AE53" s="10" t="s">
        <v>2800</v>
      </c>
      <c r="AF53" s="237" t="s">
        <v>1958</v>
      </c>
      <c r="AG53" s="237"/>
      <c r="AH53" s="237"/>
      <c r="AI53" s="237"/>
      <c r="AJ53" s="2"/>
      <c r="AK53" s="2"/>
      <c r="AL53" s="2"/>
      <c r="AM53" s="2"/>
      <c r="AN53" s="7"/>
    </row>
    <row r="54" spans="1:40" ht="13.5" thickBot="1">
      <c r="A54" s="6"/>
      <c r="B54" s="2"/>
      <c r="C54" s="2"/>
      <c r="D54" s="244" t="s">
        <v>307</v>
      </c>
      <c r="E54" s="244"/>
      <c r="F54" s="238" t="s">
        <v>2790</v>
      </c>
      <c r="G54" s="238"/>
      <c r="H54" s="238"/>
      <c r="I54" s="238"/>
      <c r="J54" s="10" t="s">
        <v>2249</v>
      </c>
      <c r="K54" s="238" t="s">
        <v>1918</v>
      </c>
      <c r="L54" s="238"/>
      <c r="M54" s="238"/>
      <c r="N54" s="238" t="s">
        <v>3943</v>
      </c>
      <c r="O54" s="238"/>
      <c r="P54" s="238"/>
      <c r="Q54" s="238" t="s">
        <v>3563</v>
      </c>
      <c r="R54" s="238"/>
      <c r="S54" s="238"/>
      <c r="T54" s="238"/>
      <c r="U54" s="238"/>
      <c r="V54" s="238"/>
      <c r="W54" s="238" t="s">
        <v>4516</v>
      </c>
      <c r="X54" s="238"/>
      <c r="Y54" s="10" t="s">
        <v>6186</v>
      </c>
      <c r="Z54" s="10" t="s">
        <v>437</v>
      </c>
      <c r="AA54" s="238" t="s">
        <v>5875</v>
      </c>
      <c r="AB54" s="238"/>
      <c r="AC54" s="238"/>
      <c r="AD54" s="238"/>
      <c r="AE54" s="10" t="s">
        <v>3674</v>
      </c>
      <c r="AF54" s="237" t="s">
        <v>2250</v>
      </c>
      <c r="AG54" s="237"/>
      <c r="AH54" s="237"/>
      <c r="AI54" s="237"/>
      <c r="AJ54" s="2"/>
      <c r="AK54" s="2"/>
      <c r="AL54" s="2"/>
      <c r="AM54" s="2"/>
      <c r="AN54" s="7"/>
    </row>
    <row r="55" spans="1:40" ht="13.5" thickBot="1">
      <c r="A55" s="6"/>
      <c r="B55" s="2"/>
      <c r="C55" s="2"/>
      <c r="D55" s="244" t="s">
        <v>319</v>
      </c>
      <c r="E55" s="244"/>
      <c r="F55" s="237" t="s">
        <v>6242</v>
      </c>
      <c r="G55" s="237"/>
      <c r="H55" s="237"/>
      <c r="I55" s="237"/>
      <c r="J55" s="11" t="s">
        <v>2251</v>
      </c>
      <c r="K55" s="237" t="s">
        <v>1454</v>
      </c>
      <c r="L55" s="237"/>
      <c r="M55" s="237"/>
      <c r="N55" s="237" t="s">
        <v>2252</v>
      </c>
      <c r="O55" s="237"/>
      <c r="P55" s="237"/>
      <c r="Q55" s="237" t="s">
        <v>6841</v>
      </c>
      <c r="R55" s="237"/>
      <c r="S55" s="237"/>
      <c r="T55" s="237"/>
      <c r="U55" s="237"/>
      <c r="V55" s="237"/>
      <c r="W55" s="237" t="s">
        <v>2253</v>
      </c>
      <c r="X55" s="237"/>
      <c r="Y55" s="11" t="s">
        <v>5801</v>
      </c>
      <c r="Z55" s="11" t="s">
        <v>1879</v>
      </c>
      <c r="AA55" s="237" t="s">
        <v>2254</v>
      </c>
      <c r="AB55" s="237"/>
      <c r="AC55" s="237"/>
      <c r="AD55" s="237"/>
      <c r="AE55" s="11" t="s">
        <v>2255</v>
      </c>
      <c r="AF55" s="237" t="s">
        <v>2256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2257</v>
      </c>
      <c r="E7" s="269"/>
      <c r="F7" s="269"/>
      <c r="G7" s="269"/>
      <c r="H7" s="269" t="s">
        <v>2258</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PALUEL-2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30939</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62.19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87.63</v>
      </c>
    </row>
    <row r="22" spans="1:47" ht="8.85" customHeight="1" thickBot="1">
      <c r="A22" s="6"/>
      <c r="B22" s="1"/>
      <c r="C22" s="1"/>
      <c r="D22" s="248" t="s">
        <v>205</v>
      </c>
      <c r="E22" s="248"/>
      <c r="F22" s="248"/>
      <c r="G22" s="248"/>
      <c r="H22" s="248"/>
      <c r="I22" s="248"/>
      <c r="J22" s="248"/>
      <c r="K22" s="248"/>
      <c r="L22" s="247" t="s">
        <v>5709</v>
      </c>
      <c r="M22" s="259">
        <v>28491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30939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31382</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2219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2259</v>
      </c>
      <c r="G49" s="238"/>
      <c r="H49" s="238"/>
      <c r="I49" s="238"/>
      <c r="J49" s="10" t="s">
        <v>2260</v>
      </c>
      <c r="K49" s="238" t="s">
        <v>2261</v>
      </c>
      <c r="L49" s="238"/>
      <c r="M49" s="238"/>
      <c r="N49" s="238" t="s">
        <v>2262</v>
      </c>
      <c r="O49" s="238"/>
      <c r="P49" s="238"/>
      <c r="Q49" s="238" t="s">
        <v>2263</v>
      </c>
      <c r="R49" s="238"/>
      <c r="S49" s="238"/>
      <c r="T49" s="238"/>
      <c r="U49" s="238"/>
      <c r="V49" s="238"/>
      <c r="W49" s="238" t="s">
        <v>2264</v>
      </c>
      <c r="X49" s="238"/>
      <c r="Y49" s="10" t="s">
        <v>2265</v>
      </c>
      <c r="Z49" s="10" t="s">
        <v>2266</v>
      </c>
      <c r="AA49" s="238" t="s">
        <v>2267</v>
      </c>
      <c r="AB49" s="238"/>
      <c r="AC49" s="238"/>
      <c r="AD49" s="238"/>
      <c r="AE49" s="10" t="s">
        <v>2268</v>
      </c>
      <c r="AF49" s="237" t="s">
        <v>2269</v>
      </c>
      <c r="AG49" s="237"/>
      <c r="AH49" s="237"/>
      <c r="AI49" s="237"/>
      <c r="AJ49" s="2"/>
      <c r="AK49" s="2"/>
      <c r="AL49" s="2"/>
      <c r="AM49" s="2"/>
      <c r="AN49" s="7"/>
    </row>
    <row r="50" spans="1:40" ht="13.5" thickBot="1">
      <c r="A50" s="6"/>
      <c r="B50" s="2"/>
      <c r="C50" s="2"/>
      <c r="D50" s="244" t="s">
        <v>261</v>
      </c>
      <c r="E50" s="244"/>
      <c r="F50" s="238" t="s">
        <v>3674</v>
      </c>
      <c r="G50" s="238"/>
      <c r="H50" s="238"/>
      <c r="I50" s="238"/>
      <c r="J50" s="10" t="s">
        <v>1451</v>
      </c>
      <c r="K50" s="238" t="s">
        <v>1186</v>
      </c>
      <c r="L50" s="238"/>
      <c r="M50" s="238"/>
      <c r="N50" s="238" t="s">
        <v>873</v>
      </c>
      <c r="O50" s="238"/>
      <c r="P50" s="238"/>
      <c r="Q50" s="238" t="s">
        <v>4362</v>
      </c>
      <c r="R50" s="238"/>
      <c r="S50" s="238"/>
      <c r="T50" s="238"/>
      <c r="U50" s="238"/>
      <c r="V50" s="238"/>
      <c r="W50" s="238" t="s">
        <v>4091</v>
      </c>
      <c r="X50" s="238"/>
      <c r="Y50" s="10" t="s">
        <v>726</v>
      </c>
      <c r="Z50" s="10" t="s">
        <v>6373</v>
      </c>
      <c r="AA50" s="238" t="s">
        <v>5391</v>
      </c>
      <c r="AB50" s="238"/>
      <c r="AC50" s="238"/>
      <c r="AD50" s="238"/>
      <c r="AE50" s="10" t="s">
        <v>3189</v>
      </c>
      <c r="AF50" s="237" t="s">
        <v>4101</v>
      </c>
      <c r="AG50" s="237"/>
      <c r="AH50" s="237"/>
      <c r="AI50" s="237"/>
      <c r="AJ50" s="2"/>
      <c r="AK50" s="2"/>
      <c r="AL50" s="2"/>
      <c r="AM50" s="2"/>
      <c r="AN50" s="7"/>
    </row>
    <row r="51" spans="1:40" ht="13.5" thickBot="1">
      <c r="A51" s="6"/>
      <c r="B51" s="2"/>
      <c r="C51" s="2"/>
      <c r="D51" s="244" t="s">
        <v>273</v>
      </c>
      <c r="E51" s="244"/>
      <c r="F51" s="238" t="s">
        <v>2270</v>
      </c>
      <c r="G51" s="238"/>
      <c r="H51" s="238"/>
      <c r="I51" s="238"/>
      <c r="J51" s="10" t="s">
        <v>5681</v>
      </c>
      <c r="K51" s="238" t="s">
        <v>2271</v>
      </c>
      <c r="L51" s="238"/>
      <c r="M51" s="238"/>
      <c r="N51" s="238" t="s">
        <v>3465</v>
      </c>
      <c r="O51" s="238"/>
      <c r="P51" s="238"/>
      <c r="Q51" s="238" t="s">
        <v>2272</v>
      </c>
      <c r="R51" s="238"/>
      <c r="S51" s="238"/>
      <c r="T51" s="238"/>
      <c r="U51" s="238"/>
      <c r="V51" s="238"/>
      <c r="W51" s="238" t="s">
        <v>693</v>
      </c>
      <c r="X51" s="238"/>
      <c r="Y51" s="10" t="s">
        <v>6245</v>
      </c>
      <c r="Z51" s="10" t="s">
        <v>3777</v>
      </c>
      <c r="AA51" s="238" t="s">
        <v>5868</v>
      </c>
      <c r="AB51" s="238"/>
      <c r="AC51" s="238"/>
      <c r="AD51" s="238"/>
      <c r="AE51" s="10" t="s">
        <v>378</v>
      </c>
      <c r="AF51" s="237" t="s">
        <v>4044</v>
      </c>
      <c r="AG51" s="237"/>
      <c r="AH51" s="237"/>
      <c r="AI51" s="237"/>
      <c r="AJ51" s="2"/>
      <c r="AK51" s="2"/>
      <c r="AL51" s="2"/>
      <c r="AM51" s="2"/>
      <c r="AN51" s="7"/>
    </row>
    <row r="52" spans="1:40" ht="13.5" thickBot="1">
      <c r="A52" s="6"/>
      <c r="B52" s="2"/>
      <c r="C52" s="2"/>
      <c r="D52" s="244" t="s">
        <v>285</v>
      </c>
      <c r="E52" s="244"/>
      <c r="F52" s="238" t="s">
        <v>2273</v>
      </c>
      <c r="G52" s="238"/>
      <c r="H52" s="238"/>
      <c r="I52" s="238"/>
      <c r="J52" s="10" t="s">
        <v>927</v>
      </c>
      <c r="K52" s="238" t="s">
        <v>3526</v>
      </c>
      <c r="L52" s="238"/>
      <c r="M52" s="238"/>
      <c r="N52" s="238" t="s">
        <v>2274</v>
      </c>
      <c r="O52" s="238"/>
      <c r="P52" s="238"/>
      <c r="Q52" s="238" t="s">
        <v>6631</v>
      </c>
      <c r="R52" s="238"/>
      <c r="S52" s="238"/>
      <c r="T52" s="238"/>
      <c r="U52" s="238"/>
      <c r="V52" s="238"/>
      <c r="W52" s="238" t="s">
        <v>3769</v>
      </c>
      <c r="X52" s="238"/>
      <c r="Y52" s="10" t="s">
        <v>2275</v>
      </c>
      <c r="Z52" s="10" t="s">
        <v>3564</v>
      </c>
      <c r="AA52" s="238" t="s">
        <v>1143</v>
      </c>
      <c r="AB52" s="238"/>
      <c r="AC52" s="238"/>
      <c r="AD52" s="238"/>
      <c r="AE52" s="10" t="s">
        <v>3144</v>
      </c>
      <c r="AF52" s="237" t="s">
        <v>2276</v>
      </c>
      <c r="AG52" s="237"/>
      <c r="AH52" s="237"/>
      <c r="AI52" s="237"/>
      <c r="AJ52" s="2"/>
      <c r="AK52" s="2"/>
      <c r="AL52" s="2"/>
      <c r="AM52" s="2"/>
      <c r="AN52" s="7"/>
    </row>
    <row r="53" spans="1:40" ht="13.5" thickBot="1">
      <c r="A53" s="6"/>
      <c r="B53" s="2"/>
      <c r="C53" s="2"/>
      <c r="D53" s="244" t="s">
        <v>295</v>
      </c>
      <c r="E53" s="244"/>
      <c r="F53" s="238" t="s">
        <v>6886</v>
      </c>
      <c r="G53" s="238"/>
      <c r="H53" s="238"/>
      <c r="I53" s="238"/>
      <c r="J53" s="10" t="s">
        <v>3679</v>
      </c>
      <c r="K53" s="238" t="s">
        <v>3213</v>
      </c>
      <c r="L53" s="238"/>
      <c r="M53" s="238"/>
      <c r="N53" s="238" t="s">
        <v>3990</v>
      </c>
      <c r="O53" s="238"/>
      <c r="P53" s="238"/>
      <c r="Q53" s="238" t="s">
        <v>204</v>
      </c>
      <c r="R53" s="238"/>
      <c r="S53" s="238"/>
      <c r="T53" s="238"/>
      <c r="U53" s="238"/>
      <c r="V53" s="238"/>
      <c r="W53" s="238" t="s">
        <v>5833</v>
      </c>
      <c r="X53" s="238"/>
      <c r="Y53" s="10" t="s">
        <v>2277</v>
      </c>
      <c r="Z53" s="10" t="s">
        <v>781</v>
      </c>
      <c r="AA53" s="238" t="s">
        <v>7012</v>
      </c>
      <c r="AB53" s="238"/>
      <c r="AC53" s="238"/>
      <c r="AD53" s="238"/>
      <c r="AE53" s="10" t="s">
        <v>3426</v>
      </c>
      <c r="AF53" s="237" t="s">
        <v>2278</v>
      </c>
      <c r="AG53" s="237"/>
      <c r="AH53" s="237"/>
      <c r="AI53" s="237"/>
      <c r="AJ53" s="2"/>
      <c r="AK53" s="2"/>
      <c r="AL53" s="2"/>
      <c r="AM53" s="2"/>
      <c r="AN53" s="7"/>
    </row>
    <row r="54" spans="1:40" ht="13.5" thickBot="1">
      <c r="A54" s="6"/>
      <c r="B54" s="2"/>
      <c r="C54" s="2"/>
      <c r="D54" s="244" t="s">
        <v>307</v>
      </c>
      <c r="E54" s="244"/>
      <c r="F54" s="238" t="s">
        <v>3517</v>
      </c>
      <c r="G54" s="238"/>
      <c r="H54" s="238"/>
      <c r="I54" s="238"/>
      <c r="J54" s="10" t="s">
        <v>5226</v>
      </c>
      <c r="K54" s="238" t="s">
        <v>4217</v>
      </c>
      <c r="L54" s="238"/>
      <c r="M54" s="238"/>
      <c r="N54" s="238" t="s">
        <v>6403</v>
      </c>
      <c r="O54" s="238"/>
      <c r="P54" s="238"/>
      <c r="Q54" s="238" t="s">
        <v>2279</v>
      </c>
      <c r="R54" s="238"/>
      <c r="S54" s="238"/>
      <c r="T54" s="238"/>
      <c r="U54" s="238"/>
      <c r="V54" s="238"/>
      <c r="W54" s="238" t="s">
        <v>5748</v>
      </c>
      <c r="X54" s="238"/>
      <c r="Y54" s="10" t="s">
        <v>2280</v>
      </c>
      <c r="Z54" s="10" t="s">
        <v>1911</v>
      </c>
      <c r="AA54" s="238" t="s">
        <v>1433</v>
      </c>
      <c r="AB54" s="238"/>
      <c r="AC54" s="238"/>
      <c r="AD54" s="238"/>
      <c r="AE54" s="10" t="s">
        <v>2281</v>
      </c>
      <c r="AF54" s="237" t="s">
        <v>2282</v>
      </c>
      <c r="AG54" s="237"/>
      <c r="AH54" s="237"/>
      <c r="AI54" s="237"/>
      <c r="AJ54" s="2"/>
      <c r="AK54" s="2"/>
      <c r="AL54" s="2"/>
      <c r="AM54" s="2"/>
      <c r="AN54" s="7"/>
    </row>
    <row r="55" spans="1:40" ht="13.5" thickBot="1">
      <c r="A55" s="6"/>
      <c r="B55" s="2"/>
      <c r="C55" s="2"/>
      <c r="D55" s="244" t="s">
        <v>319</v>
      </c>
      <c r="E55" s="244"/>
      <c r="F55" s="237" t="s">
        <v>2210</v>
      </c>
      <c r="G55" s="237"/>
      <c r="H55" s="237"/>
      <c r="I55" s="237"/>
      <c r="J55" s="11" t="s">
        <v>2283</v>
      </c>
      <c r="K55" s="237" t="s">
        <v>2284</v>
      </c>
      <c r="L55" s="237"/>
      <c r="M55" s="237"/>
      <c r="N55" s="237" t="s">
        <v>971</v>
      </c>
      <c r="O55" s="237"/>
      <c r="P55" s="237"/>
      <c r="Q55" s="237" t="s">
        <v>2285</v>
      </c>
      <c r="R55" s="237"/>
      <c r="S55" s="237"/>
      <c r="T55" s="237"/>
      <c r="U55" s="237"/>
      <c r="V55" s="237"/>
      <c r="W55" s="237" t="s">
        <v>509</v>
      </c>
      <c r="X55" s="237"/>
      <c r="Y55" s="11" t="s">
        <v>2286</v>
      </c>
      <c r="Z55" s="11" t="s">
        <v>6736</v>
      </c>
      <c r="AA55" s="237" t="s">
        <v>1207</v>
      </c>
      <c r="AB55" s="237"/>
      <c r="AC55" s="237"/>
      <c r="AD55" s="237"/>
      <c r="AE55" s="11" t="s">
        <v>5278</v>
      </c>
      <c r="AF55" s="237" t="s">
        <v>3675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2287</v>
      </c>
      <c r="E7" s="269"/>
      <c r="F7" s="269"/>
      <c r="G7" s="269"/>
      <c r="H7" s="269" t="s">
        <v>2288</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PALUEL-3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31320</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70.02</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58.79</v>
      </c>
    </row>
    <row r="22" spans="1:47" ht="8.85" customHeight="1" thickBot="1">
      <c r="A22" s="6"/>
      <c r="B22" s="1"/>
      <c r="C22" s="1"/>
      <c r="D22" s="248" t="s">
        <v>205</v>
      </c>
      <c r="E22" s="248"/>
      <c r="F22" s="248"/>
      <c r="G22" s="248"/>
      <c r="H22" s="248"/>
      <c r="I22" s="248"/>
      <c r="J22" s="248"/>
      <c r="K22" s="248"/>
      <c r="L22" s="247" t="s">
        <v>5709</v>
      </c>
      <c r="M22" s="259">
        <v>28887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31320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31444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2219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2289</v>
      </c>
      <c r="G49" s="238"/>
      <c r="H49" s="238"/>
      <c r="I49" s="238"/>
      <c r="J49" s="10" t="s">
        <v>2290</v>
      </c>
      <c r="K49" s="238" t="s">
        <v>2291</v>
      </c>
      <c r="L49" s="238"/>
      <c r="M49" s="238"/>
      <c r="N49" s="238" t="s">
        <v>2292</v>
      </c>
      <c r="O49" s="238"/>
      <c r="P49" s="238"/>
      <c r="Q49" s="238" t="s">
        <v>2293</v>
      </c>
      <c r="R49" s="238"/>
      <c r="S49" s="238"/>
      <c r="T49" s="238"/>
      <c r="U49" s="238"/>
      <c r="V49" s="238"/>
      <c r="W49" s="238" t="s">
        <v>2294</v>
      </c>
      <c r="X49" s="238"/>
      <c r="Y49" s="10" t="s">
        <v>2295</v>
      </c>
      <c r="Z49" s="10" t="s">
        <v>2296</v>
      </c>
      <c r="AA49" s="238" t="s">
        <v>2297</v>
      </c>
      <c r="AB49" s="238"/>
      <c r="AC49" s="238"/>
      <c r="AD49" s="238"/>
      <c r="AE49" s="10" t="s">
        <v>2298</v>
      </c>
      <c r="AF49" s="237" t="s">
        <v>2299</v>
      </c>
      <c r="AG49" s="237"/>
      <c r="AH49" s="237"/>
      <c r="AI49" s="237"/>
      <c r="AJ49" s="2"/>
      <c r="AK49" s="2"/>
      <c r="AL49" s="2"/>
      <c r="AM49" s="2"/>
      <c r="AN49" s="7"/>
    </row>
    <row r="50" spans="1:40" ht="13.5" thickBot="1">
      <c r="A50" s="6"/>
      <c r="B50" s="2"/>
      <c r="C50" s="2"/>
      <c r="D50" s="244" t="s">
        <v>261</v>
      </c>
      <c r="E50" s="244"/>
      <c r="F50" s="238" t="s">
        <v>4301</v>
      </c>
      <c r="G50" s="238"/>
      <c r="H50" s="238"/>
      <c r="I50" s="238"/>
      <c r="J50" s="10" t="s">
        <v>5317</v>
      </c>
      <c r="K50" s="238" t="s">
        <v>5985</v>
      </c>
      <c r="L50" s="238"/>
      <c r="M50" s="238"/>
      <c r="N50" s="238" t="s">
        <v>2300</v>
      </c>
      <c r="O50" s="238"/>
      <c r="P50" s="238"/>
      <c r="Q50" s="238" t="s">
        <v>2301</v>
      </c>
      <c r="R50" s="238"/>
      <c r="S50" s="238"/>
      <c r="T50" s="238"/>
      <c r="U50" s="238"/>
      <c r="V50" s="238"/>
      <c r="W50" s="238" t="s">
        <v>263</v>
      </c>
      <c r="X50" s="238"/>
      <c r="Y50" s="10" t="s">
        <v>3793</v>
      </c>
      <c r="Z50" s="10" t="s">
        <v>321</v>
      </c>
      <c r="AA50" s="238" t="s">
        <v>2302</v>
      </c>
      <c r="AB50" s="238"/>
      <c r="AC50" s="238"/>
      <c r="AD50" s="238"/>
      <c r="AE50" s="10" t="s">
        <v>2303</v>
      </c>
      <c r="AF50" s="237" t="s">
        <v>2304</v>
      </c>
      <c r="AG50" s="237"/>
      <c r="AH50" s="237"/>
      <c r="AI50" s="237"/>
      <c r="AJ50" s="2"/>
      <c r="AK50" s="2"/>
      <c r="AL50" s="2"/>
      <c r="AM50" s="2"/>
      <c r="AN50" s="7"/>
    </row>
    <row r="51" spans="1:40" ht="13.5" thickBot="1">
      <c r="A51" s="6"/>
      <c r="B51" s="2"/>
      <c r="C51" s="2"/>
      <c r="D51" s="244" t="s">
        <v>273</v>
      </c>
      <c r="E51" s="244"/>
      <c r="F51" s="238" t="s">
        <v>2305</v>
      </c>
      <c r="G51" s="238"/>
      <c r="H51" s="238"/>
      <c r="I51" s="238"/>
      <c r="J51" s="10" t="s">
        <v>731</v>
      </c>
      <c r="K51" s="238" t="s">
        <v>1007</v>
      </c>
      <c r="L51" s="238"/>
      <c r="M51" s="238"/>
      <c r="N51" s="238" t="s">
        <v>1091</v>
      </c>
      <c r="O51" s="238"/>
      <c r="P51" s="238"/>
      <c r="Q51" s="238" t="s">
        <v>3840</v>
      </c>
      <c r="R51" s="238"/>
      <c r="S51" s="238"/>
      <c r="T51" s="238"/>
      <c r="U51" s="238"/>
      <c r="V51" s="238"/>
      <c r="W51" s="238" t="s">
        <v>300</v>
      </c>
      <c r="X51" s="238"/>
      <c r="Y51" s="10" t="s">
        <v>2306</v>
      </c>
      <c r="Z51" s="10" t="s">
        <v>6083</v>
      </c>
      <c r="AA51" s="238" t="s">
        <v>4700</v>
      </c>
      <c r="AB51" s="238"/>
      <c r="AC51" s="238"/>
      <c r="AD51" s="238"/>
      <c r="AE51" s="10" t="s">
        <v>6086</v>
      </c>
      <c r="AF51" s="237" t="s">
        <v>2307</v>
      </c>
      <c r="AG51" s="237"/>
      <c r="AH51" s="237"/>
      <c r="AI51" s="237"/>
      <c r="AJ51" s="2"/>
      <c r="AK51" s="2"/>
      <c r="AL51" s="2"/>
      <c r="AM51" s="2"/>
      <c r="AN51" s="7"/>
    </row>
    <row r="52" spans="1:40" ht="13.5" thickBot="1">
      <c r="A52" s="6"/>
      <c r="B52" s="2"/>
      <c r="C52" s="2"/>
      <c r="D52" s="244" t="s">
        <v>285</v>
      </c>
      <c r="E52" s="244"/>
      <c r="F52" s="238" t="s">
        <v>581</v>
      </c>
      <c r="G52" s="238"/>
      <c r="H52" s="238"/>
      <c r="I52" s="238"/>
      <c r="J52" s="10" t="s">
        <v>1814</v>
      </c>
      <c r="K52" s="238" t="s">
        <v>3086</v>
      </c>
      <c r="L52" s="238"/>
      <c r="M52" s="238"/>
      <c r="N52" s="238" t="s">
        <v>2308</v>
      </c>
      <c r="O52" s="238"/>
      <c r="P52" s="238"/>
      <c r="Q52" s="238" t="s">
        <v>735</v>
      </c>
      <c r="R52" s="238"/>
      <c r="S52" s="238"/>
      <c r="T52" s="238"/>
      <c r="U52" s="238"/>
      <c r="V52" s="238"/>
      <c r="W52" s="238" t="s">
        <v>7013</v>
      </c>
      <c r="X52" s="238"/>
      <c r="Y52" s="10" t="s">
        <v>2309</v>
      </c>
      <c r="Z52" s="10" t="s">
        <v>2310</v>
      </c>
      <c r="AA52" s="238" t="s">
        <v>2311</v>
      </c>
      <c r="AB52" s="238"/>
      <c r="AC52" s="238"/>
      <c r="AD52" s="238"/>
      <c r="AE52" s="10" t="s">
        <v>2312</v>
      </c>
      <c r="AF52" s="237" t="s">
        <v>2313</v>
      </c>
      <c r="AG52" s="237"/>
      <c r="AH52" s="237"/>
      <c r="AI52" s="237"/>
      <c r="AJ52" s="2"/>
      <c r="AK52" s="2"/>
      <c r="AL52" s="2"/>
      <c r="AM52" s="2"/>
      <c r="AN52" s="7"/>
    </row>
    <row r="53" spans="1:40" ht="13.5" thickBot="1">
      <c r="A53" s="6"/>
      <c r="B53" s="2"/>
      <c r="C53" s="2"/>
      <c r="D53" s="244" t="s">
        <v>295</v>
      </c>
      <c r="E53" s="244"/>
      <c r="F53" s="238" t="s">
        <v>532</v>
      </c>
      <c r="G53" s="238"/>
      <c r="H53" s="238"/>
      <c r="I53" s="238"/>
      <c r="J53" s="10" t="s">
        <v>2314</v>
      </c>
      <c r="K53" s="238" t="s">
        <v>2315</v>
      </c>
      <c r="L53" s="238"/>
      <c r="M53" s="238"/>
      <c r="N53" s="238" t="s">
        <v>2316</v>
      </c>
      <c r="O53" s="238"/>
      <c r="P53" s="238"/>
      <c r="Q53" s="238" t="s">
        <v>5662</v>
      </c>
      <c r="R53" s="238"/>
      <c r="S53" s="238"/>
      <c r="T53" s="238"/>
      <c r="U53" s="238"/>
      <c r="V53" s="238"/>
      <c r="W53" s="238" t="s">
        <v>1407</v>
      </c>
      <c r="X53" s="238"/>
      <c r="Y53" s="10" t="s">
        <v>2317</v>
      </c>
      <c r="Z53" s="10" t="s">
        <v>6523</v>
      </c>
      <c r="AA53" s="238" t="s">
        <v>2318</v>
      </c>
      <c r="AB53" s="238"/>
      <c r="AC53" s="238"/>
      <c r="AD53" s="238"/>
      <c r="AE53" s="10" t="s">
        <v>2319</v>
      </c>
      <c r="AF53" s="237" t="s">
        <v>610</v>
      </c>
      <c r="AG53" s="237"/>
      <c r="AH53" s="237"/>
      <c r="AI53" s="237"/>
      <c r="AJ53" s="2"/>
      <c r="AK53" s="2"/>
      <c r="AL53" s="2"/>
      <c r="AM53" s="2"/>
      <c r="AN53" s="7"/>
    </row>
    <row r="54" spans="1:40" ht="13.5" thickBot="1">
      <c r="A54" s="6"/>
      <c r="B54" s="2"/>
      <c r="C54" s="2"/>
      <c r="D54" s="244" t="s">
        <v>307</v>
      </c>
      <c r="E54" s="244"/>
      <c r="F54" s="238" t="s">
        <v>1108</v>
      </c>
      <c r="G54" s="238"/>
      <c r="H54" s="238"/>
      <c r="I54" s="238"/>
      <c r="J54" s="10" t="s">
        <v>2320</v>
      </c>
      <c r="K54" s="238" t="s">
        <v>5391</v>
      </c>
      <c r="L54" s="238"/>
      <c r="M54" s="238"/>
      <c r="N54" s="238" t="s">
        <v>2321</v>
      </c>
      <c r="O54" s="238"/>
      <c r="P54" s="238"/>
      <c r="Q54" s="238" t="s">
        <v>2322</v>
      </c>
      <c r="R54" s="238"/>
      <c r="S54" s="238"/>
      <c r="T54" s="238"/>
      <c r="U54" s="238"/>
      <c r="V54" s="238"/>
      <c r="W54" s="238" t="s">
        <v>4164</v>
      </c>
      <c r="X54" s="238"/>
      <c r="Y54" s="10" t="s">
        <v>2302</v>
      </c>
      <c r="Z54" s="10" t="s">
        <v>2323</v>
      </c>
      <c r="AA54" s="238" t="s">
        <v>2324</v>
      </c>
      <c r="AB54" s="238"/>
      <c r="AC54" s="238"/>
      <c r="AD54" s="238"/>
      <c r="AE54" s="10" t="s">
        <v>2325</v>
      </c>
      <c r="AF54" s="237" t="s">
        <v>4616</v>
      </c>
      <c r="AG54" s="237"/>
      <c r="AH54" s="237"/>
      <c r="AI54" s="237"/>
      <c r="AJ54" s="2"/>
      <c r="AK54" s="2"/>
      <c r="AL54" s="2"/>
      <c r="AM54" s="2"/>
      <c r="AN54" s="7"/>
    </row>
    <row r="55" spans="1:40" ht="13.5" thickBot="1">
      <c r="A55" s="6"/>
      <c r="B55" s="2"/>
      <c r="C55" s="2"/>
      <c r="D55" s="244" t="s">
        <v>319</v>
      </c>
      <c r="E55" s="244"/>
      <c r="F55" s="237" t="s">
        <v>5987</v>
      </c>
      <c r="G55" s="237"/>
      <c r="H55" s="237"/>
      <c r="I55" s="237"/>
      <c r="J55" s="11" t="s">
        <v>5862</v>
      </c>
      <c r="K55" s="237" t="s">
        <v>5197</v>
      </c>
      <c r="L55" s="237"/>
      <c r="M55" s="237"/>
      <c r="N55" s="237" t="s">
        <v>2326</v>
      </c>
      <c r="O55" s="237"/>
      <c r="P55" s="237"/>
      <c r="Q55" s="237" t="s">
        <v>4605</v>
      </c>
      <c r="R55" s="237"/>
      <c r="S55" s="237"/>
      <c r="T55" s="237"/>
      <c r="U55" s="237"/>
      <c r="V55" s="237"/>
      <c r="W55" s="237" t="s">
        <v>3499</v>
      </c>
      <c r="X55" s="237"/>
      <c r="Y55" s="11" t="s">
        <v>2327</v>
      </c>
      <c r="Z55" s="11" t="s">
        <v>438</v>
      </c>
      <c r="AA55" s="237" t="s">
        <v>2328</v>
      </c>
      <c r="AB55" s="237"/>
      <c r="AC55" s="237"/>
      <c r="AD55" s="237"/>
      <c r="AE55" s="11" t="s">
        <v>3635</v>
      </c>
      <c r="AF55" s="237" t="s">
        <v>2201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2329</v>
      </c>
      <c r="E7" s="269"/>
      <c r="F7" s="269"/>
      <c r="G7" s="269"/>
      <c r="H7" s="269" t="s">
        <v>2330</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PALUEL-4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31513</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83.09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66.17</v>
      </c>
    </row>
    <row r="22" spans="1:47" ht="8.85" customHeight="1" thickBot="1">
      <c r="A22" s="6"/>
      <c r="B22" s="1"/>
      <c r="C22" s="1"/>
      <c r="D22" s="248" t="s">
        <v>205</v>
      </c>
      <c r="E22" s="248"/>
      <c r="F22" s="248"/>
      <c r="G22" s="248"/>
      <c r="H22" s="248"/>
      <c r="I22" s="248"/>
      <c r="J22" s="248"/>
      <c r="K22" s="248"/>
      <c r="L22" s="247" t="s">
        <v>5709</v>
      </c>
      <c r="M22" s="259">
        <v>29252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31513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31564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5543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2219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2331</v>
      </c>
      <c r="G49" s="238"/>
      <c r="H49" s="238"/>
      <c r="I49" s="238"/>
      <c r="J49" s="10" t="s">
        <v>2332</v>
      </c>
      <c r="K49" s="238" t="s">
        <v>2333</v>
      </c>
      <c r="L49" s="238"/>
      <c r="M49" s="238"/>
      <c r="N49" s="238" t="s">
        <v>2334</v>
      </c>
      <c r="O49" s="238"/>
      <c r="P49" s="238"/>
      <c r="Q49" s="238" t="s">
        <v>2335</v>
      </c>
      <c r="R49" s="238"/>
      <c r="S49" s="238"/>
      <c r="T49" s="238"/>
      <c r="U49" s="238"/>
      <c r="V49" s="238"/>
      <c r="W49" s="238" t="s">
        <v>2336</v>
      </c>
      <c r="X49" s="238"/>
      <c r="Y49" s="10" t="s">
        <v>2337</v>
      </c>
      <c r="Z49" s="10" t="s">
        <v>2338</v>
      </c>
      <c r="AA49" s="238" t="s">
        <v>2339</v>
      </c>
      <c r="AB49" s="238"/>
      <c r="AC49" s="238"/>
      <c r="AD49" s="238"/>
      <c r="AE49" s="10" t="s">
        <v>2340</v>
      </c>
      <c r="AF49" s="237" t="s">
        <v>2341</v>
      </c>
      <c r="AG49" s="237"/>
      <c r="AH49" s="237"/>
      <c r="AI49" s="237"/>
      <c r="AJ49" s="2"/>
      <c r="AK49" s="2"/>
      <c r="AL49" s="2"/>
      <c r="AM49" s="2"/>
      <c r="AN49" s="7"/>
    </row>
    <row r="50" spans="1:40" ht="13.5" thickBot="1">
      <c r="A50" s="6"/>
      <c r="B50" s="2"/>
      <c r="C50" s="2"/>
      <c r="D50" s="244" t="s">
        <v>261</v>
      </c>
      <c r="E50" s="244"/>
      <c r="F50" s="238" t="s">
        <v>4720</v>
      </c>
      <c r="G50" s="238"/>
      <c r="H50" s="238"/>
      <c r="I50" s="238"/>
      <c r="J50" s="10" t="s">
        <v>1789</v>
      </c>
      <c r="K50" s="238" t="s">
        <v>4692</v>
      </c>
      <c r="L50" s="238"/>
      <c r="M50" s="238"/>
      <c r="N50" s="238" t="s">
        <v>2342</v>
      </c>
      <c r="O50" s="238"/>
      <c r="P50" s="238"/>
      <c r="Q50" s="238" t="s">
        <v>3362</v>
      </c>
      <c r="R50" s="238"/>
      <c r="S50" s="238"/>
      <c r="T50" s="238"/>
      <c r="U50" s="238"/>
      <c r="V50" s="238"/>
      <c r="W50" s="238" t="s">
        <v>2343</v>
      </c>
      <c r="X50" s="238"/>
      <c r="Y50" s="10" t="s">
        <v>2344</v>
      </c>
      <c r="Z50" s="10" t="s">
        <v>1041</v>
      </c>
      <c r="AA50" s="238" t="s">
        <v>2345</v>
      </c>
      <c r="AB50" s="238"/>
      <c r="AC50" s="238"/>
      <c r="AD50" s="238"/>
      <c r="AE50" s="10" t="s">
        <v>2346</v>
      </c>
      <c r="AF50" s="237" t="s">
        <v>2347</v>
      </c>
      <c r="AG50" s="237"/>
      <c r="AH50" s="237"/>
      <c r="AI50" s="237"/>
      <c r="AJ50" s="2"/>
      <c r="AK50" s="2"/>
      <c r="AL50" s="2"/>
      <c r="AM50" s="2"/>
      <c r="AN50" s="7"/>
    </row>
    <row r="51" spans="1:40" ht="13.5" thickBot="1">
      <c r="A51" s="6"/>
      <c r="B51" s="2"/>
      <c r="C51" s="2"/>
      <c r="D51" s="244" t="s">
        <v>273</v>
      </c>
      <c r="E51" s="244"/>
      <c r="F51" s="238" t="s">
        <v>3731</v>
      </c>
      <c r="G51" s="238"/>
      <c r="H51" s="238"/>
      <c r="I51" s="238"/>
      <c r="J51" s="10" t="s">
        <v>5063</v>
      </c>
      <c r="K51" s="238" t="s">
        <v>6831</v>
      </c>
      <c r="L51" s="238"/>
      <c r="M51" s="238"/>
      <c r="N51" s="238" t="s">
        <v>2348</v>
      </c>
      <c r="O51" s="238"/>
      <c r="P51" s="238"/>
      <c r="Q51" s="238" t="s">
        <v>300</v>
      </c>
      <c r="R51" s="238"/>
      <c r="S51" s="238"/>
      <c r="T51" s="238"/>
      <c r="U51" s="238"/>
      <c r="V51" s="238"/>
      <c r="W51" s="238" t="s">
        <v>2349</v>
      </c>
      <c r="X51" s="238"/>
      <c r="Y51" s="10" t="s">
        <v>2350</v>
      </c>
      <c r="Z51" s="10" t="s">
        <v>2351</v>
      </c>
      <c r="AA51" s="238" t="s">
        <v>6245</v>
      </c>
      <c r="AB51" s="238"/>
      <c r="AC51" s="238"/>
      <c r="AD51" s="238"/>
      <c r="AE51" s="10" t="s">
        <v>1761</v>
      </c>
      <c r="AF51" s="237" t="s">
        <v>4608</v>
      </c>
      <c r="AG51" s="237"/>
      <c r="AH51" s="237"/>
      <c r="AI51" s="237"/>
      <c r="AJ51" s="2"/>
      <c r="AK51" s="2"/>
      <c r="AL51" s="2"/>
      <c r="AM51" s="2"/>
      <c r="AN51" s="7"/>
    </row>
    <row r="52" spans="1:40" ht="13.5" thickBot="1">
      <c r="A52" s="6"/>
      <c r="B52" s="2"/>
      <c r="C52" s="2"/>
      <c r="D52" s="244" t="s">
        <v>285</v>
      </c>
      <c r="E52" s="244"/>
      <c r="F52" s="238" t="s">
        <v>2804</v>
      </c>
      <c r="G52" s="238"/>
      <c r="H52" s="238"/>
      <c r="I52" s="238"/>
      <c r="J52" s="10" t="s">
        <v>2942</v>
      </c>
      <c r="K52" s="238" t="s">
        <v>2352</v>
      </c>
      <c r="L52" s="238"/>
      <c r="M52" s="238"/>
      <c r="N52" s="238" t="s">
        <v>2353</v>
      </c>
      <c r="O52" s="238"/>
      <c r="P52" s="238"/>
      <c r="Q52" s="238" t="s">
        <v>369</v>
      </c>
      <c r="R52" s="238"/>
      <c r="S52" s="238"/>
      <c r="T52" s="238"/>
      <c r="U52" s="238"/>
      <c r="V52" s="238"/>
      <c r="W52" s="238" t="s">
        <v>1848</v>
      </c>
      <c r="X52" s="238"/>
      <c r="Y52" s="10" t="s">
        <v>542</v>
      </c>
      <c r="Z52" s="10" t="s">
        <v>2354</v>
      </c>
      <c r="AA52" s="238" t="s">
        <v>3396</v>
      </c>
      <c r="AB52" s="238"/>
      <c r="AC52" s="238"/>
      <c r="AD52" s="238"/>
      <c r="AE52" s="10" t="s">
        <v>3747</v>
      </c>
      <c r="AF52" s="237" t="s">
        <v>5304</v>
      </c>
      <c r="AG52" s="237"/>
      <c r="AH52" s="237"/>
      <c r="AI52" s="237"/>
      <c r="AJ52" s="2"/>
      <c r="AK52" s="2"/>
      <c r="AL52" s="2"/>
      <c r="AM52" s="2"/>
      <c r="AN52" s="7"/>
    </row>
    <row r="53" spans="1:40" ht="13.5" thickBot="1">
      <c r="A53" s="6"/>
      <c r="B53" s="2"/>
      <c r="C53" s="2"/>
      <c r="D53" s="244" t="s">
        <v>295</v>
      </c>
      <c r="E53" s="244"/>
      <c r="F53" s="238" t="s">
        <v>7017</v>
      </c>
      <c r="G53" s="238"/>
      <c r="H53" s="238"/>
      <c r="I53" s="238"/>
      <c r="J53" s="10" t="s">
        <v>6786</v>
      </c>
      <c r="K53" s="238" t="s">
        <v>2355</v>
      </c>
      <c r="L53" s="238"/>
      <c r="M53" s="238"/>
      <c r="N53" s="238" t="s">
        <v>2356</v>
      </c>
      <c r="O53" s="238"/>
      <c r="P53" s="238"/>
      <c r="Q53" s="238" t="s">
        <v>5165</v>
      </c>
      <c r="R53" s="238"/>
      <c r="S53" s="238"/>
      <c r="T53" s="238"/>
      <c r="U53" s="238"/>
      <c r="V53" s="238"/>
      <c r="W53" s="238" t="s">
        <v>5218</v>
      </c>
      <c r="X53" s="238"/>
      <c r="Y53" s="10" t="s">
        <v>2357</v>
      </c>
      <c r="Z53" s="10" t="s">
        <v>301</v>
      </c>
      <c r="AA53" s="238" t="s">
        <v>2358</v>
      </c>
      <c r="AB53" s="238"/>
      <c r="AC53" s="238"/>
      <c r="AD53" s="238"/>
      <c r="AE53" s="10" t="s">
        <v>2962</v>
      </c>
      <c r="AF53" s="237" t="s">
        <v>2355</v>
      </c>
      <c r="AG53" s="237"/>
      <c r="AH53" s="237"/>
      <c r="AI53" s="237"/>
      <c r="AJ53" s="2"/>
      <c r="AK53" s="2"/>
      <c r="AL53" s="2"/>
      <c r="AM53" s="2"/>
      <c r="AN53" s="7"/>
    </row>
    <row r="54" spans="1:40" ht="13.5" thickBot="1">
      <c r="A54" s="6"/>
      <c r="B54" s="2"/>
      <c r="C54" s="2"/>
      <c r="D54" s="244" t="s">
        <v>307</v>
      </c>
      <c r="E54" s="244"/>
      <c r="F54" s="238" t="s">
        <v>3331</v>
      </c>
      <c r="G54" s="238"/>
      <c r="H54" s="238"/>
      <c r="I54" s="238"/>
      <c r="J54" s="10" t="s">
        <v>5557</v>
      </c>
      <c r="K54" s="238" t="s">
        <v>5229</v>
      </c>
      <c r="L54" s="238"/>
      <c r="M54" s="238"/>
      <c r="N54" s="238" t="s">
        <v>2245</v>
      </c>
      <c r="O54" s="238"/>
      <c r="P54" s="238"/>
      <c r="Q54" s="238" t="s">
        <v>6861</v>
      </c>
      <c r="R54" s="238"/>
      <c r="S54" s="238"/>
      <c r="T54" s="238"/>
      <c r="U54" s="238"/>
      <c r="V54" s="238"/>
      <c r="W54" s="238" t="s">
        <v>6304</v>
      </c>
      <c r="X54" s="238"/>
      <c r="Y54" s="10" t="s">
        <v>2359</v>
      </c>
      <c r="Z54" s="10" t="s">
        <v>7090</v>
      </c>
      <c r="AA54" s="238" t="s">
        <v>6098</v>
      </c>
      <c r="AB54" s="238"/>
      <c r="AC54" s="238"/>
      <c r="AD54" s="238"/>
      <c r="AE54" s="10" t="s">
        <v>2360</v>
      </c>
      <c r="AF54" s="237" t="s">
        <v>176</v>
      </c>
      <c r="AG54" s="237"/>
      <c r="AH54" s="237"/>
      <c r="AI54" s="237"/>
      <c r="AJ54" s="2"/>
      <c r="AK54" s="2"/>
      <c r="AL54" s="2"/>
      <c r="AM54" s="2"/>
      <c r="AN54" s="7"/>
    </row>
    <row r="55" spans="1:40" ht="13.5" thickBot="1">
      <c r="A55" s="6"/>
      <c r="B55" s="2"/>
      <c r="C55" s="2"/>
      <c r="D55" s="244" t="s">
        <v>319</v>
      </c>
      <c r="E55" s="244"/>
      <c r="F55" s="237" t="s">
        <v>2203</v>
      </c>
      <c r="G55" s="237"/>
      <c r="H55" s="237"/>
      <c r="I55" s="237"/>
      <c r="J55" s="11" t="s">
        <v>2361</v>
      </c>
      <c r="K55" s="237" t="s">
        <v>5119</v>
      </c>
      <c r="L55" s="237"/>
      <c r="M55" s="237"/>
      <c r="N55" s="237" t="s">
        <v>2362</v>
      </c>
      <c r="O55" s="237"/>
      <c r="P55" s="237"/>
      <c r="Q55" s="237" t="s">
        <v>2363</v>
      </c>
      <c r="R55" s="237"/>
      <c r="S55" s="237"/>
      <c r="T55" s="237"/>
      <c r="U55" s="237"/>
      <c r="V55" s="237"/>
      <c r="W55" s="237" t="s">
        <v>2364</v>
      </c>
      <c r="X55" s="237"/>
      <c r="Y55" s="11" t="s">
        <v>2304</v>
      </c>
      <c r="Z55" s="11" t="s">
        <v>2365</v>
      </c>
      <c r="AA55" s="237" t="s">
        <v>3771</v>
      </c>
      <c r="AB55" s="237"/>
      <c r="AC55" s="237"/>
      <c r="AD55" s="237"/>
      <c r="AE55" s="11" t="s">
        <v>2366</v>
      </c>
      <c r="AF55" s="237" t="s">
        <v>2367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2368</v>
      </c>
      <c r="E7" s="269"/>
      <c r="F7" s="269"/>
      <c r="G7" s="269"/>
      <c r="H7" s="269" t="s">
        <v>2369</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PENLY-1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32997</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72.88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56.88</v>
      </c>
    </row>
    <row r="22" spans="1:47" ht="8.85" customHeight="1" thickBot="1">
      <c r="A22" s="6"/>
      <c r="B22" s="1"/>
      <c r="C22" s="1"/>
      <c r="D22" s="248" t="s">
        <v>205</v>
      </c>
      <c r="E22" s="248"/>
      <c r="F22" s="248"/>
      <c r="G22" s="248"/>
      <c r="H22" s="248"/>
      <c r="I22" s="248"/>
      <c r="J22" s="248"/>
      <c r="K22" s="248"/>
      <c r="L22" s="247" t="s">
        <v>5709</v>
      </c>
      <c r="M22" s="259">
        <v>30195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32997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33208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2370</v>
      </c>
      <c r="G49" s="238"/>
      <c r="H49" s="238"/>
      <c r="I49" s="238"/>
      <c r="J49" s="10" t="s">
        <v>2371</v>
      </c>
      <c r="K49" s="238" t="s">
        <v>2372</v>
      </c>
      <c r="L49" s="238"/>
      <c r="M49" s="238"/>
      <c r="N49" s="238" t="s">
        <v>2373</v>
      </c>
      <c r="O49" s="238"/>
      <c r="P49" s="238"/>
      <c r="Q49" s="238" t="s">
        <v>2374</v>
      </c>
      <c r="R49" s="238"/>
      <c r="S49" s="238"/>
      <c r="T49" s="238"/>
      <c r="U49" s="238"/>
      <c r="V49" s="238"/>
      <c r="W49" s="238" t="s">
        <v>2375</v>
      </c>
      <c r="X49" s="238"/>
      <c r="Y49" s="10" t="s">
        <v>2376</v>
      </c>
      <c r="Z49" s="10" t="s">
        <v>2377</v>
      </c>
      <c r="AA49" s="238" t="s">
        <v>2378</v>
      </c>
      <c r="AB49" s="238"/>
      <c r="AC49" s="238"/>
      <c r="AD49" s="238"/>
      <c r="AE49" s="10" t="s">
        <v>2379</v>
      </c>
      <c r="AF49" s="237" t="s">
        <v>2380</v>
      </c>
      <c r="AG49" s="237"/>
      <c r="AH49" s="237"/>
      <c r="AI49" s="237"/>
      <c r="AJ49" s="2"/>
      <c r="AK49" s="2"/>
      <c r="AL49" s="2"/>
      <c r="AM49" s="2"/>
      <c r="AN49" s="7"/>
    </row>
    <row r="50" spans="1:40" ht="13.5" thickBot="1">
      <c r="A50" s="6"/>
      <c r="B50" s="2"/>
      <c r="C50" s="2"/>
      <c r="D50" s="244" t="s">
        <v>261</v>
      </c>
      <c r="E50" s="244"/>
      <c r="F50" s="238" t="s">
        <v>2381</v>
      </c>
      <c r="G50" s="238"/>
      <c r="H50" s="238"/>
      <c r="I50" s="238"/>
      <c r="J50" s="10" t="s">
        <v>6599</v>
      </c>
      <c r="K50" s="238" t="s">
        <v>6349</v>
      </c>
      <c r="L50" s="238"/>
      <c r="M50" s="238"/>
      <c r="N50" s="238" t="s">
        <v>2382</v>
      </c>
      <c r="O50" s="238"/>
      <c r="P50" s="238"/>
      <c r="Q50" s="238" t="s">
        <v>5120</v>
      </c>
      <c r="R50" s="238"/>
      <c r="S50" s="238"/>
      <c r="T50" s="238"/>
      <c r="U50" s="238"/>
      <c r="V50" s="238"/>
      <c r="W50" s="238" t="s">
        <v>3504</v>
      </c>
      <c r="X50" s="238"/>
      <c r="Y50" s="10" t="s">
        <v>1894</v>
      </c>
      <c r="Z50" s="10" t="s">
        <v>3010</v>
      </c>
      <c r="AA50" s="238" t="s">
        <v>6663</v>
      </c>
      <c r="AB50" s="238"/>
      <c r="AC50" s="238"/>
      <c r="AD50" s="238"/>
      <c r="AE50" s="10" t="s">
        <v>2383</v>
      </c>
      <c r="AF50" s="237" t="s">
        <v>2731</v>
      </c>
      <c r="AG50" s="237"/>
      <c r="AH50" s="237"/>
      <c r="AI50" s="237"/>
      <c r="AJ50" s="2"/>
      <c r="AK50" s="2"/>
      <c r="AL50" s="2"/>
      <c r="AM50" s="2"/>
      <c r="AN50" s="7"/>
    </row>
    <row r="51" spans="1:40" ht="13.5" thickBot="1">
      <c r="A51" s="6"/>
      <c r="B51" s="2"/>
      <c r="C51" s="2"/>
      <c r="D51" s="244" t="s">
        <v>273</v>
      </c>
      <c r="E51" s="244"/>
      <c r="F51" s="238" t="s">
        <v>1059</v>
      </c>
      <c r="G51" s="238"/>
      <c r="H51" s="238"/>
      <c r="I51" s="238"/>
      <c r="J51" s="10" t="s">
        <v>2384</v>
      </c>
      <c r="K51" s="238" t="s">
        <v>1475</v>
      </c>
      <c r="L51" s="238"/>
      <c r="M51" s="238"/>
      <c r="N51" s="238" t="s">
        <v>6902</v>
      </c>
      <c r="O51" s="238"/>
      <c r="P51" s="238"/>
      <c r="Q51" s="238" t="s">
        <v>5212</v>
      </c>
      <c r="R51" s="238"/>
      <c r="S51" s="238"/>
      <c r="T51" s="238"/>
      <c r="U51" s="238"/>
      <c r="V51" s="238"/>
      <c r="W51" s="238" t="s">
        <v>2385</v>
      </c>
      <c r="X51" s="238"/>
      <c r="Y51" s="10" t="s">
        <v>2386</v>
      </c>
      <c r="Z51" s="10" t="s">
        <v>378</v>
      </c>
      <c r="AA51" s="238" t="s">
        <v>3835</v>
      </c>
      <c r="AB51" s="238"/>
      <c r="AC51" s="238"/>
      <c r="AD51" s="238"/>
      <c r="AE51" s="10" t="s">
        <v>1766</v>
      </c>
      <c r="AF51" s="237" t="s">
        <v>1238</v>
      </c>
      <c r="AG51" s="237"/>
      <c r="AH51" s="237"/>
      <c r="AI51" s="237"/>
      <c r="AJ51" s="2"/>
      <c r="AK51" s="2"/>
      <c r="AL51" s="2"/>
      <c r="AM51" s="2"/>
      <c r="AN51" s="7"/>
    </row>
    <row r="52" spans="1:40" ht="13.5" thickBot="1">
      <c r="A52" s="6"/>
      <c r="B52" s="2"/>
      <c r="C52" s="2"/>
      <c r="D52" s="244" t="s">
        <v>285</v>
      </c>
      <c r="E52" s="244"/>
      <c r="F52" s="238" t="s">
        <v>7022</v>
      </c>
      <c r="G52" s="238"/>
      <c r="H52" s="238"/>
      <c r="I52" s="238"/>
      <c r="J52" s="10" t="s">
        <v>6185</v>
      </c>
      <c r="K52" s="238" t="s">
        <v>6349</v>
      </c>
      <c r="L52" s="238"/>
      <c r="M52" s="238"/>
      <c r="N52" s="238" t="s">
        <v>2387</v>
      </c>
      <c r="O52" s="238"/>
      <c r="P52" s="238"/>
      <c r="Q52" s="238" t="s">
        <v>4603</v>
      </c>
      <c r="R52" s="238"/>
      <c r="S52" s="238"/>
      <c r="T52" s="238"/>
      <c r="U52" s="238"/>
      <c r="V52" s="238"/>
      <c r="W52" s="238" t="s">
        <v>4672</v>
      </c>
      <c r="X52" s="238"/>
      <c r="Y52" s="10" t="s">
        <v>6531</v>
      </c>
      <c r="Z52" s="10" t="s">
        <v>2801</v>
      </c>
      <c r="AA52" s="238" t="s">
        <v>2753</v>
      </c>
      <c r="AB52" s="238"/>
      <c r="AC52" s="238"/>
      <c r="AD52" s="238"/>
      <c r="AE52" s="10" t="s">
        <v>5166</v>
      </c>
      <c r="AF52" s="237" t="s">
        <v>4970</v>
      </c>
      <c r="AG52" s="237"/>
      <c r="AH52" s="237"/>
      <c r="AI52" s="237"/>
      <c r="AJ52" s="2"/>
      <c r="AK52" s="2"/>
      <c r="AL52" s="2"/>
      <c r="AM52" s="2"/>
      <c r="AN52" s="7"/>
    </row>
    <row r="53" spans="1:40" ht="13.5" thickBot="1">
      <c r="A53" s="6"/>
      <c r="B53" s="2"/>
      <c r="C53" s="2"/>
      <c r="D53" s="244" t="s">
        <v>295</v>
      </c>
      <c r="E53" s="244"/>
      <c r="F53" s="238" t="s">
        <v>6901</v>
      </c>
      <c r="G53" s="238"/>
      <c r="H53" s="238"/>
      <c r="I53" s="238"/>
      <c r="J53" s="10" t="s">
        <v>4319</v>
      </c>
      <c r="K53" s="238" t="s">
        <v>4715</v>
      </c>
      <c r="L53" s="238"/>
      <c r="M53" s="238"/>
      <c r="N53" s="238" t="s">
        <v>1007</v>
      </c>
      <c r="O53" s="238"/>
      <c r="P53" s="238"/>
      <c r="Q53" s="238" t="s">
        <v>3052</v>
      </c>
      <c r="R53" s="238"/>
      <c r="S53" s="238"/>
      <c r="T53" s="238"/>
      <c r="U53" s="238"/>
      <c r="V53" s="238"/>
      <c r="W53" s="238" t="s">
        <v>3979</v>
      </c>
      <c r="X53" s="238"/>
      <c r="Y53" s="10" t="s">
        <v>5043</v>
      </c>
      <c r="Z53" s="10" t="s">
        <v>280</v>
      </c>
      <c r="AA53" s="238" t="s">
        <v>4790</v>
      </c>
      <c r="AB53" s="238"/>
      <c r="AC53" s="238"/>
      <c r="AD53" s="238"/>
      <c r="AE53" s="10" t="s">
        <v>2388</v>
      </c>
      <c r="AF53" s="237" t="s">
        <v>4265</v>
      </c>
      <c r="AG53" s="237"/>
      <c r="AH53" s="237"/>
      <c r="AI53" s="237"/>
      <c r="AJ53" s="2"/>
      <c r="AK53" s="2"/>
      <c r="AL53" s="2"/>
      <c r="AM53" s="2"/>
      <c r="AN53" s="7"/>
    </row>
    <row r="54" spans="1:40" ht="13.5" thickBot="1">
      <c r="A54" s="6"/>
      <c r="B54" s="2"/>
      <c r="C54" s="2"/>
      <c r="D54" s="244" t="s">
        <v>307</v>
      </c>
      <c r="E54" s="244"/>
      <c r="F54" s="238" t="s">
        <v>3042</v>
      </c>
      <c r="G54" s="238"/>
      <c r="H54" s="238"/>
      <c r="I54" s="238"/>
      <c r="J54" s="10" t="s">
        <v>2967</v>
      </c>
      <c r="K54" s="238" t="s">
        <v>2389</v>
      </c>
      <c r="L54" s="238"/>
      <c r="M54" s="238"/>
      <c r="N54" s="238" t="s">
        <v>6989</v>
      </c>
      <c r="O54" s="238"/>
      <c r="P54" s="238"/>
      <c r="Q54" s="238" t="s">
        <v>6650</v>
      </c>
      <c r="R54" s="238"/>
      <c r="S54" s="238"/>
      <c r="T54" s="238"/>
      <c r="U54" s="238"/>
      <c r="V54" s="238"/>
      <c r="W54" s="238" t="s">
        <v>7094</v>
      </c>
      <c r="X54" s="238"/>
      <c r="Y54" s="10" t="s">
        <v>6373</v>
      </c>
      <c r="Z54" s="10" t="s">
        <v>2911</v>
      </c>
      <c r="AA54" s="238" t="s">
        <v>1051</v>
      </c>
      <c r="AB54" s="238"/>
      <c r="AC54" s="238"/>
      <c r="AD54" s="238"/>
      <c r="AE54" s="10" t="s">
        <v>2390</v>
      </c>
      <c r="AF54" s="237" t="s">
        <v>6518</v>
      </c>
      <c r="AG54" s="237"/>
      <c r="AH54" s="237"/>
      <c r="AI54" s="237"/>
      <c r="AJ54" s="2"/>
      <c r="AK54" s="2"/>
      <c r="AL54" s="2"/>
      <c r="AM54" s="2"/>
      <c r="AN54" s="7"/>
    </row>
    <row r="55" spans="1:40" ht="13.5" thickBot="1">
      <c r="A55" s="6"/>
      <c r="B55" s="2"/>
      <c r="C55" s="2"/>
      <c r="D55" s="244" t="s">
        <v>319</v>
      </c>
      <c r="E55" s="244"/>
      <c r="F55" s="237" t="s">
        <v>687</v>
      </c>
      <c r="G55" s="237"/>
      <c r="H55" s="237"/>
      <c r="I55" s="237"/>
      <c r="J55" s="11" t="s">
        <v>2391</v>
      </c>
      <c r="K55" s="237" t="s">
        <v>6736</v>
      </c>
      <c r="L55" s="237"/>
      <c r="M55" s="237"/>
      <c r="N55" s="237" t="s">
        <v>1951</v>
      </c>
      <c r="O55" s="237"/>
      <c r="P55" s="237"/>
      <c r="Q55" s="237" t="s">
        <v>6226</v>
      </c>
      <c r="R55" s="237"/>
      <c r="S55" s="237"/>
      <c r="T55" s="237"/>
      <c r="U55" s="237"/>
      <c r="V55" s="237"/>
      <c r="W55" s="237" t="s">
        <v>6498</v>
      </c>
      <c r="X55" s="237"/>
      <c r="Y55" s="11" t="s">
        <v>2392</v>
      </c>
      <c r="Z55" s="11" t="s">
        <v>6915</v>
      </c>
      <c r="AA55" s="237" t="s">
        <v>2055</v>
      </c>
      <c r="AB55" s="237"/>
      <c r="AC55" s="237"/>
      <c r="AD55" s="237"/>
      <c r="AE55" s="11" t="s">
        <v>2393</v>
      </c>
      <c r="AF55" s="237" t="s">
        <v>2394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2395</v>
      </c>
      <c r="E7" s="269"/>
      <c r="F7" s="269"/>
      <c r="G7" s="269"/>
      <c r="H7" s="269" t="s">
        <v>2396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PENLY-2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33638</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78.13</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85.72</v>
      </c>
    </row>
    <row r="22" spans="1:47" ht="8.85" customHeight="1" thickBot="1">
      <c r="A22" s="6"/>
      <c r="B22" s="1"/>
      <c r="C22" s="1"/>
      <c r="D22" s="248" t="s">
        <v>205</v>
      </c>
      <c r="E22" s="248"/>
      <c r="F22" s="248"/>
      <c r="G22" s="248"/>
      <c r="H22" s="248"/>
      <c r="I22" s="248"/>
      <c r="J22" s="248"/>
      <c r="K22" s="248"/>
      <c r="L22" s="247" t="s">
        <v>5709</v>
      </c>
      <c r="M22" s="259">
        <v>30895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2397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33638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33909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2398</v>
      </c>
      <c r="G49" s="238"/>
      <c r="H49" s="238"/>
      <c r="I49" s="238"/>
      <c r="J49" s="10" t="s">
        <v>2399</v>
      </c>
      <c r="K49" s="238" t="s">
        <v>2400</v>
      </c>
      <c r="L49" s="238"/>
      <c r="M49" s="238"/>
      <c r="N49" s="238" t="s">
        <v>2401</v>
      </c>
      <c r="O49" s="238"/>
      <c r="P49" s="238"/>
      <c r="Q49" s="238" t="s">
        <v>2402</v>
      </c>
      <c r="R49" s="238"/>
      <c r="S49" s="238"/>
      <c r="T49" s="238"/>
      <c r="U49" s="238"/>
      <c r="V49" s="238"/>
      <c r="W49" s="238" t="s">
        <v>2403</v>
      </c>
      <c r="X49" s="238"/>
      <c r="Y49" s="10" t="s">
        <v>2404</v>
      </c>
      <c r="Z49" s="10" t="s">
        <v>2405</v>
      </c>
      <c r="AA49" s="238" t="s">
        <v>2406</v>
      </c>
      <c r="AB49" s="238"/>
      <c r="AC49" s="238"/>
      <c r="AD49" s="238"/>
      <c r="AE49" s="10" t="s">
        <v>2407</v>
      </c>
      <c r="AF49" s="237" t="s">
        <v>2408</v>
      </c>
      <c r="AG49" s="237"/>
      <c r="AH49" s="237"/>
      <c r="AI49" s="237"/>
      <c r="AJ49" s="2"/>
      <c r="AK49" s="2"/>
      <c r="AL49" s="2"/>
      <c r="AM49" s="2"/>
      <c r="AN49" s="7"/>
    </row>
    <row r="50" spans="1:40" ht="13.5" thickBot="1">
      <c r="A50" s="6"/>
      <c r="B50" s="2"/>
      <c r="C50" s="2"/>
      <c r="D50" s="244" t="s">
        <v>261</v>
      </c>
      <c r="E50" s="244"/>
      <c r="F50" s="238" t="s">
        <v>3562</v>
      </c>
      <c r="G50" s="238"/>
      <c r="H50" s="238"/>
      <c r="I50" s="238"/>
      <c r="J50" s="10" t="s">
        <v>4719</v>
      </c>
      <c r="K50" s="238" t="s">
        <v>389</v>
      </c>
      <c r="L50" s="238"/>
      <c r="M50" s="238"/>
      <c r="N50" s="238" t="s">
        <v>4423</v>
      </c>
      <c r="O50" s="238"/>
      <c r="P50" s="238"/>
      <c r="Q50" s="238" t="s">
        <v>6341</v>
      </c>
      <c r="R50" s="238"/>
      <c r="S50" s="238"/>
      <c r="T50" s="238"/>
      <c r="U50" s="238"/>
      <c r="V50" s="238"/>
      <c r="W50" s="238" t="s">
        <v>2281</v>
      </c>
      <c r="X50" s="238"/>
      <c r="Y50" s="10" t="s">
        <v>148</v>
      </c>
      <c r="Z50" s="10" t="s">
        <v>1995</v>
      </c>
      <c r="AA50" s="238" t="s">
        <v>2409</v>
      </c>
      <c r="AB50" s="238"/>
      <c r="AC50" s="238"/>
      <c r="AD50" s="238"/>
      <c r="AE50" s="10" t="s">
        <v>2744</v>
      </c>
      <c r="AF50" s="237" t="s">
        <v>5050</v>
      </c>
      <c r="AG50" s="237"/>
      <c r="AH50" s="237"/>
      <c r="AI50" s="237"/>
      <c r="AJ50" s="2"/>
      <c r="AK50" s="2"/>
      <c r="AL50" s="2"/>
      <c r="AM50" s="2"/>
      <c r="AN50" s="7"/>
    </row>
    <row r="51" spans="1:40" ht="13.5" thickBot="1">
      <c r="A51" s="6"/>
      <c r="B51" s="2"/>
      <c r="C51" s="2"/>
      <c r="D51" s="244" t="s">
        <v>273</v>
      </c>
      <c r="E51" s="244"/>
      <c r="F51" s="238" t="s">
        <v>2410</v>
      </c>
      <c r="G51" s="238"/>
      <c r="H51" s="238"/>
      <c r="I51" s="238"/>
      <c r="J51" s="10" t="s">
        <v>5791</v>
      </c>
      <c r="K51" s="238" t="s">
        <v>297</v>
      </c>
      <c r="L51" s="238"/>
      <c r="M51" s="238"/>
      <c r="N51" s="238" t="s">
        <v>2411</v>
      </c>
      <c r="O51" s="238"/>
      <c r="P51" s="238"/>
      <c r="Q51" s="238" t="s">
        <v>4318</v>
      </c>
      <c r="R51" s="238"/>
      <c r="S51" s="238"/>
      <c r="T51" s="238"/>
      <c r="U51" s="238"/>
      <c r="V51" s="238"/>
      <c r="W51" s="238" t="s">
        <v>378</v>
      </c>
      <c r="X51" s="238"/>
      <c r="Y51" s="10" t="s">
        <v>2412</v>
      </c>
      <c r="Z51" s="10" t="s">
        <v>4258</v>
      </c>
      <c r="AA51" s="238" t="s">
        <v>4888</v>
      </c>
      <c r="AB51" s="238"/>
      <c r="AC51" s="238"/>
      <c r="AD51" s="238"/>
      <c r="AE51" s="10" t="s">
        <v>378</v>
      </c>
      <c r="AF51" s="237" t="s">
        <v>4782</v>
      </c>
      <c r="AG51" s="237"/>
      <c r="AH51" s="237"/>
      <c r="AI51" s="237"/>
      <c r="AJ51" s="2"/>
      <c r="AK51" s="2"/>
      <c r="AL51" s="2"/>
      <c r="AM51" s="2"/>
      <c r="AN51" s="7"/>
    </row>
    <row r="52" spans="1:40" ht="13.5" thickBot="1">
      <c r="A52" s="6"/>
      <c r="B52" s="2"/>
      <c r="C52" s="2"/>
      <c r="D52" s="244" t="s">
        <v>285</v>
      </c>
      <c r="E52" s="244"/>
      <c r="F52" s="238" t="s">
        <v>462</v>
      </c>
      <c r="G52" s="238"/>
      <c r="H52" s="238"/>
      <c r="I52" s="238"/>
      <c r="J52" s="10" t="s">
        <v>2183</v>
      </c>
      <c r="K52" s="238" t="s">
        <v>389</v>
      </c>
      <c r="L52" s="238"/>
      <c r="M52" s="238"/>
      <c r="N52" s="238" t="s">
        <v>5884</v>
      </c>
      <c r="O52" s="238"/>
      <c r="P52" s="238"/>
      <c r="Q52" s="238" t="s">
        <v>5451</v>
      </c>
      <c r="R52" s="238"/>
      <c r="S52" s="238"/>
      <c r="T52" s="238"/>
      <c r="U52" s="238"/>
      <c r="V52" s="238"/>
      <c r="W52" s="238" t="s">
        <v>348</v>
      </c>
      <c r="X52" s="238"/>
      <c r="Y52" s="10" t="s">
        <v>7072</v>
      </c>
      <c r="Z52" s="10" t="s">
        <v>1002</v>
      </c>
      <c r="AA52" s="238" t="s">
        <v>7071</v>
      </c>
      <c r="AB52" s="238"/>
      <c r="AC52" s="238"/>
      <c r="AD52" s="238"/>
      <c r="AE52" s="10" t="s">
        <v>2413</v>
      </c>
      <c r="AF52" s="237" t="s">
        <v>6755</v>
      </c>
      <c r="AG52" s="237"/>
      <c r="AH52" s="237"/>
      <c r="AI52" s="237"/>
      <c r="AJ52" s="2"/>
      <c r="AK52" s="2"/>
      <c r="AL52" s="2"/>
      <c r="AM52" s="2"/>
      <c r="AN52" s="7"/>
    </row>
    <row r="53" spans="1:40" ht="13.5" thickBot="1">
      <c r="A53" s="6"/>
      <c r="B53" s="2"/>
      <c r="C53" s="2"/>
      <c r="D53" s="244" t="s">
        <v>295</v>
      </c>
      <c r="E53" s="244"/>
      <c r="F53" s="238" t="s">
        <v>5912</v>
      </c>
      <c r="G53" s="238"/>
      <c r="H53" s="238"/>
      <c r="I53" s="238"/>
      <c r="J53" s="10" t="s">
        <v>2414</v>
      </c>
      <c r="K53" s="238" t="s">
        <v>2961</v>
      </c>
      <c r="L53" s="238"/>
      <c r="M53" s="238"/>
      <c r="N53" s="238" t="s">
        <v>6849</v>
      </c>
      <c r="O53" s="238"/>
      <c r="P53" s="238"/>
      <c r="Q53" s="238" t="s">
        <v>3176</v>
      </c>
      <c r="R53" s="238"/>
      <c r="S53" s="238"/>
      <c r="T53" s="238"/>
      <c r="U53" s="238"/>
      <c r="V53" s="238"/>
      <c r="W53" s="238" t="s">
        <v>6785</v>
      </c>
      <c r="X53" s="238"/>
      <c r="Y53" s="10" t="s">
        <v>2415</v>
      </c>
      <c r="Z53" s="10" t="s">
        <v>2416</v>
      </c>
      <c r="AA53" s="238" t="s">
        <v>5218</v>
      </c>
      <c r="AB53" s="238"/>
      <c r="AC53" s="238"/>
      <c r="AD53" s="238"/>
      <c r="AE53" s="10" t="s">
        <v>2417</v>
      </c>
      <c r="AF53" s="237" t="s">
        <v>362</v>
      </c>
      <c r="AG53" s="237"/>
      <c r="AH53" s="237"/>
      <c r="AI53" s="237"/>
      <c r="AJ53" s="2"/>
      <c r="AK53" s="2"/>
      <c r="AL53" s="2"/>
      <c r="AM53" s="2"/>
      <c r="AN53" s="7"/>
    </row>
    <row r="54" spans="1:40" ht="13.5" thickBot="1">
      <c r="A54" s="6"/>
      <c r="B54" s="2"/>
      <c r="C54" s="2"/>
      <c r="D54" s="244" t="s">
        <v>307</v>
      </c>
      <c r="E54" s="244"/>
      <c r="F54" s="238" t="s">
        <v>4138</v>
      </c>
      <c r="G54" s="238"/>
      <c r="H54" s="238"/>
      <c r="I54" s="238"/>
      <c r="J54" s="10" t="s">
        <v>878</v>
      </c>
      <c r="K54" s="238" t="s">
        <v>2418</v>
      </c>
      <c r="L54" s="238"/>
      <c r="M54" s="238"/>
      <c r="N54" s="238" t="s">
        <v>2419</v>
      </c>
      <c r="O54" s="238"/>
      <c r="P54" s="238"/>
      <c r="Q54" s="238" t="s">
        <v>5614</v>
      </c>
      <c r="R54" s="238"/>
      <c r="S54" s="238"/>
      <c r="T54" s="238"/>
      <c r="U54" s="238"/>
      <c r="V54" s="238"/>
      <c r="W54" s="238" t="s">
        <v>2732</v>
      </c>
      <c r="X54" s="238"/>
      <c r="Y54" s="10" t="s">
        <v>2420</v>
      </c>
      <c r="Z54" s="10" t="s">
        <v>6174</v>
      </c>
      <c r="AA54" s="238" t="s">
        <v>4166</v>
      </c>
      <c r="AB54" s="238"/>
      <c r="AC54" s="238"/>
      <c r="AD54" s="238"/>
      <c r="AE54" s="10" t="s">
        <v>2421</v>
      </c>
      <c r="AF54" s="237" t="s">
        <v>6415</v>
      </c>
      <c r="AG54" s="237"/>
      <c r="AH54" s="237"/>
      <c r="AI54" s="237"/>
      <c r="AJ54" s="2"/>
      <c r="AK54" s="2"/>
      <c r="AL54" s="2"/>
      <c r="AM54" s="2"/>
      <c r="AN54" s="7"/>
    </row>
    <row r="55" spans="1:40" ht="13.5" thickBot="1">
      <c r="A55" s="6"/>
      <c r="B55" s="2"/>
      <c r="C55" s="2"/>
      <c r="D55" s="244" t="s">
        <v>319</v>
      </c>
      <c r="E55" s="244"/>
      <c r="F55" s="237" t="s">
        <v>2422</v>
      </c>
      <c r="G55" s="237"/>
      <c r="H55" s="237"/>
      <c r="I55" s="237"/>
      <c r="J55" s="11" t="s">
        <v>3802</v>
      </c>
      <c r="K55" s="237" t="s">
        <v>2423</v>
      </c>
      <c r="L55" s="237"/>
      <c r="M55" s="237"/>
      <c r="N55" s="237" t="s">
        <v>2424</v>
      </c>
      <c r="O55" s="237"/>
      <c r="P55" s="237"/>
      <c r="Q55" s="237" t="s">
        <v>3364</v>
      </c>
      <c r="R55" s="237"/>
      <c r="S55" s="237"/>
      <c r="T55" s="237"/>
      <c r="U55" s="237"/>
      <c r="V55" s="237"/>
      <c r="W55" s="237" t="s">
        <v>1364</v>
      </c>
      <c r="X55" s="237"/>
      <c r="Y55" s="11" t="s">
        <v>6589</v>
      </c>
      <c r="Z55" s="11" t="s">
        <v>6650</v>
      </c>
      <c r="AA55" s="237" t="s">
        <v>2425</v>
      </c>
      <c r="AB55" s="237"/>
      <c r="AC55" s="237"/>
      <c r="AD55" s="237"/>
      <c r="AE55" s="11" t="s">
        <v>4006</v>
      </c>
      <c r="AF55" s="237" t="s">
        <v>10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2426</v>
      </c>
      <c r="E7" s="269"/>
      <c r="F7" s="269"/>
      <c r="G7" s="269"/>
      <c r="H7" s="269" t="s">
        <v>2427</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ST. ALBAN-1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1381</v>
      </c>
    </row>
    <row r="17" spans="1:47" ht="13.5" thickBot="1">
      <c r="A17" s="6"/>
      <c r="B17" s="1"/>
      <c r="C17" s="1"/>
      <c r="D17" s="248" t="s">
        <v>189</v>
      </c>
      <c r="E17" s="248"/>
      <c r="F17" s="248"/>
      <c r="G17" s="248"/>
      <c r="H17" s="248"/>
      <c r="I17" s="248"/>
      <c r="J17" s="248"/>
      <c r="K17" s="248"/>
      <c r="L17" s="8" t="s">
        <v>5709</v>
      </c>
      <c r="M17" s="264">
        <v>1381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1335</v>
      </c>
    </row>
    <row r="18" spans="1:47" ht="13.5" thickBot="1">
      <c r="A18" s="6"/>
      <c r="B18" s="1"/>
      <c r="C18" s="1"/>
      <c r="D18" s="248" t="s">
        <v>193</v>
      </c>
      <c r="E18" s="248"/>
      <c r="F18" s="248"/>
      <c r="G18" s="248"/>
      <c r="H18" s="248"/>
      <c r="I18" s="248"/>
      <c r="J18" s="248"/>
      <c r="K18" s="248"/>
      <c r="L18" s="8" t="s">
        <v>5709</v>
      </c>
      <c r="M18" s="264">
        <v>1335</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31289</v>
      </c>
    </row>
    <row r="19" spans="1:47" ht="13.5" thickBot="1">
      <c r="A19" s="6"/>
      <c r="B19" s="1"/>
      <c r="C19" s="1"/>
      <c r="D19" s="248" t="s">
        <v>196</v>
      </c>
      <c r="E19" s="248"/>
      <c r="F19" s="248"/>
      <c r="G19" s="248"/>
      <c r="H19" s="248"/>
      <c r="I19" s="248"/>
      <c r="J19" s="248"/>
      <c r="K19" s="248"/>
      <c r="L19" s="8" t="s">
        <v>5709</v>
      </c>
      <c r="M19" s="264">
        <v>1335</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82.91</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92.01</v>
      </c>
    </row>
    <row r="22" spans="1:47" ht="8.85" customHeight="1" thickBot="1">
      <c r="A22" s="6"/>
      <c r="B22" s="1"/>
      <c r="C22" s="1"/>
      <c r="D22" s="248" t="s">
        <v>205</v>
      </c>
      <c r="E22" s="248"/>
      <c r="F22" s="248"/>
      <c r="G22" s="248"/>
      <c r="H22" s="248"/>
      <c r="I22" s="248"/>
      <c r="J22" s="248"/>
      <c r="K22" s="248"/>
      <c r="L22" s="247" t="s">
        <v>5709</v>
      </c>
      <c r="M22" s="259">
        <v>28884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31289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2428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31533</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4854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2429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2430</v>
      </c>
      <c r="G49" s="238"/>
      <c r="H49" s="238"/>
      <c r="I49" s="238"/>
      <c r="J49" s="10" t="s">
        <v>2431</v>
      </c>
      <c r="K49" s="238" t="s">
        <v>2432</v>
      </c>
      <c r="L49" s="238"/>
      <c r="M49" s="238"/>
      <c r="N49" s="238" t="s">
        <v>2433</v>
      </c>
      <c r="O49" s="238"/>
      <c r="P49" s="238"/>
      <c r="Q49" s="238" t="s">
        <v>2434</v>
      </c>
      <c r="R49" s="238"/>
      <c r="S49" s="238"/>
      <c r="T49" s="238"/>
      <c r="U49" s="238"/>
      <c r="V49" s="238"/>
      <c r="W49" s="238" t="s">
        <v>2435</v>
      </c>
      <c r="X49" s="238"/>
      <c r="Y49" s="10" t="s">
        <v>2436</v>
      </c>
      <c r="Z49" s="10" t="s">
        <v>2437</v>
      </c>
      <c r="AA49" s="238" t="s">
        <v>2438</v>
      </c>
      <c r="AB49" s="238"/>
      <c r="AC49" s="238"/>
      <c r="AD49" s="238"/>
      <c r="AE49" s="10" t="s">
        <v>2439</v>
      </c>
      <c r="AF49" s="237" t="s">
        <v>2440</v>
      </c>
      <c r="AG49" s="237"/>
      <c r="AH49" s="237"/>
      <c r="AI49" s="237"/>
      <c r="AJ49" s="2"/>
      <c r="AK49" s="2"/>
      <c r="AL49" s="2"/>
      <c r="AM49" s="2"/>
      <c r="AN49" s="7"/>
    </row>
    <row r="50" spans="1:40" ht="13.5" thickBot="1">
      <c r="A50" s="6"/>
      <c r="B50" s="2"/>
      <c r="C50" s="2"/>
      <c r="D50" s="244" t="s">
        <v>261</v>
      </c>
      <c r="E50" s="244"/>
      <c r="F50" s="238" t="s">
        <v>4823</v>
      </c>
      <c r="G50" s="238"/>
      <c r="H50" s="238"/>
      <c r="I50" s="238"/>
      <c r="J50" s="10" t="s">
        <v>1043</v>
      </c>
      <c r="K50" s="238" t="s">
        <v>2441</v>
      </c>
      <c r="L50" s="238"/>
      <c r="M50" s="238"/>
      <c r="N50" s="238" t="s">
        <v>2442</v>
      </c>
      <c r="O50" s="238"/>
      <c r="P50" s="238"/>
      <c r="Q50" s="238" t="s">
        <v>1241</v>
      </c>
      <c r="R50" s="238"/>
      <c r="S50" s="238"/>
      <c r="T50" s="238"/>
      <c r="U50" s="238"/>
      <c r="V50" s="238"/>
      <c r="W50" s="238" t="s">
        <v>1371</v>
      </c>
      <c r="X50" s="238"/>
      <c r="Y50" s="10" t="s">
        <v>2443</v>
      </c>
      <c r="Z50" s="10" t="s">
        <v>2444</v>
      </c>
      <c r="AA50" s="238" t="s">
        <v>2445</v>
      </c>
      <c r="AB50" s="238"/>
      <c r="AC50" s="238"/>
      <c r="AD50" s="238"/>
      <c r="AE50" s="10" t="s">
        <v>6006</v>
      </c>
      <c r="AF50" s="237" t="s">
        <v>2446</v>
      </c>
      <c r="AG50" s="237"/>
      <c r="AH50" s="237"/>
      <c r="AI50" s="237"/>
      <c r="AJ50" s="2"/>
      <c r="AK50" s="2"/>
      <c r="AL50" s="2"/>
      <c r="AM50" s="2"/>
      <c r="AN50" s="7"/>
    </row>
    <row r="51" spans="1:40" ht="13.5" thickBot="1">
      <c r="A51" s="6"/>
      <c r="B51" s="2"/>
      <c r="C51" s="2"/>
      <c r="D51" s="244" t="s">
        <v>273</v>
      </c>
      <c r="E51" s="244"/>
      <c r="F51" s="238" t="s">
        <v>3403</v>
      </c>
      <c r="G51" s="238"/>
      <c r="H51" s="238"/>
      <c r="I51" s="238"/>
      <c r="J51" s="10" t="s">
        <v>2447</v>
      </c>
      <c r="K51" s="238" t="s">
        <v>2448</v>
      </c>
      <c r="L51" s="238"/>
      <c r="M51" s="238"/>
      <c r="N51" s="238" t="s">
        <v>6086</v>
      </c>
      <c r="O51" s="238"/>
      <c r="P51" s="238"/>
      <c r="Q51" s="238" t="s">
        <v>5742</v>
      </c>
      <c r="R51" s="238"/>
      <c r="S51" s="238"/>
      <c r="T51" s="238"/>
      <c r="U51" s="238"/>
      <c r="V51" s="238"/>
      <c r="W51" s="238" t="s">
        <v>2449</v>
      </c>
      <c r="X51" s="238"/>
      <c r="Y51" s="10" t="s">
        <v>2450</v>
      </c>
      <c r="Z51" s="10" t="s">
        <v>6081</v>
      </c>
      <c r="AA51" s="238" t="s">
        <v>2451</v>
      </c>
      <c r="AB51" s="238"/>
      <c r="AC51" s="238"/>
      <c r="AD51" s="238"/>
      <c r="AE51" s="10" t="s">
        <v>378</v>
      </c>
      <c r="AF51" s="237" t="s">
        <v>1134</v>
      </c>
      <c r="AG51" s="237"/>
      <c r="AH51" s="237"/>
      <c r="AI51" s="237"/>
      <c r="AJ51" s="2"/>
      <c r="AK51" s="2"/>
      <c r="AL51" s="2"/>
      <c r="AM51" s="2"/>
      <c r="AN51" s="7"/>
    </row>
    <row r="52" spans="1:40" ht="13.5" thickBot="1">
      <c r="A52" s="6"/>
      <c r="B52" s="2"/>
      <c r="C52" s="2"/>
      <c r="D52" s="244" t="s">
        <v>285</v>
      </c>
      <c r="E52" s="244"/>
      <c r="F52" s="238" t="s">
        <v>3458</v>
      </c>
      <c r="G52" s="238"/>
      <c r="H52" s="238"/>
      <c r="I52" s="238"/>
      <c r="J52" s="10" t="s">
        <v>2452</v>
      </c>
      <c r="K52" s="238" t="s">
        <v>2107</v>
      </c>
      <c r="L52" s="238"/>
      <c r="M52" s="238"/>
      <c r="N52" s="238" t="s">
        <v>2453</v>
      </c>
      <c r="O52" s="238"/>
      <c r="P52" s="238"/>
      <c r="Q52" s="238" t="s">
        <v>6108</v>
      </c>
      <c r="R52" s="238"/>
      <c r="S52" s="238"/>
      <c r="T52" s="238"/>
      <c r="U52" s="238"/>
      <c r="V52" s="238"/>
      <c r="W52" s="238" t="s">
        <v>4711</v>
      </c>
      <c r="X52" s="238"/>
      <c r="Y52" s="10" t="s">
        <v>2454</v>
      </c>
      <c r="Z52" s="10" t="s">
        <v>2455</v>
      </c>
      <c r="AA52" s="238" t="s">
        <v>7052</v>
      </c>
      <c r="AB52" s="238"/>
      <c r="AC52" s="238"/>
      <c r="AD52" s="238"/>
      <c r="AE52" s="10" t="s">
        <v>4824</v>
      </c>
      <c r="AF52" s="237" t="s">
        <v>5249</v>
      </c>
      <c r="AG52" s="237"/>
      <c r="AH52" s="237"/>
      <c r="AI52" s="237"/>
      <c r="AJ52" s="2"/>
      <c r="AK52" s="2"/>
      <c r="AL52" s="2"/>
      <c r="AM52" s="2"/>
      <c r="AN52" s="7"/>
    </row>
    <row r="53" spans="1:40" ht="13.5" thickBot="1">
      <c r="A53" s="6"/>
      <c r="B53" s="2"/>
      <c r="C53" s="2"/>
      <c r="D53" s="244" t="s">
        <v>295</v>
      </c>
      <c r="E53" s="244"/>
      <c r="F53" s="238" t="s">
        <v>471</v>
      </c>
      <c r="G53" s="238"/>
      <c r="H53" s="238"/>
      <c r="I53" s="238"/>
      <c r="J53" s="10" t="s">
        <v>5359</v>
      </c>
      <c r="K53" s="238" t="s">
        <v>6785</v>
      </c>
      <c r="L53" s="238"/>
      <c r="M53" s="238"/>
      <c r="N53" s="238" t="s">
        <v>73</v>
      </c>
      <c r="O53" s="238"/>
      <c r="P53" s="238"/>
      <c r="Q53" s="238" t="s">
        <v>2456</v>
      </c>
      <c r="R53" s="238"/>
      <c r="S53" s="238"/>
      <c r="T53" s="238"/>
      <c r="U53" s="238"/>
      <c r="V53" s="238"/>
      <c r="W53" s="238" t="s">
        <v>2457</v>
      </c>
      <c r="X53" s="238"/>
      <c r="Y53" s="10" t="s">
        <v>5269</v>
      </c>
      <c r="Z53" s="10" t="s">
        <v>2458</v>
      </c>
      <c r="AA53" s="238" t="s">
        <v>2077</v>
      </c>
      <c r="AB53" s="238"/>
      <c r="AC53" s="238"/>
      <c r="AD53" s="238"/>
      <c r="AE53" s="10" t="s">
        <v>2459</v>
      </c>
      <c r="AF53" s="237" t="s">
        <v>5488</v>
      </c>
      <c r="AG53" s="237"/>
      <c r="AH53" s="237"/>
      <c r="AI53" s="237"/>
      <c r="AJ53" s="2"/>
      <c r="AK53" s="2"/>
      <c r="AL53" s="2"/>
      <c r="AM53" s="2"/>
      <c r="AN53" s="7"/>
    </row>
    <row r="54" spans="1:40" ht="13.5" thickBot="1">
      <c r="A54" s="6"/>
      <c r="B54" s="2"/>
      <c r="C54" s="2"/>
      <c r="D54" s="244" t="s">
        <v>307</v>
      </c>
      <c r="E54" s="244"/>
      <c r="F54" s="238" t="s">
        <v>3016</v>
      </c>
      <c r="G54" s="238"/>
      <c r="H54" s="238"/>
      <c r="I54" s="238"/>
      <c r="J54" s="10" t="s">
        <v>5222</v>
      </c>
      <c r="K54" s="238" t="s">
        <v>3562</v>
      </c>
      <c r="L54" s="238"/>
      <c r="M54" s="238"/>
      <c r="N54" s="238" t="s">
        <v>2923</v>
      </c>
      <c r="O54" s="238"/>
      <c r="P54" s="238"/>
      <c r="Q54" s="238" t="s">
        <v>6861</v>
      </c>
      <c r="R54" s="238"/>
      <c r="S54" s="238"/>
      <c r="T54" s="238"/>
      <c r="U54" s="238"/>
      <c r="V54" s="238"/>
      <c r="W54" s="238" t="s">
        <v>5334</v>
      </c>
      <c r="X54" s="238"/>
      <c r="Y54" s="10" t="s">
        <v>2460</v>
      </c>
      <c r="Z54" s="10" t="s">
        <v>2461</v>
      </c>
      <c r="AA54" s="238" t="s">
        <v>1105</v>
      </c>
      <c r="AB54" s="238"/>
      <c r="AC54" s="238"/>
      <c r="AD54" s="238"/>
      <c r="AE54" s="10" t="s">
        <v>5938</v>
      </c>
      <c r="AF54" s="237" t="s">
        <v>128</v>
      </c>
      <c r="AG54" s="237"/>
      <c r="AH54" s="237"/>
      <c r="AI54" s="237"/>
      <c r="AJ54" s="2"/>
      <c r="AK54" s="2"/>
      <c r="AL54" s="2"/>
      <c r="AM54" s="2"/>
      <c r="AN54" s="7"/>
    </row>
    <row r="55" spans="1:40" ht="13.5" thickBot="1">
      <c r="A55" s="6"/>
      <c r="B55" s="2"/>
      <c r="C55" s="2"/>
      <c r="D55" s="244" t="s">
        <v>319</v>
      </c>
      <c r="E55" s="244"/>
      <c r="F55" s="237" t="s">
        <v>2462</v>
      </c>
      <c r="G55" s="237"/>
      <c r="H55" s="237"/>
      <c r="I55" s="237"/>
      <c r="J55" s="11" t="s">
        <v>1832</v>
      </c>
      <c r="K55" s="237" t="s">
        <v>2463</v>
      </c>
      <c r="L55" s="237"/>
      <c r="M55" s="237"/>
      <c r="N55" s="237" t="s">
        <v>4176</v>
      </c>
      <c r="O55" s="237"/>
      <c r="P55" s="237"/>
      <c r="Q55" s="237" t="s">
        <v>6297</v>
      </c>
      <c r="R55" s="237"/>
      <c r="S55" s="237"/>
      <c r="T55" s="237"/>
      <c r="U55" s="237"/>
      <c r="V55" s="237"/>
      <c r="W55" s="237" t="s">
        <v>4123</v>
      </c>
      <c r="X55" s="237"/>
      <c r="Y55" s="11" t="s">
        <v>2464</v>
      </c>
      <c r="Z55" s="11" t="s">
        <v>2465</v>
      </c>
      <c r="AA55" s="237" t="s">
        <v>2466</v>
      </c>
      <c r="AB55" s="237"/>
      <c r="AC55" s="237"/>
      <c r="AD55" s="237"/>
      <c r="AE55" s="11" t="s">
        <v>3405</v>
      </c>
      <c r="AF55" s="237" t="s">
        <v>2467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2468</v>
      </c>
      <c r="E7" s="269"/>
      <c r="F7" s="269"/>
      <c r="G7" s="269"/>
      <c r="H7" s="269" t="s">
        <v>2469</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ST. ALBAN-2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1381</v>
      </c>
    </row>
    <row r="17" spans="1:47" ht="13.5" thickBot="1">
      <c r="A17" s="6"/>
      <c r="B17" s="1"/>
      <c r="C17" s="1"/>
      <c r="D17" s="248" t="s">
        <v>189</v>
      </c>
      <c r="E17" s="248"/>
      <c r="F17" s="248"/>
      <c r="G17" s="248"/>
      <c r="H17" s="248"/>
      <c r="I17" s="248"/>
      <c r="J17" s="248"/>
      <c r="K17" s="248"/>
      <c r="L17" s="8" t="s">
        <v>5709</v>
      </c>
      <c r="M17" s="264">
        <v>1381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1335</v>
      </c>
    </row>
    <row r="18" spans="1:47" ht="13.5" thickBot="1">
      <c r="A18" s="6"/>
      <c r="B18" s="1"/>
      <c r="C18" s="1"/>
      <c r="D18" s="248" t="s">
        <v>193</v>
      </c>
      <c r="E18" s="248"/>
      <c r="F18" s="248"/>
      <c r="G18" s="248"/>
      <c r="H18" s="248"/>
      <c r="I18" s="248"/>
      <c r="J18" s="248"/>
      <c r="K18" s="248"/>
      <c r="L18" s="8" t="s">
        <v>5709</v>
      </c>
      <c r="M18" s="264">
        <v>1335</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31596</v>
      </c>
    </row>
    <row r="19" spans="1:47" ht="13.5" thickBot="1">
      <c r="A19" s="6"/>
      <c r="B19" s="1"/>
      <c r="C19" s="1"/>
      <c r="D19" s="248" t="s">
        <v>196</v>
      </c>
      <c r="E19" s="248"/>
      <c r="F19" s="248"/>
      <c r="G19" s="248"/>
      <c r="H19" s="248"/>
      <c r="I19" s="248"/>
      <c r="J19" s="248"/>
      <c r="K19" s="248"/>
      <c r="L19" s="8" t="s">
        <v>5709</v>
      </c>
      <c r="M19" s="264">
        <v>1335</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61.88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70.95</v>
      </c>
    </row>
    <row r="22" spans="1:47" ht="8.85" customHeight="1" thickBot="1">
      <c r="A22" s="6"/>
      <c r="B22" s="1"/>
      <c r="C22" s="1"/>
      <c r="D22" s="248" t="s">
        <v>205</v>
      </c>
      <c r="E22" s="248"/>
      <c r="F22" s="248"/>
      <c r="G22" s="248"/>
      <c r="H22" s="248"/>
      <c r="I22" s="248"/>
      <c r="J22" s="248"/>
      <c r="K22" s="248"/>
      <c r="L22" s="247" t="s">
        <v>5709</v>
      </c>
      <c r="M22" s="259">
        <v>29067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31596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2428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31837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4854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2429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2470</v>
      </c>
      <c r="G49" s="238"/>
      <c r="H49" s="238"/>
      <c r="I49" s="238"/>
      <c r="J49" s="10" t="s">
        <v>2471</v>
      </c>
      <c r="K49" s="238" t="s">
        <v>2472</v>
      </c>
      <c r="L49" s="238"/>
      <c r="M49" s="238"/>
      <c r="N49" s="238" t="s">
        <v>2473</v>
      </c>
      <c r="O49" s="238"/>
      <c r="P49" s="238"/>
      <c r="Q49" s="238" t="s">
        <v>2474</v>
      </c>
      <c r="R49" s="238"/>
      <c r="S49" s="238"/>
      <c r="T49" s="238"/>
      <c r="U49" s="238"/>
      <c r="V49" s="238"/>
      <c r="W49" s="238" t="s">
        <v>2475</v>
      </c>
      <c r="X49" s="238"/>
      <c r="Y49" s="10" t="s">
        <v>2476</v>
      </c>
      <c r="Z49" s="10" t="s">
        <v>2477</v>
      </c>
      <c r="AA49" s="238" t="s">
        <v>2478</v>
      </c>
      <c r="AB49" s="238"/>
      <c r="AC49" s="238"/>
      <c r="AD49" s="238"/>
      <c r="AE49" s="10" t="s">
        <v>2479</v>
      </c>
      <c r="AF49" s="237" t="s">
        <v>2480</v>
      </c>
      <c r="AG49" s="237"/>
      <c r="AH49" s="237"/>
      <c r="AI49" s="237"/>
      <c r="AJ49" s="2"/>
      <c r="AK49" s="2"/>
      <c r="AL49" s="2"/>
      <c r="AM49" s="2"/>
      <c r="AN49" s="7"/>
    </row>
    <row r="50" spans="1:40" ht="13.5" thickBot="1">
      <c r="A50" s="6"/>
      <c r="B50" s="2"/>
      <c r="C50" s="2"/>
      <c r="D50" s="244" t="s">
        <v>261</v>
      </c>
      <c r="E50" s="244"/>
      <c r="F50" s="238" t="s">
        <v>627</v>
      </c>
      <c r="G50" s="238"/>
      <c r="H50" s="238"/>
      <c r="I50" s="238"/>
      <c r="J50" s="10" t="s">
        <v>4751</v>
      </c>
      <c r="K50" s="238" t="s">
        <v>2733</v>
      </c>
      <c r="L50" s="238"/>
      <c r="M50" s="238"/>
      <c r="N50" s="238" t="s">
        <v>348</v>
      </c>
      <c r="O50" s="238"/>
      <c r="P50" s="238"/>
      <c r="Q50" s="238" t="s">
        <v>2481</v>
      </c>
      <c r="R50" s="238"/>
      <c r="S50" s="238"/>
      <c r="T50" s="238"/>
      <c r="U50" s="238"/>
      <c r="V50" s="238"/>
      <c r="W50" s="238" t="s">
        <v>2482</v>
      </c>
      <c r="X50" s="238"/>
      <c r="Y50" s="10" t="s">
        <v>6001</v>
      </c>
      <c r="Z50" s="10" t="s">
        <v>2483</v>
      </c>
      <c r="AA50" s="238" t="s">
        <v>5394</v>
      </c>
      <c r="AB50" s="238"/>
      <c r="AC50" s="238"/>
      <c r="AD50" s="238"/>
      <c r="AE50" s="10" t="s">
        <v>2484</v>
      </c>
      <c r="AF50" s="237" t="s">
        <v>6251</v>
      </c>
      <c r="AG50" s="237"/>
      <c r="AH50" s="237"/>
      <c r="AI50" s="237"/>
      <c r="AJ50" s="2"/>
      <c r="AK50" s="2"/>
      <c r="AL50" s="2"/>
      <c r="AM50" s="2"/>
      <c r="AN50" s="7"/>
    </row>
    <row r="51" spans="1:40" ht="13.5" thickBot="1">
      <c r="A51" s="6"/>
      <c r="B51" s="2"/>
      <c r="C51" s="2"/>
      <c r="D51" s="244" t="s">
        <v>273</v>
      </c>
      <c r="E51" s="244"/>
      <c r="F51" s="238" t="s">
        <v>2045</v>
      </c>
      <c r="G51" s="238"/>
      <c r="H51" s="238"/>
      <c r="I51" s="238"/>
      <c r="J51" s="10" t="s">
        <v>1883</v>
      </c>
      <c r="K51" s="238" t="s">
        <v>2485</v>
      </c>
      <c r="L51" s="238"/>
      <c r="M51" s="238"/>
      <c r="N51" s="238" t="s">
        <v>6328</v>
      </c>
      <c r="O51" s="238"/>
      <c r="P51" s="238"/>
      <c r="Q51" s="238" t="s">
        <v>2486</v>
      </c>
      <c r="R51" s="238"/>
      <c r="S51" s="238"/>
      <c r="T51" s="238"/>
      <c r="U51" s="238"/>
      <c r="V51" s="238"/>
      <c r="W51" s="238" t="s">
        <v>1824</v>
      </c>
      <c r="X51" s="238"/>
      <c r="Y51" s="10" t="s">
        <v>6086</v>
      </c>
      <c r="Z51" s="10" t="s">
        <v>2487</v>
      </c>
      <c r="AA51" s="238" t="s">
        <v>2488</v>
      </c>
      <c r="AB51" s="238"/>
      <c r="AC51" s="238"/>
      <c r="AD51" s="238"/>
      <c r="AE51" s="10" t="s">
        <v>4939</v>
      </c>
      <c r="AF51" s="237" t="s">
        <v>1237</v>
      </c>
      <c r="AG51" s="237"/>
      <c r="AH51" s="237"/>
      <c r="AI51" s="237"/>
      <c r="AJ51" s="2"/>
      <c r="AK51" s="2"/>
      <c r="AL51" s="2"/>
      <c r="AM51" s="2"/>
      <c r="AN51" s="7"/>
    </row>
    <row r="52" spans="1:40" ht="13.5" thickBot="1">
      <c r="A52" s="6"/>
      <c r="B52" s="2"/>
      <c r="C52" s="2"/>
      <c r="D52" s="244" t="s">
        <v>285</v>
      </c>
      <c r="E52" s="244"/>
      <c r="F52" s="238" t="s">
        <v>353</v>
      </c>
      <c r="G52" s="238"/>
      <c r="H52" s="238"/>
      <c r="I52" s="238"/>
      <c r="J52" s="10" t="s">
        <v>2489</v>
      </c>
      <c r="K52" s="238" t="s">
        <v>4011</v>
      </c>
      <c r="L52" s="238"/>
      <c r="M52" s="238"/>
      <c r="N52" s="238" t="s">
        <v>2490</v>
      </c>
      <c r="O52" s="238"/>
      <c r="P52" s="238"/>
      <c r="Q52" s="238" t="s">
        <v>5726</v>
      </c>
      <c r="R52" s="238"/>
      <c r="S52" s="238"/>
      <c r="T52" s="238"/>
      <c r="U52" s="238"/>
      <c r="V52" s="238"/>
      <c r="W52" s="238" t="s">
        <v>4455</v>
      </c>
      <c r="X52" s="238"/>
      <c r="Y52" s="10" t="s">
        <v>4928</v>
      </c>
      <c r="Z52" s="10" t="s">
        <v>2491</v>
      </c>
      <c r="AA52" s="238" t="s">
        <v>6498</v>
      </c>
      <c r="AB52" s="238"/>
      <c r="AC52" s="238"/>
      <c r="AD52" s="238"/>
      <c r="AE52" s="10" t="s">
        <v>5249</v>
      </c>
      <c r="AF52" s="237" t="s">
        <v>2492</v>
      </c>
      <c r="AG52" s="237"/>
      <c r="AH52" s="237"/>
      <c r="AI52" s="237"/>
      <c r="AJ52" s="2"/>
      <c r="AK52" s="2"/>
      <c r="AL52" s="2"/>
      <c r="AM52" s="2"/>
      <c r="AN52" s="7"/>
    </row>
    <row r="53" spans="1:40" ht="13.5" thickBot="1">
      <c r="A53" s="6"/>
      <c r="B53" s="2"/>
      <c r="C53" s="2"/>
      <c r="D53" s="244" t="s">
        <v>295</v>
      </c>
      <c r="E53" s="244"/>
      <c r="F53" s="238" t="s">
        <v>2493</v>
      </c>
      <c r="G53" s="238"/>
      <c r="H53" s="238"/>
      <c r="I53" s="238"/>
      <c r="J53" s="10" t="s">
        <v>5257</v>
      </c>
      <c r="K53" s="238" t="s">
        <v>296</v>
      </c>
      <c r="L53" s="238"/>
      <c r="M53" s="238"/>
      <c r="N53" s="238" t="s">
        <v>2494</v>
      </c>
      <c r="O53" s="238"/>
      <c r="P53" s="238"/>
      <c r="Q53" s="238" t="s">
        <v>2495</v>
      </c>
      <c r="R53" s="238"/>
      <c r="S53" s="238"/>
      <c r="T53" s="238"/>
      <c r="U53" s="238"/>
      <c r="V53" s="238"/>
      <c r="W53" s="238" t="s">
        <v>4573</v>
      </c>
      <c r="X53" s="238"/>
      <c r="Y53" s="10" t="s">
        <v>702</v>
      </c>
      <c r="Z53" s="10" t="s">
        <v>3181</v>
      </c>
      <c r="AA53" s="238" t="s">
        <v>4983</v>
      </c>
      <c r="AB53" s="238"/>
      <c r="AC53" s="238"/>
      <c r="AD53" s="238"/>
      <c r="AE53" s="10" t="s">
        <v>5739</v>
      </c>
      <c r="AF53" s="237" t="s">
        <v>2496</v>
      </c>
      <c r="AG53" s="237"/>
      <c r="AH53" s="237"/>
      <c r="AI53" s="237"/>
      <c r="AJ53" s="2"/>
      <c r="AK53" s="2"/>
      <c r="AL53" s="2"/>
      <c r="AM53" s="2"/>
      <c r="AN53" s="7"/>
    </row>
    <row r="54" spans="1:40" ht="13.5" thickBot="1">
      <c r="A54" s="6"/>
      <c r="B54" s="2"/>
      <c r="C54" s="2"/>
      <c r="D54" s="244" t="s">
        <v>307</v>
      </c>
      <c r="E54" s="244"/>
      <c r="F54" s="238" t="s">
        <v>6101</v>
      </c>
      <c r="G54" s="238"/>
      <c r="H54" s="238"/>
      <c r="I54" s="238"/>
      <c r="J54" s="10" t="s">
        <v>2392</v>
      </c>
      <c r="K54" s="238" t="s">
        <v>1011</v>
      </c>
      <c r="L54" s="238"/>
      <c r="M54" s="238"/>
      <c r="N54" s="238" t="s">
        <v>2497</v>
      </c>
      <c r="O54" s="238"/>
      <c r="P54" s="238"/>
      <c r="Q54" s="238" t="s">
        <v>4626</v>
      </c>
      <c r="R54" s="238"/>
      <c r="S54" s="238"/>
      <c r="T54" s="238"/>
      <c r="U54" s="238"/>
      <c r="V54" s="238"/>
      <c r="W54" s="238" t="s">
        <v>483</v>
      </c>
      <c r="X54" s="238"/>
      <c r="Y54" s="10" t="s">
        <v>2498</v>
      </c>
      <c r="Z54" s="10" t="s">
        <v>5201</v>
      </c>
      <c r="AA54" s="238" t="s">
        <v>6671</v>
      </c>
      <c r="AB54" s="238"/>
      <c r="AC54" s="238"/>
      <c r="AD54" s="238"/>
      <c r="AE54" s="10" t="s">
        <v>6660</v>
      </c>
      <c r="AF54" s="237" t="s">
        <v>6605</v>
      </c>
      <c r="AG54" s="237"/>
      <c r="AH54" s="237"/>
      <c r="AI54" s="237"/>
      <c r="AJ54" s="2"/>
      <c r="AK54" s="2"/>
      <c r="AL54" s="2"/>
      <c r="AM54" s="2"/>
      <c r="AN54" s="7"/>
    </row>
    <row r="55" spans="1:40" ht="13.5" thickBot="1">
      <c r="A55" s="6"/>
      <c r="B55" s="2"/>
      <c r="C55" s="2"/>
      <c r="D55" s="244" t="s">
        <v>319</v>
      </c>
      <c r="E55" s="244"/>
      <c r="F55" s="237" t="s">
        <v>2313</v>
      </c>
      <c r="G55" s="237"/>
      <c r="H55" s="237"/>
      <c r="I55" s="237"/>
      <c r="J55" s="11" t="s">
        <v>3723</v>
      </c>
      <c r="K55" s="237" t="s">
        <v>6729</v>
      </c>
      <c r="L55" s="237"/>
      <c r="M55" s="237"/>
      <c r="N55" s="237" t="s">
        <v>4844</v>
      </c>
      <c r="O55" s="237"/>
      <c r="P55" s="237"/>
      <c r="Q55" s="237" t="s">
        <v>5652</v>
      </c>
      <c r="R55" s="237"/>
      <c r="S55" s="237"/>
      <c r="T55" s="237"/>
      <c r="U55" s="237"/>
      <c r="V55" s="237"/>
      <c r="W55" s="237" t="s">
        <v>2499</v>
      </c>
      <c r="X55" s="237"/>
      <c r="Y55" s="11" t="s">
        <v>6052</v>
      </c>
      <c r="Z55" s="11" t="s">
        <v>2500</v>
      </c>
      <c r="AA55" s="237" t="s">
        <v>2501</v>
      </c>
      <c r="AB55" s="237"/>
      <c r="AC55" s="237"/>
      <c r="AD55" s="237"/>
      <c r="AE55" s="11" t="s">
        <v>2502</v>
      </c>
      <c r="AF55" s="237" t="s">
        <v>2503</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6.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2504</v>
      </c>
      <c r="E7" s="269"/>
      <c r="F7" s="269"/>
      <c r="G7" s="269"/>
      <c r="H7" s="269" t="s">
        <v>2505</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ST. LAURENT-B-1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956</v>
      </c>
    </row>
    <row r="17" spans="1:47" ht="13.5" thickBot="1">
      <c r="A17" s="6"/>
      <c r="B17" s="1"/>
      <c r="C17" s="1"/>
      <c r="D17" s="248" t="s">
        <v>189</v>
      </c>
      <c r="E17" s="248"/>
      <c r="F17" s="248"/>
      <c r="G17" s="248"/>
      <c r="H17" s="248"/>
      <c r="I17" s="248"/>
      <c r="J17" s="248"/>
      <c r="K17" s="248"/>
      <c r="L17" s="8" t="s">
        <v>5709</v>
      </c>
      <c r="M17" s="264">
        <v>956</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915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29607</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67.16</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84.86</v>
      </c>
    </row>
    <row r="22" spans="1:47" ht="8.85" customHeight="1" thickBot="1">
      <c r="A22" s="6"/>
      <c r="B22" s="1"/>
      <c r="C22" s="1"/>
      <c r="D22" s="248" t="s">
        <v>205</v>
      </c>
      <c r="E22" s="248"/>
      <c r="F22" s="248"/>
      <c r="G22" s="248"/>
      <c r="H22" s="248"/>
      <c r="I22" s="248"/>
      <c r="J22" s="248"/>
      <c r="K22" s="248"/>
      <c r="L22" s="247" t="s">
        <v>5709</v>
      </c>
      <c r="M22" s="259">
        <v>27881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29607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30529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2506</v>
      </c>
      <c r="G49" s="238"/>
      <c r="H49" s="238"/>
      <c r="I49" s="238"/>
      <c r="J49" s="10" t="s">
        <v>2507</v>
      </c>
      <c r="K49" s="238" t="s">
        <v>2508</v>
      </c>
      <c r="L49" s="238"/>
      <c r="M49" s="238"/>
      <c r="N49" s="238" t="s">
        <v>2509</v>
      </c>
      <c r="O49" s="238"/>
      <c r="P49" s="238"/>
      <c r="Q49" s="238" t="s">
        <v>2510</v>
      </c>
      <c r="R49" s="238"/>
      <c r="S49" s="238"/>
      <c r="T49" s="238"/>
      <c r="U49" s="238"/>
      <c r="V49" s="238"/>
      <c r="W49" s="238" t="s">
        <v>2511</v>
      </c>
      <c r="X49" s="238"/>
      <c r="Y49" s="10" t="s">
        <v>2512</v>
      </c>
      <c r="Z49" s="10" t="s">
        <v>2513</v>
      </c>
      <c r="AA49" s="238" t="s">
        <v>2514</v>
      </c>
      <c r="AB49" s="238"/>
      <c r="AC49" s="238"/>
      <c r="AD49" s="238"/>
      <c r="AE49" s="10" t="s">
        <v>2515</v>
      </c>
      <c r="AF49" s="237" t="s">
        <v>2516</v>
      </c>
      <c r="AG49" s="237"/>
      <c r="AH49" s="237"/>
      <c r="AI49" s="237"/>
      <c r="AJ49" s="2"/>
      <c r="AK49" s="2"/>
      <c r="AL49" s="2"/>
      <c r="AM49" s="2"/>
      <c r="AN49" s="7"/>
    </row>
    <row r="50" spans="1:40" ht="13.5" thickBot="1">
      <c r="A50" s="6"/>
      <c r="B50" s="2"/>
      <c r="C50" s="2"/>
      <c r="D50" s="244" t="s">
        <v>261</v>
      </c>
      <c r="E50" s="244"/>
      <c r="F50" s="238" t="s">
        <v>2517</v>
      </c>
      <c r="G50" s="238"/>
      <c r="H50" s="238"/>
      <c r="I50" s="238"/>
      <c r="J50" s="10" t="s">
        <v>6317</v>
      </c>
      <c r="K50" s="238" t="s">
        <v>1907</v>
      </c>
      <c r="L50" s="238"/>
      <c r="M50" s="238"/>
      <c r="N50" s="238" t="s">
        <v>2518</v>
      </c>
      <c r="O50" s="238"/>
      <c r="P50" s="238"/>
      <c r="Q50" s="238" t="s">
        <v>2519</v>
      </c>
      <c r="R50" s="238"/>
      <c r="S50" s="238"/>
      <c r="T50" s="238"/>
      <c r="U50" s="238"/>
      <c r="V50" s="238"/>
      <c r="W50" s="238" t="s">
        <v>3363</v>
      </c>
      <c r="X50" s="238"/>
      <c r="Y50" s="10" t="s">
        <v>5368</v>
      </c>
      <c r="Z50" s="10" t="s">
        <v>6109</v>
      </c>
      <c r="AA50" s="238" t="s">
        <v>4087</v>
      </c>
      <c r="AB50" s="238"/>
      <c r="AC50" s="238"/>
      <c r="AD50" s="238"/>
      <c r="AE50" s="10" t="s">
        <v>5597</v>
      </c>
      <c r="AF50" s="237" t="s">
        <v>6499</v>
      </c>
      <c r="AG50" s="237"/>
      <c r="AH50" s="237"/>
      <c r="AI50" s="237"/>
      <c r="AJ50" s="2"/>
      <c r="AK50" s="2"/>
      <c r="AL50" s="2"/>
      <c r="AM50" s="2"/>
      <c r="AN50" s="7"/>
    </row>
    <row r="51" spans="1:40" ht="13.5" thickBot="1">
      <c r="A51" s="6"/>
      <c r="B51" s="2"/>
      <c r="C51" s="2"/>
      <c r="D51" s="244" t="s">
        <v>273</v>
      </c>
      <c r="E51" s="244"/>
      <c r="F51" s="238" t="s">
        <v>5109</v>
      </c>
      <c r="G51" s="238"/>
      <c r="H51" s="238"/>
      <c r="I51" s="238"/>
      <c r="J51" s="10" t="s">
        <v>3783</v>
      </c>
      <c r="K51" s="238" t="s">
        <v>4742</v>
      </c>
      <c r="L51" s="238"/>
      <c r="M51" s="238"/>
      <c r="N51" s="238" t="s">
        <v>6894</v>
      </c>
      <c r="O51" s="238"/>
      <c r="P51" s="238"/>
      <c r="Q51" s="238" t="s">
        <v>2520</v>
      </c>
      <c r="R51" s="238"/>
      <c r="S51" s="238"/>
      <c r="T51" s="238"/>
      <c r="U51" s="238"/>
      <c r="V51" s="238"/>
      <c r="W51" s="238" t="s">
        <v>2521</v>
      </c>
      <c r="X51" s="238"/>
      <c r="Y51" s="10" t="s">
        <v>1193</v>
      </c>
      <c r="Z51" s="10" t="s">
        <v>6714</v>
      </c>
      <c r="AA51" s="238" t="s">
        <v>4476</v>
      </c>
      <c r="AB51" s="238"/>
      <c r="AC51" s="238"/>
      <c r="AD51" s="238"/>
      <c r="AE51" s="10" t="s">
        <v>2522</v>
      </c>
      <c r="AF51" s="237" t="s">
        <v>1237</v>
      </c>
      <c r="AG51" s="237"/>
      <c r="AH51" s="237"/>
      <c r="AI51" s="237"/>
      <c r="AJ51" s="2"/>
      <c r="AK51" s="2"/>
      <c r="AL51" s="2"/>
      <c r="AM51" s="2"/>
      <c r="AN51" s="7"/>
    </row>
    <row r="52" spans="1:40" ht="13.5" thickBot="1">
      <c r="A52" s="6"/>
      <c r="B52" s="2"/>
      <c r="C52" s="2"/>
      <c r="D52" s="244" t="s">
        <v>285</v>
      </c>
      <c r="E52" s="244"/>
      <c r="F52" s="238" t="s">
        <v>5535</v>
      </c>
      <c r="G52" s="238"/>
      <c r="H52" s="238"/>
      <c r="I52" s="238"/>
      <c r="J52" s="10" t="s">
        <v>6415</v>
      </c>
      <c r="K52" s="238" t="s">
        <v>3515</v>
      </c>
      <c r="L52" s="238"/>
      <c r="M52" s="238"/>
      <c r="N52" s="238" t="s">
        <v>4886</v>
      </c>
      <c r="O52" s="238"/>
      <c r="P52" s="238"/>
      <c r="Q52" s="238" t="s">
        <v>7089</v>
      </c>
      <c r="R52" s="238"/>
      <c r="S52" s="238"/>
      <c r="T52" s="238"/>
      <c r="U52" s="238"/>
      <c r="V52" s="238"/>
      <c r="W52" s="238" t="s">
        <v>2523</v>
      </c>
      <c r="X52" s="238"/>
      <c r="Y52" s="10" t="s">
        <v>4483</v>
      </c>
      <c r="Z52" s="10" t="s">
        <v>3400</v>
      </c>
      <c r="AA52" s="238" t="s">
        <v>5917</v>
      </c>
      <c r="AB52" s="238"/>
      <c r="AC52" s="238"/>
      <c r="AD52" s="238"/>
      <c r="AE52" s="10" t="s">
        <v>4254</v>
      </c>
      <c r="AF52" s="237" t="s">
        <v>2524</v>
      </c>
      <c r="AG52" s="237"/>
      <c r="AH52" s="237"/>
      <c r="AI52" s="237"/>
      <c r="AJ52" s="2"/>
      <c r="AK52" s="2"/>
      <c r="AL52" s="2"/>
      <c r="AM52" s="2"/>
      <c r="AN52" s="7"/>
    </row>
    <row r="53" spans="1:40" ht="13.5" thickBot="1">
      <c r="A53" s="6"/>
      <c r="B53" s="2"/>
      <c r="C53" s="2"/>
      <c r="D53" s="244" t="s">
        <v>295</v>
      </c>
      <c r="E53" s="244"/>
      <c r="F53" s="238" t="s">
        <v>5741</v>
      </c>
      <c r="G53" s="238"/>
      <c r="H53" s="238"/>
      <c r="I53" s="238"/>
      <c r="J53" s="10" t="s">
        <v>2525</v>
      </c>
      <c r="K53" s="238" t="s">
        <v>6983</v>
      </c>
      <c r="L53" s="238"/>
      <c r="M53" s="238"/>
      <c r="N53" s="238" t="s">
        <v>1781</v>
      </c>
      <c r="O53" s="238"/>
      <c r="P53" s="238"/>
      <c r="Q53" s="238" t="s">
        <v>1965</v>
      </c>
      <c r="R53" s="238"/>
      <c r="S53" s="238"/>
      <c r="T53" s="238"/>
      <c r="U53" s="238"/>
      <c r="V53" s="238"/>
      <c r="W53" s="238" t="s">
        <v>7019</v>
      </c>
      <c r="X53" s="238"/>
      <c r="Y53" s="10" t="s">
        <v>5266</v>
      </c>
      <c r="Z53" s="10" t="s">
        <v>6085</v>
      </c>
      <c r="AA53" s="238" t="s">
        <v>7020</v>
      </c>
      <c r="AB53" s="238"/>
      <c r="AC53" s="238"/>
      <c r="AD53" s="238"/>
      <c r="AE53" s="10" t="s">
        <v>2526</v>
      </c>
      <c r="AF53" s="237" t="s">
        <v>4783</v>
      </c>
      <c r="AG53" s="237"/>
      <c r="AH53" s="237"/>
      <c r="AI53" s="237"/>
      <c r="AJ53" s="2"/>
      <c r="AK53" s="2"/>
      <c r="AL53" s="2"/>
      <c r="AM53" s="2"/>
      <c r="AN53" s="7"/>
    </row>
    <row r="54" spans="1:40" ht="13.5" thickBot="1">
      <c r="A54" s="6"/>
      <c r="B54" s="2"/>
      <c r="C54" s="2"/>
      <c r="D54" s="244" t="s">
        <v>307</v>
      </c>
      <c r="E54" s="244"/>
      <c r="F54" s="238" t="s">
        <v>6173</v>
      </c>
      <c r="G54" s="238"/>
      <c r="H54" s="238"/>
      <c r="I54" s="238"/>
      <c r="J54" s="10" t="s">
        <v>2803</v>
      </c>
      <c r="K54" s="238" t="s">
        <v>2527</v>
      </c>
      <c r="L54" s="238"/>
      <c r="M54" s="238"/>
      <c r="N54" s="238" t="s">
        <v>4181</v>
      </c>
      <c r="O54" s="238"/>
      <c r="P54" s="238"/>
      <c r="Q54" s="238" t="s">
        <v>5726</v>
      </c>
      <c r="R54" s="238"/>
      <c r="S54" s="238"/>
      <c r="T54" s="238"/>
      <c r="U54" s="238"/>
      <c r="V54" s="238"/>
      <c r="W54" s="238" t="s">
        <v>1819</v>
      </c>
      <c r="X54" s="238"/>
      <c r="Y54" s="10" t="s">
        <v>4722</v>
      </c>
      <c r="Z54" s="10" t="s">
        <v>6704</v>
      </c>
      <c r="AA54" s="238" t="s">
        <v>1813</v>
      </c>
      <c r="AB54" s="238"/>
      <c r="AC54" s="238"/>
      <c r="AD54" s="238"/>
      <c r="AE54" s="10" t="s">
        <v>5533</v>
      </c>
      <c r="AF54" s="237" t="s">
        <v>1245</v>
      </c>
      <c r="AG54" s="237"/>
      <c r="AH54" s="237"/>
      <c r="AI54" s="237"/>
      <c r="AJ54" s="2"/>
      <c r="AK54" s="2"/>
      <c r="AL54" s="2"/>
      <c r="AM54" s="2"/>
      <c r="AN54" s="7"/>
    </row>
    <row r="55" spans="1:40" ht="13.5" thickBot="1">
      <c r="A55" s="6"/>
      <c r="B55" s="2"/>
      <c r="C55" s="2"/>
      <c r="D55" s="244" t="s">
        <v>319</v>
      </c>
      <c r="E55" s="244"/>
      <c r="F55" s="237" t="s">
        <v>6240</v>
      </c>
      <c r="G55" s="237"/>
      <c r="H55" s="237"/>
      <c r="I55" s="237"/>
      <c r="J55" s="11" t="s">
        <v>4948</v>
      </c>
      <c r="K55" s="237" t="s">
        <v>4693</v>
      </c>
      <c r="L55" s="237"/>
      <c r="M55" s="237"/>
      <c r="N55" s="237" t="s">
        <v>4974</v>
      </c>
      <c r="O55" s="237"/>
      <c r="P55" s="237"/>
      <c r="Q55" s="237" t="s">
        <v>2528</v>
      </c>
      <c r="R55" s="237"/>
      <c r="S55" s="237"/>
      <c r="T55" s="237"/>
      <c r="U55" s="237"/>
      <c r="V55" s="237"/>
      <c r="W55" s="237" t="s">
        <v>2529</v>
      </c>
      <c r="X55" s="237"/>
      <c r="Y55" s="11" t="s">
        <v>6985</v>
      </c>
      <c r="Z55" s="11" t="s">
        <v>2080</v>
      </c>
      <c r="AA55" s="237" t="s">
        <v>6254</v>
      </c>
      <c r="AB55" s="237"/>
      <c r="AC55" s="237"/>
      <c r="AD55" s="237"/>
      <c r="AE55" s="11" t="s">
        <v>2945</v>
      </c>
      <c r="AF55" s="237" t="s">
        <v>3859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6.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2530</v>
      </c>
      <c r="E7" s="269"/>
      <c r="F7" s="269"/>
      <c r="G7" s="269"/>
      <c r="H7" s="269" t="s">
        <v>2531</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ST. LAURENT-B-2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956</v>
      </c>
    </row>
    <row r="17" spans="1:47" ht="13.5" thickBot="1">
      <c r="A17" s="6"/>
      <c r="B17" s="1"/>
      <c r="C17" s="1"/>
      <c r="D17" s="248" t="s">
        <v>189</v>
      </c>
      <c r="E17" s="248"/>
      <c r="F17" s="248"/>
      <c r="G17" s="248"/>
      <c r="H17" s="248"/>
      <c r="I17" s="248"/>
      <c r="J17" s="248"/>
      <c r="K17" s="248"/>
      <c r="L17" s="8" t="s">
        <v>5709</v>
      </c>
      <c r="M17" s="264">
        <v>956</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880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29738</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71.45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83.52</v>
      </c>
    </row>
    <row r="22" spans="1:47" ht="8.85" customHeight="1" thickBot="1">
      <c r="A22" s="6"/>
      <c r="B22" s="1"/>
      <c r="C22" s="1"/>
      <c r="D22" s="248" t="s">
        <v>205</v>
      </c>
      <c r="E22" s="248"/>
      <c r="F22" s="248"/>
      <c r="G22" s="248"/>
      <c r="H22" s="248"/>
      <c r="I22" s="248"/>
      <c r="J22" s="248"/>
      <c r="K22" s="248"/>
      <c r="L22" s="247" t="s">
        <v>5709</v>
      </c>
      <c r="M22" s="259">
        <v>27942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29738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30529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2532</v>
      </c>
      <c r="G49" s="238"/>
      <c r="H49" s="238"/>
      <c r="I49" s="238"/>
      <c r="J49" s="10" t="s">
        <v>2533</v>
      </c>
      <c r="K49" s="238" t="s">
        <v>2534</v>
      </c>
      <c r="L49" s="238"/>
      <c r="M49" s="238"/>
      <c r="N49" s="238" t="s">
        <v>2535</v>
      </c>
      <c r="O49" s="238"/>
      <c r="P49" s="238"/>
      <c r="Q49" s="238" t="s">
        <v>2536</v>
      </c>
      <c r="R49" s="238"/>
      <c r="S49" s="238"/>
      <c r="T49" s="238"/>
      <c r="U49" s="238"/>
      <c r="V49" s="238"/>
      <c r="W49" s="238" t="s">
        <v>2537</v>
      </c>
      <c r="X49" s="238"/>
      <c r="Y49" s="10" t="s">
        <v>2538</v>
      </c>
      <c r="Z49" s="10" t="s">
        <v>2539</v>
      </c>
      <c r="AA49" s="238" t="s">
        <v>2540</v>
      </c>
      <c r="AB49" s="238"/>
      <c r="AC49" s="238"/>
      <c r="AD49" s="238"/>
      <c r="AE49" s="10" t="s">
        <v>2541</v>
      </c>
      <c r="AF49" s="237" t="s">
        <v>2542</v>
      </c>
      <c r="AG49" s="237"/>
      <c r="AH49" s="237"/>
      <c r="AI49" s="237"/>
      <c r="AJ49" s="2"/>
      <c r="AK49" s="2"/>
      <c r="AL49" s="2"/>
      <c r="AM49" s="2"/>
      <c r="AN49" s="7"/>
    </row>
    <row r="50" spans="1:40" ht="13.5" thickBot="1">
      <c r="A50" s="6"/>
      <c r="B50" s="2"/>
      <c r="C50" s="2"/>
      <c r="D50" s="244" t="s">
        <v>261</v>
      </c>
      <c r="E50" s="244"/>
      <c r="F50" s="238" t="s">
        <v>6860</v>
      </c>
      <c r="G50" s="238"/>
      <c r="H50" s="238"/>
      <c r="I50" s="238"/>
      <c r="J50" s="10" t="s">
        <v>3386</v>
      </c>
      <c r="K50" s="238" t="s">
        <v>2543</v>
      </c>
      <c r="L50" s="238"/>
      <c r="M50" s="238"/>
      <c r="N50" s="238" t="s">
        <v>1897</v>
      </c>
      <c r="O50" s="238"/>
      <c r="P50" s="238"/>
      <c r="Q50" s="238" t="s">
        <v>2544</v>
      </c>
      <c r="R50" s="238"/>
      <c r="S50" s="238"/>
      <c r="T50" s="238"/>
      <c r="U50" s="238"/>
      <c r="V50" s="238"/>
      <c r="W50" s="238" t="s">
        <v>5230</v>
      </c>
      <c r="X50" s="238"/>
      <c r="Y50" s="10" t="s">
        <v>1066</v>
      </c>
      <c r="Z50" s="10" t="s">
        <v>4672</v>
      </c>
      <c r="AA50" s="238" t="s">
        <v>2489</v>
      </c>
      <c r="AB50" s="238"/>
      <c r="AC50" s="238"/>
      <c r="AD50" s="238"/>
      <c r="AE50" s="10" t="s">
        <v>4283</v>
      </c>
      <c r="AF50" s="237" t="s">
        <v>2545</v>
      </c>
      <c r="AG50" s="237"/>
      <c r="AH50" s="237"/>
      <c r="AI50" s="237"/>
      <c r="AJ50" s="2"/>
      <c r="AK50" s="2"/>
      <c r="AL50" s="2"/>
      <c r="AM50" s="2"/>
      <c r="AN50" s="7"/>
    </row>
    <row r="51" spans="1:40" ht="13.5" thickBot="1">
      <c r="A51" s="6"/>
      <c r="B51" s="2"/>
      <c r="C51" s="2"/>
      <c r="D51" s="244" t="s">
        <v>273</v>
      </c>
      <c r="E51" s="244"/>
      <c r="F51" s="238" t="s">
        <v>2546</v>
      </c>
      <c r="G51" s="238"/>
      <c r="H51" s="238"/>
      <c r="I51" s="238"/>
      <c r="J51" s="10" t="s">
        <v>7059</v>
      </c>
      <c r="K51" s="238" t="s">
        <v>2547</v>
      </c>
      <c r="L51" s="238"/>
      <c r="M51" s="238"/>
      <c r="N51" s="238" t="s">
        <v>5146</v>
      </c>
      <c r="O51" s="238"/>
      <c r="P51" s="238"/>
      <c r="Q51" s="238" t="s">
        <v>2485</v>
      </c>
      <c r="R51" s="238"/>
      <c r="S51" s="238"/>
      <c r="T51" s="238"/>
      <c r="U51" s="238"/>
      <c r="V51" s="238"/>
      <c r="W51" s="238" t="s">
        <v>96</v>
      </c>
      <c r="X51" s="238"/>
      <c r="Y51" s="10" t="s">
        <v>1439</v>
      </c>
      <c r="Z51" s="10" t="s">
        <v>3652</v>
      </c>
      <c r="AA51" s="238" t="s">
        <v>2548</v>
      </c>
      <c r="AB51" s="238"/>
      <c r="AC51" s="238"/>
      <c r="AD51" s="238"/>
      <c r="AE51" s="10" t="s">
        <v>2549</v>
      </c>
      <c r="AF51" s="237" t="s">
        <v>2550</v>
      </c>
      <c r="AG51" s="237"/>
      <c r="AH51" s="237"/>
      <c r="AI51" s="237"/>
      <c r="AJ51" s="2"/>
      <c r="AK51" s="2"/>
      <c r="AL51" s="2"/>
      <c r="AM51" s="2"/>
      <c r="AN51" s="7"/>
    </row>
    <row r="52" spans="1:40" ht="13.5" thickBot="1">
      <c r="A52" s="6"/>
      <c r="B52" s="2"/>
      <c r="C52" s="2"/>
      <c r="D52" s="244" t="s">
        <v>285</v>
      </c>
      <c r="E52" s="244"/>
      <c r="F52" s="238" t="s">
        <v>969</v>
      </c>
      <c r="G52" s="238"/>
      <c r="H52" s="238"/>
      <c r="I52" s="238"/>
      <c r="J52" s="10" t="s">
        <v>4480</v>
      </c>
      <c r="K52" s="238" t="s">
        <v>2543</v>
      </c>
      <c r="L52" s="238"/>
      <c r="M52" s="238"/>
      <c r="N52" s="238" t="s">
        <v>5001</v>
      </c>
      <c r="O52" s="238"/>
      <c r="P52" s="238"/>
      <c r="Q52" s="238" t="s">
        <v>5335</v>
      </c>
      <c r="R52" s="238"/>
      <c r="S52" s="238"/>
      <c r="T52" s="238"/>
      <c r="U52" s="238"/>
      <c r="V52" s="238"/>
      <c r="W52" s="238" t="s">
        <v>3191</v>
      </c>
      <c r="X52" s="238"/>
      <c r="Y52" s="10" t="s">
        <v>952</v>
      </c>
      <c r="Z52" s="10" t="s">
        <v>7082</v>
      </c>
      <c r="AA52" s="238" t="s">
        <v>7073</v>
      </c>
      <c r="AB52" s="238"/>
      <c r="AC52" s="238"/>
      <c r="AD52" s="238"/>
      <c r="AE52" s="10" t="s">
        <v>5278</v>
      </c>
      <c r="AF52" s="237" t="s">
        <v>526</v>
      </c>
      <c r="AG52" s="237"/>
      <c r="AH52" s="237"/>
      <c r="AI52" s="237"/>
      <c r="AJ52" s="2"/>
      <c r="AK52" s="2"/>
      <c r="AL52" s="2"/>
      <c r="AM52" s="2"/>
      <c r="AN52" s="7"/>
    </row>
    <row r="53" spans="1:40" ht="13.5" thickBot="1">
      <c r="A53" s="6"/>
      <c r="B53" s="2"/>
      <c r="C53" s="2"/>
      <c r="D53" s="244" t="s">
        <v>295</v>
      </c>
      <c r="E53" s="244"/>
      <c r="F53" s="238" t="s">
        <v>5259</v>
      </c>
      <c r="G53" s="238"/>
      <c r="H53" s="238"/>
      <c r="I53" s="238"/>
      <c r="J53" s="10" t="s">
        <v>2905</v>
      </c>
      <c r="K53" s="238" t="s">
        <v>6766</v>
      </c>
      <c r="L53" s="238"/>
      <c r="M53" s="238"/>
      <c r="N53" s="238" t="s">
        <v>1009</v>
      </c>
      <c r="O53" s="238"/>
      <c r="P53" s="238"/>
      <c r="Q53" s="238" t="s">
        <v>2551</v>
      </c>
      <c r="R53" s="238"/>
      <c r="S53" s="238"/>
      <c r="T53" s="238"/>
      <c r="U53" s="238"/>
      <c r="V53" s="238"/>
      <c r="W53" s="238" t="s">
        <v>2526</v>
      </c>
      <c r="X53" s="238"/>
      <c r="Y53" s="10" t="s">
        <v>2552</v>
      </c>
      <c r="Z53" s="10" t="s">
        <v>3007</v>
      </c>
      <c r="AA53" s="238" t="s">
        <v>576</v>
      </c>
      <c r="AB53" s="238"/>
      <c r="AC53" s="238"/>
      <c r="AD53" s="238"/>
      <c r="AE53" s="10" t="s">
        <v>6788</v>
      </c>
      <c r="AF53" s="237" t="s">
        <v>2553</v>
      </c>
      <c r="AG53" s="237"/>
      <c r="AH53" s="237"/>
      <c r="AI53" s="237"/>
      <c r="AJ53" s="2"/>
      <c r="AK53" s="2"/>
      <c r="AL53" s="2"/>
      <c r="AM53" s="2"/>
      <c r="AN53" s="7"/>
    </row>
    <row r="54" spans="1:40" ht="13.5" thickBot="1">
      <c r="A54" s="6"/>
      <c r="B54" s="2"/>
      <c r="C54" s="2"/>
      <c r="D54" s="244" t="s">
        <v>307</v>
      </c>
      <c r="E54" s="244"/>
      <c r="F54" s="238" t="s">
        <v>2795</v>
      </c>
      <c r="G54" s="238"/>
      <c r="H54" s="238"/>
      <c r="I54" s="238"/>
      <c r="J54" s="10" t="s">
        <v>2945</v>
      </c>
      <c r="K54" s="238" t="s">
        <v>2554</v>
      </c>
      <c r="L54" s="238"/>
      <c r="M54" s="238"/>
      <c r="N54" s="238" t="s">
        <v>93</v>
      </c>
      <c r="O54" s="238"/>
      <c r="P54" s="238"/>
      <c r="Q54" s="238" t="s">
        <v>1816</v>
      </c>
      <c r="R54" s="238"/>
      <c r="S54" s="238"/>
      <c r="T54" s="238"/>
      <c r="U54" s="238"/>
      <c r="V54" s="238"/>
      <c r="W54" s="238" t="s">
        <v>3515</v>
      </c>
      <c r="X54" s="238"/>
      <c r="Y54" s="10" t="s">
        <v>4758</v>
      </c>
      <c r="Z54" s="10" t="s">
        <v>6109</v>
      </c>
      <c r="AA54" s="238" t="s">
        <v>741</v>
      </c>
      <c r="AB54" s="238"/>
      <c r="AC54" s="238"/>
      <c r="AD54" s="238"/>
      <c r="AE54" s="10" t="s">
        <v>1785</v>
      </c>
      <c r="AF54" s="237" t="s">
        <v>3999</v>
      </c>
      <c r="AG54" s="237"/>
      <c r="AH54" s="237"/>
      <c r="AI54" s="237"/>
      <c r="AJ54" s="2"/>
      <c r="AK54" s="2"/>
      <c r="AL54" s="2"/>
      <c r="AM54" s="2"/>
      <c r="AN54" s="7"/>
    </row>
    <row r="55" spans="1:40" ht="13.5" thickBot="1">
      <c r="A55" s="6"/>
      <c r="B55" s="2"/>
      <c r="C55" s="2"/>
      <c r="D55" s="244" t="s">
        <v>319</v>
      </c>
      <c r="E55" s="244"/>
      <c r="F55" s="237" t="s">
        <v>4501</v>
      </c>
      <c r="G55" s="237"/>
      <c r="H55" s="237"/>
      <c r="I55" s="237"/>
      <c r="J55" s="11" t="s">
        <v>963</v>
      </c>
      <c r="K55" s="237" t="s">
        <v>2555</v>
      </c>
      <c r="L55" s="237"/>
      <c r="M55" s="237"/>
      <c r="N55" s="237" t="s">
        <v>778</v>
      </c>
      <c r="O55" s="237"/>
      <c r="P55" s="237"/>
      <c r="Q55" s="237" t="s">
        <v>2556</v>
      </c>
      <c r="R55" s="237"/>
      <c r="S55" s="237"/>
      <c r="T55" s="237"/>
      <c r="U55" s="237"/>
      <c r="V55" s="237"/>
      <c r="W55" s="237" t="s">
        <v>575</v>
      </c>
      <c r="X55" s="237"/>
      <c r="Y55" s="11" t="s">
        <v>529</v>
      </c>
      <c r="Z55" s="11" t="s">
        <v>6914</v>
      </c>
      <c r="AA55" s="237" t="s">
        <v>6239</v>
      </c>
      <c r="AB55" s="237"/>
      <c r="AC55" s="237"/>
      <c r="AD55" s="237"/>
      <c r="AE55" s="11" t="s">
        <v>1919</v>
      </c>
      <c r="AF55" s="237" t="s">
        <v>1379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2557</v>
      </c>
      <c r="E7" s="269"/>
      <c r="F7" s="269"/>
      <c r="G7" s="269"/>
      <c r="H7" s="269" t="s">
        <v>2558</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TRICASTIN-1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955</v>
      </c>
    </row>
    <row r="17" spans="1:47" ht="13.5" thickBot="1">
      <c r="A17" s="6"/>
      <c r="B17" s="1"/>
      <c r="C17" s="1"/>
      <c r="D17" s="248" t="s">
        <v>189</v>
      </c>
      <c r="E17" s="248"/>
      <c r="F17" s="248"/>
      <c r="G17" s="248"/>
      <c r="H17" s="248"/>
      <c r="I17" s="248"/>
      <c r="J17" s="248"/>
      <c r="K17" s="248"/>
      <c r="L17" s="8" t="s">
        <v>5709</v>
      </c>
      <c r="M17" s="264">
        <v>955</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915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29372</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7035</v>
      </c>
      <c r="AE19" s="248"/>
      <c r="AF19" s="248"/>
      <c r="AG19" s="248"/>
      <c r="AH19" s="248"/>
      <c r="AI19" s="2"/>
      <c r="AJ19" s="1"/>
      <c r="AK19" s="2"/>
      <c r="AL19" s="1"/>
      <c r="AM19" s="2"/>
      <c r="AN19" s="7"/>
      <c r="AT19" s="23" t="str">
        <f>U19</f>
        <v>Average discharge burnup  [MWd/t]</v>
      </c>
      <c r="AU19" s="23" t="str">
        <f>AD19</f>
        <v>42000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72.74</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83.44</v>
      </c>
    </row>
    <row r="22" spans="1:47" ht="8.85" customHeight="1" thickBot="1">
      <c r="A22" s="6"/>
      <c r="B22" s="1"/>
      <c r="C22" s="1"/>
      <c r="D22" s="248" t="s">
        <v>205</v>
      </c>
      <c r="E22" s="248"/>
      <c r="F22" s="248"/>
      <c r="G22" s="248"/>
      <c r="H22" s="248"/>
      <c r="I22" s="248"/>
      <c r="J22" s="248"/>
      <c r="K22" s="248"/>
      <c r="L22" s="247" t="s">
        <v>5709</v>
      </c>
      <c r="M22" s="259">
        <v>27334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29372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29556</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2017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2559</v>
      </c>
      <c r="G49" s="238"/>
      <c r="H49" s="238"/>
      <c r="I49" s="238"/>
      <c r="J49" s="10" t="s">
        <v>2560</v>
      </c>
      <c r="K49" s="238" t="s">
        <v>2561</v>
      </c>
      <c r="L49" s="238"/>
      <c r="M49" s="238"/>
      <c r="N49" s="238" t="s">
        <v>2562</v>
      </c>
      <c r="O49" s="238"/>
      <c r="P49" s="238"/>
      <c r="Q49" s="238" t="s">
        <v>2563</v>
      </c>
      <c r="R49" s="238"/>
      <c r="S49" s="238"/>
      <c r="T49" s="238"/>
      <c r="U49" s="238"/>
      <c r="V49" s="238"/>
      <c r="W49" s="238" t="s">
        <v>2564</v>
      </c>
      <c r="X49" s="238"/>
      <c r="Y49" s="10" t="s">
        <v>2565</v>
      </c>
      <c r="Z49" s="10" t="s">
        <v>2566</v>
      </c>
      <c r="AA49" s="238" t="s">
        <v>2567</v>
      </c>
      <c r="AB49" s="238"/>
      <c r="AC49" s="238"/>
      <c r="AD49" s="238"/>
      <c r="AE49" s="10" t="s">
        <v>2568</v>
      </c>
      <c r="AF49" s="237" t="s">
        <v>2569</v>
      </c>
      <c r="AG49" s="237"/>
      <c r="AH49" s="237"/>
      <c r="AI49" s="237"/>
      <c r="AJ49" s="2"/>
      <c r="AK49" s="2"/>
      <c r="AL49" s="2"/>
      <c r="AM49" s="2"/>
      <c r="AN49" s="7"/>
    </row>
    <row r="50" spans="1:40" ht="13.5" thickBot="1">
      <c r="A50" s="6"/>
      <c r="B50" s="2"/>
      <c r="C50" s="2"/>
      <c r="D50" s="244" t="s">
        <v>261</v>
      </c>
      <c r="E50" s="244"/>
      <c r="F50" s="238" t="s">
        <v>1287</v>
      </c>
      <c r="G50" s="238"/>
      <c r="H50" s="238"/>
      <c r="I50" s="238"/>
      <c r="J50" s="10" t="s">
        <v>5614</v>
      </c>
      <c r="K50" s="238" t="s">
        <v>2570</v>
      </c>
      <c r="L50" s="238"/>
      <c r="M50" s="238"/>
      <c r="N50" s="238" t="s">
        <v>2796</v>
      </c>
      <c r="O50" s="238"/>
      <c r="P50" s="238"/>
      <c r="Q50" s="238" t="s">
        <v>2571</v>
      </c>
      <c r="R50" s="238"/>
      <c r="S50" s="238"/>
      <c r="T50" s="238"/>
      <c r="U50" s="238"/>
      <c r="V50" s="238"/>
      <c r="W50" s="238" t="s">
        <v>7094</v>
      </c>
      <c r="X50" s="238"/>
      <c r="Y50" s="10" t="s">
        <v>2572</v>
      </c>
      <c r="Z50" s="10" t="s">
        <v>5199</v>
      </c>
      <c r="AA50" s="238" t="s">
        <v>2573</v>
      </c>
      <c r="AB50" s="238"/>
      <c r="AC50" s="238"/>
      <c r="AD50" s="238"/>
      <c r="AE50" s="10" t="s">
        <v>4837</v>
      </c>
      <c r="AF50" s="237" t="s">
        <v>2574</v>
      </c>
      <c r="AG50" s="237"/>
      <c r="AH50" s="237"/>
      <c r="AI50" s="237"/>
      <c r="AJ50" s="2"/>
      <c r="AK50" s="2"/>
      <c r="AL50" s="2"/>
      <c r="AM50" s="2"/>
      <c r="AN50" s="7"/>
    </row>
    <row r="51" spans="1:40" ht="13.5" thickBot="1">
      <c r="A51" s="6"/>
      <c r="B51" s="2"/>
      <c r="C51" s="2"/>
      <c r="D51" s="244" t="s">
        <v>273</v>
      </c>
      <c r="E51" s="244"/>
      <c r="F51" s="238" t="s">
        <v>6643</v>
      </c>
      <c r="G51" s="238"/>
      <c r="H51" s="238"/>
      <c r="I51" s="238"/>
      <c r="J51" s="10" t="s">
        <v>6163</v>
      </c>
      <c r="K51" s="238" t="s">
        <v>2575</v>
      </c>
      <c r="L51" s="238"/>
      <c r="M51" s="238"/>
      <c r="N51" s="238" t="s">
        <v>6378</v>
      </c>
      <c r="O51" s="238"/>
      <c r="P51" s="238"/>
      <c r="Q51" s="238" t="s">
        <v>3941</v>
      </c>
      <c r="R51" s="238"/>
      <c r="S51" s="238"/>
      <c r="T51" s="238"/>
      <c r="U51" s="238"/>
      <c r="V51" s="238"/>
      <c r="W51" s="238" t="s">
        <v>1886</v>
      </c>
      <c r="X51" s="238"/>
      <c r="Y51" s="10" t="s">
        <v>2576</v>
      </c>
      <c r="Z51" s="10" t="s">
        <v>6597</v>
      </c>
      <c r="AA51" s="238" t="s">
        <v>2577</v>
      </c>
      <c r="AB51" s="238"/>
      <c r="AC51" s="238"/>
      <c r="AD51" s="238"/>
      <c r="AE51" s="10" t="s">
        <v>3990</v>
      </c>
      <c r="AF51" s="237" t="s">
        <v>6577</v>
      </c>
      <c r="AG51" s="237"/>
      <c r="AH51" s="237"/>
      <c r="AI51" s="237"/>
      <c r="AJ51" s="2"/>
      <c r="AK51" s="2"/>
      <c r="AL51" s="2"/>
      <c r="AM51" s="2"/>
      <c r="AN51" s="7"/>
    </row>
    <row r="52" spans="1:40" ht="13.5" thickBot="1">
      <c r="A52" s="6"/>
      <c r="B52" s="2"/>
      <c r="C52" s="2"/>
      <c r="D52" s="244" t="s">
        <v>285</v>
      </c>
      <c r="E52" s="244"/>
      <c r="F52" s="238" t="s">
        <v>5370</v>
      </c>
      <c r="G52" s="238"/>
      <c r="H52" s="238"/>
      <c r="I52" s="238"/>
      <c r="J52" s="10" t="s">
        <v>7056</v>
      </c>
      <c r="K52" s="238" t="s">
        <v>6415</v>
      </c>
      <c r="L52" s="238"/>
      <c r="M52" s="238"/>
      <c r="N52" s="238" t="s">
        <v>401</v>
      </c>
      <c r="O52" s="238"/>
      <c r="P52" s="238"/>
      <c r="Q52" s="238" t="s">
        <v>5332</v>
      </c>
      <c r="R52" s="238"/>
      <c r="S52" s="238"/>
      <c r="T52" s="238"/>
      <c r="U52" s="238"/>
      <c r="V52" s="238"/>
      <c r="W52" s="238" t="s">
        <v>6493</v>
      </c>
      <c r="X52" s="238"/>
      <c r="Y52" s="10" t="s">
        <v>810</v>
      </c>
      <c r="Z52" s="10" t="s">
        <v>6764</v>
      </c>
      <c r="AA52" s="238" t="s">
        <v>2578</v>
      </c>
      <c r="AB52" s="238"/>
      <c r="AC52" s="238"/>
      <c r="AD52" s="238"/>
      <c r="AE52" s="10" t="s">
        <v>6007</v>
      </c>
      <c r="AF52" s="237" t="s">
        <v>4988</v>
      </c>
      <c r="AG52" s="237"/>
      <c r="AH52" s="237"/>
      <c r="AI52" s="237"/>
      <c r="AJ52" s="2"/>
      <c r="AK52" s="2"/>
      <c r="AL52" s="2"/>
      <c r="AM52" s="2"/>
      <c r="AN52" s="7"/>
    </row>
    <row r="53" spans="1:40" ht="13.5" thickBot="1">
      <c r="A53" s="6"/>
      <c r="B53" s="2"/>
      <c r="C53" s="2"/>
      <c r="D53" s="244" t="s">
        <v>295</v>
      </c>
      <c r="E53" s="244"/>
      <c r="F53" s="238" t="s">
        <v>1902</v>
      </c>
      <c r="G53" s="238"/>
      <c r="H53" s="238"/>
      <c r="I53" s="238"/>
      <c r="J53" s="10" t="s">
        <v>6657</v>
      </c>
      <c r="K53" s="238" t="s">
        <v>2357</v>
      </c>
      <c r="L53" s="238"/>
      <c r="M53" s="238"/>
      <c r="N53" s="238" t="s">
        <v>377</v>
      </c>
      <c r="O53" s="238"/>
      <c r="P53" s="238"/>
      <c r="Q53" s="238" t="s">
        <v>279</v>
      </c>
      <c r="R53" s="238"/>
      <c r="S53" s="238"/>
      <c r="T53" s="238"/>
      <c r="U53" s="238"/>
      <c r="V53" s="238"/>
      <c r="W53" s="238" t="s">
        <v>380</v>
      </c>
      <c r="X53" s="238"/>
      <c r="Y53" s="10" t="s">
        <v>4149</v>
      </c>
      <c r="Z53" s="10" t="s">
        <v>3008</v>
      </c>
      <c r="AA53" s="238" t="s">
        <v>2358</v>
      </c>
      <c r="AB53" s="238"/>
      <c r="AC53" s="238"/>
      <c r="AD53" s="238"/>
      <c r="AE53" s="10" t="s">
        <v>5405</v>
      </c>
      <c r="AF53" s="237" t="s">
        <v>5482</v>
      </c>
      <c r="AG53" s="237"/>
      <c r="AH53" s="237"/>
      <c r="AI53" s="237"/>
      <c r="AJ53" s="2"/>
      <c r="AK53" s="2"/>
      <c r="AL53" s="2"/>
      <c r="AM53" s="2"/>
      <c r="AN53" s="7"/>
    </row>
    <row r="54" spans="1:40" ht="13.5" thickBot="1">
      <c r="A54" s="6"/>
      <c r="B54" s="2"/>
      <c r="C54" s="2"/>
      <c r="D54" s="244" t="s">
        <v>307</v>
      </c>
      <c r="E54" s="244"/>
      <c r="F54" s="238" t="s">
        <v>6317</v>
      </c>
      <c r="G54" s="238"/>
      <c r="H54" s="238"/>
      <c r="I54" s="238"/>
      <c r="J54" s="10" t="s">
        <v>9</v>
      </c>
      <c r="K54" s="238" t="s">
        <v>3562</v>
      </c>
      <c r="L54" s="238"/>
      <c r="M54" s="238"/>
      <c r="N54" s="238" t="s">
        <v>2944</v>
      </c>
      <c r="O54" s="238"/>
      <c r="P54" s="238"/>
      <c r="Q54" s="238" t="s">
        <v>2054</v>
      </c>
      <c r="R54" s="238"/>
      <c r="S54" s="238"/>
      <c r="T54" s="238"/>
      <c r="U54" s="238"/>
      <c r="V54" s="238"/>
      <c r="W54" s="238" t="s">
        <v>6320</v>
      </c>
      <c r="X54" s="238"/>
      <c r="Y54" s="10" t="s">
        <v>849</v>
      </c>
      <c r="Z54" s="10" t="s">
        <v>2745</v>
      </c>
      <c r="AA54" s="238" t="s">
        <v>2579</v>
      </c>
      <c r="AB54" s="238"/>
      <c r="AC54" s="238"/>
      <c r="AD54" s="238"/>
      <c r="AE54" s="10" t="s">
        <v>2737</v>
      </c>
      <c r="AF54" s="237" t="s">
        <v>5494</v>
      </c>
      <c r="AG54" s="237"/>
      <c r="AH54" s="237"/>
      <c r="AI54" s="237"/>
      <c r="AJ54" s="2"/>
      <c r="AK54" s="2"/>
      <c r="AL54" s="2"/>
      <c r="AM54" s="2"/>
      <c r="AN54" s="7"/>
    </row>
    <row r="55" spans="1:40" ht="13.5" thickBot="1">
      <c r="A55" s="6"/>
      <c r="B55" s="2"/>
      <c r="C55" s="2"/>
      <c r="D55" s="244" t="s">
        <v>319</v>
      </c>
      <c r="E55" s="244"/>
      <c r="F55" s="237" t="s">
        <v>4118</v>
      </c>
      <c r="G55" s="237"/>
      <c r="H55" s="237"/>
      <c r="I55" s="237"/>
      <c r="J55" s="11" t="s">
        <v>5411</v>
      </c>
      <c r="K55" s="237" t="s">
        <v>2580</v>
      </c>
      <c r="L55" s="237"/>
      <c r="M55" s="237"/>
      <c r="N55" s="237" t="s">
        <v>2581</v>
      </c>
      <c r="O55" s="237"/>
      <c r="P55" s="237"/>
      <c r="Q55" s="237" t="s">
        <v>2582</v>
      </c>
      <c r="R55" s="237"/>
      <c r="S55" s="237"/>
      <c r="T55" s="237"/>
      <c r="U55" s="237"/>
      <c r="V55" s="237"/>
      <c r="W55" s="237" t="s">
        <v>5489</v>
      </c>
      <c r="X55" s="237"/>
      <c r="Y55" s="11" t="s">
        <v>4611</v>
      </c>
      <c r="Z55" s="11" t="s">
        <v>4946</v>
      </c>
      <c r="AA55" s="237" t="s">
        <v>2583</v>
      </c>
      <c r="AB55" s="237"/>
      <c r="AC55" s="237"/>
      <c r="AD55" s="237"/>
      <c r="AE55" s="11" t="s">
        <v>6461</v>
      </c>
      <c r="AF55" s="237" t="s">
        <v>2584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2585</v>
      </c>
      <c r="E7" s="269"/>
      <c r="F7" s="269"/>
      <c r="G7" s="269"/>
      <c r="H7" s="269" t="s">
        <v>2586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TRICASTIN-2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955</v>
      </c>
    </row>
    <row r="17" spans="1:47" ht="13.5" thickBot="1">
      <c r="A17" s="6"/>
      <c r="B17" s="1"/>
      <c r="C17" s="1"/>
      <c r="D17" s="248" t="s">
        <v>189</v>
      </c>
      <c r="E17" s="248"/>
      <c r="F17" s="248"/>
      <c r="G17" s="248"/>
      <c r="H17" s="248"/>
      <c r="I17" s="248"/>
      <c r="J17" s="248"/>
      <c r="K17" s="248"/>
      <c r="L17" s="8" t="s">
        <v>5709</v>
      </c>
      <c r="M17" s="264">
        <v>955</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915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29440</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73.33</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80.69</v>
      </c>
    </row>
    <row r="22" spans="1:47" ht="8.85" customHeight="1" thickBot="1">
      <c r="A22" s="6"/>
      <c r="B22" s="1"/>
      <c r="C22" s="1"/>
      <c r="D22" s="248" t="s">
        <v>205</v>
      </c>
      <c r="E22" s="248"/>
      <c r="F22" s="248"/>
      <c r="G22" s="248"/>
      <c r="H22" s="248"/>
      <c r="I22" s="248"/>
      <c r="J22" s="248"/>
      <c r="K22" s="248"/>
      <c r="L22" s="247" t="s">
        <v>5709</v>
      </c>
      <c r="M22" s="259">
        <v>27364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29440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29556</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2017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2587</v>
      </c>
      <c r="G49" s="238"/>
      <c r="H49" s="238"/>
      <c r="I49" s="238"/>
      <c r="J49" s="10" t="s">
        <v>2588</v>
      </c>
      <c r="K49" s="238" t="s">
        <v>2589</v>
      </c>
      <c r="L49" s="238"/>
      <c r="M49" s="238"/>
      <c r="N49" s="238" t="s">
        <v>2590</v>
      </c>
      <c r="O49" s="238"/>
      <c r="P49" s="238"/>
      <c r="Q49" s="238" t="s">
        <v>2591</v>
      </c>
      <c r="R49" s="238"/>
      <c r="S49" s="238"/>
      <c r="T49" s="238"/>
      <c r="U49" s="238"/>
      <c r="V49" s="238"/>
      <c r="W49" s="238" t="s">
        <v>2592</v>
      </c>
      <c r="X49" s="238"/>
      <c r="Y49" s="10" t="s">
        <v>2593</v>
      </c>
      <c r="Z49" s="10" t="s">
        <v>2594</v>
      </c>
      <c r="AA49" s="238" t="s">
        <v>2595</v>
      </c>
      <c r="AB49" s="238"/>
      <c r="AC49" s="238"/>
      <c r="AD49" s="238"/>
      <c r="AE49" s="10" t="s">
        <v>2596</v>
      </c>
      <c r="AF49" s="237" t="s">
        <v>2597</v>
      </c>
      <c r="AG49" s="237"/>
      <c r="AH49" s="237"/>
      <c r="AI49" s="237"/>
      <c r="AJ49" s="2"/>
      <c r="AK49" s="2"/>
      <c r="AL49" s="2"/>
      <c r="AM49" s="2"/>
      <c r="AN49" s="7"/>
    </row>
    <row r="50" spans="1:40" ht="13.5" thickBot="1">
      <c r="A50" s="6"/>
      <c r="B50" s="2"/>
      <c r="C50" s="2"/>
      <c r="D50" s="244" t="s">
        <v>261</v>
      </c>
      <c r="E50" s="244"/>
      <c r="F50" s="238" t="s">
        <v>6731</v>
      </c>
      <c r="G50" s="238"/>
      <c r="H50" s="238"/>
      <c r="I50" s="238"/>
      <c r="J50" s="10" t="s">
        <v>6533</v>
      </c>
      <c r="K50" s="238" t="s">
        <v>6324</v>
      </c>
      <c r="L50" s="238"/>
      <c r="M50" s="238"/>
      <c r="N50" s="238" t="s">
        <v>5489</v>
      </c>
      <c r="O50" s="238"/>
      <c r="P50" s="238"/>
      <c r="Q50" s="238" t="s">
        <v>3907</v>
      </c>
      <c r="R50" s="238"/>
      <c r="S50" s="238"/>
      <c r="T50" s="238"/>
      <c r="U50" s="238"/>
      <c r="V50" s="238"/>
      <c r="W50" s="238" t="s">
        <v>2718</v>
      </c>
      <c r="X50" s="238"/>
      <c r="Y50" s="10" t="s">
        <v>6912</v>
      </c>
      <c r="Z50" s="10" t="s">
        <v>2598</v>
      </c>
      <c r="AA50" s="238" t="s">
        <v>2599</v>
      </c>
      <c r="AB50" s="238"/>
      <c r="AC50" s="238"/>
      <c r="AD50" s="238"/>
      <c r="AE50" s="10" t="s">
        <v>810</v>
      </c>
      <c r="AF50" s="237" t="s">
        <v>5176</v>
      </c>
      <c r="AG50" s="237"/>
      <c r="AH50" s="237"/>
      <c r="AI50" s="237"/>
      <c r="AJ50" s="2"/>
      <c r="AK50" s="2"/>
      <c r="AL50" s="2"/>
      <c r="AM50" s="2"/>
      <c r="AN50" s="7"/>
    </row>
    <row r="51" spans="1:40" ht="13.5" thickBot="1">
      <c r="A51" s="6"/>
      <c r="B51" s="2"/>
      <c r="C51" s="2"/>
      <c r="D51" s="244" t="s">
        <v>273</v>
      </c>
      <c r="E51" s="244"/>
      <c r="F51" s="238" t="s">
        <v>1357</v>
      </c>
      <c r="G51" s="238"/>
      <c r="H51" s="238"/>
      <c r="I51" s="238"/>
      <c r="J51" s="10" t="s">
        <v>5744</v>
      </c>
      <c r="K51" s="238" t="s">
        <v>3452</v>
      </c>
      <c r="L51" s="238"/>
      <c r="M51" s="238"/>
      <c r="N51" s="238" t="s">
        <v>3679</v>
      </c>
      <c r="O51" s="238"/>
      <c r="P51" s="238"/>
      <c r="Q51" s="238" t="s">
        <v>2600</v>
      </c>
      <c r="R51" s="238"/>
      <c r="S51" s="238"/>
      <c r="T51" s="238"/>
      <c r="U51" s="238"/>
      <c r="V51" s="238"/>
      <c r="W51" s="238" t="s">
        <v>3779</v>
      </c>
      <c r="X51" s="238"/>
      <c r="Y51" s="10" t="s">
        <v>2601</v>
      </c>
      <c r="Z51" s="10" t="s">
        <v>7059</v>
      </c>
      <c r="AA51" s="238" t="s">
        <v>5607</v>
      </c>
      <c r="AB51" s="238"/>
      <c r="AC51" s="238"/>
      <c r="AD51" s="238"/>
      <c r="AE51" s="10" t="s">
        <v>6844</v>
      </c>
      <c r="AF51" s="237" t="s">
        <v>2602</v>
      </c>
      <c r="AG51" s="237"/>
      <c r="AH51" s="237"/>
      <c r="AI51" s="237"/>
      <c r="AJ51" s="2"/>
      <c r="AK51" s="2"/>
      <c r="AL51" s="2"/>
      <c r="AM51" s="2"/>
      <c r="AN51" s="7"/>
    </row>
    <row r="52" spans="1:40" ht="13.5" thickBot="1">
      <c r="A52" s="6"/>
      <c r="B52" s="2"/>
      <c r="C52" s="2"/>
      <c r="D52" s="244" t="s">
        <v>285</v>
      </c>
      <c r="E52" s="244"/>
      <c r="F52" s="238" t="s">
        <v>3460</v>
      </c>
      <c r="G52" s="238"/>
      <c r="H52" s="238"/>
      <c r="I52" s="238"/>
      <c r="J52" s="10" t="s">
        <v>2743</v>
      </c>
      <c r="K52" s="238" t="s">
        <v>6172</v>
      </c>
      <c r="L52" s="238"/>
      <c r="M52" s="238"/>
      <c r="N52" s="238" t="s">
        <v>6800</v>
      </c>
      <c r="O52" s="238"/>
      <c r="P52" s="238"/>
      <c r="Q52" s="238" t="s">
        <v>2603</v>
      </c>
      <c r="R52" s="238"/>
      <c r="S52" s="238"/>
      <c r="T52" s="238"/>
      <c r="U52" s="238"/>
      <c r="V52" s="238"/>
      <c r="W52" s="238" t="s">
        <v>2733</v>
      </c>
      <c r="X52" s="238"/>
      <c r="Y52" s="10" t="s">
        <v>6905</v>
      </c>
      <c r="Z52" s="10" t="s">
        <v>2604</v>
      </c>
      <c r="AA52" s="238" t="s">
        <v>6476</v>
      </c>
      <c r="AB52" s="238"/>
      <c r="AC52" s="238"/>
      <c r="AD52" s="238"/>
      <c r="AE52" s="10" t="s">
        <v>2605</v>
      </c>
      <c r="AF52" s="237" t="s">
        <v>2106</v>
      </c>
      <c r="AG52" s="237"/>
      <c r="AH52" s="237"/>
      <c r="AI52" s="237"/>
      <c r="AJ52" s="2"/>
      <c r="AK52" s="2"/>
      <c r="AL52" s="2"/>
      <c r="AM52" s="2"/>
      <c r="AN52" s="7"/>
    </row>
    <row r="53" spans="1:40" ht="13.5" thickBot="1">
      <c r="A53" s="6"/>
      <c r="B53" s="2"/>
      <c r="C53" s="2"/>
      <c r="D53" s="244" t="s">
        <v>295</v>
      </c>
      <c r="E53" s="244"/>
      <c r="F53" s="238" t="s">
        <v>1840</v>
      </c>
      <c r="G53" s="238"/>
      <c r="H53" s="238"/>
      <c r="I53" s="238"/>
      <c r="J53" s="10" t="s">
        <v>6011</v>
      </c>
      <c r="K53" s="238" t="s">
        <v>1059</v>
      </c>
      <c r="L53" s="238"/>
      <c r="M53" s="238"/>
      <c r="N53" s="238" t="s">
        <v>2606</v>
      </c>
      <c r="O53" s="238"/>
      <c r="P53" s="238"/>
      <c r="Q53" s="238" t="s">
        <v>2607</v>
      </c>
      <c r="R53" s="238"/>
      <c r="S53" s="238"/>
      <c r="T53" s="238"/>
      <c r="U53" s="238"/>
      <c r="V53" s="238"/>
      <c r="W53" s="238" t="s">
        <v>3271</v>
      </c>
      <c r="X53" s="238"/>
      <c r="Y53" s="10" t="s">
        <v>4317</v>
      </c>
      <c r="Z53" s="10" t="s">
        <v>146</v>
      </c>
      <c r="AA53" s="238" t="s">
        <v>4620</v>
      </c>
      <c r="AB53" s="238"/>
      <c r="AC53" s="238"/>
      <c r="AD53" s="238"/>
      <c r="AE53" s="10" t="s">
        <v>5152</v>
      </c>
      <c r="AF53" s="237" t="s">
        <v>2608</v>
      </c>
      <c r="AG53" s="237"/>
      <c r="AH53" s="237"/>
      <c r="AI53" s="237"/>
      <c r="AJ53" s="2"/>
      <c r="AK53" s="2"/>
      <c r="AL53" s="2"/>
      <c r="AM53" s="2"/>
      <c r="AN53" s="7"/>
    </row>
    <row r="54" spans="1:40" ht="13.5" thickBot="1">
      <c r="A54" s="6"/>
      <c r="B54" s="2"/>
      <c r="C54" s="2"/>
      <c r="D54" s="244" t="s">
        <v>307</v>
      </c>
      <c r="E54" s="244"/>
      <c r="F54" s="238" t="s">
        <v>6062</v>
      </c>
      <c r="G54" s="238"/>
      <c r="H54" s="238"/>
      <c r="I54" s="238"/>
      <c r="J54" s="10" t="s">
        <v>2609</v>
      </c>
      <c r="K54" s="238" t="s">
        <v>6858</v>
      </c>
      <c r="L54" s="238"/>
      <c r="M54" s="238"/>
      <c r="N54" s="238" t="s">
        <v>1820</v>
      </c>
      <c r="O54" s="238"/>
      <c r="P54" s="238"/>
      <c r="Q54" s="238" t="s">
        <v>6321</v>
      </c>
      <c r="R54" s="238"/>
      <c r="S54" s="238"/>
      <c r="T54" s="238"/>
      <c r="U54" s="238"/>
      <c r="V54" s="238"/>
      <c r="W54" s="238" t="s">
        <v>2320</v>
      </c>
      <c r="X54" s="238"/>
      <c r="Y54" s="10" t="s">
        <v>6530</v>
      </c>
      <c r="Z54" s="10" t="s">
        <v>2610</v>
      </c>
      <c r="AA54" s="238" t="s">
        <v>2138</v>
      </c>
      <c r="AB54" s="238"/>
      <c r="AC54" s="238"/>
      <c r="AD54" s="238"/>
      <c r="AE54" s="10" t="s">
        <v>445</v>
      </c>
      <c r="AF54" s="237" t="s">
        <v>6857</v>
      </c>
      <c r="AG54" s="237"/>
      <c r="AH54" s="237"/>
      <c r="AI54" s="237"/>
      <c r="AJ54" s="2"/>
      <c r="AK54" s="2"/>
      <c r="AL54" s="2"/>
      <c r="AM54" s="2"/>
      <c r="AN54" s="7"/>
    </row>
    <row r="55" spans="1:40" ht="13.5" thickBot="1">
      <c r="A55" s="6"/>
      <c r="B55" s="2"/>
      <c r="C55" s="2"/>
      <c r="D55" s="244" t="s">
        <v>319</v>
      </c>
      <c r="E55" s="244"/>
      <c r="F55" s="237" t="s">
        <v>1377</v>
      </c>
      <c r="G55" s="237"/>
      <c r="H55" s="237"/>
      <c r="I55" s="237"/>
      <c r="J55" s="11" t="s">
        <v>6255</v>
      </c>
      <c r="K55" s="237" t="s">
        <v>2611</v>
      </c>
      <c r="L55" s="237"/>
      <c r="M55" s="237"/>
      <c r="N55" s="237" t="s">
        <v>2612</v>
      </c>
      <c r="O55" s="237"/>
      <c r="P55" s="237"/>
      <c r="Q55" s="237" t="s">
        <v>2613</v>
      </c>
      <c r="R55" s="237"/>
      <c r="S55" s="237"/>
      <c r="T55" s="237"/>
      <c r="U55" s="237"/>
      <c r="V55" s="237"/>
      <c r="W55" s="237" t="s">
        <v>3767</v>
      </c>
      <c r="X55" s="237"/>
      <c r="Y55" s="11" t="s">
        <v>3279</v>
      </c>
      <c r="Z55" s="11" t="s">
        <v>2614</v>
      </c>
      <c r="AA55" s="237" t="s">
        <v>4723</v>
      </c>
      <c r="AB55" s="237"/>
      <c r="AC55" s="237"/>
      <c r="AD55" s="237"/>
      <c r="AE55" s="11" t="s">
        <v>2718</v>
      </c>
      <c r="AF55" s="237" t="s">
        <v>1169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2615</v>
      </c>
      <c r="E7" s="269"/>
      <c r="F7" s="269"/>
      <c r="G7" s="269"/>
      <c r="H7" s="269" t="s">
        <v>2616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TRICASTIN-3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955</v>
      </c>
    </row>
    <row r="17" spans="1:47" ht="13.5" thickBot="1">
      <c r="A17" s="6"/>
      <c r="B17" s="1"/>
      <c r="C17" s="1"/>
      <c r="D17" s="248" t="s">
        <v>189</v>
      </c>
      <c r="E17" s="248"/>
      <c r="F17" s="248"/>
      <c r="G17" s="248"/>
      <c r="H17" s="248"/>
      <c r="I17" s="248"/>
      <c r="J17" s="248"/>
      <c r="K17" s="248"/>
      <c r="L17" s="8" t="s">
        <v>5709</v>
      </c>
      <c r="M17" s="264">
        <v>955</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915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29627</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81.87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78.07</v>
      </c>
    </row>
    <row r="22" spans="1:47" ht="8.85" customHeight="1" thickBot="1">
      <c r="A22" s="6"/>
      <c r="B22" s="1"/>
      <c r="C22" s="1"/>
      <c r="D22" s="248" t="s">
        <v>205</v>
      </c>
      <c r="E22" s="248"/>
      <c r="F22" s="248"/>
      <c r="G22" s="248"/>
      <c r="H22" s="248"/>
      <c r="I22" s="248"/>
      <c r="J22" s="248"/>
      <c r="K22" s="248"/>
      <c r="L22" s="247" t="s">
        <v>5709</v>
      </c>
      <c r="M22" s="259">
        <v>27485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29627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29717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2017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2617</v>
      </c>
      <c r="G49" s="238"/>
      <c r="H49" s="238"/>
      <c r="I49" s="238"/>
      <c r="J49" s="10" t="s">
        <v>2618</v>
      </c>
      <c r="K49" s="238" t="s">
        <v>2619</v>
      </c>
      <c r="L49" s="238"/>
      <c r="M49" s="238"/>
      <c r="N49" s="238" t="s">
        <v>2620</v>
      </c>
      <c r="O49" s="238"/>
      <c r="P49" s="238"/>
      <c r="Q49" s="238" t="s">
        <v>2621</v>
      </c>
      <c r="R49" s="238"/>
      <c r="S49" s="238"/>
      <c r="T49" s="238"/>
      <c r="U49" s="238"/>
      <c r="V49" s="238"/>
      <c r="W49" s="238" t="s">
        <v>2622</v>
      </c>
      <c r="X49" s="238"/>
      <c r="Y49" s="10" t="s">
        <v>2623</v>
      </c>
      <c r="Z49" s="10" t="s">
        <v>2624</v>
      </c>
      <c r="AA49" s="238" t="s">
        <v>2625</v>
      </c>
      <c r="AB49" s="238"/>
      <c r="AC49" s="238"/>
      <c r="AD49" s="238"/>
      <c r="AE49" s="10" t="s">
        <v>2626</v>
      </c>
      <c r="AF49" s="237" t="s">
        <v>2627</v>
      </c>
      <c r="AG49" s="237"/>
      <c r="AH49" s="237"/>
      <c r="AI49" s="237"/>
      <c r="AJ49" s="2"/>
      <c r="AK49" s="2"/>
      <c r="AL49" s="2"/>
      <c r="AM49" s="2"/>
      <c r="AN49" s="7"/>
    </row>
    <row r="50" spans="1:40" ht="13.5" thickBot="1">
      <c r="A50" s="6"/>
      <c r="B50" s="2"/>
      <c r="C50" s="2"/>
      <c r="D50" s="244" t="s">
        <v>261</v>
      </c>
      <c r="E50" s="244"/>
      <c r="F50" s="238" t="s">
        <v>5886</v>
      </c>
      <c r="G50" s="238"/>
      <c r="H50" s="238"/>
      <c r="I50" s="238"/>
      <c r="J50" s="10" t="s">
        <v>1442</v>
      </c>
      <c r="K50" s="238" t="s">
        <v>6701</v>
      </c>
      <c r="L50" s="238"/>
      <c r="M50" s="238"/>
      <c r="N50" s="238" t="s">
        <v>1319</v>
      </c>
      <c r="O50" s="238"/>
      <c r="P50" s="238"/>
      <c r="Q50" s="238" t="s">
        <v>5614</v>
      </c>
      <c r="R50" s="238"/>
      <c r="S50" s="238"/>
      <c r="T50" s="238"/>
      <c r="U50" s="238"/>
      <c r="V50" s="238"/>
      <c r="W50" s="238" t="s">
        <v>913</v>
      </c>
      <c r="X50" s="238"/>
      <c r="Y50" s="10" t="s">
        <v>6726</v>
      </c>
      <c r="Z50" s="10" t="s">
        <v>4119</v>
      </c>
      <c r="AA50" s="238" t="s">
        <v>4761</v>
      </c>
      <c r="AB50" s="238"/>
      <c r="AC50" s="238"/>
      <c r="AD50" s="238"/>
      <c r="AE50" s="10" t="s">
        <v>953</v>
      </c>
      <c r="AF50" s="237" t="s">
        <v>7117</v>
      </c>
      <c r="AG50" s="237"/>
      <c r="AH50" s="237"/>
      <c r="AI50" s="237"/>
      <c r="AJ50" s="2"/>
      <c r="AK50" s="2"/>
      <c r="AL50" s="2"/>
      <c r="AM50" s="2"/>
      <c r="AN50" s="7"/>
    </row>
    <row r="51" spans="1:40" ht="13.5" thickBot="1">
      <c r="A51" s="6"/>
      <c r="B51" s="2"/>
      <c r="C51" s="2"/>
      <c r="D51" s="244" t="s">
        <v>273</v>
      </c>
      <c r="E51" s="244"/>
      <c r="F51" s="238" t="s">
        <v>2628</v>
      </c>
      <c r="G51" s="238"/>
      <c r="H51" s="238"/>
      <c r="I51" s="238"/>
      <c r="J51" s="10" t="s">
        <v>2629</v>
      </c>
      <c r="K51" s="238" t="s">
        <v>6310</v>
      </c>
      <c r="L51" s="238"/>
      <c r="M51" s="238"/>
      <c r="N51" s="238" t="s">
        <v>6889</v>
      </c>
      <c r="O51" s="238"/>
      <c r="P51" s="238"/>
      <c r="Q51" s="238" t="s">
        <v>6714</v>
      </c>
      <c r="R51" s="238"/>
      <c r="S51" s="238"/>
      <c r="T51" s="238"/>
      <c r="U51" s="238"/>
      <c r="V51" s="238"/>
      <c r="W51" s="238" t="s">
        <v>6595</v>
      </c>
      <c r="X51" s="238"/>
      <c r="Y51" s="10" t="s">
        <v>4346</v>
      </c>
      <c r="Z51" s="10" t="s">
        <v>5838</v>
      </c>
      <c r="AA51" s="238" t="s">
        <v>3177</v>
      </c>
      <c r="AB51" s="238"/>
      <c r="AC51" s="238"/>
      <c r="AD51" s="238"/>
      <c r="AE51" s="10" t="s">
        <v>948</v>
      </c>
      <c r="AF51" s="237" t="s">
        <v>2630</v>
      </c>
      <c r="AG51" s="237"/>
      <c r="AH51" s="237"/>
      <c r="AI51" s="237"/>
      <c r="AJ51" s="2"/>
      <c r="AK51" s="2"/>
      <c r="AL51" s="2"/>
      <c r="AM51" s="2"/>
      <c r="AN51" s="7"/>
    </row>
    <row r="52" spans="1:40" ht="13.5" thickBot="1">
      <c r="A52" s="6"/>
      <c r="B52" s="2"/>
      <c r="C52" s="2"/>
      <c r="D52" s="244" t="s">
        <v>285</v>
      </c>
      <c r="E52" s="244"/>
      <c r="F52" s="238" t="s">
        <v>2631</v>
      </c>
      <c r="G52" s="238"/>
      <c r="H52" s="238"/>
      <c r="I52" s="238"/>
      <c r="J52" s="10" t="s">
        <v>2632</v>
      </c>
      <c r="K52" s="238" t="s">
        <v>5496</v>
      </c>
      <c r="L52" s="238"/>
      <c r="M52" s="238"/>
      <c r="N52" s="238" t="s">
        <v>687</v>
      </c>
      <c r="O52" s="238"/>
      <c r="P52" s="238"/>
      <c r="Q52" s="238" t="s">
        <v>2970</v>
      </c>
      <c r="R52" s="238"/>
      <c r="S52" s="238"/>
      <c r="T52" s="238"/>
      <c r="U52" s="238"/>
      <c r="V52" s="238"/>
      <c r="W52" s="238" t="s">
        <v>1852</v>
      </c>
      <c r="X52" s="238"/>
      <c r="Y52" s="10" t="s">
        <v>2633</v>
      </c>
      <c r="Z52" s="10" t="s">
        <v>2632</v>
      </c>
      <c r="AA52" s="238" t="s">
        <v>2634</v>
      </c>
      <c r="AB52" s="238"/>
      <c r="AC52" s="238"/>
      <c r="AD52" s="238"/>
      <c r="AE52" s="10" t="s">
        <v>3805</v>
      </c>
      <c r="AF52" s="237" t="s">
        <v>2635</v>
      </c>
      <c r="AG52" s="237"/>
      <c r="AH52" s="237"/>
      <c r="AI52" s="237"/>
      <c r="AJ52" s="2"/>
      <c r="AK52" s="2"/>
      <c r="AL52" s="2"/>
      <c r="AM52" s="2"/>
      <c r="AN52" s="7"/>
    </row>
    <row r="53" spans="1:40" ht="13.5" thickBot="1">
      <c r="A53" s="6"/>
      <c r="B53" s="2"/>
      <c r="C53" s="2"/>
      <c r="D53" s="244" t="s">
        <v>295</v>
      </c>
      <c r="E53" s="244"/>
      <c r="F53" s="238" t="s">
        <v>3312</v>
      </c>
      <c r="G53" s="238"/>
      <c r="H53" s="238"/>
      <c r="I53" s="238"/>
      <c r="J53" s="10" t="s">
        <v>4878</v>
      </c>
      <c r="K53" s="238" t="s">
        <v>4938</v>
      </c>
      <c r="L53" s="238"/>
      <c r="M53" s="238"/>
      <c r="N53" s="238" t="s">
        <v>4395</v>
      </c>
      <c r="O53" s="238"/>
      <c r="P53" s="238"/>
      <c r="Q53" s="238" t="s">
        <v>1007</v>
      </c>
      <c r="R53" s="238"/>
      <c r="S53" s="238"/>
      <c r="T53" s="238"/>
      <c r="U53" s="238"/>
      <c r="V53" s="238"/>
      <c r="W53" s="238" t="s">
        <v>383</v>
      </c>
      <c r="X53" s="238"/>
      <c r="Y53" s="10" t="s">
        <v>2005</v>
      </c>
      <c r="Z53" s="10" t="s">
        <v>6013</v>
      </c>
      <c r="AA53" s="238" t="s">
        <v>2636</v>
      </c>
      <c r="AB53" s="238"/>
      <c r="AC53" s="238"/>
      <c r="AD53" s="238"/>
      <c r="AE53" s="10" t="s">
        <v>4878</v>
      </c>
      <c r="AF53" s="237" t="s">
        <v>4111</v>
      </c>
      <c r="AG53" s="237"/>
      <c r="AH53" s="237"/>
      <c r="AI53" s="237"/>
      <c r="AJ53" s="2"/>
      <c r="AK53" s="2"/>
      <c r="AL53" s="2"/>
      <c r="AM53" s="2"/>
      <c r="AN53" s="7"/>
    </row>
    <row r="54" spans="1:40" ht="13.5" thickBot="1">
      <c r="A54" s="6"/>
      <c r="B54" s="2"/>
      <c r="C54" s="2"/>
      <c r="D54" s="244" t="s">
        <v>307</v>
      </c>
      <c r="E54" s="244"/>
      <c r="F54" s="238" t="s">
        <v>2637</v>
      </c>
      <c r="G54" s="238"/>
      <c r="H54" s="238"/>
      <c r="I54" s="238"/>
      <c r="J54" s="10" t="s">
        <v>4739</v>
      </c>
      <c r="K54" s="238" t="s">
        <v>5535</v>
      </c>
      <c r="L54" s="238"/>
      <c r="M54" s="238"/>
      <c r="N54" s="238" t="s">
        <v>6004</v>
      </c>
      <c r="O54" s="238"/>
      <c r="P54" s="238"/>
      <c r="Q54" s="238" t="s">
        <v>3344</v>
      </c>
      <c r="R54" s="238"/>
      <c r="S54" s="238"/>
      <c r="T54" s="238"/>
      <c r="U54" s="238"/>
      <c r="V54" s="238"/>
      <c r="W54" s="238" t="s">
        <v>2638</v>
      </c>
      <c r="X54" s="238"/>
      <c r="Y54" s="10" t="s">
        <v>3472</v>
      </c>
      <c r="Z54" s="10" t="s">
        <v>580</v>
      </c>
      <c r="AA54" s="238" t="s">
        <v>6673</v>
      </c>
      <c r="AB54" s="238"/>
      <c r="AC54" s="238"/>
      <c r="AD54" s="238"/>
      <c r="AE54" s="10" t="s">
        <v>6300</v>
      </c>
      <c r="AF54" s="237" t="s">
        <v>1854</v>
      </c>
      <c r="AG54" s="237"/>
      <c r="AH54" s="237"/>
      <c r="AI54" s="237"/>
      <c r="AJ54" s="2"/>
      <c r="AK54" s="2"/>
      <c r="AL54" s="2"/>
      <c r="AM54" s="2"/>
      <c r="AN54" s="7"/>
    </row>
    <row r="55" spans="1:40" ht="13.5" thickBot="1">
      <c r="A55" s="6"/>
      <c r="B55" s="2"/>
      <c r="C55" s="2"/>
      <c r="D55" s="244" t="s">
        <v>319</v>
      </c>
      <c r="E55" s="244"/>
      <c r="F55" s="237" t="s">
        <v>2639</v>
      </c>
      <c r="G55" s="237"/>
      <c r="H55" s="237"/>
      <c r="I55" s="237"/>
      <c r="J55" s="11" t="s">
        <v>4567</v>
      </c>
      <c r="K55" s="237" t="s">
        <v>2640</v>
      </c>
      <c r="L55" s="237"/>
      <c r="M55" s="237"/>
      <c r="N55" s="237" t="s">
        <v>2392</v>
      </c>
      <c r="O55" s="237"/>
      <c r="P55" s="237"/>
      <c r="Q55" s="237" t="s">
        <v>5393</v>
      </c>
      <c r="R55" s="237"/>
      <c r="S55" s="237"/>
      <c r="T55" s="237"/>
      <c r="U55" s="237"/>
      <c r="V55" s="237"/>
      <c r="W55" s="237" t="s">
        <v>5409</v>
      </c>
      <c r="X55" s="237"/>
      <c r="Y55" s="11" t="s">
        <v>2641</v>
      </c>
      <c r="Z55" s="11" t="s">
        <v>6221</v>
      </c>
      <c r="AA55" s="237" t="s">
        <v>1062</v>
      </c>
      <c r="AB55" s="237"/>
      <c r="AC55" s="237"/>
      <c r="AD55" s="237"/>
      <c r="AE55" s="11" t="s">
        <v>5306</v>
      </c>
      <c r="AF55" s="237" t="s">
        <v>2642</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2643</v>
      </c>
      <c r="E7" s="269"/>
      <c r="F7" s="269"/>
      <c r="G7" s="269"/>
      <c r="H7" s="269" t="s">
        <v>2644</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TRICASTIN-4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955</v>
      </c>
    </row>
    <row r="17" spans="1:47" ht="13.5" thickBot="1">
      <c r="A17" s="6"/>
      <c r="B17" s="1"/>
      <c r="C17" s="1"/>
      <c r="D17" s="248" t="s">
        <v>189</v>
      </c>
      <c r="E17" s="248"/>
      <c r="F17" s="248"/>
      <c r="G17" s="248"/>
      <c r="H17" s="248"/>
      <c r="I17" s="248"/>
      <c r="J17" s="248"/>
      <c r="K17" s="248"/>
      <c r="L17" s="8" t="s">
        <v>5709</v>
      </c>
      <c r="M17" s="264">
        <v>955</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915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29749</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81.10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78.15</v>
      </c>
    </row>
    <row r="22" spans="1:47" ht="8.85" customHeight="1" thickBot="1">
      <c r="A22" s="6"/>
      <c r="B22" s="1"/>
      <c r="C22" s="1"/>
      <c r="D22" s="248" t="s">
        <v>205</v>
      </c>
      <c r="E22" s="248"/>
      <c r="F22" s="248"/>
      <c r="G22" s="248"/>
      <c r="H22" s="248"/>
      <c r="I22" s="248"/>
      <c r="J22" s="248"/>
      <c r="K22" s="248"/>
      <c r="L22" s="247" t="s">
        <v>5709</v>
      </c>
      <c r="M22" s="259">
        <v>27515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29749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29891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2017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2645</v>
      </c>
      <c r="G49" s="238"/>
      <c r="H49" s="238"/>
      <c r="I49" s="238"/>
      <c r="J49" s="10" t="s">
        <v>2646</v>
      </c>
      <c r="K49" s="238" t="s">
        <v>2647</v>
      </c>
      <c r="L49" s="238"/>
      <c r="M49" s="238"/>
      <c r="N49" s="238" t="s">
        <v>2648</v>
      </c>
      <c r="O49" s="238"/>
      <c r="P49" s="238"/>
      <c r="Q49" s="238" t="s">
        <v>2649</v>
      </c>
      <c r="R49" s="238"/>
      <c r="S49" s="238"/>
      <c r="T49" s="238"/>
      <c r="U49" s="238"/>
      <c r="V49" s="238"/>
      <c r="W49" s="238" t="s">
        <v>2650</v>
      </c>
      <c r="X49" s="238"/>
      <c r="Y49" s="10" t="s">
        <v>2651</v>
      </c>
      <c r="Z49" s="10" t="s">
        <v>2652</v>
      </c>
      <c r="AA49" s="238" t="s">
        <v>2653</v>
      </c>
      <c r="AB49" s="238"/>
      <c r="AC49" s="238"/>
      <c r="AD49" s="238"/>
      <c r="AE49" s="10" t="s">
        <v>2654</v>
      </c>
      <c r="AF49" s="237" t="s">
        <v>2655</v>
      </c>
      <c r="AG49" s="237"/>
      <c r="AH49" s="237"/>
      <c r="AI49" s="237"/>
      <c r="AJ49" s="2"/>
      <c r="AK49" s="2"/>
      <c r="AL49" s="2"/>
      <c r="AM49" s="2"/>
      <c r="AN49" s="7"/>
    </row>
    <row r="50" spans="1:40" ht="13.5" thickBot="1">
      <c r="A50" s="6"/>
      <c r="B50" s="2"/>
      <c r="C50" s="2"/>
      <c r="D50" s="244" t="s">
        <v>261</v>
      </c>
      <c r="E50" s="244"/>
      <c r="F50" s="238" t="s">
        <v>2656</v>
      </c>
      <c r="G50" s="238"/>
      <c r="H50" s="238"/>
      <c r="I50" s="238"/>
      <c r="J50" s="10" t="s">
        <v>5159</v>
      </c>
      <c r="K50" s="238" t="s">
        <v>1274</v>
      </c>
      <c r="L50" s="238"/>
      <c r="M50" s="238"/>
      <c r="N50" s="238" t="s">
        <v>2657</v>
      </c>
      <c r="O50" s="238"/>
      <c r="P50" s="238"/>
      <c r="Q50" s="238" t="s">
        <v>5460</v>
      </c>
      <c r="R50" s="238"/>
      <c r="S50" s="238"/>
      <c r="T50" s="238"/>
      <c r="U50" s="238"/>
      <c r="V50" s="238"/>
      <c r="W50" s="238" t="s">
        <v>2658</v>
      </c>
      <c r="X50" s="238"/>
      <c r="Y50" s="10" t="s">
        <v>3797</v>
      </c>
      <c r="Z50" s="10" t="s">
        <v>5414</v>
      </c>
      <c r="AA50" s="238" t="s">
        <v>7057</v>
      </c>
      <c r="AB50" s="238"/>
      <c r="AC50" s="238"/>
      <c r="AD50" s="238"/>
      <c r="AE50" s="10" t="s">
        <v>2659</v>
      </c>
      <c r="AF50" s="237" t="s">
        <v>5200</v>
      </c>
      <c r="AG50" s="237"/>
      <c r="AH50" s="237"/>
      <c r="AI50" s="237"/>
      <c r="AJ50" s="2"/>
      <c r="AK50" s="2"/>
      <c r="AL50" s="2"/>
      <c r="AM50" s="2"/>
      <c r="AN50" s="7"/>
    </row>
    <row r="51" spans="1:40" ht="13.5" thickBot="1">
      <c r="A51" s="6"/>
      <c r="B51" s="2"/>
      <c r="C51" s="2"/>
      <c r="D51" s="244" t="s">
        <v>273</v>
      </c>
      <c r="E51" s="244"/>
      <c r="F51" s="238" t="s">
        <v>2660</v>
      </c>
      <c r="G51" s="238"/>
      <c r="H51" s="238"/>
      <c r="I51" s="238"/>
      <c r="J51" s="10" t="s">
        <v>3264</v>
      </c>
      <c r="K51" s="238" t="s">
        <v>5205</v>
      </c>
      <c r="L51" s="238"/>
      <c r="M51" s="238"/>
      <c r="N51" s="238" t="s">
        <v>2661</v>
      </c>
      <c r="O51" s="238"/>
      <c r="P51" s="238"/>
      <c r="Q51" s="238" t="s">
        <v>5360</v>
      </c>
      <c r="R51" s="238"/>
      <c r="S51" s="238"/>
      <c r="T51" s="238"/>
      <c r="U51" s="238"/>
      <c r="V51" s="238"/>
      <c r="W51" s="238" t="s">
        <v>2662</v>
      </c>
      <c r="X51" s="238"/>
      <c r="Y51" s="10" t="s">
        <v>2459</v>
      </c>
      <c r="Z51" s="10" t="s">
        <v>2109</v>
      </c>
      <c r="AA51" s="238" t="s">
        <v>2855</v>
      </c>
      <c r="AB51" s="238"/>
      <c r="AC51" s="238"/>
      <c r="AD51" s="238"/>
      <c r="AE51" s="10" t="s">
        <v>519</v>
      </c>
      <c r="AF51" s="237" t="s">
        <v>2663</v>
      </c>
      <c r="AG51" s="237"/>
      <c r="AH51" s="237"/>
      <c r="AI51" s="237"/>
      <c r="AJ51" s="2"/>
      <c r="AK51" s="2"/>
      <c r="AL51" s="2"/>
      <c r="AM51" s="2"/>
      <c r="AN51" s="7"/>
    </row>
    <row r="52" spans="1:40" ht="13.5" thickBot="1">
      <c r="A52" s="6"/>
      <c r="B52" s="2"/>
      <c r="C52" s="2"/>
      <c r="D52" s="244" t="s">
        <v>285</v>
      </c>
      <c r="E52" s="244"/>
      <c r="F52" s="238" t="s">
        <v>2664</v>
      </c>
      <c r="G52" s="238"/>
      <c r="H52" s="238"/>
      <c r="I52" s="238"/>
      <c r="J52" s="10" t="s">
        <v>2777</v>
      </c>
      <c r="K52" s="238" t="s">
        <v>1777</v>
      </c>
      <c r="L52" s="238"/>
      <c r="M52" s="238"/>
      <c r="N52" s="238" t="s">
        <v>2665</v>
      </c>
      <c r="O52" s="238"/>
      <c r="P52" s="238"/>
      <c r="Q52" s="238" t="s">
        <v>6062</v>
      </c>
      <c r="R52" s="238"/>
      <c r="S52" s="238"/>
      <c r="T52" s="238"/>
      <c r="U52" s="238"/>
      <c r="V52" s="238"/>
      <c r="W52" s="238" t="s">
        <v>2692</v>
      </c>
      <c r="X52" s="238"/>
      <c r="Y52" s="10" t="s">
        <v>5407</v>
      </c>
      <c r="Z52" s="10" t="s">
        <v>2666</v>
      </c>
      <c r="AA52" s="238" t="s">
        <v>6408</v>
      </c>
      <c r="AB52" s="238"/>
      <c r="AC52" s="238"/>
      <c r="AD52" s="238"/>
      <c r="AE52" s="10" t="s">
        <v>1814</v>
      </c>
      <c r="AF52" s="237" t="s">
        <v>462</v>
      </c>
      <c r="AG52" s="237"/>
      <c r="AH52" s="237"/>
      <c r="AI52" s="237"/>
      <c r="AJ52" s="2"/>
      <c r="AK52" s="2"/>
      <c r="AL52" s="2"/>
      <c r="AM52" s="2"/>
      <c r="AN52" s="7"/>
    </row>
    <row r="53" spans="1:40" ht="13.5" thickBot="1">
      <c r="A53" s="6"/>
      <c r="B53" s="2"/>
      <c r="C53" s="2"/>
      <c r="D53" s="244" t="s">
        <v>295</v>
      </c>
      <c r="E53" s="244"/>
      <c r="F53" s="238" t="s">
        <v>2667</v>
      </c>
      <c r="G53" s="238"/>
      <c r="H53" s="238"/>
      <c r="I53" s="238"/>
      <c r="J53" s="10" t="s">
        <v>5397</v>
      </c>
      <c r="K53" s="238" t="s">
        <v>1841</v>
      </c>
      <c r="L53" s="238"/>
      <c r="M53" s="238"/>
      <c r="N53" s="238" t="s">
        <v>6785</v>
      </c>
      <c r="O53" s="238"/>
      <c r="P53" s="238"/>
      <c r="Q53" s="238" t="s">
        <v>4072</v>
      </c>
      <c r="R53" s="238"/>
      <c r="S53" s="238"/>
      <c r="T53" s="238"/>
      <c r="U53" s="238"/>
      <c r="V53" s="238"/>
      <c r="W53" s="238" t="s">
        <v>2909</v>
      </c>
      <c r="X53" s="238"/>
      <c r="Y53" s="10" t="s">
        <v>7010</v>
      </c>
      <c r="Z53" s="10" t="s">
        <v>5103</v>
      </c>
      <c r="AA53" s="238" t="s">
        <v>3348</v>
      </c>
      <c r="AB53" s="238"/>
      <c r="AC53" s="238"/>
      <c r="AD53" s="238"/>
      <c r="AE53" s="10" t="s">
        <v>6522</v>
      </c>
      <c r="AF53" s="237" t="s">
        <v>2668</v>
      </c>
      <c r="AG53" s="237"/>
      <c r="AH53" s="237"/>
      <c r="AI53" s="237"/>
      <c r="AJ53" s="2"/>
      <c r="AK53" s="2"/>
      <c r="AL53" s="2"/>
      <c r="AM53" s="2"/>
      <c r="AN53" s="7"/>
    </row>
    <row r="54" spans="1:40" ht="13.5" thickBot="1">
      <c r="A54" s="6"/>
      <c r="B54" s="2"/>
      <c r="C54" s="2"/>
      <c r="D54" s="244" t="s">
        <v>307</v>
      </c>
      <c r="E54" s="244"/>
      <c r="F54" s="238" t="s">
        <v>4951</v>
      </c>
      <c r="G54" s="238"/>
      <c r="H54" s="238"/>
      <c r="I54" s="238"/>
      <c r="J54" s="10" t="s">
        <v>6913</v>
      </c>
      <c r="K54" s="238" t="s">
        <v>2669</v>
      </c>
      <c r="L54" s="238"/>
      <c r="M54" s="238"/>
      <c r="N54" s="238" t="s">
        <v>2670</v>
      </c>
      <c r="O54" s="238"/>
      <c r="P54" s="238"/>
      <c r="Q54" s="238" t="s">
        <v>3363</v>
      </c>
      <c r="R54" s="238"/>
      <c r="S54" s="238"/>
      <c r="T54" s="238"/>
      <c r="U54" s="238"/>
      <c r="V54" s="238"/>
      <c r="W54" s="238" t="s">
        <v>2812</v>
      </c>
      <c r="X54" s="238"/>
      <c r="Y54" s="10" t="s">
        <v>6018</v>
      </c>
      <c r="Z54" s="10" t="s">
        <v>4698</v>
      </c>
      <c r="AA54" s="238" t="s">
        <v>4231</v>
      </c>
      <c r="AB54" s="238"/>
      <c r="AC54" s="238"/>
      <c r="AD54" s="238"/>
      <c r="AE54" s="10" t="s">
        <v>5222</v>
      </c>
      <c r="AF54" s="237" t="s">
        <v>2813</v>
      </c>
      <c r="AG54" s="237"/>
      <c r="AH54" s="237"/>
      <c r="AI54" s="237"/>
      <c r="AJ54" s="2"/>
      <c r="AK54" s="2"/>
      <c r="AL54" s="2"/>
      <c r="AM54" s="2"/>
      <c r="AN54" s="7"/>
    </row>
    <row r="55" spans="1:40" ht="13.5" thickBot="1">
      <c r="A55" s="6"/>
      <c r="B55" s="2"/>
      <c r="C55" s="2"/>
      <c r="D55" s="244" t="s">
        <v>319</v>
      </c>
      <c r="E55" s="244"/>
      <c r="F55" s="237" t="s">
        <v>1514</v>
      </c>
      <c r="G55" s="237"/>
      <c r="H55" s="237"/>
      <c r="I55" s="237"/>
      <c r="J55" s="11" t="s">
        <v>486</v>
      </c>
      <c r="K55" s="237" t="s">
        <v>1104</v>
      </c>
      <c r="L55" s="237"/>
      <c r="M55" s="237"/>
      <c r="N55" s="237" t="s">
        <v>2671</v>
      </c>
      <c r="O55" s="237"/>
      <c r="P55" s="237"/>
      <c r="Q55" s="237" t="s">
        <v>6650</v>
      </c>
      <c r="R55" s="237"/>
      <c r="S55" s="237"/>
      <c r="T55" s="237"/>
      <c r="U55" s="237"/>
      <c r="V55" s="237"/>
      <c r="W55" s="237" t="s">
        <v>2054</v>
      </c>
      <c r="X55" s="237"/>
      <c r="Y55" s="11" t="s">
        <v>2672</v>
      </c>
      <c r="Z55" s="11" t="s">
        <v>2673</v>
      </c>
      <c r="AA55" s="237" t="s">
        <v>879</v>
      </c>
      <c r="AB55" s="237"/>
      <c r="AC55" s="237"/>
      <c r="AD55" s="237"/>
      <c r="AE55" s="11" t="s">
        <v>6532</v>
      </c>
      <c r="AF55" s="237" t="s">
        <v>2466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7.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2814</v>
      </c>
      <c r="E7" s="269"/>
      <c r="F7" s="269"/>
      <c r="G7" s="269"/>
      <c r="H7" s="269" t="s">
        <v>2815</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BROKDORF (KBR)</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2817</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2818</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PWR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3900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2820</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3900</v>
      </c>
      <c r="N16" s="264"/>
      <c r="O16" s="264"/>
      <c r="P16" s="248" t="s">
        <v>186</v>
      </c>
      <c r="Q16" s="248"/>
      <c r="R16" s="248"/>
      <c r="S16" s="2"/>
      <c r="T16" s="2"/>
      <c r="U16" s="252" t="s">
        <v>187</v>
      </c>
      <c r="V16" s="252"/>
      <c r="W16" s="252"/>
      <c r="X16" s="252"/>
      <c r="Y16" s="252"/>
      <c r="Z16" s="252"/>
      <c r="AA16" s="252"/>
      <c r="AB16" s="247" t="s">
        <v>5709</v>
      </c>
      <c r="AC16" s="247"/>
      <c r="AD16" s="248" t="s">
        <v>2821</v>
      </c>
      <c r="AE16" s="248"/>
      <c r="AF16" s="248"/>
      <c r="AG16" s="248"/>
      <c r="AH16" s="248"/>
      <c r="AI16" s="2"/>
      <c r="AJ16" s="1"/>
      <c r="AK16" s="2"/>
      <c r="AL16" s="1"/>
      <c r="AM16" s="2"/>
      <c r="AN16" s="7"/>
      <c r="AT16" s="24" t="str">
        <f>D17 &amp; " [MWe]"</f>
        <v>Latest gross electrical power [MWe]</v>
      </c>
      <c r="AU16" s="24">
        <f>M17</f>
        <v>1480</v>
      </c>
    </row>
    <row r="17" spans="1:47" ht="13.5" thickBot="1">
      <c r="A17" s="6"/>
      <c r="B17" s="1"/>
      <c r="C17" s="1"/>
      <c r="D17" s="248" t="s">
        <v>189</v>
      </c>
      <c r="E17" s="248"/>
      <c r="F17" s="248"/>
      <c r="G17" s="248"/>
      <c r="H17" s="248"/>
      <c r="I17" s="248"/>
      <c r="J17" s="248"/>
      <c r="K17" s="248"/>
      <c r="L17" s="8" t="s">
        <v>5709</v>
      </c>
      <c r="M17" s="264">
        <v>1480</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1410</v>
      </c>
    </row>
    <row r="18" spans="1:47" ht="13.5" thickBot="1">
      <c r="A18" s="6"/>
      <c r="B18" s="1"/>
      <c r="C18" s="1"/>
      <c r="D18" s="248" t="s">
        <v>193</v>
      </c>
      <c r="E18" s="248"/>
      <c r="F18" s="248"/>
      <c r="G18" s="248"/>
      <c r="H18" s="248"/>
      <c r="I18" s="248"/>
      <c r="J18" s="248"/>
      <c r="K18" s="248"/>
      <c r="L18" s="8" t="s">
        <v>5709</v>
      </c>
      <c r="M18" s="264">
        <v>1307</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31699</v>
      </c>
    </row>
    <row r="19" spans="1:47" ht="13.5" thickBot="1">
      <c r="A19" s="6"/>
      <c r="B19" s="1"/>
      <c r="C19" s="1"/>
      <c r="D19" s="248" t="s">
        <v>196</v>
      </c>
      <c r="E19" s="248"/>
      <c r="F19" s="248"/>
      <c r="G19" s="248"/>
      <c r="H19" s="248"/>
      <c r="I19" s="248"/>
      <c r="J19" s="248"/>
      <c r="K19" s="248"/>
      <c r="L19" s="8" t="s">
        <v>5709</v>
      </c>
      <c r="M19" s="264">
        <v>1410</v>
      </c>
      <c r="N19" s="264"/>
      <c r="O19" s="264"/>
      <c r="P19" s="248" t="s">
        <v>190</v>
      </c>
      <c r="Q19" s="248"/>
      <c r="R19" s="248"/>
      <c r="S19" s="2"/>
      <c r="T19" s="2"/>
      <c r="U19" s="252" t="s">
        <v>197</v>
      </c>
      <c r="V19" s="252"/>
      <c r="W19" s="252"/>
      <c r="X19" s="252"/>
      <c r="Y19" s="252"/>
      <c r="Z19" s="252"/>
      <c r="AA19" s="252"/>
      <c r="AB19" s="247" t="s">
        <v>5709</v>
      </c>
      <c r="AC19" s="247"/>
      <c r="AD19" s="248" t="s">
        <v>2822</v>
      </c>
      <c r="AE19" s="248"/>
      <c r="AF19" s="248"/>
      <c r="AG19" s="248"/>
      <c r="AH19" s="248"/>
      <c r="AI19" s="2"/>
      <c r="AJ19" s="1"/>
      <c r="AK19" s="2"/>
      <c r="AL19" s="1"/>
      <c r="AM19" s="2"/>
      <c r="AN19" s="7"/>
      <c r="AT19" s="23" t="str">
        <f>U19</f>
        <v>Average discharge burnup  [MWd/t]</v>
      </c>
      <c r="AU19" s="23" t="str">
        <f>AD19</f>
        <v>34000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2823</v>
      </c>
      <c r="AE20" s="248"/>
      <c r="AF20" s="248"/>
      <c r="AG20" s="248"/>
      <c r="AH20" s="248"/>
      <c r="AI20" s="2"/>
      <c r="AJ20" s="1"/>
      <c r="AK20" s="2"/>
      <c r="AL20" s="1"/>
      <c r="AM20" s="2"/>
      <c r="AN20" s="7"/>
      <c r="AT20" s="23" t="str">
        <f>D55 &amp; Q48</f>
        <v>LF [%]2005</v>
      </c>
      <c r="AU20" s="26" t="str">
        <f>Q55</f>
        <v>94.99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91.98</v>
      </c>
    </row>
    <row r="22" spans="1:47" ht="8.85" customHeight="1" thickBot="1">
      <c r="A22" s="6"/>
      <c r="B22" s="1"/>
      <c r="C22" s="1"/>
      <c r="D22" s="248" t="s">
        <v>205</v>
      </c>
      <c r="E22" s="248"/>
      <c r="F22" s="248"/>
      <c r="G22" s="248"/>
      <c r="H22" s="248"/>
      <c r="I22" s="248"/>
      <c r="J22" s="248"/>
      <c r="K22" s="248"/>
      <c r="L22" s="247" t="s">
        <v>5709</v>
      </c>
      <c r="M22" s="259">
        <v>27760</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31699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2826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31768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2828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2829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235</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2830</v>
      </c>
      <c r="G49" s="238"/>
      <c r="H49" s="238"/>
      <c r="I49" s="238"/>
      <c r="J49" s="10" t="s">
        <v>2831</v>
      </c>
      <c r="K49" s="238" t="s">
        <v>2832</v>
      </c>
      <c r="L49" s="238"/>
      <c r="M49" s="238"/>
      <c r="N49" s="238" t="s">
        <v>2833</v>
      </c>
      <c r="O49" s="238"/>
      <c r="P49" s="238"/>
      <c r="Q49" s="238" t="s">
        <v>2834</v>
      </c>
      <c r="R49" s="238"/>
      <c r="S49" s="238"/>
      <c r="T49" s="238"/>
      <c r="U49" s="238"/>
      <c r="V49" s="238"/>
      <c r="W49" s="238" t="s">
        <v>2835</v>
      </c>
      <c r="X49" s="238"/>
      <c r="Y49" s="10" t="s">
        <v>2836</v>
      </c>
      <c r="Z49" s="10" t="s">
        <v>2837</v>
      </c>
      <c r="AA49" s="238" t="s">
        <v>2838</v>
      </c>
      <c r="AB49" s="238"/>
      <c r="AC49" s="238"/>
      <c r="AD49" s="238"/>
      <c r="AE49" s="10" t="s">
        <v>2839</v>
      </c>
      <c r="AF49" s="237" t="s">
        <v>2840</v>
      </c>
      <c r="AG49" s="237"/>
      <c r="AH49" s="237"/>
      <c r="AI49" s="237"/>
      <c r="AJ49" s="2"/>
      <c r="AK49" s="2"/>
      <c r="AL49" s="2"/>
      <c r="AM49" s="2"/>
      <c r="AN49" s="7"/>
    </row>
    <row r="50" spans="1:40" ht="13.5" thickBot="1">
      <c r="A50" s="6"/>
      <c r="B50" s="2"/>
      <c r="C50" s="2"/>
      <c r="D50" s="244" t="s">
        <v>261</v>
      </c>
      <c r="E50" s="244"/>
      <c r="F50" s="238" t="s">
        <v>6096</v>
      </c>
      <c r="G50" s="238"/>
      <c r="H50" s="238"/>
      <c r="I50" s="238"/>
      <c r="J50" s="10" t="s">
        <v>2841</v>
      </c>
      <c r="K50" s="238" t="s">
        <v>3384</v>
      </c>
      <c r="L50" s="238"/>
      <c r="M50" s="238"/>
      <c r="N50" s="238" t="s">
        <v>2842</v>
      </c>
      <c r="O50" s="238"/>
      <c r="P50" s="238"/>
      <c r="Q50" s="238" t="s">
        <v>2843</v>
      </c>
      <c r="R50" s="238"/>
      <c r="S50" s="238"/>
      <c r="T50" s="238"/>
      <c r="U50" s="238"/>
      <c r="V50" s="238"/>
      <c r="W50" s="238" t="s">
        <v>2844</v>
      </c>
      <c r="X50" s="238"/>
      <c r="Y50" s="10" t="s">
        <v>2845</v>
      </c>
      <c r="Z50" s="10" t="s">
        <v>2846</v>
      </c>
      <c r="AA50" s="238" t="s">
        <v>2847</v>
      </c>
      <c r="AB50" s="238"/>
      <c r="AC50" s="238"/>
      <c r="AD50" s="238"/>
      <c r="AE50" s="10" t="s">
        <v>3511</v>
      </c>
      <c r="AF50" s="237" t="s">
        <v>6400</v>
      </c>
      <c r="AG50" s="237"/>
      <c r="AH50" s="237"/>
      <c r="AI50" s="237"/>
      <c r="AJ50" s="2"/>
      <c r="AK50" s="2"/>
      <c r="AL50" s="2"/>
      <c r="AM50" s="2"/>
      <c r="AN50" s="7"/>
    </row>
    <row r="51" spans="1:40" ht="13.5" thickBot="1">
      <c r="A51" s="6"/>
      <c r="B51" s="2"/>
      <c r="C51" s="2"/>
      <c r="D51" s="244" t="s">
        <v>273</v>
      </c>
      <c r="E51" s="244"/>
      <c r="F51" s="238" t="s">
        <v>2848</v>
      </c>
      <c r="G51" s="238"/>
      <c r="H51" s="238"/>
      <c r="I51" s="238"/>
      <c r="J51" s="10" t="s">
        <v>2849</v>
      </c>
      <c r="K51" s="238" t="s">
        <v>3451</v>
      </c>
      <c r="L51" s="238"/>
      <c r="M51" s="238"/>
      <c r="N51" s="238" t="s">
        <v>2850</v>
      </c>
      <c r="O51" s="238"/>
      <c r="P51" s="238"/>
      <c r="Q51" s="238" t="s">
        <v>2851</v>
      </c>
      <c r="R51" s="238"/>
      <c r="S51" s="238"/>
      <c r="T51" s="238"/>
      <c r="U51" s="238"/>
      <c r="V51" s="238"/>
      <c r="W51" s="238" t="s">
        <v>2799</v>
      </c>
      <c r="X51" s="238"/>
      <c r="Y51" s="10" t="s">
        <v>2852</v>
      </c>
      <c r="Z51" s="10" t="s">
        <v>2853</v>
      </c>
      <c r="AA51" s="238" t="s">
        <v>2854</v>
      </c>
      <c r="AB51" s="238"/>
      <c r="AC51" s="238"/>
      <c r="AD51" s="238"/>
      <c r="AE51" s="10" t="s">
        <v>6658</v>
      </c>
      <c r="AF51" s="237" t="s">
        <v>2855</v>
      </c>
      <c r="AG51" s="237"/>
      <c r="AH51" s="237"/>
      <c r="AI51" s="237"/>
      <c r="AJ51" s="2"/>
      <c r="AK51" s="2"/>
      <c r="AL51" s="2"/>
      <c r="AM51" s="2"/>
      <c r="AN51" s="7"/>
    </row>
    <row r="52" spans="1:40" ht="13.5" thickBot="1">
      <c r="A52" s="6"/>
      <c r="B52" s="2"/>
      <c r="C52" s="2"/>
      <c r="D52" s="244" t="s">
        <v>285</v>
      </c>
      <c r="E52" s="244"/>
      <c r="F52" s="238" t="s">
        <v>6096</v>
      </c>
      <c r="G52" s="238"/>
      <c r="H52" s="238"/>
      <c r="I52" s="238"/>
      <c r="J52" s="10" t="s">
        <v>2841</v>
      </c>
      <c r="K52" s="238" t="s">
        <v>3384</v>
      </c>
      <c r="L52" s="238"/>
      <c r="M52" s="238"/>
      <c r="N52" s="238" t="s">
        <v>2842</v>
      </c>
      <c r="O52" s="238"/>
      <c r="P52" s="238"/>
      <c r="Q52" s="238" t="s">
        <v>2856</v>
      </c>
      <c r="R52" s="238"/>
      <c r="S52" s="238"/>
      <c r="T52" s="238"/>
      <c r="U52" s="238"/>
      <c r="V52" s="238"/>
      <c r="W52" s="238" t="s">
        <v>2857</v>
      </c>
      <c r="X52" s="238"/>
      <c r="Y52" s="10" t="s">
        <v>2858</v>
      </c>
      <c r="Z52" s="10" t="s">
        <v>2859</v>
      </c>
      <c r="AA52" s="238" t="s">
        <v>2846</v>
      </c>
      <c r="AB52" s="238"/>
      <c r="AC52" s="238"/>
      <c r="AD52" s="238"/>
      <c r="AE52" s="10" t="s">
        <v>3407</v>
      </c>
      <c r="AF52" s="237" t="s">
        <v>3442</v>
      </c>
      <c r="AG52" s="237"/>
      <c r="AH52" s="237"/>
      <c r="AI52" s="237"/>
      <c r="AJ52" s="2"/>
      <c r="AK52" s="2"/>
      <c r="AL52" s="2"/>
      <c r="AM52" s="2"/>
      <c r="AN52" s="7"/>
    </row>
    <row r="53" spans="1:40" ht="13.5" thickBot="1">
      <c r="A53" s="6"/>
      <c r="B53" s="2"/>
      <c r="C53" s="2"/>
      <c r="D53" s="244" t="s">
        <v>295</v>
      </c>
      <c r="E53" s="244"/>
      <c r="F53" s="238" t="s">
        <v>6901</v>
      </c>
      <c r="G53" s="238"/>
      <c r="H53" s="238"/>
      <c r="I53" s="238"/>
      <c r="J53" s="10" t="s">
        <v>378</v>
      </c>
      <c r="K53" s="238" t="s">
        <v>375</v>
      </c>
      <c r="L53" s="238"/>
      <c r="M53" s="238"/>
      <c r="N53" s="238" t="s">
        <v>378</v>
      </c>
      <c r="O53" s="238"/>
      <c r="P53" s="238"/>
      <c r="Q53" s="238" t="s">
        <v>378</v>
      </c>
      <c r="R53" s="238"/>
      <c r="S53" s="238"/>
      <c r="T53" s="238"/>
      <c r="U53" s="238"/>
      <c r="V53" s="238"/>
      <c r="W53" s="238" t="s">
        <v>2860</v>
      </c>
      <c r="X53" s="238"/>
      <c r="Y53" s="10" t="s">
        <v>300</v>
      </c>
      <c r="Z53" s="10" t="s">
        <v>375</v>
      </c>
      <c r="AA53" s="238" t="s">
        <v>6086</v>
      </c>
      <c r="AB53" s="238"/>
      <c r="AC53" s="238"/>
      <c r="AD53" s="238"/>
      <c r="AE53" s="10" t="s">
        <v>6245</v>
      </c>
      <c r="AF53" s="237" t="s">
        <v>2861</v>
      </c>
      <c r="AG53" s="237"/>
      <c r="AH53" s="237"/>
      <c r="AI53" s="237"/>
      <c r="AJ53" s="2"/>
      <c r="AK53" s="2"/>
      <c r="AL53" s="2"/>
      <c r="AM53" s="2"/>
      <c r="AN53" s="7"/>
    </row>
    <row r="54" spans="1:40" ht="13.5" thickBot="1">
      <c r="A54" s="6"/>
      <c r="B54" s="2"/>
      <c r="C54" s="2"/>
      <c r="D54" s="244" t="s">
        <v>307</v>
      </c>
      <c r="E54" s="244"/>
      <c r="F54" s="238" t="s">
        <v>2862</v>
      </c>
      <c r="G54" s="238"/>
      <c r="H54" s="238"/>
      <c r="I54" s="238"/>
      <c r="J54" s="10" t="s">
        <v>7025</v>
      </c>
      <c r="K54" s="238" t="s">
        <v>2863</v>
      </c>
      <c r="L54" s="238"/>
      <c r="M54" s="238"/>
      <c r="N54" s="238" t="s">
        <v>443</v>
      </c>
      <c r="O54" s="238"/>
      <c r="P54" s="238"/>
      <c r="Q54" s="238" t="s">
        <v>2864</v>
      </c>
      <c r="R54" s="238"/>
      <c r="S54" s="238"/>
      <c r="T54" s="238"/>
      <c r="U54" s="238"/>
      <c r="V54" s="238"/>
      <c r="W54" s="238" t="s">
        <v>6005</v>
      </c>
      <c r="X54" s="238"/>
      <c r="Y54" s="10" t="s">
        <v>318</v>
      </c>
      <c r="Z54" s="10" t="s">
        <v>2865</v>
      </c>
      <c r="AA54" s="238" t="s">
        <v>2866</v>
      </c>
      <c r="AB54" s="238"/>
      <c r="AC54" s="238"/>
      <c r="AD54" s="238"/>
      <c r="AE54" s="10" t="s">
        <v>2867</v>
      </c>
      <c r="AF54" s="237" t="s">
        <v>1849</v>
      </c>
      <c r="AG54" s="237"/>
      <c r="AH54" s="237"/>
      <c r="AI54" s="237"/>
      <c r="AJ54" s="2"/>
      <c r="AK54" s="2"/>
      <c r="AL54" s="2"/>
      <c r="AM54" s="2"/>
      <c r="AN54" s="7"/>
    </row>
    <row r="55" spans="1:40" ht="13.5" thickBot="1">
      <c r="A55" s="6"/>
      <c r="B55" s="2"/>
      <c r="C55" s="2"/>
      <c r="D55" s="244" t="s">
        <v>319</v>
      </c>
      <c r="E55" s="244"/>
      <c r="F55" s="237" t="s">
        <v>6337</v>
      </c>
      <c r="G55" s="237"/>
      <c r="H55" s="237"/>
      <c r="I55" s="237"/>
      <c r="J55" s="11" t="s">
        <v>2868</v>
      </c>
      <c r="K55" s="237" t="s">
        <v>7082</v>
      </c>
      <c r="L55" s="237"/>
      <c r="M55" s="237"/>
      <c r="N55" s="237" t="s">
        <v>6547</v>
      </c>
      <c r="O55" s="237"/>
      <c r="P55" s="237"/>
      <c r="Q55" s="237" t="s">
        <v>326</v>
      </c>
      <c r="R55" s="237"/>
      <c r="S55" s="237"/>
      <c r="T55" s="237"/>
      <c r="U55" s="237"/>
      <c r="V55" s="237"/>
      <c r="W55" s="237" t="s">
        <v>369</v>
      </c>
      <c r="X55" s="237"/>
      <c r="Y55" s="11" t="s">
        <v>2869</v>
      </c>
      <c r="Z55" s="11" t="s">
        <v>2870</v>
      </c>
      <c r="AA55" s="237" t="s">
        <v>6371</v>
      </c>
      <c r="AB55" s="237"/>
      <c r="AC55" s="237"/>
      <c r="AD55" s="237"/>
      <c r="AE55" s="11" t="s">
        <v>2871</v>
      </c>
      <c r="AF55" s="237" t="s">
        <v>2872</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5.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2873</v>
      </c>
      <c r="E7" s="269"/>
      <c r="F7" s="269"/>
      <c r="G7" s="269"/>
      <c r="H7" s="269" t="s">
        <v>2874</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EMSLAND (KKE)</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2875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2876</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Konvoi</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3850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2877</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3850</v>
      </c>
      <c r="N16" s="264"/>
      <c r="O16" s="264"/>
      <c r="P16" s="248" t="s">
        <v>186</v>
      </c>
      <c r="Q16" s="248"/>
      <c r="R16" s="248"/>
      <c r="S16" s="2"/>
      <c r="T16" s="2"/>
      <c r="U16" s="252" t="s">
        <v>187</v>
      </c>
      <c r="V16" s="252"/>
      <c r="W16" s="252"/>
      <c r="X16" s="252"/>
      <c r="Y16" s="252"/>
      <c r="Z16" s="252"/>
      <c r="AA16" s="252"/>
      <c r="AB16" s="247" t="s">
        <v>5709</v>
      </c>
      <c r="AC16" s="247"/>
      <c r="AD16" s="248" t="s">
        <v>2878</v>
      </c>
      <c r="AE16" s="248"/>
      <c r="AF16" s="248"/>
      <c r="AG16" s="248"/>
      <c r="AH16" s="248"/>
      <c r="AI16" s="2"/>
      <c r="AJ16" s="1"/>
      <c r="AK16" s="2"/>
      <c r="AL16" s="1"/>
      <c r="AM16" s="2"/>
      <c r="AN16" s="7"/>
      <c r="AT16" s="24" t="str">
        <f>D17 &amp; " [MWe]"</f>
        <v>Latest gross electrical power [MWe]</v>
      </c>
      <c r="AU16" s="24">
        <f>M17</f>
        <v>1400</v>
      </c>
    </row>
    <row r="17" spans="1:47" ht="13.5" thickBot="1">
      <c r="A17" s="6"/>
      <c r="B17" s="1"/>
      <c r="C17" s="1"/>
      <c r="D17" s="248" t="s">
        <v>189</v>
      </c>
      <c r="E17" s="248"/>
      <c r="F17" s="248"/>
      <c r="G17" s="248"/>
      <c r="H17" s="248"/>
      <c r="I17" s="248"/>
      <c r="J17" s="248"/>
      <c r="K17" s="248"/>
      <c r="L17" s="8" t="s">
        <v>5709</v>
      </c>
      <c r="M17" s="264">
        <v>1400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1329</v>
      </c>
    </row>
    <row r="18" spans="1:47" ht="13.5" thickBot="1">
      <c r="A18" s="6"/>
      <c r="B18" s="1"/>
      <c r="C18" s="1"/>
      <c r="D18" s="248" t="s">
        <v>193</v>
      </c>
      <c r="E18" s="248"/>
      <c r="F18" s="248"/>
      <c r="G18" s="248"/>
      <c r="H18" s="248"/>
      <c r="I18" s="248"/>
      <c r="J18" s="248"/>
      <c r="K18" s="248"/>
      <c r="L18" s="8" t="s">
        <v>5709</v>
      </c>
      <c r="M18" s="264">
        <v>1242</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32252</v>
      </c>
    </row>
    <row r="19" spans="1:47" ht="13.5" thickBot="1">
      <c r="A19" s="6"/>
      <c r="B19" s="1"/>
      <c r="C19" s="1"/>
      <c r="D19" s="248" t="s">
        <v>196</v>
      </c>
      <c r="E19" s="248"/>
      <c r="F19" s="248"/>
      <c r="G19" s="248"/>
      <c r="H19" s="248"/>
      <c r="I19" s="248"/>
      <c r="J19" s="248"/>
      <c r="K19" s="248"/>
      <c r="L19" s="8" t="s">
        <v>5709</v>
      </c>
      <c r="M19" s="264">
        <v>1329</v>
      </c>
      <c r="N19" s="264"/>
      <c r="O19" s="264"/>
      <c r="P19" s="248" t="s">
        <v>190</v>
      </c>
      <c r="Q19" s="248"/>
      <c r="R19" s="248"/>
      <c r="S19" s="2"/>
      <c r="T19" s="2"/>
      <c r="U19" s="252" t="s">
        <v>197</v>
      </c>
      <c r="V19" s="252"/>
      <c r="W19" s="252"/>
      <c r="X19" s="252"/>
      <c r="Y19" s="252"/>
      <c r="Z19" s="252"/>
      <c r="AA19" s="252"/>
      <c r="AB19" s="247" t="s">
        <v>5709</v>
      </c>
      <c r="AC19" s="247"/>
      <c r="AD19" s="248" t="s">
        <v>2879</v>
      </c>
      <c r="AE19" s="248"/>
      <c r="AF19" s="248"/>
      <c r="AG19" s="248"/>
      <c r="AH19" s="248"/>
      <c r="AI19" s="2"/>
      <c r="AJ19" s="1"/>
      <c r="AK19" s="2"/>
      <c r="AL19" s="1"/>
      <c r="AM19" s="2"/>
      <c r="AN19" s="7"/>
      <c r="AT19" s="23" t="str">
        <f>U19</f>
        <v>Average discharge burnup  [MWd/t]</v>
      </c>
      <c r="AU19" s="23" t="str">
        <f>AD19</f>
        <v>32000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2823</v>
      </c>
      <c r="AE20" s="248"/>
      <c r="AF20" s="248"/>
      <c r="AG20" s="248"/>
      <c r="AH20" s="248"/>
      <c r="AI20" s="2"/>
      <c r="AJ20" s="1"/>
      <c r="AK20" s="2"/>
      <c r="AL20" s="1"/>
      <c r="AM20" s="2"/>
      <c r="AN20" s="7"/>
      <c r="AT20" s="23" t="str">
        <f>D55 &amp; Q48</f>
        <v>LF [%]2005</v>
      </c>
      <c r="AU20" s="26" t="str">
        <f>Q55</f>
        <v>93.51</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94.30</v>
      </c>
    </row>
    <row r="22" spans="1:47" ht="8.85" customHeight="1" thickBot="1">
      <c r="A22" s="6"/>
      <c r="B22" s="1"/>
      <c r="C22" s="1"/>
      <c r="D22" s="248" t="s">
        <v>205</v>
      </c>
      <c r="E22" s="248"/>
      <c r="F22" s="248"/>
      <c r="G22" s="248"/>
      <c r="H22" s="248"/>
      <c r="I22" s="248"/>
      <c r="J22" s="248"/>
      <c r="K22" s="248"/>
      <c r="L22" s="247" t="s">
        <v>5709</v>
      </c>
      <c r="M22" s="259">
        <v>30173</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32252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2826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32314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2828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2829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2880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2881</v>
      </c>
      <c r="G49" s="238"/>
      <c r="H49" s="238"/>
      <c r="I49" s="238"/>
      <c r="J49" s="10" t="s">
        <v>2882</v>
      </c>
      <c r="K49" s="238" t="s">
        <v>2883</v>
      </c>
      <c r="L49" s="238"/>
      <c r="M49" s="238"/>
      <c r="N49" s="238" t="s">
        <v>2884</v>
      </c>
      <c r="O49" s="238"/>
      <c r="P49" s="238"/>
      <c r="Q49" s="238" t="s">
        <v>2885</v>
      </c>
      <c r="R49" s="238"/>
      <c r="S49" s="238"/>
      <c r="T49" s="238"/>
      <c r="U49" s="238"/>
      <c r="V49" s="238"/>
      <c r="W49" s="238" t="s">
        <v>2886</v>
      </c>
      <c r="X49" s="238"/>
      <c r="Y49" s="10" t="s">
        <v>2887</v>
      </c>
      <c r="Z49" s="10" t="s">
        <v>2888</v>
      </c>
      <c r="AA49" s="238" t="s">
        <v>2889</v>
      </c>
      <c r="AB49" s="238"/>
      <c r="AC49" s="238"/>
      <c r="AD49" s="238"/>
      <c r="AE49" s="10" t="s">
        <v>2890</v>
      </c>
      <c r="AF49" s="237" t="s">
        <v>2891</v>
      </c>
      <c r="AG49" s="237"/>
      <c r="AH49" s="237"/>
      <c r="AI49" s="237"/>
      <c r="AJ49" s="2"/>
      <c r="AK49" s="2"/>
      <c r="AL49" s="2"/>
      <c r="AM49" s="2"/>
      <c r="AN49" s="7"/>
    </row>
    <row r="50" spans="1:40" ht="13.5" thickBot="1">
      <c r="A50" s="6"/>
      <c r="B50" s="2"/>
      <c r="C50" s="2"/>
      <c r="D50" s="244" t="s">
        <v>261</v>
      </c>
      <c r="E50" s="244"/>
      <c r="F50" s="238" t="s">
        <v>266</v>
      </c>
      <c r="G50" s="238"/>
      <c r="H50" s="238"/>
      <c r="I50" s="238"/>
      <c r="J50" s="10" t="s">
        <v>396</v>
      </c>
      <c r="K50" s="238" t="s">
        <v>2892</v>
      </c>
      <c r="L50" s="238"/>
      <c r="M50" s="238"/>
      <c r="N50" s="238" t="s">
        <v>2893</v>
      </c>
      <c r="O50" s="238"/>
      <c r="P50" s="238"/>
      <c r="Q50" s="238" t="s">
        <v>2894</v>
      </c>
      <c r="R50" s="238"/>
      <c r="S50" s="238"/>
      <c r="T50" s="238"/>
      <c r="U50" s="238"/>
      <c r="V50" s="238"/>
      <c r="W50" s="238" t="s">
        <v>2895</v>
      </c>
      <c r="X50" s="238"/>
      <c r="Y50" s="10" t="s">
        <v>2896</v>
      </c>
      <c r="Z50" s="10" t="s">
        <v>2897</v>
      </c>
      <c r="AA50" s="238" t="s">
        <v>3497</v>
      </c>
      <c r="AB50" s="238"/>
      <c r="AC50" s="238"/>
      <c r="AD50" s="238"/>
      <c r="AE50" s="10" t="s">
        <v>2898</v>
      </c>
      <c r="AF50" s="237" t="s">
        <v>369</v>
      </c>
      <c r="AG50" s="237"/>
      <c r="AH50" s="237"/>
      <c r="AI50" s="237"/>
      <c r="AJ50" s="2"/>
      <c r="AK50" s="2"/>
      <c r="AL50" s="2"/>
      <c r="AM50" s="2"/>
      <c r="AN50" s="7"/>
    </row>
    <row r="51" spans="1:40" ht="13.5" thickBot="1">
      <c r="A51" s="6"/>
      <c r="B51" s="2"/>
      <c r="C51" s="2"/>
      <c r="D51" s="244" t="s">
        <v>273</v>
      </c>
      <c r="E51" s="244"/>
      <c r="F51" s="238" t="s">
        <v>2899</v>
      </c>
      <c r="G51" s="238"/>
      <c r="H51" s="238"/>
      <c r="I51" s="238"/>
      <c r="J51" s="10" t="s">
        <v>3426</v>
      </c>
      <c r="K51" s="238" t="s">
        <v>6591</v>
      </c>
      <c r="L51" s="238"/>
      <c r="M51" s="238"/>
      <c r="N51" s="238" t="s">
        <v>6984</v>
      </c>
      <c r="O51" s="238"/>
      <c r="P51" s="238"/>
      <c r="Q51" s="238" t="s">
        <v>2900</v>
      </c>
      <c r="R51" s="238"/>
      <c r="S51" s="238"/>
      <c r="T51" s="238"/>
      <c r="U51" s="238"/>
      <c r="V51" s="238"/>
      <c r="W51" s="238" t="s">
        <v>6126</v>
      </c>
      <c r="X51" s="238"/>
      <c r="Y51" s="10" t="s">
        <v>2901</v>
      </c>
      <c r="Z51" s="10" t="s">
        <v>2902</v>
      </c>
      <c r="AA51" s="238" t="s">
        <v>2903</v>
      </c>
      <c r="AB51" s="238"/>
      <c r="AC51" s="238"/>
      <c r="AD51" s="238"/>
      <c r="AE51" s="10" t="s">
        <v>2904</v>
      </c>
      <c r="AF51" s="237" t="s">
        <v>2905</v>
      </c>
      <c r="AG51" s="237"/>
      <c r="AH51" s="237"/>
      <c r="AI51" s="237"/>
      <c r="AJ51" s="2"/>
      <c r="AK51" s="2"/>
      <c r="AL51" s="2"/>
      <c r="AM51" s="2"/>
      <c r="AN51" s="7"/>
    </row>
    <row r="52" spans="1:40" ht="13.5" thickBot="1">
      <c r="A52" s="6"/>
      <c r="B52" s="2"/>
      <c r="C52" s="2"/>
      <c r="D52" s="244" t="s">
        <v>285</v>
      </c>
      <c r="E52" s="244"/>
      <c r="F52" s="238" t="s">
        <v>2906</v>
      </c>
      <c r="G52" s="238"/>
      <c r="H52" s="238"/>
      <c r="I52" s="238"/>
      <c r="J52" s="10" t="s">
        <v>396</v>
      </c>
      <c r="K52" s="238" t="s">
        <v>2892</v>
      </c>
      <c r="L52" s="238"/>
      <c r="M52" s="238"/>
      <c r="N52" s="238" t="s">
        <v>2893</v>
      </c>
      <c r="O52" s="238"/>
      <c r="P52" s="238"/>
      <c r="Q52" s="238" t="s">
        <v>2894</v>
      </c>
      <c r="R52" s="238"/>
      <c r="S52" s="238"/>
      <c r="T52" s="238"/>
      <c r="U52" s="238"/>
      <c r="V52" s="238"/>
      <c r="W52" s="238" t="s">
        <v>2732</v>
      </c>
      <c r="X52" s="238"/>
      <c r="Y52" s="10" t="s">
        <v>347</v>
      </c>
      <c r="Z52" s="10" t="s">
        <v>6337</v>
      </c>
      <c r="AA52" s="238" t="s">
        <v>6106</v>
      </c>
      <c r="AB52" s="238"/>
      <c r="AC52" s="238"/>
      <c r="AD52" s="238"/>
      <c r="AE52" s="10" t="s">
        <v>2907</v>
      </c>
      <c r="AF52" s="237" t="s">
        <v>2908</v>
      </c>
      <c r="AG52" s="237"/>
      <c r="AH52" s="237"/>
      <c r="AI52" s="237"/>
      <c r="AJ52" s="2"/>
      <c r="AK52" s="2"/>
      <c r="AL52" s="2"/>
      <c r="AM52" s="2"/>
      <c r="AN52" s="7"/>
    </row>
    <row r="53" spans="1:40" ht="13.5" thickBot="1">
      <c r="A53" s="6"/>
      <c r="B53" s="2"/>
      <c r="C53" s="2"/>
      <c r="D53" s="244" t="s">
        <v>295</v>
      </c>
      <c r="E53" s="244"/>
      <c r="F53" s="238" t="s">
        <v>382</v>
      </c>
      <c r="G53" s="238"/>
      <c r="H53" s="238"/>
      <c r="I53" s="238"/>
      <c r="J53" s="10" t="s">
        <v>6966</v>
      </c>
      <c r="K53" s="238" t="s">
        <v>375</v>
      </c>
      <c r="L53" s="238"/>
      <c r="M53" s="238"/>
      <c r="N53" s="238" t="s">
        <v>6177</v>
      </c>
      <c r="O53" s="238"/>
      <c r="P53" s="238"/>
      <c r="Q53" s="238" t="s">
        <v>6087</v>
      </c>
      <c r="R53" s="238"/>
      <c r="S53" s="238"/>
      <c r="T53" s="238"/>
      <c r="U53" s="238"/>
      <c r="V53" s="238"/>
      <c r="W53" s="238" t="s">
        <v>378</v>
      </c>
      <c r="X53" s="238"/>
      <c r="Y53" s="10" t="s">
        <v>6010</v>
      </c>
      <c r="Z53" s="10" t="s">
        <v>6087</v>
      </c>
      <c r="AA53" s="238" t="s">
        <v>2909</v>
      </c>
      <c r="AB53" s="238"/>
      <c r="AC53" s="238"/>
      <c r="AD53" s="238"/>
      <c r="AE53" s="10" t="s">
        <v>6083</v>
      </c>
      <c r="AF53" s="237" t="s">
        <v>6328</v>
      </c>
      <c r="AG53" s="237"/>
      <c r="AH53" s="237"/>
      <c r="AI53" s="237"/>
      <c r="AJ53" s="2"/>
      <c r="AK53" s="2"/>
      <c r="AL53" s="2"/>
      <c r="AM53" s="2"/>
      <c r="AN53" s="7"/>
    </row>
    <row r="54" spans="1:40" ht="13.5" thickBot="1">
      <c r="A54" s="6"/>
      <c r="B54" s="2"/>
      <c r="C54" s="2"/>
      <c r="D54" s="244" t="s">
        <v>307</v>
      </c>
      <c r="E54" s="244"/>
      <c r="F54" s="238" t="s">
        <v>6060</v>
      </c>
      <c r="G54" s="238"/>
      <c r="H54" s="238"/>
      <c r="I54" s="238"/>
      <c r="J54" s="10" t="s">
        <v>2910</v>
      </c>
      <c r="K54" s="238" t="s">
        <v>2911</v>
      </c>
      <c r="L54" s="238"/>
      <c r="M54" s="238"/>
      <c r="N54" s="238" t="s">
        <v>2912</v>
      </c>
      <c r="O54" s="238"/>
      <c r="P54" s="238"/>
      <c r="Q54" s="238" t="s">
        <v>2913</v>
      </c>
      <c r="R54" s="238"/>
      <c r="S54" s="238"/>
      <c r="T54" s="238"/>
      <c r="U54" s="238"/>
      <c r="V54" s="238"/>
      <c r="W54" s="238" t="s">
        <v>321</v>
      </c>
      <c r="X54" s="238"/>
      <c r="Y54" s="10" t="s">
        <v>2914</v>
      </c>
      <c r="Z54" s="10" t="s">
        <v>393</v>
      </c>
      <c r="AA54" s="238" t="s">
        <v>399</v>
      </c>
      <c r="AB54" s="238"/>
      <c r="AC54" s="238"/>
      <c r="AD54" s="238"/>
      <c r="AE54" s="10" t="s">
        <v>271</v>
      </c>
      <c r="AF54" s="237" t="s">
        <v>2915</v>
      </c>
      <c r="AG54" s="237"/>
      <c r="AH54" s="237"/>
      <c r="AI54" s="237"/>
      <c r="AJ54" s="2"/>
      <c r="AK54" s="2"/>
      <c r="AL54" s="2"/>
      <c r="AM54" s="2"/>
      <c r="AN54" s="7"/>
    </row>
    <row r="55" spans="1:40" ht="13.5" thickBot="1">
      <c r="A55" s="6"/>
      <c r="B55" s="2"/>
      <c r="C55" s="2"/>
      <c r="D55" s="244" t="s">
        <v>319</v>
      </c>
      <c r="E55" s="244"/>
      <c r="F55" s="237" t="s">
        <v>2916</v>
      </c>
      <c r="G55" s="237"/>
      <c r="H55" s="237"/>
      <c r="I55" s="237"/>
      <c r="J55" s="11" t="s">
        <v>2917</v>
      </c>
      <c r="K55" s="237" t="s">
        <v>2918</v>
      </c>
      <c r="L55" s="237"/>
      <c r="M55" s="237"/>
      <c r="N55" s="237" t="s">
        <v>316</v>
      </c>
      <c r="O55" s="237"/>
      <c r="P55" s="237"/>
      <c r="Q55" s="237" t="s">
        <v>2919</v>
      </c>
      <c r="R55" s="237"/>
      <c r="S55" s="237"/>
      <c r="T55" s="237"/>
      <c r="U55" s="237"/>
      <c r="V55" s="237"/>
      <c r="W55" s="237" t="s">
        <v>2920</v>
      </c>
      <c r="X55" s="237"/>
      <c r="Y55" s="11" t="s">
        <v>2921</v>
      </c>
      <c r="Z55" s="11" t="s">
        <v>369</v>
      </c>
      <c r="AA55" s="237" t="s">
        <v>2922</v>
      </c>
      <c r="AB55" s="237"/>
      <c r="AC55" s="237"/>
      <c r="AD55" s="237"/>
      <c r="AE55" s="11" t="s">
        <v>2923</v>
      </c>
      <c r="AF55" s="237" t="s">
        <v>6372</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tabColor indexed="30"/>
  </sheetPr>
  <dimension ref="A1:AU61"/>
  <sheetViews>
    <sheetView topLeftCell="K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25.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2924</v>
      </c>
      <c r="E7" s="269"/>
      <c r="F7" s="269"/>
      <c r="G7" s="269"/>
      <c r="H7" s="269" t="s">
        <v>2925</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GRAFENRHEINFELD (KKG)</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2817</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2817</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PWR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3765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2820</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3765</v>
      </c>
      <c r="N16" s="264"/>
      <c r="O16" s="264"/>
      <c r="P16" s="248" t="s">
        <v>186</v>
      </c>
      <c r="Q16" s="248"/>
      <c r="R16" s="248"/>
      <c r="S16" s="2"/>
      <c r="T16" s="2"/>
      <c r="U16" s="252" t="s">
        <v>187</v>
      </c>
      <c r="V16" s="252"/>
      <c r="W16" s="252"/>
      <c r="X16" s="252"/>
      <c r="Y16" s="252"/>
      <c r="Z16" s="252"/>
      <c r="AA16" s="252"/>
      <c r="AB16" s="247" t="s">
        <v>5709</v>
      </c>
      <c r="AC16" s="247"/>
      <c r="AD16" s="248" t="s">
        <v>2926</v>
      </c>
      <c r="AE16" s="248"/>
      <c r="AF16" s="248"/>
      <c r="AG16" s="248"/>
      <c r="AH16" s="248"/>
      <c r="AI16" s="2"/>
      <c r="AJ16" s="1"/>
      <c r="AK16" s="2"/>
      <c r="AL16" s="1"/>
      <c r="AM16" s="2"/>
      <c r="AN16" s="7"/>
      <c r="AT16" s="24" t="str">
        <f>D17 &amp; " [MWe]"</f>
        <v>Latest gross electrical power [MWe]</v>
      </c>
      <c r="AU16" s="24">
        <f>M17</f>
        <v>1345</v>
      </c>
    </row>
    <row r="17" spans="1:47" ht="13.5" thickBot="1">
      <c r="A17" s="6"/>
      <c r="B17" s="1"/>
      <c r="C17" s="1"/>
      <c r="D17" s="248" t="s">
        <v>189</v>
      </c>
      <c r="E17" s="248"/>
      <c r="F17" s="248"/>
      <c r="G17" s="248"/>
      <c r="H17" s="248"/>
      <c r="I17" s="248"/>
      <c r="J17" s="248"/>
      <c r="K17" s="248"/>
      <c r="L17" s="8" t="s">
        <v>5709</v>
      </c>
      <c r="M17" s="264">
        <v>1345</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1275</v>
      </c>
    </row>
    <row r="18" spans="1:47" ht="13.5" thickBot="1">
      <c r="A18" s="6"/>
      <c r="B18" s="1"/>
      <c r="C18" s="1"/>
      <c r="D18" s="248" t="s">
        <v>193</v>
      </c>
      <c r="E18" s="248"/>
      <c r="F18" s="248"/>
      <c r="G18" s="248"/>
      <c r="H18" s="248"/>
      <c r="I18" s="248"/>
      <c r="J18" s="248"/>
      <c r="K18" s="248"/>
      <c r="L18" s="8" t="s">
        <v>5709</v>
      </c>
      <c r="M18" s="264">
        <v>1225</v>
      </c>
      <c r="N18" s="264"/>
      <c r="O18" s="264"/>
      <c r="P18" s="248" t="s">
        <v>190</v>
      </c>
      <c r="Q18" s="248"/>
      <c r="R18" s="248"/>
      <c r="S18" s="2"/>
      <c r="T18" s="2"/>
      <c r="U18" s="252" t="s">
        <v>194</v>
      </c>
      <c r="V18" s="252"/>
      <c r="W18" s="252"/>
      <c r="X18" s="252"/>
      <c r="Y18" s="252"/>
      <c r="Z18" s="252"/>
      <c r="AA18" s="252"/>
      <c r="AB18" s="247" t="s">
        <v>5709</v>
      </c>
      <c r="AC18" s="247"/>
      <c r="AD18" s="248" t="s">
        <v>2927</v>
      </c>
      <c r="AE18" s="248"/>
      <c r="AF18" s="248"/>
      <c r="AG18" s="248"/>
      <c r="AH18" s="248"/>
      <c r="AI18" s="2"/>
      <c r="AJ18" s="1"/>
      <c r="AK18" s="2"/>
      <c r="AL18" s="1"/>
      <c r="AM18" s="2"/>
      <c r="AN18" s="7"/>
      <c r="AT18" s="25" t="str">
        <f>D24</f>
        <v>Grid Date</v>
      </c>
      <c r="AU18" s="25">
        <f>M24</f>
        <v>29950</v>
      </c>
    </row>
    <row r="19" spans="1:47" ht="13.5" thickBot="1">
      <c r="A19" s="6"/>
      <c r="B19" s="1"/>
      <c r="C19" s="1"/>
      <c r="D19" s="248" t="s">
        <v>196</v>
      </c>
      <c r="E19" s="248"/>
      <c r="F19" s="248"/>
      <c r="G19" s="248"/>
      <c r="H19" s="248"/>
      <c r="I19" s="248"/>
      <c r="J19" s="248"/>
      <c r="K19" s="248"/>
      <c r="L19" s="8" t="s">
        <v>5709</v>
      </c>
      <c r="M19" s="264">
        <v>1275</v>
      </c>
      <c r="N19" s="264"/>
      <c r="O19" s="264"/>
      <c r="P19" s="248" t="s">
        <v>190</v>
      </c>
      <c r="Q19" s="248"/>
      <c r="R19" s="248"/>
      <c r="S19" s="2"/>
      <c r="T19" s="2"/>
      <c r="U19" s="252" t="s">
        <v>197</v>
      </c>
      <c r="V19" s="252"/>
      <c r="W19" s="252"/>
      <c r="X19" s="252"/>
      <c r="Y19" s="252"/>
      <c r="Z19" s="252"/>
      <c r="AA19" s="252"/>
      <c r="AB19" s="247" t="s">
        <v>5709</v>
      </c>
      <c r="AC19" s="247"/>
      <c r="AD19" s="248" t="s">
        <v>2822</v>
      </c>
      <c r="AE19" s="248"/>
      <c r="AF19" s="248"/>
      <c r="AG19" s="248"/>
      <c r="AH19" s="248"/>
      <c r="AI19" s="2"/>
      <c r="AJ19" s="1"/>
      <c r="AK19" s="2"/>
      <c r="AL19" s="1"/>
      <c r="AM19" s="2"/>
      <c r="AN19" s="7"/>
      <c r="AT19" s="23" t="str">
        <f>U19</f>
        <v>Average discharge burnup  [MWd/t]</v>
      </c>
      <c r="AU19" s="23" t="str">
        <f>AD19</f>
        <v>34000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2928</v>
      </c>
      <c r="AE20" s="248"/>
      <c r="AF20" s="248"/>
      <c r="AG20" s="248"/>
      <c r="AH20" s="248"/>
      <c r="AI20" s="2"/>
      <c r="AJ20" s="1"/>
      <c r="AK20" s="2"/>
      <c r="AL20" s="1"/>
      <c r="AM20" s="2"/>
      <c r="AN20" s="7"/>
      <c r="AT20" s="23" t="str">
        <f>D55 &amp; Q48</f>
        <v>LF [%]2005</v>
      </c>
      <c r="AU20" s="26" t="str">
        <f>Q55</f>
        <v>90.48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67.08</v>
      </c>
    </row>
    <row r="22" spans="1:47" ht="8.85" customHeight="1" thickBot="1">
      <c r="A22" s="6"/>
      <c r="B22" s="1"/>
      <c r="C22" s="1"/>
      <c r="D22" s="248" t="s">
        <v>205</v>
      </c>
      <c r="E22" s="248"/>
      <c r="F22" s="248"/>
      <c r="G22" s="248"/>
      <c r="H22" s="248"/>
      <c r="I22" s="248"/>
      <c r="J22" s="248"/>
      <c r="K22" s="248"/>
      <c r="L22" s="247" t="s">
        <v>5709</v>
      </c>
      <c r="M22" s="259">
        <v>27395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29950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2826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30119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2929</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2829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2930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2931</v>
      </c>
      <c r="G49" s="238"/>
      <c r="H49" s="238"/>
      <c r="I49" s="238"/>
      <c r="J49" s="10" t="s">
        <v>2932</v>
      </c>
      <c r="K49" s="238" t="s">
        <v>2933</v>
      </c>
      <c r="L49" s="238"/>
      <c r="M49" s="238"/>
      <c r="N49" s="238" t="s">
        <v>2934</v>
      </c>
      <c r="O49" s="238"/>
      <c r="P49" s="238"/>
      <c r="Q49" s="238" t="s">
        <v>2935</v>
      </c>
      <c r="R49" s="238"/>
      <c r="S49" s="238"/>
      <c r="T49" s="238"/>
      <c r="U49" s="238"/>
      <c r="V49" s="238"/>
      <c r="W49" s="238" t="s">
        <v>2936</v>
      </c>
      <c r="X49" s="238"/>
      <c r="Y49" s="10" t="s">
        <v>2937</v>
      </c>
      <c r="Z49" s="10" t="s">
        <v>2938</v>
      </c>
      <c r="AA49" s="238" t="s">
        <v>2939</v>
      </c>
      <c r="AB49" s="238"/>
      <c r="AC49" s="238"/>
      <c r="AD49" s="238"/>
      <c r="AE49" s="10" t="s">
        <v>2940</v>
      </c>
      <c r="AF49" s="237" t="s">
        <v>2941</v>
      </c>
      <c r="AG49" s="237"/>
      <c r="AH49" s="237"/>
      <c r="AI49" s="237"/>
      <c r="AJ49" s="2"/>
      <c r="AK49" s="2"/>
      <c r="AL49" s="2"/>
      <c r="AM49" s="2"/>
      <c r="AN49" s="7"/>
    </row>
    <row r="50" spans="1:40" ht="13.5" thickBot="1">
      <c r="A50" s="6"/>
      <c r="B50" s="2"/>
      <c r="C50" s="2"/>
      <c r="D50" s="244" t="s">
        <v>261</v>
      </c>
      <c r="E50" s="244"/>
      <c r="F50" s="238" t="s">
        <v>2942</v>
      </c>
      <c r="G50" s="238"/>
      <c r="H50" s="238"/>
      <c r="I50" s="238"/>
      <c r="J50" s="10" t="s">
        <v>2943</v>
      </c>
      <c r="K50" s="238" t="s">
        <v>6372</v>
      </c>
      <c r="L50" s="238"/>
      <c r="M50" s="238"/>
      <c r="N50" s="238" t="s">
        <v>2944</v>
      </c>
      <c r="O50" s="238"/>
      <c r="P50" s="238"/>
      <c r="Q50" s="238" t="s">
        <v>6334</v>
      </c>
      <c r="R50" s="238"/>
      <c r="S50" s="238"/>
      <c r="T50" s="238"/>
      <c r="U50" s="238"/>
      <c r="V50" s="238"/>
      <c r="W50" s="238" t="s">
        <v>2945</v>
      </c>
      <c r="X50" s="238"/>
      <c r="Y50" s="10" t="s">
        <v>2946</v>
      </c>
      <c r="Z50" s="10" t="s">
        <v>2947</v>
      </c>
      <c r="AA50" s="238" t="s">
        <v>2921</v>
      </c>
      <c r="AB50" s="238"/>
      <c r="AC50" s="238"/>
      <c r="AD50" s="238"/>
      <c r="AE50" s="10" t="s">
        <v>2948</v>
      </c>
      <c r="AF50" s="237" t="s">
        <v>6733</v>
      </c>
      <c r="AG50" s="237"/>
      <c r="AH50" s="237"/>
      <c r="AI50" s="237"/>
      <c r="AJ50" s="2"/>
      <c r="AK50" s="2"/>
      <c r="AL50" s="2"/>
      <c r="AM50" s="2"/>
      <c r="AN50" s="7"/>
    </row>
    <row r="51" spans="1:40" ht="13.5" thickBot="1">
      <c r="A51" s="6"/>
      <c r="B51" s="2"/>
      <c r="C51" s="2"/>
      <c r="D51" s="244" t="s">
        <v>273</v>
      </c>
      <c r="E51" s="244"/>
      <c r="F51" s="238" t="s">
        <v>6069</v>
      </c>
      <c r="G51" s="238"/>
      <c r="H51" s="238"/>
      <c r="I51" s="238"/>
      <c r="J51" s="10" t="s">
        <v>2949</v>
      </c>
      <c r="K51" s="238" t="s">
        <v>2900</v>
      </c>
      <c r="L51" s="238"/>
      <c r="M51" s="238"/>
      <c r="N51" s="238" t="s">
        <v>6312</v>
      </c>
      <c r="O51" s="238"/>
      <c r="P51" s="238"/>
      <c r="Q51" s="238" t="s">
        <v>2950</v>
      </c>
      <c r="R51" s="238"/>
      <c r="S51" s="238"/>
      <c r="T51" s="238"/>
      <c r="U51" s="238"/>
      <c r="V51" s="238"/>
      <c r="W51" s="238" t="s">
        <v>2951</v>
      </c>
      <c r="X51" s="238"/>
      <c r="Y51" s="10" t="s">
        <v>2952</v>
      </c>
      <c r="Z51" s="10" t="s">
        <v>2953</v>
      </c>
      <c r="AA51" s="238" t="s">
        <v>280</v>
      </c>
      <c r="AB51" s="238"/>
      <c r="AC51" s="238"/>
      <c r="AD51" s="238"/>
      <c r="AE51" s="10" t="s">
        <v>2954</v>
      </c>
      <c r="AF51" s="237" t="s">
        <v>2955</v>
      </c>
      <c r="AG51" s="237"/>
      <c r="AH51" s="237"/>
      <c r="AI51" s="237"/>
      <c r="AJ51" s="2"/>
      <c r="AK51" s="2"/>
      <c r="AL51" s="2"/>
      <c r="AM51" s="2"/>
      <c r="AN51" s="7"/>
    </row>
    <row r="52" spans="1:40" ht="13.5" thickBot="1">
      <c r="A52" s="6"/>
      <c r="B52" s="2"/>
      <c r="C52" s="2"/>
      <c r="D52" s="244" t="s">
        <v>285</v>
      </c>
      <c r="E52" s="244"/>
      <c r="F52" s="238" t="s">
        <v>2942</v>
      </c>
      <c r="G52" s="238"/>
      <c r="H52" s="238"/>
      <c r="I52" s="238"/>
      <c r="J52" s="10" t="s">
        <v>2943</v>
      </c>
      <c r="K52" s="238" t="s">
        <v>6372</v>
      </c>
      <c r="L52" s="238"/>
      <c r="M52" s="238"/>
      <c r="N52" s="238" t="s">
        <v>2944</v>
      </c>
      <c r="O52" s="238"/>
      <c r="P52" s="238"/>
      <c r="Q52" s="238" t="s">
        <v>6547</v>
      </c>
      <c r="R52" s="238"/>
      <c r="S52" s="238"/>
      <c r="T52" s="238"/>
      <c r="U52" s="238"/>
      <c r="V52" s="238"/>
      <c r="W52" s="238" t="s">
        <v>1850</v>
      </c>
      <c r="X52" s="238"/>
      <c r="Y52" s="10" t="s">
        <v>2956</v>
      </c>
      <c r="Z52" s="10" t="s">
        <v>2872</v>
      </c>
      <c r="AA52" s="238" t="s">
        <v>2921</v>
      </c>
      <c r="AB52" s="238"/>
      <c r="AC52" s="238"/>
      <c r="AD52" s="238"/>
      <c r="AE52" s="10" t="s">
        <v>2948</v>
      </c>
      <c r="AF52" s="237" t="s">
        <v>2957</v>
      </c>
      <c r="AG52" s="237"/>
      <c r="AH52" s="237"/>
      <c r="AI52" s="237"/>
      <c r="AJ52" s="2"/>
      <c r="AK52" s="2"/>
      <c r="AL52" s="2"/>
      <c r="AM52" s="2"/>
      <c r="AN52" s="7"/>
    </row>
    <row r="53" spans="1:40" ht="13.5" thickBot="1">
      <c r="A53" s="6"/>
      <c r="B53" s="2"/>
      <c r="C53" s="2"/>
      <c r="D53" s="244" t="s">
        <v>295</v>
      </c>
      <c r="E53" s="244"/>
      <c r="F53" s="238" t="s">
        <v>380</v>
      </c>
      <c r="G53" s="238"/>
      <c r="H53" s="238"/>
      <c r="I53" s="238"/>
      <c r="J53" s="10" t="s">
        <v>6327</v>
      </c>
      <c r="K53" s="238" t="s">
        <v>6979</v>
      </c>
      <c r="L53" s="238"/>
      <c r="M53" s="238"/>
      <c r="N53" s="238" t="s">
        <v>6087</v>
      </c>
      <c r="O53" s="238"/>
      <c r="P53" s="238"/>
      <c r="Q53" s="238" t="s">
        <v>6245</v>
      </c>
      <c r="R53" s="238"/>
      <c r="S53" s="238"/>
      <c r="T53" s="238"/>
      <c r="U53" s="238"/>
      <c r="V53" s="238"/>
      <c r="W53" s="238" t="s">
        <v>2958</v>
      </c>
      <c r="X53" s="238"/>
      <c r="Y53" s="10" t="s">
        <v>2959</v>
      </c>
      <c r="Z53" s="10" t="s">
        <v>2960</v>
      </c>
      <c r="AA53" s="238" t="s">
        <v>6718</v>
      </c>
      <c r="AB53" s="238"/>
      <c r="AC53" s="238"/>
      <c r="AD53" s="238"/>
      <c r="AE53" s="10" t="s">
        <v>2961</v>
      </c>
      <c r="AF53" s="237" t="s">
        <v>2962</v>
      </c>
      <c r="AG53" s="237"/>
      <c r="AH53" s="237"/>
      <c r="AI53" s="237"/>
      <c r="AJ53" s="2"/>
      <c r="AK53" s="2"/>
      <c r="AL53" s="2"/>
      <c r="AM53" s="2"/>
      <c r="AN53" s="7"/>
    </row>
    <row r="54" spans="1:40" ht="13.5" thickBot="1">
      <c r="A54" s="6"/>
      <c r="B54" s="2"/>
      <c r="C54" s="2"/>
      <c r="D54" s="244" t="s">
        <v>307</v>
      </c>
      <c r="E54" s="244"/>
      <c r="F54" s="238" t="s">
        <v>2895</v>
      </c>
      <c r="G54" s="238"/>
      <c r="H54" s="238"/>
      <c r="I54" s="238"/>
      <c r="J54" s="10" t="s">
        <v>3512</v>
      </c>
      <c r="K54" s="238" t="s">
        <v>2915</v>
      </c>
      <c r="L54" s="238"/>
      <c r="M54" s="238"/>
      <c r="N54" s="238" t="s">
        <v>6547</v>
      </c>
      <c r="O54" s="238"/>
      <c r="P54" s="238"/>
      <c r="Q54" s="238" t="s">
        <v>6908</v>
      </c>
      <c r="R54" s="238"/>
      <c r="S54" s="238"/>
      <c r="T54" s="238"/>
      <c r="U54" s="238"/>
      <c r="V54" s="238"/>
      <c r="W54" s="238" t="s">
        <v>2963</v>
      </c>
      <c r="X54" s="238"/>
      <c r="Y54" s="10" t="s">
        <v>2964</v>
      </c>
      <c r="Z54" s="10" t="s">
        <v>2965</v>
      </c>
      <c r="AA54" s="238" t="s">
        <v>2966</v>
      </c>
      <c r="AB54" s="238"/>
      <c r="AC54" s="238"/>
      <c r="AD54" s="238"/>
      <c r="AE54" s="10" t="s">
        <v>2967</v>
      </c>
      <c r="AF54" s="237" t="s">
        <v>2968</v>
      </c>
      <c r="AG54" s="237"/>
      <c r="AH54" s="237"/>
      <c r="AI54" s="237"/>
      <c r="AJ54" s="2"/>
      <c r="AK54" s="2"/>
      <c r="AL54" s="2"/>
      <c r="AM54" s="2"/>
      <c r="AN54" s="7"/>
    </row>
    <row r="55" spans="1:40" ht="13.5" thickBot="1">
      <c r="A55" s="6"/>
      <c r="B55" s="2"/>
      <c r="C55" s="2"/>
      <c r="D55" s="244" t="s">
        <v>319</v>
      </c>
      <c r="E55" s="244"/>
      <c r="F55" s="237" t="s">
        <v>2857</v>
      </c>
      <c r="G55" s="237"/>
      <c r="H55" s="237"/>
      <c r="I55" s="237"/>
      <c r="J55" s="11" t="s">
        <v>2969</v>
      </c>
      <c r="K55" s="237" t="s">
        <v>444</v>
      </c>
      <c r="L55" s="237"/>
      <c r="M55" s="237"/>
      <c r="N55" s="237" t="s">
        <v>2970</v>
      </c>
      <c r="O55" s="237"/>
      <c r="P55" s="237"/>
      <c r="Q55" s="237" t="s">
        <v>6331</v>
      </c>
      <c r="R55" s="237"/>
      <c r="S55" s="237"/>
      <c r="T55" s="237"/>
      <c r="U55" s="237"/>
      <c r="V55" s="237"/>
      <c r="W55" s="237" t="s">
        <v>1878</v>
      </c>
      <c r="X55" s="237"/>
      <c r="Y55" s="11" t="s">
        <v>2971</v>
      </c>
      <c r="Z55" s="11" t="s">
        <v>2972</v>
      </c>
      <c r="AA55" s="237" t="s">
        <v>399</v>
      </c>
      <c r="AB55" s="237"/>
      <c r="AC55" s="237"/>
      <c r="AD55" s="237"/>
      <c r="AE55" s="11" t="s">
        <v>2973</v>
      </c>
      <c r="AF55" s="237" t="s">
        <v>2974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6.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2975</v>
      </c>
      <c r="E7" s="269"/>
      <c r="F7" s="269"/>
      <c r="G7" s="269"/>
      <c r="H7" s="269" t="s">
        <v>2976</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GROHNDE (KWG)</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2977</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2978</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PWR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3900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2820</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3900</v>
      </c>
      <c r="N16" s="264"/>
      <c r="O16" s="264"/>
      <c r="P16" s="248" t="s">
        <v>186</v>
      </c>
      <c r="Q16" s="248"/>
      <c r="R16" s="248"/>
      <c r="S16" s="2"/>
      <c r="T16" s="2"/>
      <c r="U16" s="252" t="s">
        <v>187</v>
      </c>
      <c r="V16" s="252"/>
      <c r="W16" s="252"/>
      <c r="X16" s="252"/>
      <c r="Y16" s="252"/>
      <c r="Z16" s="252"/>
      <c r="AA16" s="252"/>
      <c r="AB16" s="247" t="s">
        <v>5709</v>
      </c>
      <c r="AC16" s="247"/>
      <c r="AD16" s="248" t="s">
        <v>7065</v>
      </c>
      <c r="AE16" s="248"/>
      <c r="AF16" s="248"/>
      <c r="AG16" s="248"/>
      <c r="AH16" s="248"/>
      <c r="AI16" s="2"/>
      <c r="AJ16" s="1"/>
      <c r="AK16" s="2"/>
      <c r="AL16" s="1"/>
      <c r="AM16" s="2"/>
      <c r="AN16" s="7"/>
      <c r="AT16" s="24" t="str">
        <f>D17 &amp; " [MWe]"</f>
        <v>Latest gross electrical power [MWe]</v>
      </c>
      <c r="AU16" s="24">
        <f>M17</f>
        <v>1430</v>
      </c>
    </row>
    <row r="17" spans="1:47" ht="13.5" thickBot="1">
      <c r="A17" s="6"/>
      <c r="B17" s="1"/>
      <c r="C17" s="1"/>
      <c r="D17" s="248" t="s">
        <v>189</v>
      </c>
      <c r="E17" s="248"/>
      <c r="F17" s="248"/>
      <c r="G17" s="248"/>
      <c r="H17" s="248"/>
      <c r="I17" s="248"/>
      <c r="J17" s="248"/>
      <c r="K17" s="248"/>
      <c r="L17" s="8" t="s">
        <v>5709</v>
      </c>
      <c r="M17" s="264">
        <v>1430</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1360</v>
      </c>
    </row>
    <row r="18" spans="1:47" ht="13.5" thickBot="1">
      <c r="A18" s="6"/>
      <c r="B18" s="1"/>
      <c r="C18" s="1"/>
      <c r="D18" s="248" t="s">
        <v>193</v>
      </c>
      <c r="E18" s="248"/>
      <c r="F18" s="248"/>
      <c r="G18" s="248"/>
      <c r="H18" s="248"/>
      <c r="I18" s="248"/>
      <c r="J18" s="248"/>
      <c r="K18" s="248"/>
      <c r="L18" s="8" t="s">
        <v>5709</v>
      </c>
      <c r="M18" s="264">
        <v>1289</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30930</v>
      </c>
    </row>
    <row r="19" spans="1:47" ht="13.5" thickBot="1">
      <c r="A19" s="6"/>
      <c r="B19" s="1"/>
      <c r="C19" s="1"/>
      <c r="D19" s="248" t="s">
        <v>196</v>
      </c>
      <c r="E19" s="248"/>
      <c r="F19" s="248"/>
      <c r="G19" s="248"/>
      <c r="H19" s="248"/>
      <c r="I19" s="248"/>
      <c r="J19" s="248"/>
      <c r="K19" s="248"/>
      <c r="L19" s="8" t="s">
        <v>5709</v>
      </c>
      <c r="M19" s="264">
        <v>1360</v>
      </c>
      <c r="N19" s="264"/>
      <c r="O19" s="264"/>
      <c r="P19" s="248" t="s">
        <v>190</v>
      </c>
      <c r="Q19" s="248"/>
      <c r="R19" s="248"/>
      <c r="S19" s="2"/>
      <c r="T19" s="2"/>
      <c r="U19" s="252" t="s">
        <v>197</v>
      </c>
      <c r="V19" s="252"/>
      <c r="W19" s="252"/>
      <c r="X19" s="252"/>
      <c r="Y19" s="252"/>
      <c r="Z19" s="252"/>
      <c r="AA19" s="252"/>
      <c r="AB19" s="247" t="s">
        <v>5709</v>
      </c>
      <c r="AC19" s="247"/>
      <c r="AD19" s="248" t="s">
        <v>2822</v>
      </c>
      <c r="AE19" s="248"/>
      <c r="AF19" s="248"/>
      <c r="AG19" s="248"/>
      <c r="AH19" s="248"/>
      <c r="AI19" s="2"/>
      <c r="AJ19" s="1"/>
      <c r="AK19" s="2"/>
      <c r="AL19" s="1"/>
      <c r="AM19" s="2"/>
      <c r="AN19" s="7"/>
      <c r="AT19" s="23" t="str">
        <f>U19</f>
        <v>Average discharge burnup  [MWd/t]</v>
      </c>
      <c r="AU19" s="23" t="str">
        <f>AD19</f>
        <v>34000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2823</v>
      </c>
      <c r="AE20" s="248"/>
      <c r="AF20" s="248"/>
      <c r="AG20" s="248"/>
      <c r="AH20" s="248"/>
      <c r="AI20" s="2"/>
      <c r="AJ20" s="1"/>
      <c r="AK20" s="2"/>
      <c r="AL20" s="1"/>
      <c r="AM20" s="2"/>
      <c r="AN20" s="7"/>
      <c r="AT20" s="23" t="str">
        <f>D55 &amp; Q48</f>
        <v>LF [%]2005</v>
      </c>
      <c r="AU20" s="26" t="str">
        <f>Q55</f>
        <v>91.00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90.51</v>
      </c>
    </row>
    <row r="22" spans="1:47" ht="8.85" customHeight="1" thickBot="1">
      <c r="A22" s="6"/>
      <c r="B22" s="1"/>
      <c r="C22" s="1"/>
      <c r="D22" s="248" t="s">
        <v>205</v>
      </c>
      <c r="E22" s="248"/>
      <c r="F22" s="248"/>
      <c r="G22" s="248"/>
      <c r="H22" s="248"/>
      <c r="I22" s="248"/>
      <c r="J22" s="248"/>
      <c r="K22" s="248"/>
      <c r="L22" s="247" t="s">
        <v>5709</v>
      </c>
      <c r="M22" s="259">
        <v>27912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30930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2979</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31079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2980</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2981</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2982</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2983</v>
      </c>
      <c r="G49" s="238"/>
      <c r="H49" s="238"/>
      <c r="I49" s="238"/>
      <c r="J49" s="10" t="s">
        <v>2984</v>
      </c>
      <c r="K49" s="238" t="s">
        <v>2985</v>
      </c>
      <c r="L49" s="238"/>
      <c r="M49" s="238"/>
      <c r="N49" s="238" t="s">
        <v>2986</v>
      </c>
      <c r="O49" s="238"/>
      <c r="P49" s="238"/>
      <c r="Q49" s="238" t="s">
        <v>2987</v>
      </c>
      <c r="R49" s="238"/>
      <c r="S49" s="238"/>
      <c r="T49" s="238"/>
      <c r="U49" s="238"/>
      <c r="V49" s="238"/>
      <c r="W49" s="238" t="s">
        <v>2988</v>
      </c>
      <c r="X49" s="238"/>
      <c r="Y49" s="10" t="s">
        <v>2989</v>
      </c>
      <c r="Z49" s="10" t="s">
        <v>2990</v>
      </c>
      <c r="AA49" s="238" t="s">
        <v>2991</v>
      </c>
      <c r="AB49" s="238"/>
      <c r="AC49" s="238"/>
      <c r="AD49" s="238"/>
      <c r="AE49" s="10" t="s">
        <v>2992</v>
      </c>
      <c r="AF49" s="237" t="s">
        <v>2993</v>
      </c>
      <c r="AG49" s="237"/>
      <c r="AH49" s="237"/>
      <c r="AI49" s="237"/>
      <c r="AJ49" s="2"/>
      <c r="AK49" s="2"/>
      <c r="AL49" s="2"/>
      <c r="AM49" s="2"/>
      <c r="AN49" s="7"/>
    </row>
    <row r="50" spans="1:40" ht="13.5" thickBot="1">
      <c r="A50" s="6"/>
      <c r="B50" s="2"/>
      <c r="C50" s="2"/>
      <c r="D50" s="244" t="s">
        <v>261</v>
      </c>
      <c r="E50" s="244"/>
      <c r="F50" s="238" t="s">
        <v>6407</v>
      </c>
      <c r="G50" s="238"/>
      <c r="H50" s="238"/>
      <c r="I50" s="238"/>
      <c r="J50" s="10" t="s">
        <v>288</v>
      </c>
      <c r="K50" s="238" t="s">
        <v>2994</v>
      </c>
      <c r="L50" s="238"/>
      <c r="M50" s="238"/>
      <c r="N50" s="238" t="s">
        <v>371</v>
      </c>
      <c r="O50" s="238"/>
      <c r="P50" s="238"/>
      <c r="Q50" s="238" t="s">
        <v>2995</v>
      </c>
      <c r="R50" s="238"/>
      <c r="S50" s="238"/>
      <c r="T50" s="238"/>
      <c r="U50" s="238"/>
      <c r="V50" s="238"/>
      <c r="W50" s="238" t="s">
        <v>2996</v>
      </c>
      <c r="X50" s="238"/>
      <c r="Y50" s="10" t="s">
        <v>2997</v>
      </c>
      <c r="Z50" s="10" t="s">
        <v>6805</v>
      </c>
      <c r="AA50" s="238" t="s">
        <v>373</v>
      </c>
      <c r="AB50" s="238"/>
      <c r="AC50" s="238"/>
      <c r="AD50" s="238"/>
      <c r="AE50" s="10" t="s">
        <v>6882</v>
      </c>
      <c r="AF50" s="237" t="s">
        <v>2871</v>
      </c>
      <c r="AG50" s="237"/>
      <c r="AH50" s="237"/>
      <c r="AI50" s="237"/>
      <c r="AJ50" s="2"/>
      <c r="AK50" s="2"/>
      <c r="AL50" s="2"/>
      <c r="AM50" s="2"/>
      <c r="AN50" s="7"/>
    </row>
    <row r="51" spans="1:40" ht="13.5" thickBot="1">
      <c r="A51" s="6"/>
      <c r="B51" s="2"/>
      <c r="C51" s="2"/>
      <c r="D51" s="244" t="s">
        <v>273</v>
      </c>
      <c r="E51" s="244"/>
      <c r="F51" s="238" t="s">
        <v>2998</v>
      </c>
      <c r="G51" s="238"/>
      <c r="H51" s="238"/>
      <c r="I51" s="238"/>
      <c r="J51" s="10" t="s">
        <v>3404</v>
      </c>
      <c r="K51" s="238" t="s">
        <v>3468</v>
      </c>
      <c r="L51" s="238"/>
      <c r="M51" s="238"/>
      <c r="N51" s="238" t="s">
        <v>2999</v>
      </c>
      <c r="O51" s="238"/>
      <c r="P51" s="238"/>
      <c r="Q51" s="238" t="s">
        <v>2950</v>
      </c>
      <c r="R51" s="238"/>
      <c r="S51" s="238"/>
      <c r="T51" s="238"/>
      <c r="U51" s="238"/>
      <c r="V51" s="238"/>
      <c r="W51" s="238" t="s">
        <v>3000</v>
      </c>
      <c r="X51" s="238"/>
      <c r="Y51" s="10" t="s">
        <v>3001</v>
      </c>
      <c r="Z51" s="10" t="s">
        <v>3002</v>
      </c>
      <c r="AA51" s="238" t="s">
        <v>3003</v>
      </c>
      <c r="AB51" s="238"/>
      <c r="AC51" s="238"/>
      <c r="AD51" s="238"/>
      <c r="AE51" s="10" t="s">
        <v>2853</v>
      </c>
      <c r="AF51" s="237" t="s">
        <v>2982</v>
      </c>
      <c r="AG51" s="237"/>
      <c r="AH51" s="237"/>
      <c r="AI51" s="237"/>
      <c r="AJ51" s="2"/>
      <c r="AK51" s="2"/>
      <c r="AL51" s="2"/>
      <c r="AM51" s="2"/>
      <c r="AN51" s="7"/>
    </row>
    <row r="52" spans="1:40" ht="13.5" thickBot="1">
      <c r="A52" s="6"/>
      <c r="B52" s="2"/>
      <c r="C52" s="2"/>
      <c r="D52" s="244" t="s">
        <v>285</v>
      </c>
      <c r="E52" s="244"/>
      <c r="F52" s="238" t="s">
        <v>2865</v>
      </c>
      <c r="G52" s="238"/>
      <c r="H52" s="238"/>
      <c r="I52" s="238"/>
      <c r="J52" s="10" t="s">
        <v>288</v>
      </c>
      <c r="K52" s="238" t="s">
        <v>2994</v>
      </c>
      <c r="L52" s="238"/>
      <c r="M52" s="238"/>
      <c r="N52" s="238" t="s">
        <v>371</v>
      </c>
      <c r="O52" s="238"/>
      <c r="P52" s="238"/>
      <c r="Q52" s="238" t="s">
        <v>3004</v>
      </c>
      <c r="R52" s="238"/>
      <c r="S52" s="238"/>
      <c r="T52" s="238"/>
      <c r="U52" s="238"/>
      <c r="V52" s="238"/>
      <c r="W52" s="238" t="s">
        <v>6056</v>
      </c>
      <c r="X52" s="238"/>
      <c r="Y52" s="10" t="s">
        <v>6347</v>
      </c>
      <c r="Z52" s="10" t="s">
        <v>7014</v>
      </c>
      <c r="AA52" s="238" t="s">
        <v>3005</v>
      </c>
      <c r="AB52" s="238"/>
      <c r="AC52" s="238"/>
      <c r="AD52" s="238"/>
      <c r="AE52" s="10" t="s">
        <v>3006</v>
      </c>
      <c r="AF52" s="237" t="s">
        <v>402</v>
      </c>
      <c r="AG52" s="237"/>
      <c r="AH52" s="237"/>
      <c r="AI52" s="237"/>
      <c r="AJ52" s="2"/>
      <c r="AK52" s="2"/>
      <c r="AL52" s="2"/>
      <c r="AM52" s="2"/>
      <c r="AN52" s="7"/>
    </row>
    <row r="53" spans="1:40" ht="13.5" thickBot="1">
      <c r="A53" s="6"/>
      <c r="B53" s="2"/>
      <c r="C53" s="2"/>
      <c r="D53" s="244" t="s">
        <v>295</v>
      </c>
      <c r="E53" s="244"/>
      <c r="F53" s="238" t="s">
        <v>6245</v>
      </c>
      <c r="G53" s="238"/>
      <c r="H53" s="238"/>
      <c r="I53" s="238"/>
      <c r="J53" s="10" t="s">
        <v>2961</v>
      </c>
      <c r="K53" s="238" t="s">
        <v>6014</v>
      </c>
      <c r="L53" s="238"/>
      <c r="M53" s="238"/>
      <c r="N53" s="238" t="s">
        <v>3007</v>
      </c>
      <c r="O53" s="238"/>
      <c r="P53" s="238"/>
      <c r="Q53" s="238" t="s">
        <v>1901</v>
      </c>
      <c r="R53" s="238"/>
      <c r="S53" s="238"/>
      <c r="T53" s="238"/>
      <c r="U53" s="238"/>
      <c r="V53" s="238"/>
      <c r="W53" s="238" t="s">
        <v>375</v>
      </c>
      <c r="X53" s="238"/>
      <c r="Y53" s="10" t="s">
        <v>3008</v>
      </c>
      <c r="Z53" s="10" t="s">
        <v>6966</v>
      </c>
      <c r="AA53" s="238" t="s">
        <v>6245</v>
      </c>
      <c r="AB53" s="238"/>
      <c r="AC53" s="238"/>
      <c r="AD53" s="238"/>
      <c r="AE53" s="10" t="s">
        <v>6244</v>
      </c>
      <c r="AF53" s="237" t="s">
        <v>3009</v>
      </c>
      <c r="AG53" s="237"/>
      <c r="AH53" s="237"/>
      <c r="AI53" s="237"/>
      <c r="AJ53" s="2"/>
      <c r="AK53" s="2"/>
      <c r="AL53" s="2"/>
      <c r="AM53" s="2"/>
      <c r="AN53" s="7"/>
    </row>
    <row r="54" spans="1:40" ht="13.5" thickBot="1">
      <c r="A54" s="6"/>
      <c r="B54" s="2"/>
      <c r="C54" s="2"/>
      <c r="D54" s="244" t="s">
        <v>307</v>
      </c>
      <c r="E54" s="244"/>
      <c r="F54" s="238" t="s">
        <v>2914</v>
      </c>
      <c r="G54" s="238"/>
      <c r="H54" s="238"/>
      <c r="I54" s="238"/>
      <c r="J54" s="10" t="s">
        <v>6017</v>
      </c>
      <c r="K54" s="238" t="s">
        <v>3010</v>
      </c>
      <c r="L54" s="238"/>
      <c r="M54" s="238"/>
      <c r="N54" s="238" t="s">
        <v>3528</v>
      </c>
      <c r="O54" s="238"/>
      <c r="P54" s="238"/>
      <c r="Q54" s="238" t="s">
        <v>287</v>
      </c>
      <c r="R54" s="238"/>
      <c r="S54" s="238"/>
      <c r="T54" s="238"/>
      <c r="U54" s="238"/>
      <c r="V54" s="238"/>
      <c r="W54" s="238" t="s">
        <v>347</v>
      </c>
      <c r="X54" s="238"/>
      <c r="Y54" s="10" t="s">
        <v>3011</v>
      </c>
      <c r="Z54" s="10" t="s">
        <v>3012</v>
      </c>
      <c r="AA54" s="238" t="s">
        <v>439</v>
      </c>
      <c r="AB54" s="238"/>
      <c r="AC54" s="238"/>
      <c r="AD54" s="238"/>
      <c r="AE54" s="10" t="s">
        <v>3013</v>
      </c>
      <c r="AF54" s="237" t="s">
        <v>3014</v>
      </c>
      <c r="AG54" s="237"/>
      <c r="AH54" s="237"/>
      <c r="AI54" s="237"/>
      <c r="AJ54" s="2"/>
      <c r="AK54" s="2"/>
      <c r="AL54" s="2"/>
      <c r="AM54" s="2"/>
      <c r="AN54" s="7"/>
    </row>
    <row r="55" spans="1:40" ht="13.5" thickBot="1">
      <c r="A55" s="6"/>
      <c r="B55" s="2"/>
      <c r="C55" s="2"/>
      <c r="D55" s="244" t="s">
        <v>319</v>
      </c>
      <c r="E55" s="244"/>
      <c r="F55" s="237" t="s">
        <v>6027</v>
      </c>
      <c r="G55" s="237"/>
      <c r="H55" s="237"/>
      <c r="I55" s="237"/>
      <c r="J55" s="11" t="s">
        <v>3015</v>
      </c>
      <c r="K55" s="237" t="s">
        <v>6715</v>
      </c>
      <c r="L55" s="237"/>
      <c r="M55" s="237"/>
      <c r="N55" s="237" t="s">
        <v>3016</v>
      </c>
      <c r="O55" s="237"/>
      <c r="P55" s="237"/>
      <c r="Q55" s="237" t="s">
        <v>2943</v>
      </c>
      <c r="R55" s="237"/>
      <c r="S55" s="237"/>
      <c r="T55" s="237"/>
      <c r="U55" s="237"/>
      <c r="V55" s="237"/>
      <c r="W55" s="237" t="s">
        <v>6074</v>
      </c>
      <c r="X55" s="237"/>
      <c r="Y55" s="11" t="s">
        <v>1849</v>
      </c>
      <c r="Z55" s="11" t="s">
        <v>3017</v>
      </c>
      <c r="AA55" s="237" t="s">
        <v>3018</v>
      </c>
      <c r="AB55" s="237"/>
      <c r="AC55" s="237"/>
      <c r="AD55" s="237"/>
      <c r="AE55" s="11" t="s">
        <v>2745</v>
      </c>
      <c r="AF55" s="237" t="s">
        <v>3498</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27.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3019</v>
      </c>
      <c r="E7" s="269"/>
      <c r="F7" s="269"/>
      <c r="G7" s="269"/>
      <c r="H7" s="269" t="s">
        <v>3020</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GUNDREMMINGEN-B (GUN-B)</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3021</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3022</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BWR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BWR 72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3840</v>
      </c>
    </row>
    <row r="14" spans="1:47" ht="11.45" customHeight="1" thickBot="1">
      <c r="A14" s="6"/>
      <c r="B14" s="1"/>
      <c r="C14" s="1"/>
      <c r="D14" s="248" t="s">
        <v>5719</v>
      </c>
      <c r="E14" s="248"/>
      <c r="F14" s="248"/>
      <c r="G14" s="247" t="s">
        <v>5709</v>
      </c>
      <c r="H14" s="247"/>
      <c r="I14" s="248" t="s">
        <v>5720</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3023</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3840</v>
      </c>
      <c r="N16" s="264"/>
      <c r="O16" s="264"/>
      <c r="P16" s="248" t="s">
        <v>186</v>
      </c>
      <c r="Q16" s="248"/>
      <c r="R16" s="248"/>
      <c r="S16" s="2"/>
      <c r="T16" s="2"/>
      <c r="U16" s="252" t="s">
        <v>187</v>
      </c>
      <c r="V16" s="252"/>
      <c r="W16" s="252"/>
      <c r="X16" s="252"/>
      <c r="Y16" s="252"/>
      <c r="Z16" s="252"/>
      <c r="AA16" s="252"/>
      <c r="AB16" s="247" t="s">
        <v>5709</v>
      </c>
      <c r="AC16" s="247"/>
      <c r="AD16" s="248" t="s">
        <v>3024</v>
      </c>
      <c r="AE16" s="248"/>
      <c r="AF16" s="248"/>
      <c r="AG16" s="248"/>
      <c r="AH16" s="248"/>
      <c r="AI16" s="2"/>
      <c r="AJ16" s="1"/>
      <c r="AK16" s="2"/>
      <c r="AL16" s="1"/>
      <c r="AM16" s="2"/>
      <c r="AN16" s="7"/>
      <c r="AT16" s="24" t="str">
        <f>D17 &amp; " [MWe]"</f>
        <v>Latest gross electrical power [MWe]</v>
      </c>
      <c r="AU16" s="24">
        <f>M17</f>
        <v>1344</v>
      </c>
    </row>
    <row r="17" spans="1:47" ht="13.5" thickBot="1">
      <c r="A17" s="6"/>
      <c r="B17" s="1"/>
      <c r="C17" s="1"/>
      <c r="D17" s="248" t="s">
        <v>189</v>
      </c>
      <c r="E17" s="248"/>
      <c r="F17" s="248"/>
      <c r="G17" s="248"/>
      <c r="H17" s="248"/>
      <c r="I17" s="248"/>
      <c r="J17" s="248"/>
      <c r="K17" s="248"/>
      <c r="L17" s="8" t="s">
        <v>5709</v>
      </c>
      <c r="M17" s="264">
        <v>1344</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1284</v>
      </c>
    </row>
    <row r="18" spans="1:47" ht="13.5" thickBot="1">
      <c r="A18" s="6"/>
      <c r="B18" s="1"/>
      <c r="C18" s="1"/>
      <c r="D18" s="248" t="s">
        <v>193</v>
      </c>
      <c r="E18" s="248"/>
      <c r="F18" s="248"/>
      <c r="G18" s="248"/>
      <c r="H18" s="248"/>
      <c r="I18" s="248"/>
      <c r="J18" s="248"/>
      <c r="K18" s="248"/>
      <c r="L18" s="8" t="s">
        <v>5709</v>
      </c>
      <c r="M18" s="264">
        <v>1244</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30757</v>
      </c>
    </row>
    <row r="19" spans="1:47" ht="13.5" thickBot="1">
      <c r="A19" s="6"/>
      <c r="B19" s="1"/>
      <c r="C19" s="1"/>
      <c r="D19" s="248" t="s">
        <v>196</v>
      </c>
      <c r="E19" s="248"/>
      <c r="F19" s="248"/>
      <c r="G19" s="248"/>
      <c r="H19" s="248"/>
      <c r="I19" s="248"/>
      <c r="J19" s="248"/>
      <c r="K19" s="248"/>
      <c r="L19" s="8" t="s">
        <v>5709</v>
      </c>
      <c r="M19" s="264">
        <v>1284</v>
      </c>
      <c r="N19" s="264"/>
      <c r="O19" s="264"/>
      <c r="P19" s="248" t="s">
        <v>190</v>
      </c>
      <c r="Q19" s="248"/>
      <c r="R19" s="248"/>
      <c r="S19" s="2"/>
      <c r="T19" s="2"/>
      <c r="U19" s="252" t="s">
        <v>197</v>
      </c>
      <c r="V19" s="252"/>
      <c r="W19" s="252"/>
      <c r="X19" s="252"/>
      <c r="Y19" s="252"/>
      <c r="Z19" s="252"/>
      <c r="AA19" s="252"/>
      <c r="AB19" s="247" t="s">
        <v>5709</v>
      </c>
      <c r="AC19" s="247"/>
      <c r="AD19" s="248" t="s">
        <v>3025</v>
      </c>
      <c r="AE19" s="248"/>
      <c r="AF19" s="248"/>
      <c r="AG19" s="248"/>
      <c r="AH19" s="248"/>
      <c r="AI19" s="2"/>
      <c r="AJ19" s="1"/>
      <c r="AK19" s="2"/>
      <c r="AL19" s="1"/>
      <c r="AM19" s="2"/>
      <c r="AN19" s="7"/>
      <c r="AT19" s="23" t="str">
        <f>U19</f>
        <v>Average discharge burnup  [MWd/t]</v>
      </c>
      <c r="AU19" s="23" t="str">
        <f>AD19</f>
        <v>27500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3026</v>
      </c>
      <c r="AE20" s="248"/>
      <c r="AF20" s="248"/>
      <c r="AG20" s="248"/>
      <c r="AH20" s="248"/>
      <c r="AI20" s="2"/>
      <c r="AJ20" s="1"/>
      <c r="AK20" s="2"/>
      <c r="AL20" s="1"/>
      <c r="AM20" s="2"/>
      <c r="AN20" s="7"/>
      <c r="AT20" s="23" t="str">
        <f>D55 &amp; Q48</f>
        <v>LF [%]2005</v>
      </c>
      <c r="AU20" s="26" t="str">
        <f>Q55</f>
        <v>91.57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6769</v>
      </c>
      <c r="AE21" s="248"/>
      <c r="AF21" s="248"/>
      <c r="AG21" s="248"/>
      <c r="AH21" s="248"/>
      <c r="AI21" s="2"/>
      <c r="AJ21" s="1"/>
      <c r="AK21" s="2"/>
      <c r="AL21" s="1"/>
      <c r="AM21" s="2"/>
      <c r="AN21" s="7"/>
      <c r="AT21" s="23" t="str">
        <f>D55&amp;AE48</f>
        <v>LF [%]2010</v>
      </c>
      <c r="AU21" s="23" t="str">
        <f>AE55</f>
        <v>84.11</v>
      </c>
    </row>
    <row r="22" spans="1:47" ht="8.85" customHeight="1" thickBot="1">
      <c r="A22" s="6"/>
      <c r="B22" s="1"/>
      <c r="C22" s="1"/>
      <c r="D22" s="248" t="s">
        <v>205</v>
      </c>
      <c r="E22" s="248"/>
      <c r="F22" s="248"/>
      <c r="G22" s="248"/>
      <c r="H22" s="248"/>
      <c r="I22" s="248"/>
      <c r="J22" s="248"/>
      <c r="K22" s="248"/>
      <c r="L22" s="247" t="s">
        <v>5709</v>
      </c>
      <c r="M22" s="259">
        <v>27961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3027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30757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3028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30882</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2825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3029</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222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3030</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215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215</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6597</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3031</v>
      </c>
      <c r="G49" s="238"/>
      <c r="H49" s="238"/>
      <c r="I49" s="238"/>
      <c r="J49" s="10" t="s">
        <v>3032</v>
      </c>
      <c r="K49" s="238" t="s">
        <v>3033</v>
      </c>
      <c r="L49" s="238"/>
      <c r="M49" s="238"/>
      <c r="N49" s="238" t="s">
        <v>3034</v>
      </c>
      <c r="O49" s="238"/>
      <c r="P49" s="238"/>
      <c r="Q49" s="238" t="s">
        <v>3035</v>
      </c>
      <c r="R49" s="238"/>
      <c r="S49" s="238"/>
      <c r="T49" s="238"/>
      <c r="U49" s="238"/>
      <c r="V49" s="238"/>
      <c r="W49" s="238" t="s">
        <v>3036</v>
      </c>
      <c r="X49" s="238"/>
      <c r="Y49" s="10" t="s">
        <v>3037</v>
      </c>
      <c r="Z49" s="10" t="s">
        <v>3038</v>
      </c>
      <c r="AA49" s="238" t="s">
        <v>3039</v>
      </c>
      <c r="AB49" s="238"/>
      <c r="AC49" s="238"/>
      <c r="AD49" s="238"/>
      <c r="AE49" s="10" t="s">
        <v>3040</v>
      </c>
      <c r="AF49" s="237" t="s">
        <v>3041</v>
      </c>
      <c r="AG49" s="237"/>
      <c r="AH49" s="237"/>
      <c r="AI49" s="237"/>
      <c r="AJ49" s="2"/>
      <c r="AK49" s="2"/>
      <c r="AL49" s="2"/>
      <c r="AM49" s="2"/>
      <c r="AN49" s="7"/>
    </row>
    <row r="50" spans="1:40" ht="13.5" thickBot="1">
      <c r="A50" s="6"/>
      <c r="B50" s="2"/>
      <c r="C50" s="2"/>
      <c r="D50" s="244" t="s">
        <v>261</v>
      </c>
      <c r="E50" s="244"/>
      <c r="F50" s="238" t="s">
        <v>3042</v>
      </c>
      <c r="G50" s="238"/>
      <c r="H50" s="238"/>
      <c r="I50" s="238"/>
      <c r="J50" s="10" t="s">
        <v>6343</v>
      </c>
      <c r="K50" s="238" t="s">
        <v>2921</v>
      </c>
      <c r="L50" s="238"/>
      <c r="M50" s="238"/>
      <c r="N50" s="238" t="s">
        <v>3043</v>
      </c>
      <c r="O50" s="238"/>
      <c r="P50" s="238"/>
      <c r="Q50" s="238" t="s">
        <v>6334</v>
      </c>
      <c r="R50" s="238"/>
      <c r="S50" s="238"/>
      <c r="T50" s="238"/>
      <c r="U50" s="238"/>
      <c r="V50" s="238"/>
      <c r="W50" s="238" t="s">
        <v>6910</v>
      </c>
      <c r="X50" s="238"/>
      <c r="Y50" s="10" t="s">
        <v>3044</v>
      </c>
      <c r="Z50" s="10" t="s">
        <v>6542</v>
      </c>
      <c r="AA50" s="238" t="s">
        <v>3045</v>
      </c>
      <c r="AB50" s="238"/>
      <c r="AC50" s="238"/>
      <c r="AD50" s="238"/>
      <c r="AE50" s="10" t="s">
        <v>6648</v>
      </c>
      <c r="AF50" s="237" t="s">
        <v>3046</v>
      </c>
      <c r="AG50" s="237"/>
      <c r="AH50" s="237"/>
      <c r="AI50" s="237"/>
      <c r="AJ50" s="2"/>
      <c r="AK50" s="2"/>
      <c r="AL50" s="2"/>
      <c r="AM50" s="2"/>
      <c r="AN50" s="7"/>
    </row>
    <row r="51" spans="1:40" ht="13.5" thickBot="1">
      <c r="A51" s="6"/>
      <c r="B51" s="2"/>
      <c r="C51" s="2"/>
      <c r="D51" s="244" t="s">
        <v>273</v>
      </c>
      <c r="E51" s="244"/>
      <c r="F51" s="238" t="s">
        <v>3047</v>
      </c>
      <c r="G51" s="238"/>
      <c r="H51" s="238"/>
      <c r="I51" s="238"/>
      <c r="J51" s="10" t="s">
        <v>3048</v>
      </c>
      <c r="K51" s="238" t="s">
        <v>6789</v>
      </c>
      <c r="L51" s="238"/>
      <c r="M51" s="238"/>
      <c r="N51" s="238" t="s">
        <v>3049</v>
      </c>
      <c r="O51" s="238"/>
      <c r="P51" s="238"/>
      <c r="Q51" s="238" t="s">
        <v>3050</v>
      </c>
      <c r="R51" s="238"/>
      <c r="S51" s="238"/>
      <c r="T51" s="238"/>
      <c r="U51" s="238"/>
      <c r="V51" s="238"/>
      <c r="W51" s="238" t="s">
        <v>3051</v>
      </c>
      <c r="X51" s="238"/>
      <c r="Y51" s="10" t="s">
        <v>3052</v>
      </c>
      <c r="Z51" s="10" t="s">
        <v>3053</v>
      </c>
      <c r="AA51" s="238" t="s">
        <v>3054</v>
      </c>
      <c r="AB51" s="238"/>
      <c r="AC51" s="238"/>
      <c r="AD51" s="238"/>
      <c r="AE51" s="10" t="s">
        <v>3055</v>
      </c>
      <c r="AF51" s="237" t="s">
        <v>3056</v>
      </c>
      <c r="AG51" s="237"/>
      <c r="AH51" s="237"/>
      <c r="AI51" s="237"/>
      <c r="AJ51" s="2"/>
      <c r="AK51" s="2"/>
      <c r="AL51" s="2"/>
      <c r="AM51" s="2"/>
      <c r="AN51" s="7"/>
    </row>
    <row r="52" spans="1:40" ht="13.5" thickBot="1">
      <c r="A52" s="6"/>
      <c r="B52" s="2"/>
      <c r="C52" s="2"/>
      <c r="D52" s="244" t="s">
        <v>285</v>
      </c>
      <c r="E52" s="244"/>
      <c r="F52" s="238" t="s">
        <v>3042</v>
      </c>
      <c r="G52" s="238"/>
      <c r="H52" s="238"/>
      <c r="I52" s="238"/>
      <c r="J52" s="10" t="s">
        <v>6343</v>
      </c>
      <c r="K52" s="238" t="s">
        <v>2921</v>
      </c>
      <c r="L52" s="238"/>
      <c r="M52" s="238"/>
      <c r="N52" s="238" t="s">
        <v>3043</v>
      </c>
      <c r="O52" s="238"/>
      <c r="P52" s="238"/>
      <c r="Q52" s="238" t="s">
        <v>6006</v>
      </c>
      <c r="R52" s="238"/>
      <c r="S52" s="238"/>
      <c r="T52" s="238"/>
      <c r="U52" s="238"/>
      <c r="V52" s="238"/>
      <c r="W52" s="238" t="s">
        <v>6798</v>
      </c>
      <c r="X52" s="238"/>
      <c r="Y52" s="10" t="s">
        <v>3057</v>
      </c>
      <c r="Z52" s="10" t="s">
        <v>6542</v>
      </c>
      <c r="AA52" s="238" t="s">
        <v>3045</v>
      </c>
      <c r="AB52" s="238"/>
      <c r="AC52" s="238"/>
      <c r="AD52" s="238"/>
      <c r="AE52" s="10" t="s">
        <v>6648</v>
      </c>
      <c r="AF52" s="237" t="s">
        <v>6266</v>
      </c>
      <c r="AG52" s="237"/>
      <c r="AH52" s="237"/>
      <c r="AI52" s="237"/>
      <c r="AJ52" s="2"/>
      <c r="AK52" s="2"/>
      <c r="AL52" s="2"/>
      <c r="AM52" s="2"/>
      <c r="AN52" s="7"/>
    </row>
    <row r="53" spans="1:40" ht="13.5" thickBot="1">
      <c r="A53" s="6"/>
      <c r="B53" s="2"/>
      <c r="C53" s="2"/>
      <c r="D53" s="244" t="s">
        <v>295</v>
      </c>
      <c r="E53" s="244"/>
      <c r="F53" s="238" t="s">
        <v>6011</v>
      </c>
      <c r="G53" s="238"/>
      <c r="H53" s="238"/>
      <c r="I53" s="238"/>
      <c r="J53" s="10" t="s">
        <v>6244</v>
      </c>
      <c r="K53" s="238" t="s">
        <v>6244</v>
      </c>
      <c r="L53" s="238"/>
      <c r="M53" s="238"/>
      <c r="N53" s="238" t="s">
        <v>6397</v>
      </c>
      <c r="O53" s="238"/>
      <c r="P53" s="238"/>
      <c r="Q53" s="238" t="s">
        <v>2959</v>
      </c>
      <c r="R53" s="238"/>
      <c r="S53" s="238"/>
      <c r="T53" s="238"/>
      <c r="U53" s="238"/>
      <c r="V53" s="238"/>
      <c r="W53" s="238" t="s">
        <v>304</v>
      </c>
      <c r="X53" s="238"/>
      <c r="Y53" s="10" t="s">
        <v>6177</v>
      </c>
      <c r="Z53" s="10" t="s">
        <v>6843</v>
      </c>
      <c r="AA53" s="238" t="s">
        <v>6180</v>
      </c>
      <c r="AB53" s="238"/>
      <c r="AC53" s="238"/>
      <c r="AD53" s="238"/>
      <c r="AE53" s="10" t="s">
        <v>3058</v>
      </c>
      <c r="AF53" s="237" t="s">
        <v>3059</v>
      </c>
      <c r="AG53" s="237"/>
      <c r="AH53" s="237"/>
      <c r="AI53" s="237"/>
      <c r="AJ53" s="2"/>
      <c r="AK53" s="2"/>
      <c r="AL53" s="2"/>
      <c r="AM53" s="2"/>
      <c r="AN53" s="7"/>
    </row>
    <row r="54" spans="1:40" ht="13.5" thickBot="1">
      <c r="A54" s="6"/>
      <c r="B54" s="2"/>
      <c r="C54" s="2"/>
      <c r="D54" s="244" t="s">
        <v>307</v>
      </c>
      <c r="E54" s="244"/>
      <c r="F54" s="238" t="s">
        <v>7025</v>
      </c>
      <c r="G54" s="238"/>
      <c r="H54" s="238"/>
      <c r="I54" s="238"/>
      <c r="J54" s="10" t="s">
        <v>3044</v>
      </c>
      <c r="K54" s="238" t="s">
        <v>6031</v>
      </c>
      <c r="L54" s="238"/>
      <c r="M54" s="238"/>
      <c r="N54" s="238" t="s">
        <v>3342</v>
      </c>
      <c r="O54" s="238"/>
      <c r="P54" s="238"/>
      <c r="Q54" s="238" t="s">
        <v>3060</v>
      </c>
      <c r="R54" s="238"/>
      <c r="S54" s="238"/>
      <c r="T54" s="238"/>
      <c r="U54" s="238"/>
      <c r="V54" s="238"/>
      <c r="W54" s="238" t="s">
        <v>6435</v>
      </c>
      <c r="X54" s="238"/>
      <c r="Y54" s="10" t="s">
        <v>3061</v>
      </c>
      <c r="Z54" s="10" t="s">
        <v>2807</v>
      </c>
      <c r="AA54" s="238" t="s">
        <v>1970</v>
      </c>
      <c r="AB54" s="238"/>
      <c r="AC54" s="238"/>
      <c r="AD54" s="238"/>
      <c r="AE54" s="10" t="s">
        <v>3062</v>
      </c>
      <c r="AF54" s="237" t="s">
        <v>3063</v>
      </c>
      <c r="AG54" s="237"/>
      <c r="AH54" s="237"/>
      <c r="AI54" s="237"/>
      <c r="AJ54" s="2"/>
      <c r="AK54" s="2"/>
      <c r="AL54" s="2"/>
      <c r="AM54" s="2"/>
      <c r="AN54" s="7"/>
    </row>
    <row r="55" spans="1:40" ht="13.5" thickBot="1">
      <c r="A55" s="6"/>
      <c r="B55" s="2"/>
      <c r="C55" s="2"/>
      <c r="D55" s="244" t="s">
        <v>319</v>
      </c>
      <c r="E55" s="244"/>
      <c r="F55" s="237" t="s">
        <v>6453</v>
      </c>
      <c r="G55" s="237"/>
      <c r="H55" s="237"/>
      <c r="I55" s="237"/>
      <c r="J55" s="11" t="s">
        <v>6517</v>
      </c>
      <c r="K55" s="237" t="s">
        <v>3064</v>
      </c>
      <c r="L55" s="237"/>
      <c r="M55" s="237"/>
      <c r="N55" s="237" t="s">
        <v>3065</v>
      </c>
      <c r="O55" s="237"/>
      <c r="P55" s="237"/>
      <c r="Q55" s="237" t="s">
        <v>3066</v>
      </c>
      <c r="R55" s="237"/>
      <c r="S55" s="237"/>
      <c r="T55" s="237"/>
      <c r="U55" s="237"/>
      <c r="V55" s="237"/>
      <c r="W55" s="237" t="s">
        <v>3365</v>
      </c>
      <c r="X55" s="237"/>
      <c r="Y55" s="11" t="s">
        <v>327</v>
      </c>
      <c r="Z55" s="11" t="s">
        <v>3067</v>
      </c>
      <c r="AA55" s="237" t="s">
        <v>3068</v>
      </c>
      <c r="AB55" s="237"/>
      <c r="AC55" s="237"/>
      <c r="AD55" s="237"/>
      <c r="AE55" s="11" t="s">
        <v>3069</v>
      </c>
      <c r="AF55" s="237" t="s">
        <v>3070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27.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3071</v>
      </c>
      <c r="E7" s="269"/>
      <c r="F7" s="269"/>
      <c r="G7" s="269"/>
      <c r="H7" s="269" t="s">
        <v>3072</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GUNDREMMINGEN-C (GUN-C)</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3021</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3022</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BWR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BWR 72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3840</v>
      </c>
    </row>
    <row r="14" spans="1:47" ht="11.45" customHeight="1" thickBot="1">
      <c r="A14" s="6"/>
      <c r="B14" s="1"/>
      <c r="C14" s="1"/>
      <c r="D14" s="248" t="s">
        <v>5719</v>
      </c>
      <c r="E14" s="248"/>
      <c r="F14" s="248"/>
      <c r="G14" s="247" t="s">
        <v>5709</v>
      </c>
      <c r="H14" s="247"/>
      <c r="I14" s="248" t="s">
        <v>5720</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3023</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3840</v>
      </c>
      <c r="N16" s="264"/>
      <c r="O16" s="264"/>
      <c r="P16" s="248" t="s">
        <v>186</v>
      </c>
      <c r="Q16" s="248"/>
      <c r="R16" s="248"/>
      <c r="S16" s="2"/>
      <c r="T16" s="2"/>
      <c r="U16" s="252" t="s">
        <v>187</v>
      </c>
      <c r="V16" s="252"/>
      <c r="W16" s="252"/>
      <c r="X16" s="252"/>
      <c r="Y16" s="252"/>
      <c r="Z16" s="252"/>
      <c r="AA16" s="252"/>
      <c r="AB16" s="247" t="s">
        <v>5709</v>
      </c>
      <c r="AC16" s="247"/>
      <c r="AD16" s="248" t="s">
        <v>3024</v>
      </c>
      <c r="AE16" s="248"/>
      <c r="AF16" s="248"/>
      <c r="AG16" s="248"/>
      <c r="AH16" s="248"/>
      <c r="AI16" s="2"/>
      <c r="AJ16" s="1"/>
      <c r="AK16" s="2"/>
      <c r="AL16" s="1"/>
      <c r="AM16" s="2"/>
      <c r="AN16" s="7"/>
      <c r="AT16" s="24" t="str">
        <f>D17 &amp; " [MWe]"</f>
        <v>Latest gross electrical power [MWe]</v>
      </c>
      <c r="AU16" s="24">
        <f>M17</f>
        <v>1344</v>
      </c>
    </row>
    <row r="17" spans="1:47" ht="13.5" thickBot="1">
      <c r="A17" s="6"/>
      <c r="B17" s="1"/>
      <c r="C17" s="1"/>
      <c r="D17" s="248" t="s">
        <v>189</v>
      </c>
      <c r="E17" s="248"/>
      <c r="F17" s="248"/>
      <c r="G17" s="248"/>
      <c r="H17" s="248"/>
      <c r="I17" s="248"/>
      <c r="J17" s="248"/>
      <c r="K17" s="248"/>
      <c r="L17" s="8" t="s">
        <v>5709</v>
      </c>
      <c r="M17" s="264">
        <v>1344</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1288</v>
      </c>
    </row>
    <row r="18" spans="1:47" ht="13.5" thickBot="1">
      <c r="A18" s="6"/>
      <c r="B18" s="1"/>
      <c r="C18" s="1"/>
      <c r="D18" s="248" t="s">
        <v>193</v>
      </c>
      <c r="E18" s="248"/>
      <c r="F18" s="248"/>
      <c r="G18" s="248"/>
      <c r="H18" s="248"/>
      <c r="I18" s="248"/>
      <c r="J18" s="248"/>
      <c r="K18" s="248"/>
      <c r="L18" s="8" t="s">
        <v>5709</v>
      </c>
      <c r="M18" s="264">
        <v>1249</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30988</v>
      </c>
    </row>
    <row r="19" spans="1:47" ht="13.5" thickBot="1">
      <c r="A19" s="6"/>
      <c r="B19" s="1"/>
      <c r="C19" s="1"/>
      <c r="D19" s="248" t="s">
        <v>196</v>
      </c>
      <c r="E19" s="248"/>
      <c r="F19" s="248"/>
      <c r="G19" s="248"/>
      <c r="H19" s="248"/>
      <c r="I19" s="248"/>
      <c r="J19" s="248"/>
      <c r="K19" s="248"/>
      <c r="L19" s="8" t="s">
        <v>5709</v>
      </c>
      <c r="M19" s="264">
        <v>1288</v>
      </c>
      <c r="N19" s="264"/>
      <c r="O19" s="264"/>
      <c r="P19" s="248" t="s">
        <v>190</v>
      </c>
      <c r="Q19" s="248"/>
      <c r="R19" s="248"/>
      <c r="S19" s="2"/>
      <c r="T19" s="2"/>
      <c r="U19" s="252" t="s">
        <v>197</v>
      </c>
      <c r="V19" s="252"/>
      <c r="W19" s="252"/>
      <c r="X19" s="252"/>
      <c r="Y19" s="252"/>
      <c r="Z19" s="252"/>
      <c r="AA19" s="252"/>
      <c r="AB19" s="247" t="s">
        <v>5709</v>
      </c>
      <c r="AC19" s="247"/>
      <c r="AD19" s="248" t="s">
        <v>3025</v>
      </c>
      <c r="AE19" s="248"/>
      <c r="AF19" s="248"/>
      <c r="AG19" s="248"/>
      <c r="AH19" s="248"/>
      <c r="AI19" s="2"/>
      <c r="AJ19" s="1"/>
      <c r="AK19" s="2"/>
      <c r="AL19" s="1"/>
      <c r="AM19" s="2"/>
      <c r="AN19" s="7"/>
      <c r="AT19" s="23" t="str">
        <f>U19</f>
        <v>Average discharge burnup  [MWd/t]</v>
      </c>
      <c r="AU19" s="23" t="str">
        <f>AD19</f>
        <v>27500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3026</v>
      </c>
      <c r="AE20" s="248"/>
      <c r="AF20" s="248"/>
      <c r="AG20" s="248"/>
      <c r="AH20" s="248"/>
      <c r="AI20" s="2"/>
      <c r="AJ20" s="1"/>
      <c r="AK20" s="2"/>
      <c r="AL20" s="1"/>
      <c r="AM20" s="2"/>
      <c r="AN20" s="7"/>
      <c r="AT20" s="23" t="str">
        <f>D55 &amp; Q48</f>
        <v>LF [%]2005</v>
      </c>
      <c r="AU20" s="26" t="str">
        <f>Q55</f>
        <v>88.77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6769</v>
      </c>
      <c r="AE21" s="248"/>
      <c r="AF21" s="248"/>
      <c r="AG21" s="248"/>
      <c r="AH21" s="248"/>
      <c r="AI21" s="2"/>
      <c r="AJ21" s="1"/>
      <c r="AK21" s="2"/>
      <c r="AL21" s="1"/>
      <c r="AM21" s="2"/>
      <c r="AN21" s="7"/>
      <c r="AT21" s="23" t="str">
        <f>D55&amp;AE48</f>
        <v>LF [%]2010</v>
      </c>
      <c r="AU21" s="23" t="str">
        <f>AE55</f>
        <v>92.13</v>
      </c>
    </row>
    <row r="22" spans="1:47" ht="8.85" customHeight="1" thickBot="1">
      <c r="A22" s="6"/>
      <c r="B22" s="1"/>
      <c r="C22" s="1"/>
      <c r="D22" s="248" t="s">
        <v>205</v>
      </c>
      <c r="E22" s="248"/>
      <c r="F22" s="248"/>
      <c r="G22" s="248"/>
      <c r="H22" s="248"/>
      <c r="I22" s="248"/>
      <c r="J22" s="248"/>
      <c r="K22" s="248"/>
      <c r="L22" s="247" t="s">
        <v>5709</v>
      </c>
      <c r="M22" s="259">
        <v>27961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3027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30988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3073</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31065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2825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215</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3029</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222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3030</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215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215</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6597</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3074</v>
      </c>
      <c r="G49" s="238"/>
      <c r="H49" s="238"/>
      <c r="I49" s="238"/>
      <c r="J49" s="10" t="s">
        <v>3075</v>
      </c>
      <c r="K49" s="238" t="s">
        <v>3076</v>
      </c>
      <c r="L49" s="238"/>
      <c r="M49" s="238"/>
      <c r="N49" s="238" t="s">
        <v>3077</v>
      </c>
      <c r="O49" s="238"/>
      <c r="P49" s="238"/>
      <c r="Q49" s="238" t="s">
        <v>3078</v>
      </c>
      <c r="R49" s="238"/>
      <c r="S49" s="238"/>
      <c r="T49" s="238"/>
      <c r="U49" s="238"/>
      <c r="V49" s="238"/>
      <c r="W49" s="238" t="s">
        <v>3079</v>
      </c>
      <c r="X49" s="238"/>
      <c r="Y49" s="10" t="s">
        <v>3080</v>
      </c>
      <c r="Z49" s="10" t="s">
        <v>3081</v>
      </c>
      <c r="AA49" s="238" t="s">
        <v>3082</v>
      </c>
      <c r="AB49" s="238"/>
      <c r="AC49" s="238"/>
      <c r="AD49" s="238"/>
      <c r="AE49" s="10" t="s">
        <v>3083</v>
      </c>
      <c r="AF49" s="237" t="s">
        <v>3084</v>
      </c>
      <c r="AG49" s="237"/>
      <c r="AH49" s="237"/>
      <c r="AI49" s="237"/>
      <c r="AJ49" s="2"/>
      <c r="AK49" s="2"/>
      <c r="AL49" s="2"/>
      <c r="AM49" s="2"/>
      <c r="AN49" s="7"/>
    </row>
    <row r="50" spans="1:40" ht="13.5" thickBot="1">
      <c r="A50" s="6"/>
      <c r="B50" s="2"/>
      <c r="C50" s="2"/>
      <c r="D50" s="244" t="s">
        <v>261</v>
      </c>
      <c r="E50" s="244"/>
      <c r="F50" s="238" t="s">
        <v>3085</v>
      </c>
      <c r="G50" s="238"/>
      <c r="H50" s="238"/>
      <c r="I50" s="238"/>
      <c r="J50" s="10" t="s">
        <v>2946</v>
      </c>
      <c r="K50" s="238" t="s">
        <v>6761</v>
      </c>
      <c r="L50" s="238"/>
      <c r="M50" s="238"/>
      <c r="N50" s="238" t="s">
        <v>3086</v>
      </c>
      <c r="O50" s="238"/>
      <c r="P50" s="238"/>
      <c r="Q50" s="238" t="s">
        <v>3087</v>
      </c>
      <c r="R50" s="238"/>
      <c r="S50" s="238"/>
      <c r="T50" s="238"/>
      <c r="U50" s="238"/>
      <c r="V50" s="238"/>
      <c r="W50" s="238" t="s">
        <v>3088</v>
      </c>
      <c r="X50" s="238"/>
      <c r="Y50" s="10" t="s">
        <v>3089</v>
      </c>
      <c r="Z50" s="10" t="s">
        <v>3474</v>
      </c>
      <c r="AA50" s="238" t="s">
        <v>6389</v>
      </c>
      <c r="AB50" s="238"/>
      <c r="AC50" s="238"/>
      <c r="AD50" s="238"/>
      <c r="AE50" s="10" t="s">
        <v>3090</v>
      </c>
      <c r="AF50" s="237" t="s">
        <v>3091</v>
      </c>
      <c r="AG50" s="237"/>
      <c r="AH50" s="237"/>
      <c r="AI50" s="237"/>
      <c r="AJ50" s="2"/>
      <c r="AK50" s="2"/>
      <c r="AL50" s="2"/>
      <c r="AM50" s="2"/>
      <c r="AN50" s="7"/>
    </row>
    <row r="51" spans="1:40" ht="13.5" thickBot="1">
      <c r="A51" s="6"/>
      <c r="B51" s="2"/>
      <c r="C51" s="2"/>
      <c r="D51" s="244" t="s">
        <v>273</v>
      </c>
      <c r="E51" s="244"/>
      <c r="F51" s="238" t="s">
        <v>6831</v>
      </c>
      <c r="G51" s="238"/>
      <c r="H51" s="238"/>
      <c r="I51" s="238"/>
      <c r="J51" s="10" t="s">
        <v>5994</v>
      </c>
      <c r="K51" s="238" t="s">
        <v>3092</v>
      </c>
      <c r="L51" s="238"/>
      <c r="M51" s="238"/>
      <c r="N51" s="238" t="s">
        <v>3093</v>
      </c>
      <c r="O51" s="238"/>
      <c r="P51" s="238"/>
      <c r="Q51" s="238" t="s">
        <v>3094</v>
      </c>
      <c r="R51" s="238"/>
      <c r="S51" s="238"/>
      <c r="T51" s="238"/>
      <c r="U51" s="238"/>
      <c r="V51" s="238"/>
      <c r="W51" s="238" t="s">
        <v>3095</v>
      </c>
      <c r="X51" s="238"/>
      <c r="Y51" s="10" t="s">
        <v>3096</v>
      </c>
      <c r="Z51" s="10" t="s">
        <v>6958</v>
      </c>
      <c r="AA51" s="238" t="s">
        <v>3097</v>
      </c>
      <c r="AB51" s="238"/>
      <c r="AC51" s="238"/>
      <c r="AD51" s="238"/>
      <c r="AE51" s="10" t="s">
        <v>3098</v>
      </c>
      <c r="AF51" s="237" t="s">
        <v>3099</v>
      </c>
      <c r="AG51" s="237"/>
      <c r="AH51" s="237"/>
      <c r="AI51" s="237"/>
      <c r="AJ51" s="2"/>
      <c r="AK51" s="2"/>
      <c r="AL51" s="2"/>
      <c r="AM51" s="2"/>
      <c r="AN51" s="7"/>
    </row>
    <row r="52" spans="1:40" ht="13.5" thickBot="1">
      <c r="A52" s="6"/>
      <c r="B52" s="2"/>
      <c r="C52" s="2"/>
      <c r="D52" s="244" t="s">
        <v>285</v>
      </c>
      <c r="E52" s="244"/>
      <c r="F52" s="238" t="s">
        <v>6493</v>
      </c>
      <c r="G52" s="238"/>
      <c r="H52" s="238"/>
      <c r="I52" s="238"/>
      <c r="J52" s="10" t="s">
        <v>2946</v>
      </c>
      <c r="K52" s="238" t="s">
        <v>6761</v>
      </c>
      <c r="L52" s="238"/>
      <c r="M52" s="238"/>
      <c r="N52" s="238" t="s">
        <v>3086</v>
      </c>
      <c r="O52" s="238"/>
      <c r="P52" s="238"/>
      <c r="Q52" s="238" t="s">
        <v>3100</v>
      </c>
      <c r="R52" s="238"/>
      <c r="S52" s="238"/>
      <c r="T52" s="238"/>
      <c r="U52" s="238"/>
      <c r="V52" s="238"/>
      <c r="W52" s="238" t="s">
        <v>3101</v>
      </c>
      <c r="X52" s="238"/>
      <c r="Y52" s="10" t="s">
        <v>7094</v>
      </c>
      <c r="Z52" s="10" t="s">
        <v>2748</v>
      </c>
      <c r="AA52" s="238" t="s">
        <v>6404</v>
      </c>
      <c r="AB52" s="238"/>
      <c r="AC52" s="238"/>
      <c r="AD52" s="238"/>
      <c r="AE52" s="10" t="s">
        <v>6336</v>
      </c>
      <c r="AF52" s="237" t="s">
        <v>6153</v>
      </c>
      <c r="AG52" s="237"/>
      <c r="AH52" s="237"/>
      <c r="AI52" s="237"/>
      <c r="AJ52" s="2"/>
      <c r="AK52" s="2"/>
      <c r="AL52" s="2"/>
      <c r="AM52" s="2"/>
      <c r="AN52" s="7"/>
    </row>
    <row r="53" spans="1:40" ht="13.5" thickBot="1">
      <c r="A53" s="6"/>
      <c r="B53" s="2"/>
      <c r="C53" s="2"/>
      <c r="D53" s="244" t="s">
        <v>295</v>
      </c>
      <c r="E53" s="244"/>
      <c r="F53" s="238" t="s">
        <v>6395</v>
      </c>
      <c r="G53" s="238"/>
      <c r="H53" s="238"/>
      <c r="I53" s="238"/>
      <c r="J53" s="10" t="s">
        <v>3102</v>
      </c>
      <c r="K53" s="238" t="s">
        <v>1778</v>
      </c>
      <c r="L53" s="238"/>
      <c r="M53" s="238"/>
      <c r="N53" s="238" t="s">
        <v>3103</v>
      </c>
      <c r="O53" s="238"/>
      <c r="P53" s="238"/>
      <c r="Q53" s="238" t="s">
        <v>380</v>
      </c>
      <c r="R53" s="238"/>
      <c r="S53" s="238"/>
      <c r="T53" s="238"/>
      <c r="U53" s="238"/>
      <c r="V53" s="238"/>
      <c r="W53" s="238" t="s">
        <v>377</v>
      </c>
      <c r="X53" s="238"/>
      <c r="Y53" s="10" t="s">
        <v>3104</v>
      </c>
      <c r="Z53" s="10" t="s">
        <v>304</v>
      </c>
      <c r="AA53" s="238" t="s">
        <v>6721</v>
      </c>
      <c r="AB53" s="238"/>
      <c r="AC53" s="238"/>
      <c r="AD53" s="238"/>
      <c r="AE53" s="10" t="s">
        <v>1842</v>
      </c>
      <c r="AF53" s="237" t="s">
        <v>7019</v>
      </c>
      <c r="AG53" s="237"/>
      <c r="AH53" s="237"/>
      <c r="AI53" s="237"/>
      <c r="AJ53" s="2"/>
      <c r="AK53" s="2"/>
      <c r="AL53" s="2"/>
      <c r="AM53" s="2"/>
      <c r="AN53" s="7"/>
    </row>
    <row r="54" spans="1:40" ht="13.5" thickBot="1">
      <c r="A54" s="6"/>
      <c r="B54" s="2"/>
      <c r="C54" s="2"/>
      <c r="D54" s="244" t="s">
        <v>307</v>
      </c>
      <c r="E54" s="244"/>
      <c r="F54" s="238" t="s">
        <v>1838</v>
      </c>
      <c r="G54" s="238"/>
      <c r="H54" s="238"/>
      <c r="I54" s="238"/>
      <c r="J54" s="10" t="s">
        <v>3105</v>
      </c>
      <c r="K54" s="238" t="s">
        <v>3106</v>
      </c>
      <c r="L54" s="238"/>
      <c r="M54" s="238"/>
      <c r="N54" s="238" t="s">
        <v>3107</v>
      </c>
      <c r="O54" s="238"/>
      <c r="P54" s="238"/>
      <c r="Q54" s="238" t="s">
        <v>3108</v>
      </c>
      <c r="R54" s="238"/>
      <c r="S54" s="238"/>
      <c r="T54" s="238"/>
      <c r="U54" s="238"/>
      <c r="V54" s="238"/>
      <c r="W54" s="238" t="s">
        <v>6474</v>
      </c>
      <c r="X54" s="238"/>
      <c r="Y54" s="10" t="s">
        <v>1906</v>
      </c>
      <c r="Z54" s="10" t="s">
        <v>6399</v>
      </c>
      <c r="AA54" s="238" t="s">
        <v>3090</v>
      </c>
      <c r="AB54" s="238"/>
      <c r="AC54" s="238"/>
      <c r="AD54" s="238"/>
      <c r="AE54" s="10" t="s">
        <v>6880</v>
      </c>
      <c r="AF54" s="237" t="s">
        <v>6803</v>
      </c>
      <c r="AG54" s="237"/>
      <c r="AH54" s="237"/>
      <c r="AI54" s="237"/>
      <c r="AJ54" s="2"/>
      <c r="AK54" s="2"/>
      <c r="AL54" s="2"/>
      <c r="AM54" s="2"/>
      <c r="AN54" s="7"/>
    </row>
    <row r="55" spans="1:40" ht="13.5" thickBot="1">
      <c r="A55" s="6"/>
      <c r="B55" s="2"/>
      <c r="C55" s="2"/>
      <c r="D55" s="244" t="s">
        <v>319</v>
      </c>
      <c r="E55" s="244"/>
      <c r="F55" s="237" t="s">
        <v>3109</v>
      </c>
      <c r="G55" s="237"/>
      <c r="H55" s="237"/>
      <c r="I55" s="237"/>
      <c r="J55" s="11" t="s">
        <v>6697</v>
      </c>
      <c r="K55" s="237" t="s">
        <v>1785</v>
      </c>
      <c r="L55" s="237"/>
      <c r="M55" s="237"/>
      <c r="N55" s="237" t="s">
        <v>3086</v>
      </c>
      <c r="O55" s="237"/>
      <c r="P55" s="237"/>
      <c r="Q55" s="237" t="s">
        <v>6918</v>
      </c>
      <c r="R55" s="237"/>
      <c r="S55" s="237"/>
      <c r="T55" s="237"/>
      <c r="U55" s="237"/>
      <c r="V55" s="237"/>
      <c r="W55" s="237" t="s">
        <v>3342</v>
      </c>
      <c r="X55" s="237"/>
      <c r="Y55" s="11" t="s">
        <v>6825</v>
      </c>
      <c r="Z55" s="11" t="s">
        <v>1770</v>
      </c>
      <c r="AA55" s="237" t="s">
        <v>3409</v>
      </c>
      <c r="AB55" s="237"/>
      <c r="AC55" s="237"/>
      <c r="AD55" s="237"/>
      <c r="AE55" s="11" t="s">
        <v>3110</v>
      </c>
      <c r="AF55" s="237" t="s">
        <v>3111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3112</v>
      </c>
      <c r="E7" s="269"/>
      <c r="F7" s="269"/>
      <c r="G7" s="269"/>
      <c r="H7" s="269" t="s">
        <v>3113</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ISAR-2 (KKI 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2817</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3114</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Konvoi</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3950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2877</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3950</v>
      </c>
      <c r="N16" s="264"/>
      <c r="O16" s="264"/>
      <c r="P16" s="248" t="s">
        <v>186</v>
      </c>
      <c r="Q16" s="248"/>
      <c r="R16" s="248"/>
      <c r="S16" s="2"/>
      <c r="T16" s="2"/>
      <c r="U16" s="252" t="s">
        <v>187</v>
      </c>
      <c r="V16" s="252"/>
      <c r="W16" s="252"/>
      <c r="X16" s="252"/>
      <c r="Y16" s="252"/>
      <c r="Z16" s="252"/>
      <c r="AA16" s="252"/>
      <c r="AB16" s="247" t="s">
        <v>5709</v>
      </c>
      <c r="AC16" s="247"/>
      <c r="AD16" s="248" t="s">
        <v>3115</v>
      </c>
      <c r="AE16" s="248"/>
      <c r="AF16" s="248"/>
      <c r="AG16" s="248"/>
      <c r="AH16" s="248"/>
      <c r="AI16" s="2"/>
      <c r="AJ16" s="1"/>
      <c r="AK16" s="2"/>
      <c r="AL16" s="1"/>
      <c r="AM16" s="2"/>
      <c r="AN16" s="7"/>
      <c r="AT16" s="24" t="str">
        <f>D17 &amp; " [MWe]"</f>
        <v>Latest gross electrical power [MWe]</v>
      </c>
      <c r="AU16" s="24">
        <f>M17</f>
        <v>1485</v>
      </c>
    </row>
    <row r="17" spans="1:47" ht="13.5" thickBot="1">
      <c r="A17" s="6"/>
      <c r="B17" s="1"/>
      <c r="C17" s="1"/>
      <c r="D17" s="248" t="s">
        <v>189</v>
      </c>
      <c r="E17" s="248"/>
      <c r="F17" s="248"/>
      <c r="G17" s="248"/>
      <c r="H17" s="248"/>
      <c r="I17" s="248"/>
      <c r="J17" s="248"/>
      <c r="K17" s="248"/>
      <c r="L17" s="8" t="s">
        <v>5709</v>
      </c>
      <c r="M17" s="264">
        <v>1485</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1410</v>
      </c>
    </row>
    <row r="18" spans="1:47" ht="13.5" thickBot="1">
      <c r="A18" s="6"/>
      <c r="B18" s="1"/>
      <c r="C18" s="1"/>
      <c r="D18" s="248" t="s">
        <v>193</v>
      </c>
      <c r="E18" s="248"/>
      <c r="F18" s="248"/>
      <c r="G18" s="248"/>
      <c r="H18" s="248"/>
      <c r="I18" s="248"/>
      <c r="J18" s="248"/>
      <c r="K18" s="248"/>
      <c r="L18" s="8" t="s">
        <v>5709</v>
      </c>
      <c r="M18" s="264">
        <v>1285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32164</v>
      </c>
    </row>
    <row r="19" spans="1:47" ht="13.5" thickBot="1">
      <c r="A19" s="6"/>
      <c r="B19" s="1"/>
      <c r="C19" s="1"/>
      <c r="D19" s="248" t="s">
        <v>196</v>
      </c>
      <c r="E19" s="248"/>
      <c r="F19" s="248"/>
      <c r="G19" s="248"/>
      <c r="H19" s="248"/>
      <c r="I19" s="248"/>
      <c r="J19" s="248"/>
      <c r="K19" s="248"/>
      <c r="L19" s="8" t="s">
        <v>5709</v>
      </c>
      <c r="M19" s="264">
        <v>1410</v>
      </c>
      <c r="N19" s="264"/>
      <c r="O19" s="264"/>
      <c r="P19" s="248" t="s">
        <v>190</v>
      </c>
      <c r="Q19" s="248"/>
      <c r="R19" s="248"/>
      <c r="S19" s="2"/>
      <c r="T19" s="2"/>
      <c r="U19" s="252" t="s">
        <v>197</v>
      </c>
      <c r="V19" s="252"/>
      <c r="W19" s="252"/>
      <c r="X19" s="252"/>
      <c r="Y19" s="252"/>
      <c r="Z19" s="252"/>
      <c r="AA19" s="252"/>
      <c r="AB19" s="247" t="s">
        <v>5709</v>
      </c>
      <c r="AC19" s="247"/>
      <c r="AD19" s="248" t="s">
        <v>2879</v>
      </c>
      <c r="AE19" s="248"/>
      <c r="AF19" s="248"/>
      <c r="AG19" s="248"/>
      <c r="AH19" s="248"/>
      <c r="AI19" s="2"/>
      <c r="AJ19" s="1"/>
      <c r="AK19" s="2"/>
      <c r="AL19" s="1"/>
      <c r="AM19" s="2"/>
      <c r="AN19" s="7"/>
      <c r="AT19" s="23" t="str">
        <f>U19</f>
        <v>Average discharge burnup  [MWd/t]</v>
      </c>
      <c r="AU19" s="23" t="str">
        <f>AD19</f>
        <v>32000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2823</v>
      </c>
      <c r="AE20" s="248"/>
      <c r="AF20" s="248"/>
      <c r="AG20" s="248"/>
      <c r="AH20" s="248"/>
      <c r="AI20" s="2"/>
      <c r="AJ20" s="1"/>
      <c r="AK20" s="2"/>
      <c r="AL20" s="1"/>
      <c r="AM20" s="2"/>
      <c r="AN20" s="7"/>
      <c r="AT20" s="23" t="str">
        <f>D55 &amp; Q48</f>
        <v>LF [%]2005</v>
      </c>
      <c r="AU20" s="26" t="str">
        <f>Q55</f>
        <v>90.53</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92.10</v>
      </c>
    </row>
    <row r="22" spans="1:47" ht="8.85" customHeight="1" thickBot="1">
      <c r="A22" s="6"/>
      <c r="B22" s="1"/>
      <c r="C22" s="1"/>
      <c r="D22" s="248" t="s">
        <v>205</v>
      </c>
      <c r="E22" s="248"/>
      <c r="F22" s="248"/>
      <c r="G22" s="248"/>
      <c r="H22" s="248"/>
      <c r="I22" s="248"/>
      <c r="J22" s="248"/>
      <c r="K22" s="248"/>
      <c r="L22" s="247" t="s">
        <v>5709</v>
      </c>
      <c r="M22" s="259">
        <v>30209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32164</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2826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32242</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3116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2829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3117</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3118</v>
      </c>
      <c r="G49" s="238"/>
      <c r="H49" s="238"/>
      <c r="I49" s="238"/>
      <c r="J49" s="10" t="s">
        <v>3119</v>
      </c>
      <c r="K49" s="238" t="s">
        <v>3120</v>
      </c>
      <c r="L49" s="238"/>
      <c r="M49" s="238"/>
      <c r="N49" s="238" t="s">
        <v>3121</v>
      </c>
      <c r="O49" s="238"/>
      <c r="P49" s="238"/>
      <c r="Q49" s="238" t="s">
        <v>3122</v>
      </c>
      <c r="R49" s="238"/>
      <c r="S49" s="238"/>
      <c r="T49" s="238"/>
      <c r="U49" s="238"/>
      <c r="V49" s="238"/>
      <c r="W49" s="238" t="s">
        <v>3123</v>
      </c>
      <c r="X49" s="238"/>
      <c r="Y49" s="10" t="s">
        <v>3124</v>
      </c>
      <c r="Z49" s="10" t="s">
        <v>3125</v>
      </c>
      <c r="AA49" s="238" t="s">
        <v>3126</v>
      </c>
      <c r="AB49" s="238"/>
      <c r="AC49" s="238"/>
      <c r="AD49" s="238"/>
      <c r="AE49" s="10" t="s">
        <v>3127</v>
      </c>
      <c r="AF49" s="237" t="s">
        <v>3128</v>
      </c>
      <c r="AG49" s="237"/>
      <c r="AH49" s="237"/>
      <c r="AI49" s="237"/>
      <c r="AJ49" s="2"/>
      <c r="AK49" s="2"/>
      <c r="AL49" s="2"/>
      <c r="AM49" s="2"/>
      <c r="AN49" s="7"/>
    </row>
    <row r="50" spans="1:40" ht="13.5" thickBot="1">
      <c r="A50" s="6"/>
      <c r="B50" s="2"/>
      <c r="C50" s="2"/>
      <c r="D50" s="244" t="s">
        <v>261</v>
      </c>
      <c r="E50" s="244"/>
      <c r="F50" s="238" t="s">
        <v>3129</v>
      </c>
      <c r="G50" s="238"/>
      <c r="H50" s="238"/>
      <c r="I50" s="238"/>
      <c r="J50" s="10" t="s">
        <v>2862</v>
      </c>
      <c r="K50" s="238" t="s">
        <v>3130</v>
      </c>
      <c r="L50" s="238"/>
      <c r="M50" s="238"/>
      <c r="N50" s="238" t="s">
        <v>3131</v>
      </c>
      <c r="O50" s="238"/>
      <c r="P50" s="238"/>
      <c r="Q50" s="238" t="s">
        <v>6537</v>
      </c>
      <c r="R50" s="238"/>
      <c r="S50" s="238"/>
      <c r="T50" s="238"/>
      <c r="U50" s="238"/>
      <c r="V50" s="238"/>
      <c r="W50" s="238" t="s">
        <v>3132</v>
      </c>
      <c r="X50" s="238"/>
      <c r="Y50" s="10" t="s">
        <v>3133</v>
      </c>
      <c r="Z50" s="10" t="s">
        <v>6391</v>
      </c>
      <c r="AA50" s="238" t="s">
        <v>3134</v>
      </c>
      <c r="AB50" s="238"/>
      <c r="AC50" s="238"/>
      <c r="AD50" s="238"/>
      <c r="AE50" s="10" t="s">
        <v>6896</v>
      </c>
      <c r="AF50" s="237" t="s">
        <v>3110</v>
      </c>
      <c r="AG50" s="237"/>
      <c r="AH50" s="237"/>
      <c r="AI50" s="237"/>
      <c r="AJ50" s="2"/>
      <c r="AK50" s="2"/>
      <c r="AL50" s="2"/>
      <c r="AM50" s="2"/>
      <c r="AN50" s="7"/>
    </row>
    <row r="51" spans="1:40" ht="13.5" thickBot="1">
      <c r="A51" s="6"/>
      <c r="B51" s="2"/>
      <c r="C51" s="2"/>
      <c r="D51" s="244" t="s">
        <v>273</v>
      </c>
      <c r="E51" s="244"/>
      <c r="F51" s="238" t="s">
        <v>3135</v>
      </c>
      <c r="G51" s="238"/>
      <c r="H51" s="238"/>
      <c r="I51" s="238"/>
      <c r="J51" s="10" t="s">
        <v>3136</v>
      </c>
      <c r="K51" s="238" t="s">
        <v>6656</v>
      </c>
      <c r="L51" s="238"/>
      <c r="M51" s="238"/>
      <c r="N51" s="238" t="s">
        <v>6594</v>
      </c>
      <c r="O51" s="238"/>
      <c r="P51" s="238"/>
      <c r="Q51" s="238" t="s">
        <v>2902</v>
      </c>
      <c r="R51" s="238"/>
      <c r="S51" s="238"/>
      <c r="T51" s="238"/>
      <c r="U51" s="238"/>
      <c r="V51" s="238"/>
      <c r="W51" s="238" t="s">
        <v>3137</v>
      </c>
      <c r="X51" s="238"/>
      <c r="Y51" s="10" t="s">
        <v>6978</v>
      </c>
      <c r="Z51" s="10" t="s">
        <v>3138</v>
      </c>
      <c r="AA51" s="238" t="s">
        <v>3139</v>
      </c>
      <c r="AB51" s="238"/>
      <c r="AC51" s="238"/>
      <c r="AD51" s="238"/>
      <c r="AE51" s="10" t="s">
        <v>3140</v>
      </c>
      <c r="AF51" s="237" t="s">
        <v>3141</v>
      </c>
      <c r="AG51" s="237"/>
      <c r="AH51" s="237"/>
      <c r="AI51" s="237"/>
      <c r="AJ51" s="2"/>
      <c r="AK51" s="2"/>
      <c r="AL51" s="2"/>
      <c r="AM51" s="2"/>
      <c r="AN51" s="7"/>
    </row>
    <row r="52" spans="1:40" ht="13.5" thickBot="1">
      <c r="A52" s="6"/>
      <c r="B52" s="2"/>
      <c r="C52" s="2"/>
      <c r="D52" s="244" t="s">
        <v>285</v>
      </c>
      <c r="E52" s="244"/>
      <c r="F52" s="238" t="s">
        <v>3129</v>
      </c>
      <c r="G52" s="238"/>
      <c r="H52" s="238"/>
      <c r="I52" s="238"/>
      <c r="J52" s="10" t="s">
        <v>2862</v>
      </c>
      <c r="K52" s="238" t="s">
        <v>3142</v>
      </c>
      <c r="L52" s="238"/>
      <c r="M52" s="238"/>
      <c r="N52" s="238" t="s">
        <v>3131</v>
      </c>
      <c r="O52" s="238"/>
      <c r="P52" s="238"/>
      <c r="Q52" s="238" t="s">
        <v>6494</v>
      </c>
      <c r="R52" s="238"/>
      <c r="S52" s="238"/>
      <c r="T52" s="238"/>
      <c r="U52" s="238"/>
      <c r="V52" s="238"/>
      <c r="W52" s="238" t="s">
        <v>324</v>
      </c>
      <c r="X52" s="238"/>
      <c r="Y52" s="10" t="s">
        <v>2946</v>
      </c>
      <c r="Z52" s="10" t="s">
        <v>7087</v>
      </c>
      <c r="AA52" s="238" t="s">
        <v>3134</v>
      </c>
      <c r="AB52" s="238"/>
      <c r="AC52" s="238"/>
      <c r="AD52" s="238"/>
      <c r="AE52" s="10" t="s">
        <v>6896</v>
      </c>
      <c r="AF52" s="237" t="s">
        <v>3414</v>
      </c>
      <c r="AG52" s="237"/>
      <c r="AH52" s="237"/>
      <c r="AI52" s="237"/>
      <c r="AJ52" s="2"/>
      <c r="AK52" s="2"/>
      <c r="AL52" s="2"/>
      <c r="AM52" s="2"/>
      <c r="AN52" s="7"/>
    </row>
    <row r="53" spans="1:40" ht="13.5" thickBot="1">
      <c r="A53" s="6"/>
      <c r="B53" s="2"/>
      <c r="C53" s="2"/>
      <c r="D53" s="244" t="s">
        <v>295</v>
      </c>
      <c r="E53" s="244"/>
      <c r="F53" s="238" t="s">
        <v>375</v>
      </c>
      <c r="G53" s="238"/>
      <c r="H53" s="238"/>
      <c r="I53" s="238"/>
      <c r="J53" s="10" t="s">
        <v>6718</v>
      </c>
      <c r="K53" s="238" t="s">
        <v>6396</v>
      </c>
      <c r="L53" s="238"/>
      <c r="M53" s="238"/>
      <c r="N53" s="238" t="s">
        <v>300</v>
      </c>
      <c r="O53" s="238"/>
      <c r="P53" s="238"/>
      <c r="Q53" s="238" t="s">
        <v>6086</v>
      </c>
      <c r="R53" s="238"/>
      <c r="S53" s="238"/>
      <c r="T53" s="238"/>
      <c r="U53" s="238"/>
      <c r="V53" s="238"/>
      <c r="W53" s="238" t="s">
        <v>375</v>
      </c>
      <c r="X53" s="238"/>
      <c r="Y53" s="10" t="s">
        <v>6087</v>
      </c>
      <c r="Z53" s="10" t="s">
        <v>6900</v>
      </c>
      <c r="AA53" s="238" t="s">
        <v>6087</v>
      </c>
      <c r="AB53" s="238"/>
      <c r="AC53" s="238"/>
      <c r="AD53" s="238"/>
      <c r="AE53" s="10" t="s">
        <v>6087</v>
      </c>
      <c r="AF53" s="237" t="s">
        <v>6899</v>
      </c>
      <c r="AG53" s="237"/>
      <c r="AH53" s="237"/>
      <c r="AI53" s="237"/>
      <c r="AJ53" s="2"/>
      <c r="AK53" s="2"/>
      <c r="AL53" s="2"/>
      <c r="AM53" s="2"/>
      <c r="AN53" s="7"/>
    </row>
    <row r="54" spans="1:40" ht="13.5" thickBot="1">
      <c r="A54" s="6"/>
      <c r="B54" s="2"/>
      <c r="C54" s="2"/>
      <c r="D54" s="244" t="s">
        <v>307</v>
      </c>
      <c r="E54" s="244"/>
      <c r="F54" s="238" t="s">
        <v>3143</v>
      </c>
      <c r="G54" s="238"/>
      <c r="H54" s="238"/>
      <c r="I54" s="238"/>
      <c r="J54" s="10" t="s">
        <v>2918</v>
      </c>
      <c r="K54" s="238" t="s">
        <v>3144</v>
      </c>
      <c r="L54" s="238"/>
      <c r="M54" s="238"/>
      <c r="N54" s="238" t="s">
        <v>3145</v>
      </c>
      <c r="O54" s="238"/>
      <c r="P54" s="238"/>
      <c r="Q54" s="238" t="s">
        <v>6805</v>
      </c>
      <c r="R54" s="238"/>
      <c r="S54" s="238"/>
      <c r="T54" s="238"/>
      <c r="U54" s="238"/>
      <c r="V54" s="238"/>
      <c r="W54" s="238" t="s">
        <v>286</v>
      </c>
      <c r="X54" s="238"/>
      <c r="Y54" s="10" t="s">
        <v>325</v>
      </c>
      <c r="Z54" s="10" t="s">
        <v>3146</v>
      </c>
      <c r="AA54" s="238" t="s">
        <v>2995</v>
      </c>
      <c r="AB54" s="238"/>
      <c r="AC54" s="238"/>
      <c r="AD54" s="238"/>
      <c r="AE54" s="10" t="s">
        <v>3147</v>
      </c>
      <c r="AF54" s="237" t="s">
        <v>3148</v>
      </c>
      <c r="AG54" s="237"/>
      <c r="AH54" s="237"/>
      <c r="AI54" s="237"/>
      <c r="AJ54" s="2"/>
      <c r="AK54" s="2"/>
      <c r="AL54" s="2"/>
      <c r="AM54" s="2"/>
      <c r="AN54" s="7"/>
    </row>
    <row r="55" spans="1:40" ht="13.5" thickBot="1">
      <c r="A55" s="6"/>
      <c r="B55" s="2"/>
      <c r="C55" s="2"/>
      <c r="D55" s="244" t="s">
        <v>319</v>
      </c>
      <c r="E55" s="244"/>
      <c r="F55" s="237" t="s">
        <v>2942</v>
      </c>
      <c r="G55" s="237"/>
      <c r="H55" s="237"/>
      <c r="I55" s="237"/>
      <c r="J55" s="11" t="s">
        <v>3149</v>
      </c>
      <c r="K55" s="237" t="s">
        <v>3150</v>
      </c>
      <c r="L55" s="237"/>
      <c r="M55" s="237"/>
      <c r="N55" s="237" t="s">
        <v>2866</v>
      </c>
      <c r="O55" s="237"/>
      <c r="P55" s="237"/>
      <c r="Q55" s="237" t="s">
        <v>6340</v>
      </c>
      <c r="R55" s="237"/>
      <c r="S55" s="237"/>
      <c r="T55" s="237"/>
      <c r="U55" s="237"/>
      <c r="V55" s="237"/>
      <c r="W55" s="237" t="s">
        <v>3151</v>
      </c>
      <c r="X55" s="237"/>
      <c r="Y55" s="11" t="s">
        <v>3152</v>
      </c>
      <c r="Z55" s="11" t="s">
        <v>3153</v>
      </c>
      <c r="AA55" s="237" t="s">
        <v>2897</v>
      </c>
      <c r="AB55" s="237"/>
      <c r="AC55" s="237"/>
      <c r="AD55" s="237"/>
      <c r="AE55" s="11" t="s">
        <v>6336</v>
      </c>
      <c r="AF55" s="237" t="s">
        <v>3154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28.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3155</v>
      </c>
      <c r="E7" s="269"/>
      <c r="F7" s="269"/>
      <c r="G7" s="269"/>
      <c r="H7" s="269" t="s">
        <v>3156</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NECKARWESTHEIM-2 (GKN 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3157</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3158</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Konvoi</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3850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2877</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3850</v>
      </c>
      <c r="N16" s="264"/>
      <c r="O16" s="264"/>
      <c r="P16" s="248" t="s">
        <v>186</v>
      </c>
      <c r="Q16" s="248"/>
      <c r="R16" s="248"/>
      <c r="S16" s="2"/>
      <c r="T16" s="2"/>
      <c r="U16" s="252" t="s">
        <v>187</v>
      </c>
      <c r="V16" s="252"/>
      <c r="W16" s="252"/>
      <c r="X16" s="252"/>
      <c r="Y16" s="252"/>
      <c r="Z16" s="252"/>
      <c r="AA16" s="252"/>
      <c r="AB16" s="247" t="s">
        <v>5709</v>
      </c>
      <c r="AC16" s="247"/>
      <c r="AD16" s="248" t="s">
        <v>3159</v>
      </c>
      <c r="AE16" s="248"/>
      <c r="AF16" s="248"/>
      <c r="AG16" s="248"/>
      <c r="AH16" s="248"/>
      <c r="AI16" s="2"/>
      <c r="AJ16" s="1"/>
      <c r="AK16" s="2"/>
      <c r="AL16" s="1"/>
      <c r="AM16" s="2"/>
      <c r="AN16" s="7"/>
      <c r="AT16" s="24" t="str">
        <f>D17 &amp; " [MWe]"</f>
        <v>Latest gross electrical power [MWe]</v>
      </c>
      <c r="AU16" s="24">
        <f>M17</f>
        <v>1400</v>
      </c>
    </row>
    <row r="17" spans="1:47" ht="13.5" thickBot="1">
      <c r="A17" s="6"/>
      <c r="B17" s="1"/>
      <c r="C17" s="1"/>
      <c r="D17" s="248" t="s">
        <v>189</v>
      </c>
      <c r="E17" s="248"/>
      <c r="F17" s="248"/>
      <c r="G17" s="248"/>
      <c r="H17" s="248"/>
      <c r="I17" s="248"/>
      <c r="J17" s="248"/>
      <c r="K17" s="248"/>
      <c r="L17" s="8" t="s">
        <v>5709</v>
      </c>
      <c r="M17" s="264">
        <v>1400</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1310</v>
      </c>
    </row>
    <row r="18" spans="1:47" ht="13.5" thickBot="1">
      <c r="A18" s="6"/>
      <c r="B18" s="1"/>
      <c r="C18" s="1"/>
      <c r="D18" s="248" t="s">
        <v>193</v>
      </c>
      <c r="E18" s="248"/>
      <c r="F18" s="248"/>
      <c r="G18" s="248"/>
      <c r="H18" s="248"/>
      <c r="I18" s="248"/>
      <c r="J18" s="248"/>
      <c r="K18" s="248"/>
      <c r="L18" s="8" t="s">
        <v>5709</v>
      </c>
      <c r="M18" s="264">
        <v>1225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32511</v>
      </c>
    </row>
    <row r="19" spans="1:47" ht="13.5" thickBot="1">
      <c r="A19" s="6"/>
      <c r="B19" s="1"/>
      <c r="C19" s="1"/>
      <c r="D19" s="248" t="s">
        <v>196</v>
      </c>
      <c r="E19" s="248"/>
      <c r="F19" s="248"/>
      <c r="G19" s="248"/>
      <c r="H19" s="248"/>
      <c r="I19" s="248"/>
      <c r="J19" s="248"/>
      <c r="K19" s="248"/>
      <c r="L19" s="8" t="s">
        <v>5709</v>
      </c>
      <c r="M19" s="264">
        <v>1310</v>
      </c>
      <c r="N19" s="264"/>
      <c r="O19" s="264"/>
      <c r="P19" s="248" t="s">
        <v>190</v>
      </c>
      <c r="Q19" s="248"/>
      <c r="R19" s="248"/>
      <c r="S19" s="2"/>
      <c r="T19" s="2"/>
      <c r="U19" s="252" t="s">
        <v>197</v>
      </c>
      <c r="V19" s="252"/>
      <c r="W19" s="252"/>
      <c r="X19" s="252"/>
      <c r="Y19" s="252"/>
      <c r="Z19" s="252"/>
      <c r="AA19" s="252"/>
      <c r="AB19" s="247" t="s">
        <v>5709</v>
      </c>
      <c r="AC19" s="247"/>
      <c r="AD19" s="248" t="s">
        <v>7031</v>
      </c>
      <c r="AE19" s="248"/>
      <c r="AF19" s="248"/>
      <c r="AG19" s="248"/>
      <c r="AH19" s="248"/>
      <c r="AI19" s="2"/>
      <c r="AJ19" s="1"/>
      <c r="AK19" s="2"/>
      <c r="AL19" s="1"/>
      <c r="AM19" s="2"/>
      <c r="AN19" s="7"/>
      <c r="AT19" s="23" t="str">
        <f>U19</f>
        <v>Average discharge burnup  [MWd/t]</v>
      </c>
      <c r="AU19" s="23" t="str">
        <f>AD19</f>
        <v>46000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2823</v>
      </c>
      <c r="AE20" s="248"/>
      <c r="AF20" s="248"/>
      <c r="AG20" s="248"/>
      <c r="AH20" s="248"/>
      <c r="AI20" s="2"/>
      <c r="AJ20" s="1"/>
      <c r="AK20" s="2"/>
      <c r="AL20" s="1"/>
      <c r="AM20" s="2"/>
      <c r="AN20" s="7"/>
      <c r="AT20" s="23" t="str">
        <f>D55 &amp; Q48</f>
        <v>LF [%]2005</v>
      </c>
      <c r="AU20" s="26" t="str">
        <f>Q55</f>
        <v>94.79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88.71</v>
      </c>
    </row>
    <row r="22" spans="1:47" ht="8.85" customHeight="1" thickBot="1">
      <c r="A22" s="6"/>
      <c r="B22" s="1"/>
      <c r="C22" s="1"/>
      <c r="D22" s="248" t="s">
        <v>205</v>
      </c>
      <c r="E22" s="248"/>
      <c r="F22" s="248"/>
      <c r="G22" s="248"/>
      <c r="H22" s="248"/>
      <c r="I22" s="248"/>
      <c r="J22" s="248"/>
      <c r="K22" s="248"/>
      <c r="L22" s="247" t="s">
        <v>5709</v>
      </c>
      <c r="M22" s="259">
        <v>30264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32511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2826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32613</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3160</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2829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3161</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3162</v>
      </c>
      <c r="G49" s="238"/>
      <c r="H49" s="238"/>
      <c r="I49" s="238"/>
      <c r="J49" s="10" t="s">
        <v>3163</v>
      </c>
      <c r="K49" s="238" t="s">
        <v>3164</v>
      </c>
      <c r="L49" s="238"/>
      <c r="M49" s="238"/>
      <c r="N49" s="238" t="s">
        <v>3165</v>
      </c>
      <c r="O49" s="238"/>
      <c r="P49" s="238"/>
      <c r="Q49" s="238" t="s">
        <v>3166</v>
      </c>
      <c r="R49" s="238"/>
      <c r="S49" s="238"/>
      <c r="T49" s="238"/>
      <c r="U49" s="238"/>
      <c r="V49" s="238"/>
      <c r="W49" s="238" t="s">
        <v>3167</v>
      </c>
      <c r="X49" s="238"/>
      <c r="Y49" s="10" t="s">
        <v>3168</v>
      </c>
      <c r="Z49" s="10" t="s">
        <v>3169</v>
      </c>
      <c r="AA49" s="238" t="s">
        <v>3170</v>
      </c>
      <c r="AB49" s="238"/>
      <c r="AC49" s="238"/>
      <c r="AD49" s="238"/>
      <c r="AE49" s="10" t="s">
        <v>3171</v>
      </c>
      <c r="AF49" s="237" t="s">
        <v>3172</v>
      </c>
      <c r="AG49" s="237"/>
      <c r="AH49" s="237"/>
      <c r="AI49" s="237"/>
      <c r="AJ49" s="2"/>
      <c r="AK49" s="2"/>
      <c r="AL49" s="2"/>
      <c r="AM49" s="2"/>
      <c r="AN49" s="7"/>
    </row>
    <row r="50" spans="1:40" ht="13.5" thickBot="1">
      <c r="A50" s="6"/>
      <c r="B50" s="2"/>
      <c r="C50" s="2"/>
      <c r="D50" s="244" t="s">
        <v>261</v>
      </c>
      <c r="E50" s="244"/>
      <c r="F50" s="238" t="s">
        <v>6407</v>
      </c>
      <c r="G50" s="238"/>
      <c r="H50" s="238"/>
      <c r="I50" s="238"/>
      <c r="J50" s="10" t="s">
        <v>7000</v>
      </c>
      <c r="K50" s="238" t="s">
        <v>2895</v>
      </c>
      <c r="L50" s="238"/>
      <c r="M50" s="238"/>
      <c r="N50" s="238" t="s">
        <v>3173</v>
      </c>
      <c r="O50" s="238"/>
      <c r="P50" s="238"/>
      <c r="Q50" s="238" t="s">
        <v>2691</v>
      </c>
      <c r="R50" s="238"/>
      <c r="S50" s="238"/>
      <c r="T50" s="238"/>
      <c r="U50" s="238"/>
      <c r="V50" s="238"/>
      <c r="W50" s="238" t="s">
        <v>6091</v>
      </c>
      <c r="X50" s="238"/>
      <c r="Y50" s="10" t="s">
        <v>3409</v>
      </c>
      <c r="Z50" s="10" t="s">
        <v>3174</v>
      </c>
      <c r="AA50" s="238" t="s">
        <v>271</v>
      </c>
      <c r="AB50" s="238"/>
      <c r="AC50" s="238"/>
      <c r="AD50" s="238"/>
      <c r="AE50" s="10" t="s">
        <v>6109</v>
      </c>
      <c r="AF50" s="237" t="s">
        <v>3407</v>
      </c>
      <c r="AG50" s="237"/>
      <c r="AH50" s="237"/>
      <c r="AI50" s="237"/>
      <c r="AJ50" s="2"/>
      <c r="AK50" s="2"/>
      <c r="AL50" s="2"/>
      <c r="AM50" s="2"/>
      <c r="AN50" s="7"/>
    </row>
    <row r="51" spans="1:40" ht="13.5" thickBot="1">
      <c r="A51" s="6"/>
      <c r="B51" s="2"/>
      <c r="C51" s="2"/>
      <c r="D51" s="244" t="s">
        <v>273</v>
      </c>
      <c r="E51" s="244"/>
      <c r="F51" s="238" t="s">
        <v>3175</v>
      </c>
      <c r="G51" s="238"/>
      <c r="H51" s="238"/>
      <c r="I51" s="238"/>
      <c r="J51" s="10" t="s">
        <v>2786</v>
      </c>
      <c r="K51" s="238" t="s">
        <v>3176</v>
      </c>
      <c r="L51" s="238"/>
      <c r="M51" s="238"/>
      <c r="N51" s="238" t="s">
        <v>3177</v>
      </c>
      <c r="O51" s="238"/>
      <c r="P51" s="238"/>
      <c r="Q51" s="238" t="s">
        <v>3178</v>
      </c>
      <c r="R51" s="238"/>
      <c r="S51" s="238"/>
      <c r="T51" s="238"/>
      <c r="U51" s="238"/>
      <c r="V51" s="238"/>
      <c r="W51" s="238" t="s">
        <v>3179</v>
      </c>
      <c r="X51" s="238"/>
      <c r="Y51" s="10" t="s">
        <v>3098</v>
      </c>
      <c r="Z51" s="10" t="s">
        <v>3180</v>
      </c>
      <c r="AA51" s="238" t="s">
        <v>3181</v>
      </c>
      <c r="AB51" s="238"/>
      <c r="AC51" s="238"/>
      <c r="AD51" s="238"/>
      <c r="AE51" s="10" t="s">
        <v>3485</v>
      </c>
      <c r="AF51" s="237" t="s">
        <v>3182</v>
      </c>
      <c r="AG51" s="237"/>
      <c r="AH51" s="237"/>
      <c r="AI51" s="237"/>
      <c r="AJ51" s="2"/>
      <c r="AK51" s="2"/>
      <c r="AL51" s="2"/>
      <c r="AM51" s="2"/>
      <c r="AN51" s="7"/>
    </row>
    <row r="52" spans="1:40" ht="13.5" thickBot="1">
      <c r="A52" s="6"/>
      <c r="B52" s="2"/>
      <c r="C52" s="2"/>
      <c r="D52" s="244" t="s">
        <v>285</v>
      </c>
      <c r="E52" s="244"/>
      <c r="F52" s="238" t="s">
        <v>3183</v>
      </c>
      <c r="G52" s="238"/>
      <c r="H52" s="238"/>
      <c r="I52" s="238"/>
      <c r="J52" s="10" t="s">
        <v>7000</v>
      </c>
      <c r="K52" s="238" t="s">
        <v>2895</v>
      </c>
      <c r="L52" s="238"/>
      <c r="M52" s="238"/>
      <c r="N52" s="238" t="s">
        <v>3173</v>
      </c>
      <c r="O52" s="238"/>
      <c r="P52" s="238"/>
      <c r="Q52" s="238" t="s">
        <v>3184</v>
      </c>
      <c r="R52" s="238"/>
      <c r="S52" s="238"/>
      <c r="T52" s="238"/>
      <c r="U52" s="238"/>
      <c r="V52" s="238"/>
      <c r="W52" s="238" t="s">
        <v>2911</v>
      </c>
      <c r="X52" s="238"/>
      <c r="Y52" s="10" t="s">
        <v>6404</v>
      </c>
      <c r="Z52" s="10" t="s">
        <v>6079</v>
      </c>
      <c r="AA52" s="238" t="s">
        <v>3185</v>
      </c>
      <c r="AB52" s="238"/>
      <c r="AC52" s="238"/>
      <c r="AD52" s="238"/>
      <c r="AE52" s="10" t="s">
        <v>6080</v>
      </c>
      <c r="AF52" s="237" t="s">
        <v>371</v>
      </c>
      <c r="AG52" s="237"/>
      <c r="AH52" s="237"/>
      <c r="AI52" s="237"/>
      <c r="AJ52" s="2"/>
      <c r="AK52" s="2"/>
      <c r="AL52" s="2"/>
      <c r="AM52" s="2"/>
      <c r="AN52" s="7"/>
    </row>
    <row r="53" spans="1:40" ht="13.5" thickBot="1">
      <c r="A53" s="6"/>
      <c r="B53" s="2"/>
      <c r="C53" s="2"/>
      <c r="D53" s="244" t="s">
        <v>295</v>
      </c>
      <c r="E53" s="244"/>
      <c r="F53" s="238" t="s">
        <v>6087</v>
      </c>
      <c r="G53" s="238"/>
      <c r="H53" s="238"/>
      <c r="I53" s="238"/>
      <c r="J53" s="10" t="s">
        <v>2930</v>
      </c>
      <c r="K53" s="238" t="s">
        <v>3186</v>
      </c>
      <c r="L53" s="238"/>
      <c r="M53" s="238"/>
      <c r="N53" s="238" t="s">
        <v>6087</v>
      </c>
      <c r="O53" s="238"/>
      <c r="P53" s="238"/>
      <c r="Q53" s="238" t="s">
        <v>6244</v>
      </c>
      <c r="R53" s="238"/>
      <c r="S53" s="238"/>
      <c r="T53" s="238"/>
      <c r="U53" s="238"/>
      <c r="V53" s="238"/>
      <c r="W53" s="238" t="s">
        <v>6087</v>
      </c>
      <c r="X53" s="238"/>
      <c r="Y53" s="10" t="s">
        <v>3187</v>
      </c>
      <c r="Z53" s="10" t="s">
        <v>6087</v>
      </c>
      <c r="AA53" s="238" t="s">
        <v>6087</v>
      </c>
      <c r="AB53" s="238"/>
      <c r="AC53" s="238"/>
      <c r="AD53" s="238"/>
      <c r="AE53" s="10" t="s">
        <v>7010</v>
      </c>
      <c r="AF53" s="237" t="s">
        <v>6328</v>
      </c>
      <c r="AG53" s="237"/>
      <c r="AH53" s="237"/>
      <c r="AI53" s="237"/>
      <c r="AJ53" s="2"/>
      <c r="AK53" s="2"/>
      <c r="AL53" s="2"/>
      <c r="AM53" s="2"/>
      <c r="AN53" s="7"/>
    </row>
    <row r="54" spans="1:40" ht="13.5" thickBot="1">
      <c r="A54" s="6"/>
      <c r="B54" s="2"/>
      <c r="C54" s="2"/>
      <c r="D54" s="244" t="s">
        <v>307</v>
      </c>
      <c r="E54" s="244"/>
      <c r="F54" s="238" t="s">
        <v>6078</v>
      </c>
      <c r="G54" s="238"/>
      <c r="H54" s="238"/>
      <c r="I54" s="238"/>
      <c r="J54" s="10" t="s">
        <v>3188</v>
      </c>
      <c r="K54" s="238" t="s">
        <v>3189</v>
      </c>
      <c r="L54" s="238"/>
      <c r="M54" s="238"/>
      <c r="N54" s="238" t="s">
        <v>3190</v>
      </c>
      <c r="O54" s="238"/>
      <c r="P54" s="238"/>
      <c r="Q54" s="238" t="s">
        <v>6035</v>
      </c>
      <c r="R54" s="238"/>
      <c r="S54" s="238"/>
      <c r="T54" s="238"/>
      <c r="U54" s="238"/>
      <c r="V54" s="238"/>
      <c r="W54" s="238" t="s">
        <v>7025</v>
      </c>
      <c r="X54" s="238"/>
      <c r="Y54" s="10" t="s">
        <v>6514</v>
      </c>
      <c r="Z54" s="10" t="s">
        <v>3528</v>
      </c>
      <c r="AA54" s="238" t="s">
        <v>6005</v>
      </c>
      <c r="AB54" s="238"/>
      <c r="AC54" s="238"/>
      <c r="AD54" s="238"/>
      <c r="AE54" s="10" t="s">
        <v>3191</v>
      </c>
      <c r="AF54" s="237" t="s">
        <v>6095</v>
      </c>
      <c r="AG54" s="237"/>
      <c r="AH54" s="237"/>
      <c r="AI54" s="237"/>
      <c r="AJ54" s="2"/>
      <c r="AK54" s="2"/>
      <c r="AL54" s="2"/>
      <c r="AM54" s="2"/>
      <c r="AN54" s="7"/>
    </row>
    <row r="55" spans="1:40" ht="13.5" thickBot="1">
      <c r="A55" s="6"/>
      <c r="B55" s="2"/>
      <c r="C55" s="2"/>
      <c r="D55" s="244" t="s">
        <v>319</v>
      </c>
      <c r="E55" s="244"/>
      <c r="F55" s="237" t="s">
        <v>1790</v>
      </c>
      <c r="G55" s="237"/>
      <c r="H55" s="237"/>
      <c r="I55" s="237"/>
      <c r="J55" s="11" t="s">
        <v>6496</v>
      </c>
      <c r="K55" s="237" t="s">
        <v>2914</v>
      </c>
      <c r="L55" s="237"/>
      <c r="M55" s="237"/>
      <c r="N55" s="237" t="s">
        <v>3192</v>
      </c>
      <c r="O55" s="237"/>
      <c r="P55" s="237"/>
      <c r="Q55" s="237" t="s">
        <v>3042</v>
      </c>
      <c r="R55" s="237"/>
      <c r="S55" s="237"/>
      <c r="T55" s="237"/>
      <c r="U55" s="237"/>
      <c r="V55" s="237"/>
      <c r="W55" s="237" t="s">
        <v>3004</v>
      </c>
      <c r="X55" s="237"/>
      <c r="Y55" s="11" t="s">
        <v>1836</v>
      </c>
      <c r="Z55" s="11" t="s">
        <v>3469</v>
      </c>
      <c r="AA55" s="237" t="s">
        <v>3101</v>
      </c>
      <c r="AB55" s="237"/>
      <c r="AC55" s="237"/>
      <c r="AD55" s="237"/>
      <c r="AE55" s="11" t="s">
        <v>3476</v>
      </c>
      <c r="AF55" s="237" t="s">
        <v>3351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23.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3193</v>
      </c>
      <c r="E7" s="269"/>
      <c r="F7" s="269"/>
      <c r="G7" s="269"/>
      <c r="H7" s="269" t="s">
        <v>3194</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PHILIPPSBURG-2 (KKP 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3157</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3195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PWR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3950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2820</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3950</v>
      </c>
      <c r="N16" s="264"/>
      <c r="O16" s="264"/>
      <c r="P16" s="248" t="s">
        <v>186</v>
      </c>
      <c r="Q16" s="248"/>
      <c r="R16" s="248"/>
      <c r="S16" s="2"/>
      <c r="T16" s="2"/>
      <c r="U16" s="252" t="s">
        <v>187</v>
      </c>
      <c r="V16" s="252"/>
      <c r="W16" s="252"/>
      <c r="X16" s="252"/>
      <c r="Y16" s="252"/>
      <c r="Z16" s="252"/>
      <c r="AA16" s="252"/>
      <c r="AB16" s="247" t="s">
        <v>5709</v>
      </c>
      <c r="AC16" s="247"/>
      <c r="AD16" s="248" t="s">
        <v>3196</v>
      </c>
      <c r="AE16" s="248"/>
      <c r="AF16" s="248"/>
      <c r="AG16" s="248"/>
      <c r="AH16" s="248"/>
      <c r="AI16" s="2"/>
      <c r="AJ16" s="1"/>
      <c r="AK16" s="2"/>
      <c r="AL16" s="1"/>
      <c r="AM16" s="2"/>
      <c r="AN16" s="7"/>
      <c r="AT16" s="24" t="str">
        <f>D17 &amp; " [MWe]"</f>
        <v>Latest gross electrical power [MWe]</v>
      </c>
      <c r="AU16" s="24">
        <f>M17</f>
        <v>1468</v>
      </c>
    </row>
    <row r="17" spans="1:47" ht="13.5" thickBot="1">
      <c r="A17" s="6"/>
      <c r="B17" s="1"/>
      <c r="C17" s="1"/>
      <c r="D17" s="248" t="s">
        <v>189</v>
      </c>
      <c r="E17" s="248"/>
      <c r="F17" s="248"/>
      <c r="G17" s="248"/>
      <c r="H17" s="248"/>
      <c r="I17" s="248"/>
      <c r="J17" s="248"/>
      <c r="K17" s="248"/>
      <c r="L17" s="8" t="s">
        <v>5709</v>
      </c>
      <c r="M17" s="264">
        <v>1468</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1402</v>
      </c>
    </row>
    <row r="18" spans="1:47" ht="13.5" thickBot="1">
      <c r="A18" s="6"/>
      <c r="B18" s="1"/>
      <c r="C18" s="1"/>
      <c r="D18" s="248" t="s">
        <v>193</v>
      </c>
      <c r="E18" s="248"/>
      <c r="F18" s="248"/>
      <c r="G18" s="248"/>
      <c r="H18" s="248"/>
      <c r="I18" s="248"/>
      <c r="J18" s="248"/>
      <c r="K18" s="248"/>
      <c r="L18" s="8" t="s">
        <v>5709</v>
      </c>
      <c r="M18" s="264">
        <v>1268</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31033</v>
      </c>
    </row>
    <row r="19" spans="1:47" ht="13.5" thickBot="1">
      <c r="A19" s="6"/>
      <c r="B19" s="1"/>
      <c r="C19" s="1"/>
      <c r="D19" s="248" t="s">
        <v>196</v>
      </c>
      <c r="E19" s="248"/>
      <c r="F19" s="248"/>
      <c r="G19" s="248"/>
      <c r="H19" s="248"/>
      <c r="I19" s="248"/>
      <c r="J19" s="248"/>
      <c r="K19" s="248"/>
      <c r="L19" s="8" t="s">
        <v>5709</v>
      </c>
      <c r="M19" s="264">
        <v>1402</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3198</v>
      </c>
      <c r="AE20" s="248"/>
      <c r="AF20" s="248"/>
      <c r="AG20" s="248"/>
      <c r="AH20" s="248"/>
      <c r="AI20" s="2"/>
      <c r="AJ20" s="1"/>
      <c r="AK20" s="2"/>
      <c r="AL20" s="1"/>
      <c r="AM20" s="2"/>
      <c r="AN20" s="7"/>
      <c r="AT20" s="23" t="str">
        <f>D55 &amp; Q48</f>
        <v>LF [%]2005</v>
      </c>
      <c r="AU20" s="26" t="str">
        <f>Q55</f>
        <v>88.76</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91.13</v>
      </c>
    </row>
    <row r="22" spans="1:47" ht="8.85" customHeight="1" thickBot="1">
      <c r="A22" s="6"/>
      <c r="B22" s="1"/>
      <c r="C22" s="1"/>
      <c r="D22" s="248" t="s">
        <v>205</v>
      </c>
      <c r="E22" s="248"/>
      <c r="F22" s="248"/>
      <c r="G22" s="248"/>
      <c r="H22" s="248"/>
      <c r="I22" s="248"/>
      <c r="J22" s="248"/>
      <c r="K22" s="248"/>
      <c r="L22" s="247" t="s">
        <v>5709</v>
      </c>
      <c r="M22" s="259">
        <v>28313</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31033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2826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31155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2828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2829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1938</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3199</v>
      </c>
      <c r="G49" s="238"/>
      <c r="H49" s="238"/>
      <c r="I49" s="238"/>
      <c r="J49" s="10" t="s">
        <v>3200</v>
      </c>
      <c r="K49" s="238" t="s">
        <v>3201</v>
      </c>
      <c r="L49" s="238"/>
      <c r="M49" s="238"/>
      <c r="N49" s="238" t="s">
        <v>3202</v>
      </c>
      <c r="O49" s="238"/>
      <c r="P49" s="238"/>
      <c r="Q49" s="238" t="s">
        <v>3203</v>
      </c>
      <c r="R49" s="238"/>
      <c r="S49" s="238"/>
      <c r="T49" s="238"/>
      <c r="U49" s="238"/>
      <c r="V49" s="238"/>
      <c r="W49" s="238" t="s">
        <v>3204</v>
      </c>
      <c r="X49" s="238"/>
      <c r="Y49" s="10" t="s">
        <v>3205</v>
      </c>
      <c r="Z49" s="10" t="s">
        <v>3206</v>
      </c>
      <c r="AA49" s="238" t="s">
        <v>3207</v>
      </c>
      <c r="AB49" s="238"/>
      <c r="AC49" s="238"/>
      <c r="AD49" s="238"/>
      <c r="AE49" s="10" t="s">
        <v>3208</v>
      </c>
      <c r="AF49" s="237" t="s">
        <v>3209</v>
      </c>
      <c r="AG49" s="237"/>
      <c r="AH49" s="237"/>
      <c r="AI49" s="237"/>
      <c r="AJ49" s="2"/>
      <c r="AK49" s="2"/>
      <c r="AL49" s="2"/>
      <c r="AM49" s="2"/>
      <c r="AN49" s="7"/>
    </row>
    <row r="50" spans="1:40" ht="13.5" thickBot="1">
      <c r="A50" s="6"/>
      <c r="B50" s="2"/>
      <c r="C50" s="2"/>
      <c r="D50" s="244" t="s">
        <v>261</v>
      </c>
      <c r="E50" s="244"/>
      <c r="F50" s="238" t="s">
        <v>3210</v>
      </c>
      <c r="G50" s="238"/>
      <c r="H50" s="238"/>
      <c r="I50" s="238"/>
      <c r="J50" s="10" t="s">
        <v>3414</v>
      </c>
      <c r="K50" s="238" t="s">
        <v>393</v>
      </c>
      <c r="L50" s="238"/>
      <c r="M50" s="238"/>
      <c r="N50" s="238" t="s">
        <v>7118</v>
      </c>
      <c r="O50" s="238"/>
      <c r="P50" s="238"/>
      <c r="Q50" s="238" t="s">
        <v>7075</v>
      </c>
      <c r="R50" s="238"/>
      <c r="S50" s="238"/>
      <c r="T50" s="238"/>
      <c r="U50" s="238"/>
      <c r="V50" s="238"/>
      <c r="W50" s="238" t="s">
        <v>6530</v>
      </c>
      <c r="X50" s="238"/>
      <c r="Y50" s="10" t="s">
        <v>6343</v>
      </c>
      <c r="Z50" s="10" t="s">
        <v>3211</v>
      </c>
      <c r="AA50" s="238" t="s">
        <v>1908</v>
      </c>
      <c r="AB50" s="238"/>
      <c r="AC50" s="238"/>
      <c r="AD50" s="238"/>
      <c r="AE50" s="10" t="s">
        <v>6301</v>
      </c>
      <c r="AF50" s="237" t="s">
        <v>6912</v>
      </c>
      <c r="AG50" s="237"/>
      <c r="AH50" s="237"/>
      <c r="AI50" s="237"/>
      <c r="AJ50" s="2"/>
      <c r="AK50" s="2"/>
      <c r="AL50" s="2"/>
      <c r="AM50" s="2"/>
      <c r="AN50" s="7"/>
    </row>
    <row r="51" spans="1:40" ht="13.5" thickBot="1">
      <c r="A51" s="6"/>
      <c r="B51" s="2"/>
      <c r="C51" s="2"/>
      <c r="D51" s="244" t="s">
        <v>273</v>
      </c>
      <c r="E51" s="244"/>
      <c r="F51" s="238" t="s">
        <v>3212</v>
      </c>
      <c r="G51" s="238"/>
      <c r="H51" s="238"/>
      <c r="I51" s="238"/>
      <c r="J51" s="10" t="s">
        <v>220</v>
      </c>
      <c r="K51" s="238" t="s">
        <v>3213</v>
      </c>
      <c r="L51" s="238"/>
      <c r="M51" s="238"/>
      <c r="N51" s="238" t="s">
        <v>1827</v>
      </c>
      <c r="O51" s="238"/>
      <c r="P51" s="238"/>
      <c r="Q51" s="238" t="s">
        <v>3214</v>
      </c>
      <c r="R51" s="238"/>
      <c r="S51" s="238"/>
      <c r="T51" s="238"/>
      <c r="U51" s="238"/>
      <c r="V51" s="238"/>
      <c r="W51" s="238" t="s">
        <v>3117</v>
      </c>
      <c r="X51" s="238"/>
      <c r="Y51" s="10" t="s">
        <v>3215</v>
      </c>
      <c r="Z51" s="10" t="s">
        <v>3216</v>
      </c>
      <c r="AA51" s="238" t="s">
        <v>3054</v>
      </c>
      <c r="AB51" s="238"/>
      <c r="AC51" s="238"/>
      <c r="AD51" s="238"/>
      <c r="AE51" s="10" t="s">
        <v>3217</v>
      </c>
      <c r="AF51" s="237" t="s">
        <v>3218</v>
      </c>
      <c r="AG51" s="237"/>
      <c r="AH51" s="237"/>
      <c r="AI51" s="237"/>
      <c r="AJ51" s="2"/>
      <c r="AK51" s="2"/>
      <c r="AL51" s="2"/>
      <c r="AM51" s="2"/>
      <c r="AN51" s="7"/>
    </row>
    <row r="52" spans="1:40" ht="13.5" thickBot="1">
      <c r="A52" s="6"/>
      <c r="B52" s="2"/>
      <c r="C52" s="2"/>
      <c r="D52" s="244" t="s">
        <v>285</v>
      </c>
      <c r="E52" s="244"/>
      <c r="F52" s="238" t="s">
        <v>3219</v>
      </c>
      <c r="G52" s="238"/>
      <c r="H52" s="238"/>
      <c r="I52" s="238"/>
      <c r="J52" s="10" t="s">
        <v>3414</v>
      </c>
      <c r="K52" s="238" t="s">
        <v>393</v>
      </c>
      <c r="L52" s="238"/>
      <c r="M52" s="238"/>
      <c r="N52" s="238" t="s">
        <v>7118</v>
      </c>
      <c r="O52" s="238"/>
      <c r="P52" s="238"/>
      <c r="Q52" s="238" t="s">
        <v>3220</v>
      </c>
      <c r="R52" s="238"/>
      <c r="S52" s="238"/>
      <c r="T52" s="238"/>
      <c r="U52" s="238"/>
      <c r="V52" s="238"/>
      <c r="W52" s="238" t="s">
        <v>3152</v>
      </c>
      <c r="X52" s="238"/>
      <c r="Y52" s="10" t="s">
        <v>2846</v>
      </c>
      <c r="Z52" s="10" t="s">
        <v>3221</v>
      </c>
      <c r="AA52" s="238" t="s">
        <v>1908</v>
      </c>
      <c r="AB52" s="238"/>
      <c r="AC52" s="238"/>
      <c r="AD52" s="238"/>
      <c r="AE52" s="10" t="s">
        <v>3222</v>
      </c>
      <c r="AF52" s="237" t="s">
        <v>2970</v>
      </c>
      <c r="AG52" s="237"/>
      <c r="AH52" s="237"/>
      <c r="AI52" s="237"/>
      <c r="AJ52" s="2"/>
      <c r="AK52" s="2"/>
      <c r="AL52" s="2"/>
      <c r="AM52" s="2"/>
      <c r="AN52" s="7"/>
    </row>
    <row r="53" spans="1:40" ht="13.5" thickBot="1">
      <c r="A53" s="6"/>
      <c r="B53" s="2"/>
      <c r="C53" s="2"/>
      <c r="D53" s="244" t="s">
        <v>295</v>
      </c>
      <c r="E53" s="244"/>
      <c r="F53" s="238" t="s">
        <v>6011</v>
      </c>
      <c r="G53" s="238"/>
      <c r="H53" s="238"/>
      <c r="I53" s="238"/>
      <c r="J53" s="10" t="s">
        <v>6180</v>
      </c>
      <c r="K53" s="238" t="s">
        <v>375</v>
      </c>
      <c r="L53" s="238"/>
      <c r="M53" s="238"/>
      <c r="N53" s="238" t="s">
        <v>3223</v>
      </c>
      <c r="O53" s="238"/>
      <c r="P53" s="238"/>
      <c r="Q53" s="238" t="s">
        <v>6177</v>
      </c>
      <c r="R53" s="238"/>
      <c r="S53" s="238"/>
      <c r="T53" s="238"/>
      <c r="U53" s="238"/>
      <c r="V53" s="238"/>
      <c r="W53" s="238" t="s">
        <v>6083</v>
      </c>
      <c r="X53" s="238"/>
      <c r="Y53" s="10" t="s">
        <v>6086</v>
      </c>
      <c r="Z53" s="10" t="s">
        <v>304</v>
      </c>
      <c r="AA53" s="238" t="s">
        <v>6982</v>
      </c>
      <c r="AB53" s="238"/>
      <c r="AC53" s="238"/>
      <c r="AD53" s="238"/>
      <c r="AE53" s="10" t="s">
        <v>375</v>
      </c>
      <c r="AF53" s="237" t="s">
        <v>299</v>
      </c>
      <c r="AG53" s="237"/>
      <c r="AH53" s="237"/>
      <c r="AI53" s="237"/>
      <c r="AJ53" s="2"/>
      <c r="AK53" s="2"/>
      <c r="AL53" s="2"/>
      <c r="AM53" s="2"/>
      <c r="AN53" s="7"/>
    </row>
    <row r="54" spans="1:40" ht="13.5" thickBot="1">
      <c r="A54" s="6"/>
      <c r="B54" s="2"/>
      <c r="C54" s="2"/>
      <c r="D54" s="244" t="s">
        <v>307</v>
      </c>
      <c r="E54" s="244"/>
      <c r="F54" s="238" t="s">
        <v>3224</v>
      </c>
      <c r="G54" s="238"/>
      <c r="H54" s="238"/>
      <c r="I54" s="238"/>
      <c r="J54" s="10" t="s">
        <v>3014</v>
      </c>
      <c r="K54" s="238" t="s">
        <v>6003</v>
      </c>
      <c r="L54" s="238"/>
      <c r="M54" s="238"/>
      <c r="N54" s="238" t="s">
        <v>3225</v>
      </c>
      <c r="O54" s="238"/>
      <c r="P54" s="238"/>
      <c r="Q54" s="238" t="s">
        <v>2870</v>
      </c>
      <c r="R54" s="238"/>
      <c r="S54" s="238"/>
      <c r="T54" s="238"/>
      <c r="U54" s="238"/>
      <c r="V54" s="238"/>
      <c r="W54" s="238" t="s">
        <v>3014</v>
      </c>
      <c r="X54" s="238"/>
      <c r="Y54" s="10" t="s">
        <v>3226</v>
      </c>
      <c r="Z54" s="10" t="s">
        <v>3106</v>
      </c>
      <c r="AA54" s="238" t="s">
        <v>3227</v>
      </c>
      <c r="AB54" s="238"/>
      <c r="AC54" s="238"/>
      <c r="AD54" s="238"/>
      <c r="AE54" s="10" t="s">
        <v>6896</v>
      </c>
      <c r="AF54" s="237" t="s">
        <v>3228</v>
      </c>
      <c r="AG54" s="237"/>
      <c r="AH54" s="237"/>
      <c r="AI54" s="237"/>
      <c r="AJ54" s="2"/>
      <c r="AK54" s="2"/>
      <c r="AL54" s="2"/>
      <c r="AM54" s="2"/>
      <c r="AN54" s="7"/>
    </row>
    <row r="55" spans="1:40" ht="13.5" thickBot="1">
      <c r="A55" s="6"/>
      <c r="B55" s="2"/>
      <c r="C55" s="2"/>
      <c r="D55" s="244" t="s">
        <v>319</v>
      </c>
      <c r="E55" s="244"/>
      <c r="F55" s="237" t="s">
        <v>3229</v>
      </c>
      <c r="G55" s="237"/>
      <c r="H55" s="237"/>
      <c r="I55" s="237"/>
      <c r="J55" s="11" t="s">
        <v>6854</v>
      </c>
      <c r="K55" s="237" t="s">
        <v>6724</v>
      </c>
      <c r="L55" s="237"/>
      <c r="M55" s="237"/>
      <c r="N55" s="237" t="s">
        <v>3230</v>
      </c>
      <c r="O55" s="237"/>
      <c r="P55" s="237"/>
      <c r="Q55" s="237" t="s">
        <v>1909</v>
      </c>
      <c r="R55" s="237"/>
      <c r="S55" s="237"/>
      <c r="T55" s="237"/>
      <c r="U55" s="237"/>
      <c r="V55" s="237"/>
      <c r="W55" s="237" t="s">
        <v>6386</v>
      </c>
      <c r="X55" s="237"/>
      <c r="Y55" s="11" t="s">
        <v>2944</v>
      </c>
      <c r="Z55" s="11" t="s">
        <v>6028</v>
      </c>
      <c r="AA55" s="237" t="s">
        <v>3231</v>
      </c>
      <c r="AB55" s="237"/>
      <c r="AC55" s="237"/>
      <c r="AD55" s="237"/>
      <c r="AE55" s="11" t="s">
        <v>6404</v>
      </c>
      <c r="AF55" s="237" t="s">
        <v>6851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indexed="33"/>
  </sheetPr>
  <dimension ref="A1:AU63"/>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2"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3232</v>
      </c>
      <c r="E7" s="269"/>
      <c r="F7" s="269"/>
      <c r="G7" s="269"/>
      <c r="H7" s="269" t="s">
        <v>3233</v>
      </c>
      <c r="I7" s="269"/>
      <c r="J7" s="269"/>
      <c r="K7" s="269"/>
      <c r="L7" s="269"/>
      <c r="M7" s="269"/>
      <c r="N7" s="269"/>
      <c r="O7" s="269"/>
      <c r="P7" s="269"/>
      <c r="Q7" s="269"/>
      <c r="R7" s="269"/>
      <c r="S7" s="269"/>
      <c r="T7" s="269"/>
      <c r="U7" s="269"/>
      <c r="V7" s="269"/>
      <c r="W7" s="269"/>
      <c r="X7" s="270" t="s">
        <v>3234</v>
      </c>
      <c r="Y7" s="270"/>
      <c r="Z7" s="270"/>
      <c r="AA7" s="270"/>
      <c r="AB7" s="270"/>
      <c r="AC7" s="270"/>
      <c r="AD7" s="270"/>
      <c r="AE7" s="270"/>
      <c r="AF7" s="270"/>
      <c r="AG7" s="270"/>
      <c r="AH7" s="270"/>
      <c r="AI7" s="270"/>
      <c r="AJ7" s="270"/>
      <c r="AK7" s="270"/>
      <c r="AL7" s="270"/>
      <c r="AM7" s="270"/>
      <c r="AN7" s="2"/>
      <c r="AO7" s="2"/>
      <c r="AP7" s="7"/>
      <c r="AT7" s="22" t="s">
        <v>1518</v>
      </c>
      <c r="AU7" s="35" t="str">
        <f>H7</f>
        <v>BORSSELE</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3235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3235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3236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2 loops PWR</v>
      </c>
    </row>
    <row r="13" spans="1:47" ht="12" customHeight="1">
      <c r="A13" s="6"/>
      <c r="B13" s="1"/>
      <c r="C13" s="2"/>
      <c r="D13" s="247" t="s">
        <v>5716</v>
      </c>
      <c r="E13" s="247"/>
      <c r="F13" s="247"/>
      <c r="G13" s="247" t="s">
        <v>5709</v>
      </c>
      <c r="H13" s="247"/>
      <c r="I13" s="247" t="s">
        <v>3236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1366</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515</v>
      </c>
    </row>
    <row r="17" spans="1:47" ht="11.45" customHeight="1" thickBot="1">
      <c r="A17" s="6"/>
      <c r="B17" s="1"/>
      <c r="C17" s="1"/>
      <c r="D17" s="248" t="s">
        <v>5722</v>
      </c>
      <c r="E17" s="248"/>
      <c r="F17" s="248"/>
      <c r="G17" s="247" t="s">
        <v>5709</v>
      </c>
      <c r="H17" s="247"/>
      <c r="I17" s="248" t="s">
        <v>3237</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482</v>
      </c>
    </row>
    <row r="18" spans="1:47" ht="13.5" thickBot="1">
      <c r="A18" s="6"/>
      <c r="B18" s="1"/>
      <c r="C18" s="1"/>
      <c r="D18" s="248" t="s">
        <v>185</v>
      </c>
      <c r="E18" s="248"/>
      <c r="F18" s="248"/>
      <c r="G18" s="248"/>
      <c r="H18" s="248"/>
      <c r="I18" s="248"/>
      <c r="J18" s="248"/>
      <c r="K18" s="248"/>
      <c r="L18" s="8" t="s">
        <v>5709</v>
      </c>
      <c r="M18" s="264">
        <v>1366</v>
      </c>
      <c r="N18" s="264"/>
      <c r="O18" s="264"/>
      <c r="P18" s="248" t="s">
        <v>186</v>
      </c>
      <c r="Q18" s="248"/>
      <c r="R18" s="248"/>
      <c r="S18" s="2"/>
      <c r="T18" s="2"/>
      <c r="U18" s="252" t="s">
        <v>187</v>
      </c>
      <c r="V18" s="252"/>
      <c r="W18" s="252"/>
      <c r="X18" s="252"/>
      <c r="Y18" s="252"/>
      <c r="Z18" s="252"/>
      <c r="AA18" s="252"/>
      <c r="AB18" s="247" t="s">
        <v>5709</v>
      </c>
      <c r="AC18" s="247"/>
      <c r="AD18" s="248" t="s">
        <v>3238</v>
      </c>
      <c r="AE18" s="248"/>
      <c r="AF18" s="248"/>
      <c r="AG18" s="248"/>
      <c r="AH18" s="248"/>
      <c r="AI18" s="248"/>
      <c r="AJ18" s="248"/>
      <c r="AK18" s="2"/>
      <c r="AL18" s="1"/>
      <c r="AM18" s="2"/>
      <c r="AN18" s="1"/>
      <c r="AO18" s="2"/>
      <c r="AP18" s="7"/>
      <c r="AT18" s="25" t="str">
        <f>D26</f>
        <v>Grid Date</v>
      </c>
      <c r="AU18" s="25">
        <f>M26</f>
        <v>26849</v>
      </c>
    </row>
    <row r="19" spans="1:47" ht="13.5" thickBot="1">
      <c r="A19" s="6"/>
      <c r="B19" s="1"/>
      <c r="C19" s="1"/>
      <c r="D19" s="248" t="s">
        <v>189</v>
      </c>
      <c r="E19" s="248"/>
      <c r="F19" s="248"/>
      <c r="G19" s="248"/>
      <c r="H19" s="248"/>
      <c r="I19" s="248"/>
      <c r="J19" s="248"/>
      <c r="K19" s="248"/>
      <c r="L19" s="8" t="s">
        <v>5709</v>
      </c>
      <c r="M19" s="264">
        <v>515</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39000</v>
      </c>
    </row>
    <row r="20" spans="1:47" ht="13.5" thickBot="1">
      <c r="A20" s="6"/>
      <c r="B20" s="1"/>
      <c r="C20" s="1"/>
      <c r="D20" s="248" t="s">
        <v>193</v>
      </c>
      <c r="E20" s="248"/>
      <c r="F20" s="248"/>
      <c r="G20" s="248"/>
      <c r="H20" s="248"/>
      <c r="I20" s="248"/>
      <c r="J20" s="248"/>
      <c r="K20" s="248"/>
      <c r="L20" s="8" t="s">
        <v>5709</v>
      </c>
      <c r="M20" s="264">
        <v>495</v>
      </c>
      <c r="N20" s="264"/>
      <c r="O20" s="264"/>
      <c r="P20" s="248" t="s">
        <v>190</v>
      </c>
      <c r="Q20" s="248"/>
      <c r="R20" s="248"/>
      <c r="S20" s="2"/>
      <c r="T20" s="2"/>
      <c r="U20" s="252" t="s">
        <v>194</v>
      </c>
      <c r="V20" s="252"/>
      <c r="W20" s="252"/>
      <c r="X20" s="252"/>
      <c r="Y20" s="252"/>
      <c r="Z20" s="252"/>
      <c r="AA20" s="252"/>
      <c r="AB20" s="247" t="s">
        <v>5709</v>
      </c>
      <c r="AC20" s="247"/>
      <c r="AD20" s="248" t="s">
        <v>2927</v>
      </c>
      <c r="AE20" s="248"/>
      <c r="AF20" s="248"/>
      <c r="AG20" s="248"/>
      <c r="AH20" s="248"/>
      <c r="AI20" s="248"/>
      <c r="AJ20" s="248"/>
      <c r="AK20" s="2"/>
      <c r="AL20" s="1"/>
      <c r="AM20" s="2"/>
      <c r="AN20" s="1"/>
      <c r="AO20" s="2"/>
      <c r="AP20" s="7"/>
      <c r="AT20" s="23" t="str">
        <f>D57 &amp; Q50</f>
        <v>LF [%]2005</v>
      </c>
      <c r="AU20" s="23" t="str">
        <f>Q57</f>
        <v>95.69</v>
      </c>
    </row>
    <row r="21" spans="1:47" ht="13.5" thickBot="1">
      <c r="A21" s="6"/>
      <c r="B21" s="1"/>
      <c r="C21" s="1"/>
      <c r="D21" s="248" t="s">
        <v>196</v>
      </c>
      <c r="E21" s="248"/>
      <c r="F21" s="248"/>
      <c r="G21" s="248"/>
      <c r="H21" s="248"/>
      <c r="I21" s="248"/>
      <c r="J21" s="248"/>
      <c r="K21" s="248"/>
      <c r="L21" s="8" t="s">
        <v>5709</v>
      </c>
      <c r="M21" s="264">
        <v>482</v>
      </c>
      <c r="N21" s="264"/>
      <c r="O21" s="264"/>
      <c r="P21" s="248" t="s">
        <v>190</v>
      </c>
      <c r="Q21" s="248"/>
      <c r="R21" s="248"/>
      <c r="S21" s="2"/>
      <c r="T21" s="2"/>
      <c r="U21" s="252" t="s">
        <v>197</v>
      </c>
      <c r="V21" s="252"/>
      <c r="W21" s="252"/>
      <c r="X21" s="252"/>
      <c r="Y21" s="252"/>
      <c r="Z21" s="252"/>
      <c r="AA21" s="252"/>
      <c r="AB21" s="247" t="s">
        <v>5709</v>
      </c>
      <c r="AC21" s="247"/>
      <c r="AD21" s="248" t="s">
        <v>3239</v>
      </c>
      <c r="AE21" s="248"/>
      <c r="AF21" s="248"/>
      <c r="AG21" s="248"/>
      <c r="AH21" s="248"/>
      <c r="AI21" s="248"/>
      <c r="AJ21" s="248"/>
      <c r="AK21" s="2"/>
      <c r="AL21" s="1"/>
      <c r="AM21" s="2"/>
      <c r="AN21" s="1"/>
      <c r="AO21" s="2"/>
      <c r="AP21" s="7"/>
      <c r="AT21" s="23" t="str">
        <f>D57&amp;AF50</f>
        <v>LF [%]2010</v>
      </c>
      <c r="AU21" s="23" t="str">
        <f>AF57</f>
        <v>88.93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3240</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3241</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25385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26849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3242</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26963</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3484</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2827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413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3243</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3244</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3245</v>
      </c>
      <c r="G51" s="238"/>
      <c r="H51" s="238"/>
      <c r="I51" s="238"/>
      <c r="J51" s="10" t="s">
        <v>3246</v>
      </c>
      <c r="K51" s="238" t="s">
        <v>3247</v>
      </c>
      <c r="L51" s="238"/>
      <c r="M51" s="238"/>
      <c r="N51" s="238" t="s">
        <v>3248</v>
      </c>
      <c r="O51" s="238"/>
      <c r="P51" s="238"/>
      <c r="Q51" s="238" t="s">
        <v>3249</v>
      </c>
      <c r="R51" s="238"/>
      <c r="S51" s="238"/>
      <c r="T51" s="238"/>
      <c r="U51" s="238"/>
      <c r="V51" s="238"/>
      <c r="W51" s="238" t="s">
        <v>3250</v>
      </c>
      <c r="X51" s="238"/>
      <c r="Y51" s="10" t="s">
        <v>3251</v>
      </c>
      <c r="Z51" s="10" t="s">
        <v>3252</v>
      </c>
      <c r="AA51" s="238" t="s">
        <v>3253</v>
      </c>
      <c r="AB51" s="238"/>
      <c r="AC51" s="238"/>
      <c r="AD51" s="238"/>
      <c r="AE51" s="238"/>
      <c r="AF51" s="10" t="s">
        <v>3254</v>
      </c>
      <c r="AG51" s="237" t="s">
        <v>3255</v>
      </c>
      <c r="AH51" s="237"/>
      <c r="AI51" s="237"/>
      <c r="AJ51" s="237"/>
      <c r="AK51" s="237"/>
      <c r="AL51" s="2"/>
      <c r="AM51" s="2"/>
      <c r="AN51" s="2"/>
      <c r="AO51" s="2"/>
      <c r="AP51" s="7"/>
    </row>
    <row r="52" spans="1:42" ht="13.5" thickBot="1">
      <c r="A52" s="6"/>
      <c r="B52" s="2"/>
      <c r="C52" s="2"/>
      <c r="D52" s="244" t="s">
        <v>261</v>
      </c>
      <c r="E52" s="244"/>
      <c r="F52" s="238" t="s">
        <v>439</v>
      </c>
      <c r="G52" s="238"/>
      <c r="H52" s="238"/>
      <c r="I52" s="238"/>
      <c r="J52" s="10" t="s">
        <v>3256</v>
      </c>
      <c r="K52" s="238" t="s">
        <v>3257</v>
      </c>
      <c r="L52" s="238"/>
      <c r="M52" s="238"/>
      <c r="N52" s="238" t="s">
        <v>6515</v>
      </c>
      <c r="O52" s="238"/>
      <c r="P52" s="238"/>
      <c r="Q52" s="238" t="s">
        <v>316</v>
      </c>
      <c r="R52" s="238"/>
      <c r="S52" s="238"/>
      <c r="T52" s="238"/>
      <c r="U52" s="238"/>
      <c r="V52" s="238"/>
      <c r="W52" s="238" t="s">
        <v>6799</v>
      </c>
      <c r="X52" s="238"/>
      <c r="Y52" s="10" t="s">
        <v>262</v>
      </c>
      <c r="Z52" s="10" t="s">
        <v>3258</v>
      </c>
      <c r="AA52" s="238" t="s">
        <v>6107</v>
      </c>
      <c r="AB52" s="238"/>
      <c r="AC52" s="238"/>
      <c r="AD52" s="238"/>
      <c r="AE52" s="238"/>
      <c r="AF52" s="10" t="s">
        <v>3259</v>
      </c>
      <c r="AG52" s="237" t="s">
        <v>3260</v>
      </c>
      <c r="AH52" s="237"/>
      <c r="AI52" s="237"/>
      <c r="AJ52" s="237"/>
      <c r="AK52" s="237"/>
      <c r="AL52" s="2"/>
      <c r="AM52" s="2"/>
      <c r="AN52" s="2"/>
      <c r="AO52" s="2"/>
      <c r="AP52" s="7"/>
    </row>
    <row r="53" spans="1:42" ht="13.5" thickBot="1">
      <c r="A53" s="6"/>
      <c r="B53" s="2"/>
      <c r="C53" s="2"/>
      <c r="D53" s="244" t="s">
        <v>273</v>
      </c>
      <c r="E53" s="244"/>
      <c r="F53" s="238" t="s">
        <v>3261</v>
      </c>
      <c r="G53" s="238"/>
      <c r="H53" s="238"/>
      <c r="I53" s="238"/>
      <c r="J53" s="10" t="s">
        <v>3262</v>
      </c>
      <c r="K53" s="238" t="s">
        <v>3263</v>
      </c>
      <c r="L53" s="238"/>
      <c r="M53" s="238"/>
      <c r="N53" s="238" t="s">
        <v>6312</v>
      </c>
      <c r="O53" s="238"/>
      <c r="P53" s="238"/>
      <c r="Q53" s="238" t="s">
        <v>2797</v>
      </c>
      <c r="R53" s="238"/>
      <c r="S53" s="238"/>
      <c r="T53" s="238"/>
      <c r="U53" s="238"/>
      <c r="V53" s="238"/>
      <c r="W53" s="238" t="s">
        <v>3264</v>
      </c>
      <c r="X53" s="238"/>
      <c r="Y53" s="10" t="s">
        <v>3265</v>
      </c>
      <c r="Z53" s="10" t="s">
        <v>3266</v>
      </c>
      <c r="AA53" s="238" t="s">
        <v>3267</v>
      </c>
      <c r="AB53" s="238"/>
      <c r="AC53" s="238"/>
      <c r="AD53" s="238"/>
      <c r="AE53" s="238"/>
      <c r="AF53" s="10" t="s">
        <v>6886</v>
      </c>
      <c r="AG53" s="237" t="s">
        <v>1824</v>
      </c>
      <c r="AH53" s="237"/>
      <c r="AI53" s="237"/>
      <c r="AJ53" s="237"/>
      <c r="AK53" s="237"/>
      <c r="AL53" s="2"/>
      <c r="AM53" s="2"/>
      <c r="AN53" s="2"/>
      <c r="AO53" s="2"/>
      <c r="AP53" s="7"/>
    </row>
    <row r="54" spans="1:42" ht="13.5" thickBot="1">
      <c r="A54" s="6"/>
      <c r="B54" s="2"/>
      <c r="C54" s="2"/>
      <c r="D54" s="244" t="s">
        <v>285</v>
      </c>
      <c r="E54" s="244"/>
      <c r="F54" s="238" t="s">
        <v>439</v>
      </c>
      <c r="G54" s="238"/>
      <c r="H54" s="238"/>
      <c r="I54" s="238"/>
      <c r="J54" s="10" t="s">
        <v>266</v>
      </c>
      <c r="K54" s="238" t="s">
        <v>3257</v>
      </c>
      <c r="L54" s="238"/>
      <c r="M54" s="238"/>
      <c r="N54" s="238" t="s">
        <v>6515</v>
      </c>
      <c r="O54" s="238"/>
      <c r="P54" s="238"/>
      <c r="Q54" s="238" t="s">
        <v>6094</v>
      </c>
      <c r="R54" s="238"/>
      <c r="S54" s="238"/>
      <c r="T54" s="238"/>
      <c r="U54" s="238"/>
      <c r="V54" s="238"/>
      <c r="W54" s="238" t="s">
        <v>3268</v>
      </c>
      <c r="X54" s="238"/>
      <c r="Y54" s="10" t="s">
        <v>2805</v>
      </c>
      <c r="Z54" s="10" t="s">
        <v>3258</v>
      </c>
      <c r="AA54" s="238" t="s">
        <v>262</v>
      </c>
      <c r="AB54" s="238"/>
      <c r="AC54" s="238"/>
      <c r="AD54" s="238"/>
      <c r="AE54" s="238"/>
      <c r="AF54" s="10" t="s">
        <v>3269</v>
      </c>
      <c r="AG54" s="237" t="s">
        <v>3270</v>
      </c>
      <c r="AH54" s="237"/>
      <c r="AI54" s="237"/>
      <c r="AJ54" s="237"/>
      <c r="AK54" s="237"/>
      <c r="AL54" s="2"/>
      <c r="AM54" s="2"/>
      <c r="AN54" s="2"/>
      <c r="AO54" s="2"/>
      <c r="AP54" s="7"/>
    </row>
    <row r="55" spans="1:42" ht="13.5" thickBot="1">
      <c r="A55" s="6"/>
      <c r="B55" s="2"/>
      <c r="C55" s="2"/>
      <c r="D55" s="244" t="s">
        <v>295</v>
      </c>
      <c r="E55" s="244"/>
      <c r="F55" s="238" t="s">
        <v>301</v>
      </c>
      <c r="G55" s="238"/>
      <c r="H55" s="238"/>
      <c r="I55" s="238"/>
      <c r="J55" s="10" t="s">
        <v>6177</v>
      </c>
      <c r="K55" s="238" t="s">
        <v>3349</v>
      </c>
      <c r="L55" s="238"/>
      <c r="M55" s="238"/>
      <c r="N55" s="238" t="s">
        <v>2739</v>
      </c>
      <c r="O55" s="238"/>
      <c r="P55" s="238"/>
      <c r="Q55" s="238" t="s">
        <v>7081</v>
      </c>
      <c r="R55" s="238"/>
      <c r="S55" s="238"/>
      <c r="T55" s="238"/>
      <c r="U55" s="238"/>
      <c r="V55" s="238"/>
      <c r="W55" s="238" t="s">
        <v>2738</v>
      </c>
      <c r="X55" s="238"/>
      <c r="Y55" s="10" t="s">
        <v>6721</v>
      </c>
      <c r="Z55" s="10" t="s">
        <v>380</v>
      </c>
      <c r="AA55" s="238" t="s">
        <v>3009</v>
      </c>
      <c r="AB55" s="238"/>
      <c r="AC55" s="238"/>
      <c r="AD55" s="238"/>
      <c r="AE55" s="238"/>
      <c r="AF55" s="10" t="s">
        <v>3271</v>
      </c>
      <c r="AG55" s="237" t="s">
        <v>3272</v>
      </c>
      <c r="AH55" s="237"/>
      <c r="AI55" s="237"/>
      <c r="AJ55" s="237"/>
      <c r="AK55" s="237"/>
      <c r="AL55" s="2"/>
      <c r="AM55" s="2"/>
      <c r="AN55" s="2"/>
      <c r="AO55" s="2"/>
      <c r="AP55" s="7"/>
    </row>
    <row r="56" spans="1:42" ht="13.5" thickBot="1">
      <c r="A56" s="6"/>
      <c r="B56" s="2"/>
      <c r="C56" s="2"/>
      <c r="D56" s="244" t="s">
        <v>307</v>
      </c>
      <c r="E56" s="244"/>
      <c r="F56" s="238" t="s">
        <v>3273</v>
      </c>
      <c r="G56" s="238"/>
      <c r="H56" s="238"/>
      <c r="I56" s="238"/>
      <c r="J56" s="10" t="s">
        <v>2859</v>
      </c>
      <c r="K56" s="238" t="s">
        <v>3274</v>
      </c>
      <c r="L56" s="238"/>
      <c r="M56" s="238"/>
      <c r="N56" s="238" t="s">
        <v>3275</v>
      </c>
      <c r="O56" s="238"/>
      <c r="P56" s="238"/>
      <c r="Q56" s="238" t="s">
        <v>3276</v>
      </c>
      <c r="R56" s="238"/>
      <c r="S56" s="238"/>
      <c r="T56" s="238"/>
      <c r="U56" s="238"/>
      <c r="V56" s="238"/>
      <c r="W56" s="238" t="s">
        <v>3446</v>
      </c>
      <c r="X56" s="238"/>
      <c r="Y56" s="10" t="s">
        <v>3277</v>
      </c>
      <c r="Z56" s="10" t="s">
        <v>3044</v>
      </c>
      <c r="AA56" s="238" t="s">
        <v>3278</v>
      </c>
      <c r="AB56" s="238"/>
      <c r="AC56" s="238"/>
      <c r="AD56" s="238"/>
      <c r="AE56" s="238"/>
      <c r="AF56" s="10" t="s">
        <v>2965</v>
      </c>
      <c r="AG56" s="237" t="s">
        <v>3279</v>
      </c>
      <c r="AH56" s="237"/>
      <c r="AI56" s="237"/>
      <c r="AJ56" s="237"/>
      <c r="AK56" s="237"/>
      <c r="AL56" s="2"/>
      <c r="AM56" s="2"/>
      <c r="AN56" s="2"/>
      <c r="AO56" s="2"/>
      <c r="AP56" s="7"/>
    </row>
    <row r="57" spans="1:42" ht="13.5" thickBot="1">
      <c r="A57" s="6"/>
      <c r="B57" s="2"/>
      <c r="C57" s="2"/>
      <c r="D57" s="244" t="s">
        <v>319</v>
      </c>
      <c r="E57" s="244"/>
      <c r="F57" s="237" t="s">
        <v>6024</v>
      </c>
      <c r="G57" s="237"/>
      <c r="H57" s="237"/>
      <c r="I57" s="237"/>
      <c r="J57" s="11" t="s">
        <v>6102</v>
      </c>
      <c r="K57" s="237" t="s">
        <v>3280</v>
      </c>
      <c r="L57" s="237"/>
      <c r="M57" s="237"/>
      <c r="N57" s="237" t="s">
        <v>6530</v>
      </c>
      <c r="O57" s="237"/>
      <c r="P57" s="237"/>
      <c r="Q57" s="237" t="s">
        <v>3281</v>
      </c>
      <c r="R57" s="237"/>
      <c r="S57" s="237"/>
      <c r="T57" s="237"/>
      <c r="U57" s="237"/>
      <c r="V57" s="237"/>
      <c r="W57" s="237" t="s">
        <v>3558</v>
      </c>
      <c r="X57" s="237"/>
      <c r="Y57" s="11" t="s">
        <v>271</v>
      </c>
      <c r="Z57" s="11" t="s">
        <v>3044</v>
      </c>
      <c r="AA57" s="237" t="s">
        <v>3282</v>
      </c>
      <c r="AB57" s="237"/>
      <c r="AC57" s="237"/>
      <c r="AD57" s="237"/>
      <c r="AE57" s="237"/>
      <c r="AF57" s="11" t="s">
        <v>1969</v>
      </c>
      <c r="AG57" s="237" t="s">
        <v>3283</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tabColor indexed="37"/>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1.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3284</v>
      </c>
      <c r="E7" s="269"/>
      <c r="F7" s="269"/>
      <c r="G7" s="269"/>
      <c r="H7" s="269" t="s">
        <v>3285</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ALMARAZ-1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3287</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3288</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2.75" customHeight="1">
      <c r="A13" s="6"/>
      <c r="B13" s="1"/>
      <c r="C13" s="2"/>
      <c r="D13" s="247" t="s">
        <v>5716</v>
      </c>
      <c r="E13" s="247"/>
      <c r="F13" s="247"/>
      <c r="G13" s="247" t="s">
        <v>5709</v>
      </c>
      <c r="H13" s="247"/>
      <c r="I13" s="247" t="s">
        <v>1926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2947</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1045</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1011</v>
      </c>
    </row>
    <row r="18" spans="1:47" ht="13.5" thickBot="1">
      <c r="A18" s="6"/>
      <c r="B18" s="1"/>
      <c r="C18" s="1"/>
      <c r="D18" s="248" t="s">
        <v>185</v>
      </c>
      <c r="E18" s="248"/>
      <c r="F18" s="248"/>
      <c r="G18" s="248"/>
      <c r="H18" s="248"/>
      <c r="I18" s="248"/>
      <c r="J18" s="248"/>
      <c r="K18" s="248"/>
      <c r="L18" s="8" t="s">
        <v>5709</v>
      </c>
      <c r="M18" s="264">
        <v>2947</v>
      </c>
      <c r="N18" s="264"/>
      <c r="O18" s="264"/>
      <c r="P18" s="248" t="s">
        <v>186</v>
      </c>
      <c r="Q18" s="248"/>
      <c r="R18" s="248"/>
      <c r="S18" s="2"/>
      <c r="T18" s="2"/>
      <c r="U18" s="252" t="s">
        <v>187</v>
      </c>
      <c r="V18" s="252"/>
      <c r="W18" s="252"/>
      <c r="X18" s="252"/>
      <c r="Y18" s="252"/>
      <c r="Z18" s="252"/>
      <c r="AA18" s="252"/>
      <c r="AB18" s="247" t="s">
        <v>5709</v>
      </c>
      <c r="AC18" s="247"/>
      <c r="AD18" s="248" t="s">
        <v>3289</v>
      </c>
      <c r="AE18" s="248"/>
      <c r="AF18" s="248"/>
      <c r="AG18" s="248"/>
      <c r="AH18" s="248"/>
      <c r="AI18" s="248"/>
      <c r="AJ18" s="248"/>
      <c r="AK18" s="2"/>
      <c r="AL18" s="1"/>
      <c r="AM18" s="2"/>
      <c r="AN18" s="1"/>
      <c r="AO18" s="2"/>
      <c r="AP18" s="7"/>
      <c r="AT18" s="25" t="str">
        <f>D26</f>
        <v>Grid Date</v>
      </c>
      <c r="AU18" s="25">
        <f>M26</f>
        <v>29707</v>
      </c>
    </row>
    <row r="19" spans="1:47" ht="13.5" thickBot="1">
      <c r="A19" s="6"/>
      <c r="B19" s="1"/>
      <c r="C19" s="1"/>
      <c r="D19" s="248" t="s">
        <v>189</v>
      </c>
      <c r="E19" s="248"/>
      <c r="F19" s="248"/>
      <c r="G19" s="248"/>
      <c r="H19" s="248"/>
      <c r="I19" s="248"/>
      <c r="J19" s="248"/>
      <c r="K19" s="248"/>
      <c r="L19" s="8" t="s">
        <v>5709</v>
      </c>
      <c r="M19" s="264">
        <v>1045</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58000</v>
      </c>
    </row>
    <row r="20" spans="1:47" ht="13.5" thickBot="1">
      <c r="A20" s="6"/>
      <c r="B20" s="1"/>
      <c r="C20" s="1"/>
      <c r="D20" s="248" t="s">
        <v>193</v>
      </c>
      <c r="E20" s="248"/>
      <c r="F20" s="248"/>
      <c r="G20" s="248"/>
      <c r="H20" s="248"/>
      <c r="I20" s="248"/>
      <c r="J20" s="248"/>
      <c r="K20" s="248"/>
      <c r="L20" s="8" t="s">
        <v>5709</v>
      </c>
      <c r="M20" s="264">
        <v>900</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t="str">
        <f>Q57</f>
        <v>90.93</v>
      </c>
    </row>
    <row r="21" spans="1:47" ht="13.5" thickBot="1">
      <c r="A21" s="6"/>
      <c r="B21" s="1"/>
      <c r="C21" s="1"/>
      <c r="D21" s="248" t="s">
        <v>196</v>
      </c>
      <c r="E21" s="248"/>
      <c r="F21" s="248"/>
      <c r="G21" s="248"/>
      <c r="H21" s="248"/>
      <c r="I21" s="248"/>
      <c r="J21" s="248"/>
      <c r="K21" s="248"/>
      <c r="L21" s="8" t="s">
        <v>5709</v>
      </c>
      <c r="M21" s="264">
        <v>1011</v>
      </c>
      <c r="N21" s="264"/>
      <c r="O21" s="264"/>
      <c r="P21" s="248" t="s">
        <v>190</v>
      </c>
      <c r="Q21" s="248"/>
      <c r="R21" s="248"/>
      <c r="S21" s="2"/>
      <c r="T21" s="2"/>
      <c r="U21" s="252" t="s">
        <v>197</v>
      </c>
      <c r="V21" s="252"/>
      <c r="W21" s="252"/>
      <c r="X21" s="252"/>
      <c r="Y21" s="252"/>
      <c r="Z21" s="252"/>
      <c r="AA21" s="252"/>
      <c r="AB21" s="247" t="s">
        <v>5709</v>
      </c>
      <c r="AC21" s="247"/>
      <c r="AD21" s="248" t="s">
        <v>3290</v>
      </c>
      <c r="AE21" s="248"/>
      <c r="AF21" s="248"/>
      <c r="AG21" s="248"/>
      <c r="AH21" s="248"/>
      <c r="AI21" s="248"/>
      <c r="AJ21" s="248"/>
      <c r="AK21" s="2"/>
      <c r="AL21" s="1"/>
      <c r="AM21" s="2"/>
      <c r="AN21" s="1"/>
      <c r="AO21" s="2"/>
      <c r="AP21" s="7"/>
      <c r="AT21" s="23" t="str">
        <f>D57&amp;AF50</f>
        <v>LF [%]2010</v>
      </c>
      <c r="AU21" s="23" t="str">
        <f>AF57</f>
        <v>89.70</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3291</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26848</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29707</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3292</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30560</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3541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2827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3293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3294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3295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3296</v>
      </c>
      <c r="G51" s="238"/>
      <c r="H51" s="238"/>
      <c r="I51" s="238"/>
      <c r="J51" s="10" t="s">
        <v>3297</v>
      </c>
      <c r="K51" s="238" t="s">
        <v>3298</v>
      </c>
      <c r="L51" s="238"/>
      <c r="M51" s="238"/>
      <c r="N51" s="238" t="s">
        <v>3299</v>
      </c>
      <c r="O51" s="238"/>
      <c r="P51" s="238"/>
      <c r="Q51" s="238" t="s">
        <v>4153</v>
      </c>
      <c r="R51" s="238"/>
      <c r="S51" s="238"/>
      <c r="T51" s="238"/>
      <c r="U51" s="238"/>
      <c r="V51" s="238"/>
      <c r="W51" s="238" t="s">
        <v>4154</v>
      </c>
      <c r="X51" s="238"/>
      <c r="Y51" s="10" t="s">
        <v>4155</v>
      </c>
      <c r="Z51" s="10" t="s">
        <v>4156</v>
      </c>
      <c r="AA51" s="238" t="s">
        <v>4157</v>
      </c>
      <c r="AB51" s="238"/>
      <c r="AC51" s="238"/>
      <c r="AD51" s="238"/>
      <c r="AE51" s="238"/>
      <c r="AF51" s="10" t="s">
        <v>4158</v>
      </c>
      <c r="AG51" s="237" t="s">
        <v>4159</v>
      </c>
      <c r="AH51" s="237"/>
      <c r="AI51" s="237"/>
      <c r="AJ51" s="237"/>
      <c r="AK51" s="237"/>
      <c r="AL51" s="2"/>
      <c r="AM51" s="2"/>
      <c r="AN51" s="2"/>
      <c r="AO51" s="2"/>
      <c r="AP51" s="7"/>
    </row>
    <row r="52" spans="1:42" ht="13.5" thickBot="1">
      <c r="A52" s="6"/>
      <c r="B52" s="2"/>
      <c r="C52" s="2"/>
      <c r="D52" s="244" t="s">
        <v>261</v>
      </c>
      <c r="E52" s="244"/>
      <c r="F52" s="238" t="s">
        <v>4160</v>
      </c>
      <c r="G52" s="238"/>
      <c r="H52" s="238"/>
      <c r="I52" s="238"/>
      <c r="J52" s="10" t="s">
        <v>4161</v>
      </c>
      <c r="K52" s="238" t="s">
        <v>6301</v>
      </c>
      <c r="L52" s="238"/>
      <c r="M52" s="238"/>
      <c r="N52" s="238" t="s">
        <v>4162</v>
      </c>
      <c r="O52" s="238"/>
      <c r="P52" s="238"/>
      <c r="Q52" s="238" t="s">
        <v>4163</v>
      </c>
      <c r="R52" s="238"/>
      <c r="S52" s="238"/>
      <c r="T52" s="238"/>
      <c r="U52" s="238"/>
      <c r="V52" s="238"/>
      <c r="W52" s="238" t="s">
        <v>6756</v>
      </c>
      <c r="X52" s="238"/>
      <c r="Y52" s="10" t="s">
        <v>4164</v>
      </c>
      <c r="Z52" s="10" t="s">
        <v>4165</v>
      </c>
      <c r="AA52" s="238" t="s">
        <v>4166</v>
      </c>
      <c r="AB52" s="238"/>
      <c r="AC52" s="238"/>
      <c r="AD52" s="238"/>
      <c r="AE52" s="238"/>
      <c r="AF52" s="10" t="s">
        <v>3365</v>
      </c>
      <c r="AG52" s="237" t="s">
        <v>2974</v>
      </c>
      <c r="AH52" s="237"/>
      <c r="AI52" s="237"/>
      <c r="AJ52" s="237"/>
      <c r="AK52" s="237"/>
      <c r="AL52" s="2"/>
      <c r="AM52" s="2"/>
      <c r="AN52" s="2"/>
      <c r="AO52" s="2"/>
      <c r="AP52" s="7"/>
    </row>
    <row r="53" spans="1:42" ht="13.5" thickBot="1">
      <c r="A53" s="6"/>
      <c r="B53" s="2"/>
      <c r="C53" s="2"/>
      <c r="D53" s="244" t="s">
        <v>273</v>
      </c>
      <c r="E53" s="244"/>
      <c r="F53" s="238" t="s">
        <v>6087</v>
      </c>
      <c r="G53" s="238"/>
      <c r="H53" s="238"/>
      <c r="I53" s="238"/>
      <c r="J53" s="10" t="s">
        <v>3098</v>
      </c>
      <c r="K53" s="238" t="s">
        <v>6382</v>
      </c>
      <c r="L53" s="238"/>
      <c r="M53" s="238"/>
      <c r="N53" s="238" t="s">
        <v>375</v>
      </c>
      <c r="O53" s="238"/>
      <c r="P53" s="238"/>
      <c r="Q53" s="238" t="s">
        <v>4167</v>
      </c>
      <c r="R53" s="238"/>
      <c r="S53" s="238"/>
      <c r="T53" s="238"/>
      <c r="U53" s="238"/>
      <c r="V53" s="238"/>
      <c r="W53" s="238" t="s">
        <v>4168</v>
      </c>
      <c r="X53" s="238"/>
      <c r="Y53" s="10" t="s">
        <v>6087</v>
      </c>
      <c r="Z53" s="10" t="s">
        <v>4169</v>
      </c>
      <c r="AA53" s="238" t="s">
        <v>4170</v>
      </c>
      <c r="AB53" s="238"/>
      <c r="AC53" s="238"/>
      <c r="AD53" s="238"/>
      <c r="AE53" s="238"/>
      <c r="AF53" s="10" t="s">
        <v>6888</v>
      </c>
      <c r="AG53" s="237" t="s">
        <v>4171</v>
      </c>
      <c r="AH53" s="237"/>
      <c r="AI53" s="237"/>
      <c r="AJ53" s="237"/>
      <c r="AK53" s="237"/>
      <c r="AL53" s="2"/>
      <c r="AM53" s="2"/>
      <c r="AN53" s="2"/>
      <c r="AO53" s="2"/>
      <c r="AP53" s="7"/>
    </row>
    <row r="54" spans="1:42" ht="13.5" thickBot="1">
      <c r="A54" s="6"/>
      <c r="B54" s="2"/>
      <c r="C54" s="2"/>
      <c r="D54" s="244" t="s">
        <v>285</v>
      </c>
      <c r="E54" s="244"/>
      <c r="F54" s="238" t="s">
        <v>4172</v>
      </c>
      <c r="G54" s="238"/>
      <c r="H54" s="238"/>
      <c r="I54" s="238"/>
      <c r="J54" s="10" t="s">
        <v>6909</v>
      </c>
      <c r="K54" s="238" t="s">
        <v>6303</v>
      </c>
      <c r="L54" s="238"/>
      <c r="M54" s="238"/>
      <c r="N54" s="238" t="s">
        <v>4173</v>
      </c>
      <c r="O54" s="238"/>
      <c r="P54" s="238"/>
      <c r="Q54" s="238" t="s">
        <v>4174</v>
      </c>
      <c r="R54" s="238"/>
      <c r="S54" s="238"/>
      <c r="T54" s="238"/>
      <c r="U54" s="238"/>
      <c r="V54" s="238"/>
      <c r="W54" s="238" t="s">
        <v>6911</v>
      </c>
      <c r="X54" s="238"/>
      <c r="Y54" s="10" t="s">
        <v>2756</v>
      </c>
      <c r="Z54" s="10" t="s">
        <v>4175</v>
      </c>
      <c r="AA54" s="238" t="s">
        <v>2695</v>
      </c>
      <c r="AB54" s="238"/>
      <c r="AC54" s="238"/>
      <c r="AD54" s="238"/>
      <c r="AE54" s="238"/>
      <c r="AF54" s="10" t="s">
        <v>6450</v>
      </c>
      <c r="AG54" s="237" t="s">
        <v>4176</v>
      </c>
      <c r="AH54" s="237"/>
      <c r="AI54" s="237"/>
      <c r="AJ54" s="237"/>
      <c r="AK54" s="237"/>
      <c r="AL54" s="2"/>
      <c r="AM54" s="2"/>
      <c r="AN54" s="2"/>
      <c r="AO54" s="2"/>
      <c r="AP54" s="7"/>
    </row>
    <row r="55" spans="1:42" ht="13.5" thickBot="1">
      <c r="A55" s="6"/>
      <c r="B55" s="2"/>
      <c r="C55" s="2"/>
      <c r="D55" s="244" t="s">
        <v>295</v>
      </c>
      <c r="E55" s="244"/>
      <c r="F55" s="238" t="s">
        <v>6397</v>
      </c>
      <c r="G55" s="238"/>
      <c r="H55" s="238"/>
      <c r="I55" s="238"/>
      <c r="J55" s="10" t="s">
        <v>4177</v>
      </c>
      <c r="K55" s="238" t="s">
        <v>6087</v>
      </c>
      <c r="L55" s="238"/>
      <c r="M55" s="238"/>
      <c r="N55" s="238" t="s">
        <v>6177</v>
      </c>
      <c r="O55" s="238"/>
      <c r="P55" s="238"/>
      <c r="Q55" s="238" t="s">
        <v>378</v>
      </c>
      <c r="R55" s="238"/>
      <c r="S55" s="238"/>
      <c r="T55" s="238"/>
      <c r="U55" s="238"/>
      <c r="V55" s="238"/>
      <c r="W55" s="238" t="s">
        <v>6722</v>
      </c>
      <c r="X55" s="238"/>
      <c r="Y55" s="10" t="s">
        <v>6718</v>
      </c>
      <c r="Z55" s="10" t="s">
        <v>6177</v>
      </c>
      <c r="AA55" s="238" t="s">
        <v>6087</v>
      </c>
      <c r="AB55" s="238"/>
      <c r="AC55" s="238"/>
      <c r="AD55" s="238"/>
      <c r="AE55" s="238"/>
      <c r="AF55" s="10" t="s">
        <v>3266</v>
      </c>
      <c r="AG55" s="237" t="s">
        <v>6843</v>
      </c>
      <c r="AH55" s="237"/>
      <c r="AI55" s="237"/>
      <c r="AJ55" s="237"/>
      <c r="AK55" s="237"/>
      <c r="AL55" s="2"/>
      <c r="AM55" s="2"/>
      <c r="AN55" s="2"/>
      <c r="AO55" s="2"/>
      <c r="AP55" s="7"/>
    </row>
    <row r="56" spans="1:42" ht="13.5" thickBot="1">
      <c r="A56" s="6"/>
      <c r="B56" s="2"/>
      <c r="C56" s="2"/>
      <c r="D56" s="244" t="s">
        <v>307</v>
      </c>
      <c r="E56" s="244"/>
      <c r="F56" s="238" t="s">
        <v>4178</v>
      </c>
      <c r="G56" s="238"/>
      <c r="H56" s="238"/>
      <c r="I56" s="238"/>
      <c r="J56" s="10" t="s">
        <v>6862</v>
      </c>
      <c r="K56" s="238" t="s">
        <v>6017</v>
      </c>
      <c r="L56" s="238"/>
      <c r="M56" s="238"/>
      <c r="N56" s="238" t="s">
        <v>2746</v>
      </c>
      <c r="O56" s="238"/>
      <c r="P56" s="238"/>
      <c r="Q56" s="238" t="s">
        <v>4179</v>
      </c>
      <c r="R56" s="238"/>
      <c r="S56" s="238"/>
      <c r="T56" s="238"/>
      <c r="U56" s="238"/>
      <c r="V56" s="238"/>
      <c r="W56" s="238" t="s">
        <v>6971</v>
      </c>
      <c r="X56" s="238"/>
      <c r="Y56" s="10" t="s">
        <v>2746</v>
      </c>
      <c r="Z56" s="10" t="s">
        <v>4180</v>
      </c>
      <c r="AA56" s="238" t="s">
        <v>4181</v>
      </c>
      <c r="AB56" s="238"/>
      <c r="AC56" s="238"/>
      <c r="AD56" s="238"/>
      <c r="AE56" s="238"/>
      <c r="AF56" s="10" t="s">
        <v>3469</v>
      </c>
      <c r="AG56" s="237" t="s">
        <v>3046</v>
      </c>
      <c r="AH56" s="237"/>
      <c r="AI56" s="237"/>
      <c r="AJ56" s="237"/>
      <c r="AK56" s="237"/>
      <c r="AL56" s="2"/>
      <c r="AM56" s="2"/>
      <c r="AN56" s="2"/>
      <c r="AO56" s="2"/>
      <c r="AP56" s="7"/>
    </row>
    <row r="57" spans="1:42" ht="13.5" thickBot="1">
      <c r="A57" s="6"/>
      <c r="B57" s="2"/>
      <c r="C57" s="2"/>
      <c r="D57" s="244" t="s">
        <v>319</v>
      </c>
      <c r="E57" s="244"/>
      <c r="F57" s="237" t="s">
        <v>4182</v>
      </c>
      <c r="G57" s="237"/>
      <c r="H57" s="237"/>
      <c r="I57" s="237"/>
      <c r="J57" s="11" t="s">
        <v>4183</v>
      </c>
      <c r="K57" s="237" t="s">
        <v>6098</v>
      </c>
      <c r="L57" s="237"/>
      <c r="M57" s="237"/>
      <c r="N57" s="237" t="s">
        <v>4184</v>
      </c>
      <c r="O57" s="237"/>
      <c r="P57" s="237"/>
      <c r="Q57" s="237" t="s">
        <v>4185</v>
      </c>
      <c r="R57" s="237"/>
      <c r="S57" s="237"/>
      <c r="T57" s="237"/>
      <c r="U57" s="237"/>
      <c r="V57" s="237"/>
      <c r="W57" s="237" t="s">
        <v>2775</v>
      </c>
      <c r="X57" s="237"/>
      <c r="Y57" s="11" t="s">
        <v>4186</v>
      </c>
      <c r="Z57" s="11" t="s">
        <v>4187</v>
      </c>
      <c r="AA57" s="237" t="s">
        <v>3070</v>
      </c>
      <c r="AB57" s="237"/>
      <c r="AC57" s="237"/>
      <c r="AD57" s="237"/>
      <c r="AE57" s="237"/>
      <c r="AF57" s="11" t="s">
        <v>4188</v>
      </c>
      <c r="AG57" s="237" t="s">
        <v>3574</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tabColor indexed="37"/>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1.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4189</v>
      </c>
      <c r="E7" s="269"/>
      <c r="F7" s="269"/>
      <c r="G7" s="269"/>
      <c r="H7" s="269" t="s">
        <v>4190</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ALMARAZ-2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3287</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3288</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2.75" customHeight="1">
      <c r="A13" s="6"/>
      <c r="B13" s="1"/>
      <c r="C13" s="2"/>
      <c r="D13" s="247" t="s">
        <v>5716</v>
      </c>
      <c r="E13" s="247"/>
      <c r="F13" s="247"/>
      <c r="G13" s="247" t="s">
        <v>5709</v>
      </c>
      <c r="H13" s="247"/>
      <c r="I13" s="247" t="s">
        <v>1926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2947</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1044</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1006</v>
      </c>
    </row>
    <row r="18" spans="1:47" ht="13.5" thickBot="1">
      <c r="A18" s="6"/>
      <c r="B18" s="1"/>
      <c r="C18" s="1"/>
      <c r="D18" s="248" t="s">
        <v>185</v>
      </c>
      <c r="E18" s="248"/>
      <c r="F18" s="248"/>
      <c r="G18" s="248"/>
      <c r="H18" s="248"/>
      <c r="I18" s="248"/>
      <c r="J18" s="248"/>
      <c r="K18" s="248"/>
      <c r="L18" s="8" t="s">
        <v>5709</v>
      </c>
      <c r="M18" s="264">
        <v>2947</v>
      </c>
      <c r="N18" s="264"/>
      <c r="O18" s="264"/>
      <c r="P18" s="248" t="s">
        <v>186</v>
      </c>
      <c r="Q18" s="248"/>
      <c r="R18" s="248"/>
      <c r="S18" s="2"/>
      <c r="T18" s="2"/>
      <c r="U18" s="252" t="s">
        <v>187</v>
      </c>
      <c r="V18" s="252"/>
      <c r="W18" s="252"/>
      <c r="X18" s="252"/>
      <c r="Y18" s="252"/>
      <c r="Z18" s="252"/>
      <c r="AA18" s="252"/>
      <c r="AB18" s="247" t="s">
        <v>5709</v>
      </c>
      <c r="AC18" s="247"/>
      <c r="AD18" s="248" t="s">
        <v>3289</v>
      </c>
      <c r="AE18" s="248"/>
      <c r="AF18" s="248"/>
      <c r="AG18" s="248"/>
      <c r="AH18" s="248"/>
      <c r="AI18" s="248"/>
      <c r="AJ18" s="248"/>
      <c r="AK18" s="2"/>
      <c r="AL18" s="1"/>
      <c r="AM18" s="2"/>
      <c r="AN18" s="1"/>
      <c r="AO18" s="2"/>
      <c r="AP18" s="7"/>
      <c r="AT18" s="25" t="str">
        <f>D26</f>
        <v>Grid Date</v>
      </c>
      <c r="AU18" s="25">
        <f>M26</f>
        <v>30597</v>
      </c>
    </row>
    <row r="19" spans="1:47" ht="13.5" thickBot="1">
      <c r="A19" s="6"/>
      <c r="B19" s="1"/>
      <c r="C19" s="1"/>
      <c r="D19" s="248" t="s">
        <v>189</v>
      </c>
      <c r="E19" s="248"/>
      <c r="F19" s="248"/>
      <c r="G19" s="248"/>
      <c r="H19" s="248"/>
      <c r="I19" s="248"/>
      <c r="J19" s="248"/>
      <c r="K19" s="248"/>
      <c r="L19" s="8" t="s">
        <v>5709</v>
      </c>
      <c r="M19" s="264">
        <v>1044</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45000</v>
      </c>
    </row>
    <row r="20" spans="1:47" ht="13.5" thickBot="1">
      <c r="A20" s="6"/>
      <c r="B20" s="1"/>
      <c r="C20" s="1"/>
      <c r="D20" s="248" t="s">
        <v>193</v>
      </c>
      <c r="E20" s="248"/>
      <c r="F20" s="248"/>
      <c r="G20" s="248"/>
      <c r="H20" s="248"/>
      <c r="I20" s="248"/>
      <c r="J20" s="248"/>
      <c r="K20" s="248"/>
      <c r="L20" s="8" t="s">
        <v>5709</v>
      </c>
      <c r="M20" s="264">
        <v>930</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t="str">
        <f>Q57</f>
        <v>98.55</v>
      </c>
    </row>
    <row r="21" spans="1:47" ht="13.5" thickBot="1">
      <c r="A21" s="6"/>
      <c r="B21" s="1"/>
      <c r="C21" s="1"/>
      <c r="D21" s="248" t="s">
        <v>196</v>
      </c>
      <c r="E21" s="248"/>
      <c r="F21" s="248"/>
      <c r="G21" s="248"/>
      <c r="H21" s="248"/>
      <c r="I21" s="248"/>
      <c r="J21" s="248"/>
      <c r="K21" s="248"/>
      <c r="L21" s="8" t="s">
        <v>5709</v>
      </c>
      <c r="M21" s="264">
        <v>1006</v>
      </c>
      <c r="N21" s="264"/>
      <c r="O21" s="264"/>
      <c r="P21" s="248" t="s">
        <v>190</v>
      </c>
      <c r="Q21" s="248"/>
      <c r="R21" s="248"/>
      <c r="S21" s="2"/>
      <c r="T21" s="2"/>
      <c r="U21" s="252" t="s">
        <v>197</v>
      </c>
      <c r="V21" s="252"/>
      <c r="W21" s="252"/>
      <c r="X21" s="252"/>
      <c r="Y21" s="252"/>
      <c r="Z21" s="252"/>
      <c r="AA21" s="252"/>
      <c r="AB21" s="247" t="s">
        <v>5709</v>
      </c>
      <c r="AC21" s="247"/>
      <c r="AD21" s="248" t="s">
        <v>6545</v>
      </c>
      <c r="AE21" s="248"/>
      <c r="AF21" s="248"/>
      <c r="AG21" s="248"/>
      <c r="AH21" s="248"/>
      <c r="AI21" s="248"/>
      <c r="AJ21" s="248"/>
      <c r="AK21" s="2"/>
      <c r="AL21" s="1"/>
      <c r="AM21" s="2"/>
      <c r="AN21" s="1"/>
      <c r="AO21" s="2"/>
      <c r="AP21" s="7"/>
      <c r="AT21" s="23" t="str">
        <f>D57&amp;AF50</f>
        <v>LF [%]2010</v>
      </c>
      <c r="AU21" s="23" t="str">
        <f>AF57</f>
        <v>83.67</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3291</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26848</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30597</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3292</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30864</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4191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2827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3293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3294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3295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4192</v>
      </c>
      <c r="G51" s="238"/>
      <c r="H51" s="238"/>
      <c r="I51" s="238"/>
      <c r="J51" s="10" t="s">
        <v>4193</v>
      </c>
      <c r="K51" s="238" t="s">
        <v>4194</v>
      </c>
      <c r="L51" s="238"/>
      <c r="M51" s="238"/>
      <c r="N51" s="238" t="s">
        <v>4195</v>
      </c>
      <c r="O51" s="238"/>
      <c r="P51" s="238"/>
      <c r="Q51" s="238" t="s">
        <v>4196</v>
      </c>
      <c r="R51" s="238"/>
      <c r="S51" s="238"/>
      <c r="T51" s="238"/>
      <c r="U51" s="238"/>
      <c r="V51" s="238"/>
      <c r="W51" s="238" t="s">
        <v>4197</v>
      </c>
      <c r="X51" s="238"/>
      <c r="Y51" s="10" t="s">
        <v>4198</v>
      </c>
      <c r="Z51" s="10" t="s">
        <v>4199</v>
      </c>
      <c r="AA51" s="238" t="s">
        <v>4200</v>
      </c>
      <c r="AB51" s="238"/>
      <c r="AC51" s="238"/>
      <c r="AD51" s="238"/>
      <c r="AE51" s="238"/>
      <c r="AF51" s="10" t="s">
        <v>4201</v>
      </c>
      <c r="AG51" s="237" t="s">
        <v>4202</v>
      </c>
      <c r="AH51" s="237"/>
      <c r="AI51" s="237"/>
      <c r="AJ51" s="237"/>
      <c r="AK51" s="237"/>
      <c r="AL51" s="2"/>
      <c r="AM51" s="2"/>
      <c r="AN51" s="2"/>
      <c r="AO51" s="2"/>
      <c r="AP51" s="7"/>
    </row>
    <row r="52" spans="1:42" ht="13.5" thickBot="1">
      <c r="A52" s="6"/>
      <c r="B52" s="2"/>
      <c r="C52" s="2"/>
      <c r="D52" s="244" t="s">
        <v>261</v>
      </c>
      <c r="E52" s="244"/>
      <c r="F52" s="238" t="s">
        <v>4203</v>
      </c>
      <c r="G52" s="238"/>
      <c r="H52" s="238"/>
      <c r="I52" s="238"/>
      <c r="J52" s="10" t="s">
        <v>4204</v>
      </c>
      <c r="K52" s="238" t="s">
        <v>6198</v>
      </c>
      <c r="L52" s="238"/>
      <c r="M52" s="238"/>
      <c r="N52" s="238" t="s">
        <v>4185</v>
      </c>
      <c r="O52" s="238"/>
      <c r="P52" s="238"/>
      <c r="Q52" s="238" t="s">
        <v>2686</v>
      </c>
      <c r="R52" s="238"/>
      <c r="S52" s="238"/>
      <c r="T52" s="238"/>
      <c r="U52" s="238"/>
      <c r="V52" s="238"/>
      <c r="W52" s="238" t="s">
        <v>4205</v>
      </c>
      <c r="X52" s="238"/>
      <c r="Y52" s="10" t="s">
        <v>4206</v>
      </c>
      <c r="Z52" s="10" t="s">
        <v>4207</v>
      </c>
      <c r="AA52" s="238" t="s">
        <v>6413</v>
      </c>
      <c r="AB52" s="238"/>
      <c r="AC52" s="238"/>
      <c r="AD52" s="238"/>
      <c r="AE52" s="238"/>
      <c r="AF52" s="10" t="s">
        <v>4208</v>
      </c>
      <c r="AG52" s="237" t="s">
        <v>7118</v>
      </c>
      <c r="AH52" s="237"/>
      <c r="AI52" s="237"/>
      <c r="AJ52" s="237"/>
      <c r="AK52" s="237"/>
      <c r="AL52" s="2"/>
      <c r="AM52" s="2"/>
      <c r="AN52" s="2"/>
      <c r="AO52" s="2"/>
      <c r="AP52" s="7"/>
    </row>
    <row r="53" spans="1:42" ht="13.5" thickBot="1">
      <c r="A53" s="6"/>
      <c r="B53" s="2"/>
      <c r="C53" s="2"/>
      <c r="D53" s="244" t="s">
        <v>273</v>
      </c>
      <c r="E53" s="244"/>
      <c r="F53" s="238" t="s">
        <v>4209</v>
      </c>
      <c r="G53" s="238"/>
      <c r="H53" s="238"/>
      <c r="I53" s="238"/>
      <c r="J53" s="10" t="s">
        <v>375</v>
      </c>
      <c r="K53" s="238" t="s">
        <v>6967</v>
      </c>
      <c r="L53" s="238"/>
      <c r="M53" s="238"/>
      <c r="N53" s="238" t="s">
        <v>3002</v>
      </c>
      <c r="O53" s="238"/>
      <c r="P53" s="238"/>
      <c r="Q53" s="238" t="s">
        <v>6087</v>
      </c>
      <c r="R53" s="238"/>
      <c r="S53" s="238"/>
      <c r="T53" s="238"/>
      <c r="U53" s="238"/>
      <c r="V53" s="238"/>
      <c r="W53" s="238" t="s">
        <v>6968</v>
      </c>
      <c r="X53" s="238"/>
      <c r="Y53" s="10" t="s">
        <v>4210</v>
      </c>
      <c r="Z53" s="10" t="s">
        <v>6087</v>
      </c>
      <c r="AA53" s="238" t="s">
        <v>4211</v>
      </c>
      <c r="AB53" s="238"/>
      <c r="AC53" s="238"/>
      <c r="AD53" s="238"/>
      <c r="AE53" s="238"/>
      <c r="AF53" s="10" t="s">
        <v>4171</v>
      </c>
      <c r="AG53" s="237" t="s">
        <v>4212</v>
      </c>
      <c r="AH53" s="237"/>
      <c r="AI53" s="237"/>
      <c r="AJ53" s="237"/>
      <c r="AK53" s="237"/>
      <c r="AL53" s="2"/>
      <c r="AM53" s="2"/>
      <c r="AN53" s="2"/>
      <c r="AO53" s="2"/>
      <c r="AP53" s="7"/>
    </row>
    <row r="54" spans="1:42" ht="13.5" thickBot="1">
      <c r="A54" s="6"/>
      <c r="B54" s="2"/>
      <c r="C54" s="2"/>
      <c r="D54" s="244" t="s">
        <v>285</v>
      </c>
      <c r="E54" s="244"/>
      <c r="F54" s="238" t="s">
        <v>440</v>
      </c>
      <c r="G54" s="238"/>
      <c r="H54" s="238"/>
      <c r="I54" s="238"/>
      <c r="J54" s="10" t="s">
        <v>4213</v>
      </c>
      <c r="K54" s="238" t="s">
        <v>2779</v>
      </c>
      <c r="L54" s="238"/>
      <c r="M54" s="238"/>
      <c r="N54" s="238" t="s">
        <v>2944</v>
      </c>
      <c r="O54" s="238"/>
      <c r="P54" s="238"/>
      <c r="Q54" s="238" t="s">
        <v>4214</v>
      </c>
      <c r="R54" s="238"/>
      <c r="S54" s="238"/>
      <c r="T54" s="238"/>
      <c r="U54" s="238"/>
      <c r="V54" s="238"/>
      <c r="W54" s="238" t="s">
        <v>4215</v>
      </c>
      <c r="X54" s="238"/>
      <c r="Y54" s="10" t="s">
        <v>2684</v>
      </c>
      <c r="Z54" s="10" t="s">
        <v>4216</v>
      </c>
      <c r="AA54" s="238" t="s">
        <v>6297</v>
      </c>
      <c r="AB54" s="238"/>
      <c r="AC54" s="238"/>
      <c r="AD54" s="238"/>
      <c r="AE54" s="238"/>
      <c r="AF54" s="10" t="s">
        <v>4217</v>
      </c>
      <c r="AG54" s="237" t="s">
        <v>4218</v>
      </c>
      <c r="AH54" s="237"/>
      <c r="AI54" s="237"/>
      <c r="AJ54" s="237"/>
      <c r="AK54" s="237"/>
      <c r="AL54" s="2"/>
      <c r="AM54" s="2"/>
      <c r="AN54" s="2"/>
      <c r="AO54" s="2"/>
      <c r="AP54" s="7"/>
    </row>
    <row r="55" spans="1:42" ht="13.5" thickBot="1">
      <c r="A55" s="6"/>
      <c r="B55" s="2"/>
      <c r="C55" s="2"/>
      <c r="D55" s="244" t="s">
        <v>295</v>
      </c>
      <c r="E55" s="244"/>
      <c r="F55" s="238" t="s">
        <v>4219</v>
      </c>
      <c r="G55" s="238"/>
      <c r="H55" s="238"/>
      <c r="I55" s="238"/>
      <c r="J55" s="10" t="s">
        <v>4220</v>
      </c>
      <c r="K55" s="238" t="s">
        <v>4221</v>
      </c>
      <c r="L55" s="238"/>
      <c r="M55" s="238"/>
      <c r="N55" s="238" t="s">
        <v>3465</v>
      </c>
      <c r="O55" s="238"/>
      <c r="P55" s="238"/>
      <c r="Q55" s="238" t="s">
        <v>378</v>
      </c>
      <c r="R55" s="238"/>
      <c r="S55" s="238"/>
      <c r="T55" s="238"/>
      <c r="U55" s="238"/>
      <c r="V55" s="238"/>
      <c r="W55" s="238" t="s">
        <v>4222</v>
      </c>
      <c r="X55" s="238"/>
      <c r="Y55" s="10" t="s">
        <v>6087</v>
      </c>
      <c r="Z55" s="10" t="s">
        <v>6086</v>
      </c>
      <c r="AA55" s="238" t="s">
        <v>7020</v>
      </c>
      <c r="AB55" s="238"/>
      <c r="AC55" s="238"/>
      <c r="AD55" s="238"/>
      <c r="AE55" s="238"/>
      <c r="AF55" s="10" t="s">
        <v>4223</v>
      </c>
      <c r="AG55" s="237" t="s">
        <v>3135</v>
      </c>
      <c r="AH55" s="237"/>
      <c r="AI55" s="237"/>
      <c r="AJ55" s="237"/>
      <c r="AK55" s="237"/>
      <c r="AL55" s="2"/>
      <c r="AM55" s="2"/>
      <c r="AN55" s="2"/>
      <c r="AO55" s="2"/>
      <c r="AP55" s="7"/>
    </row>
    <row r="56" spans="1:42" ht="13.5" thickBot="1">
      <c r="A56" s="6"/>
      <c r="B56" s="2"/>
      <c r="C56" s="2"/>
      <c r="D56" s="244" t="s">
        <v>307</v>
      </c>
      <c r="E56" s="244"/>
      <c r="F56" s="238" t="s">
        <v>393</v>
      </c>
      <c r="G56" s="238"/>
      <c r="H56" s="238"/>
      <c r="I56" s="238"/>
      <c r="J56" s="10" t="s">
        <v>2746</v>
      </c>
      <c r="K56" s="238" t="s">
        <v>6988</v>
      </c>
      <c r="L56" s="238"/>
      <c r="M56" s="238"/>
      <c r="N56" s="238" t="s">
        <v>4224</v>
      </c>
      <c r="O56" s="238"/>
      <c r="P56" s="238"/>
      <c r="Q56" s="238" t="s">
        <v>2746</v>
      </c>
      <c r="R56" s="238"/>
      <c r="S56" s="238"/>
      <c r="T56" s="238"/>
      <c r="U56" s="238"/>
      <c r="V56" s="238"/>
      <c r="W56" s="238" t="s">
        <v>2947</v>
      </c>
      <c r="X56" s="238"/>
      <c r="Y56" s="10" t="s">
        <v>6828</v>
      </c>
      <c r="Z56" s="10" t="s">
        <v>2746</v>
      </c>
      <c r="AA56" s="238" t="s">
        <v>2692</v>
      </c>
      <c r="AB56" s="238"/>
      <c r="AC56" s="238"/>
      <c r="AD56" s="238"/>
      <c r="AE56" s="238"/>
      <c r="AF56" s="10" t="s">
        <v>4225</v>
      </c>
      <c r="AG56" s="237" t="s">
        <v>1951</v>
      </c>
      <c r="AH56" s="237"/>
      <c r="AI56" s="237"/>
      <c r="AJ56" s="237"/>
      <c r="AK56" s="237"/>
      <c r="AL56" s="2"/>
      <c r="AM56" s="2"/>
      <c r="AN56" s="2"/>
      <c r="AO56" s="2"/>
      <c r="AP56" s="7"/>
    </row>
    <row r="57" spans="1:42" ht="13.5" thickBot="1">
      <c r="A57" s="6"/>
      <c r="B57" s="2"/>
      <c r="C57" s="2"/>
      <c r="D57" s="244" t="s">
        <v>319</v>
      </c>
      <c r="E57" s="244"/>
      <c r="F57" s="237" t="s">
        <v>4226</v>
      </c>
      <c r="G57" s="237"/>
      <c r="H57" s="237"/>
      <c r="I57" s="237"/>
      <c r="J57" s="11" t="s">
        <v>4227</v>
      </c>
      <c r="K57" s="237" t="s">
        <v>6146</v>
      </c>
      <c r="L57" s="237"/>
      <c r="M57" s="237"/>
      <c r="N57" s="237" t="s">
        <v>6497</v>
      </c>
      <c r="O57" s="237"/>
      <c r="P57" s="237"/>
      <c r="Q57" s="237" t="s">
        <v>1962</v>
      </c>
      <c r="R57" s="237"/>
      <c r="S57" s="237"/>
      <c r="T57" s="237"/>
      <c r="U57" s="237"/>
      <c r="V57" s="237"/>
      <c r="W57" s="237" t="s">
        <v>4228</v>
      </c>
      <c r="X57" s="237"/>
      <c r="Y57" s="11" t="s">
        <v>4229</v>
      </c>
      <c r="Z57" s="11" t="s">
        <v>4207</v>
      </c>
      <c r="AA57" s="237" t="s">
        <v>7071</v>
      </c>
      <c r="AB57" s="237"/>
      <c r="AC57" s="237"/>
      <c r="AD57" s="237"/>
      <c r="AE57" s="237"/>
      <c r="AF57" s="11" t="s">
        <v>4230</v>
      </c>
      <c r="AG57" s="237" t="s">
        <v>4231</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indexed="37"/>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0.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4232</v>
      </c>
      <c r="E7" s="269"/>
      <c r="F7" s="269"/>
      <c r="G7" s="269"/>
      <c r="H7" s="269" t="s">
        <v>4233</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ASCO-1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4234</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4235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2.75" customHeight="1">
      <c r="A13" s="6"/>
      <c r="B13" s="1"/>
      <c r="C13" s="2"/>
      <c r="D13" s="247" t="s">
        <v>5716</v>
      </c>
      <c r="E13" s="247"/>
      <c r="F13" s="247"/>
      <c r="G13" s="247" t="s">
        <v>5709</v>
      </c>
      <c r="H13" s="247"/>
      <c r="I13" s="247" t="s">
        <v>1926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2941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1033</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995</v>
      </c>
    </row>
    <row r="18" spans="1:47" ht="13.5" thickBot="1">
      <c r="A18" s="6"/>
      <c r="B18" s="1"/>
      <c r="C18" s="1"/>
      <c r="D18" s="248" t="s">
        <v>185</v>
      </c>
      <c r="E18" s="248"/>
      <c r="F18" s="248"/>
      <c r="G18" s="248"/>
      <c r="H18" s="248"/>
      <c r="I18" s="248"/>
      <c r="J18" s="248"/>
      <c r="K18" s="248"/>
      <c r="L18" s="8" t="s">
        <v>5709</v>
      </c>
      <c r="M18" s="264">
        <v>2941</v>
      </c>
      <c r="N18" s="264"/>
      <c r="O18" s="264"/>
      <c r="P18" s="248" t="s">
        <v>186</v>
      </c>
      <c r="Q18" s="248"/>
      <c r="R18" s="248"/>
      <c r="S18" s="2"/>
      <c r="T18" s="2"/>
      <c r="U18" s="252" t="s">
        <v>187</v>
      </c>
      <c r="V18" s="252"/>
      <c r="W18" s="252"/>
      <c r="X18" s="252"/>
      <c r="Y18" s="252"/>
      <c r="Z18" s="252"/>
      <c r="AA18" s="252"/>
      <c r="AB18" s="247" t="s">
        <v>5709</v>
      </c>
      <c r="AC18" s="247"/>
      <c r="AD18" s="248" t="s">
        <v>4236</v>
      </c>
      <c r="AE18" s="248"/>
      <c r="AF18" s="248"/>
      <c r="AG18" s="248"/>
      <c r="AH18" s="248"/>
      <c r="AI18" s="248"/>
      <c r="AJ18" s="248"/>
      <c r="AK18" s="2"/>
      <c r="AL18" s="1"/>
      <c r="AM18" s="2"/>
      <c r="AN18" s="1"/>
      <c r="AO18" s="2"/>
      <c r="AP18" s="7"/>
      <c r="AT18" s="25" t="str">
        <f>D26</f>
        <v>Grid Date</v>
      </c>
      <c r="AU18" s="25">
        <f>M26</f>
        <v>30541</v>
      </c>
    </row>
    <row r="19" spans="1:47" ht="13.5" thickBot="1">
      <c r="A19" s="6"/>
      <c r="B19" s="1"/>
      <c r="C19" s="1"/>
      <c r="D19" s="248" t="s">
        <v>189</v>
      </c>
      <c r="E19" s="248"/>
      <c r="F19" s="248"/>
      <c r="G19" s="248"/>
      <c r="H19" s="248"/>
      <c r="I19" s="248"/>
      <c r="J19" s="248"/>
      <c r="K19" s="248"/>
      <c r="L19" s="8" t="s">
        <v>5709</v>
      </c>
      <c r="M19" s="264">
        <v>1033</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50500</v>
      </c>
    </row>
    <row r="20" spans="1:47" ht="13.5" thickBot="1">
      <c r="A20" s="6"/>
      <c r="B20" s="1"/>
      <c r="C20" s="1"/>
      <c r="D20" s="248" t="s">
        <v>193</v>
      </c>
      <c r="E20" s="248"/>
      <c r="F20" s="248"/>
      <c r="G20" s="248"/>
      <c r="H20" s="248"/>
      <c r="I20" s="248"/>
      <c r="J20" s="248"/>
      <c r="K20" s="248"/>
      <c r="L20" s="8" t="s">
        <v>5709</v>
      </c>
      <c r="M20" s="264">
        <v>888</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t="str">
        <f>Q57</f>
        <v>87.66</v>
      </c>
    </row>
    <row r="21" spans="1:47" ht="13.5" thickBot="1">
      <c r="A21" s="6"/>
      <c r="B21" s="1"/>
      <c r="C21" s="1"/>
      <c r="D21" s="248" t="s">
        <v>196</v>
      </c>
      <c r="E21" s="248"/>
      <c r="F21" s="248"/>
      <c r="G21" s="248"/>
      <c r="H21" s="248"/>
      <c r="I21" s="248"/>
      <c r="J21" s="248"/>
      <c r="K21" s="248"/>
      <c r="L21" s="8" t="s">
        <v>5709</v>
      </c>
      <c r="M21" s="264">
        <v>995</v>
      </c>
      <c r="N21" s="264"/>
      <c r="O21" s="264"/>
      <c r="P21" s="248" t="s">
        <v>190</v>
      </c>
      <c r="Q21" s="248"/>
      <c r="R21" s="248"/>
      <c r="S21" s="2"/>
      <c r="T21" s="2"/>
      <c r="U21" s="252" t="s">
        <v>197</v>
      </c>
      <c r="V21" s="252"/>
      <c r="W21" s="252"/>
      <c r="X21" s="252"/>
      <c r="Y21" s="252"/>
      <c r="Z21" s="252"/>
      <c r="AA21" s="252"/>
      <c r="AB21" s="247" t="s">
        <v>5709</v>
      </c>
      <c r="AC21" s="247"/>
      <c r="AD21" s="248" t="s">
        <v>4237</v>
      </c>
      <c r="AE21" s="248"/>
      <c r="AF21" s="248"/>
      <c r="AG21" s="248"/>
      <c r="AH21" s="248"/>
      <c r="AI21" s="248"/>
      <c r="AJ21" s="248"/>
      <c r="AK21" s="2"/>
      <c r="AL21" s="1"/>
      <c r="AM21" s="2"/>
      <c r="AN21" s="1"/>
      <c r="AO21" s="2"/>
      <c r="AP21" s="7"/>
      <c r="AT21" s="23" t="str">
        <f>D57&amp;AF50</f>
        <v>LF [%]2010</v>
      </c>
      <c r="AU21" s="23" t="str">
        <f>AF57</f>
        <v>91.74</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3291</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27165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30541</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4238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31026</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3541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4239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4240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4241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4242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4243</v>
      </c>
      <c r="G51" s="238"/>
      <c r="H51" s="238"/>
      <c r="I51" s="238"/>
      <c r="J51" s="10" t="s">
        <v>4244</v>
      </c>
      <c r="K51" s="238" t="s">
        <v>4245</v>
      </c>
      <c r="L51" s="238"/>
      <c r="M51" s="238"/>
      <c r="N51" s="238" t="s">
        <v>4246</v>
      </c>
      <c r="O51" s="238"/>
      <c r="P51" s="238"/>
      <c r="Q51" s="238" t="s">
        <v>4247</v>
      </c>
      <c r="R51" s="238"/>
      <c r="S51" s="238"/>
      <c r="T51" s="238"/>
      <c r="U51" s="238"/>
      <c r="V51" s="238"/>
      <c r="W51" s="238" t="s">
        <v>4248</v>
      </c>
      <c r="X51" s="238"/>
      <c r="Y51" s="10" t="s">
        <v>4249</v>
      </c>
      <c r="Z51" s="10" t="s">
        <v>4250</v>
      </c>
      <c r="AA51" s="238" t="s">
        <v>4251</v>
      </c>
      <c r="AB51" s="238"/>
      <c r="AC51" s="238"/>
      <c r="AD51" s="238"/>
      <c r="AE51" s="238"/>
      <c r="AF51" s="10" t="s">
        <v>4252</v>
      </c>
      <c r="AG51" s="237" t="s">
        <v>4253</v>
      </c>
      <c r="AH51" s="237"/>
      <c r="AI51" s="237"/>
      <c r="AJ51" s="237"/>
      <c r="AK51" s="237"/>
      <c r="AL51" s="2"/>
      <c r="AM51" s="2"/>
      <c r="AN51" s="2"/>
      <c r="AO51" s="2"/>
      <c r="AP51" s="7"/>
    </row>
    <row r="52" spans="1:42" ht="13.5" thickBot="1">
      <c r="A52" s="6"/>
      <c r="B52" s="2"/>
      <c r="C52" s="2"/>
      <c r="D52" s="244" t="s">
        <v>261</v>
      </c>
      <c r="E52" s="244"/>
      <c r="F52" s="238" t="s">
        <v>4254</v>
      </c>
      <c r="G52" s="238"/>
      <c r="H52" s="238"/>
      <c r="I52" s="238"/>
      <c r="J52" s="10" t="s">
        <v>4255</v>
      </c>
      <c r="K52" s="238" t="s">
        <v>2757</v>
      </c>
      <c r="L52" s="238"/>
      <c r="M52" s="238"/>
      <c r="N52" s="238" t="s">
        <v>6109</v>
      </c>
      <c r="O52" s="238"/>
      <c r="P52" s="238"/>
      <c r="Q52" s="238" t="s">
        <v>6969</v>
      </c>
      <c r="R52" s="238"/>
      <c r="S52" s="238"/>
      <c r="T52" s="238"/>
      <c r="U52" s="238"/>
      <c r="V52" s="238"/>
      <c r="W52" s="238" t="s">
        <v>4256</v>
      </c>
      <c r="X52" s="238"/>
      <c r="Y52" s="10" t="s">
        <v>3089</v>
      </c>
      <c r="Z52" s="10" t="s">
        <v>1850</v>
      </c>
      <c r="AA52" s="238" t="s">
        <v>4257</v>
      </c>
      <c r="AB52" s="238"/>
      <c r="AC52" s="238"/>
      <c r="AD52" s="238"/>
      <c r="AE52" s="238"/>
      <c r="AF52" s="10" t="s">
        <v>3090</v>
      </c>
      <c r="AG52" s="237" t="s">
        <v>2804</v>
      </c>
      <c r="AH52" s="237"/>
      <c r="AI52" s="237"/>
      <c r="AJ52" s="237"/>
      <c r="AK52" s="237"/>
      <c r="AL52" s="2"/>
      <c r="AM52" s="2"/>
      <c r="AN52" s="2"/>
      <c r="AO52" s="2"/>
      <c r="AP52" s="7"/>
    </row>
    <row r="53" spans="1:42" ht="13.5" thickBot="1">
      <c r="A53" s="6"/>
      <c r="B53" s="2"/>
      <c r="C53" s="2"/>
      <c r="D53" s="244" t="s">
        <v>273</v>
      </c>
      <c r="E53" s="244"/>
      <c r="F53" s="238" t="s">
        <v>4258</v>
      </c>
      <c r="G53" s="238"/>
      <c r="H53" s="238"/>
      <c r="I53" s="238"/>
      <c r="J53" s="10" t="s">
        <v>4259</v>
      </c>
      <c r="K53" s="238" t="s">
        <v>4260</v>
      </c>
      <c r="L53" s="238"/>
      <c r="M53" s="238"/>
      <c r="N53" s="238" t="s">
        <v>4261</v>
      </c>
      <c r="O53" s="238"/>
      <c r="P53" s="238"/>
      <c r="Q53" s="238" t="s">
        <v>4262</v>
      </c>
      <c r="R53" s="238"/>
      <c r="S53" s="238"/>
      <c r="T53" s="238"/>
      <c r="U53" s="238"/>
      <c r="V53" s="238"/>
      <c r="W53" s="238" t="s">
        <v>4263</v>
      </c>
      <c r="X53" s="238"/>
      <c r="Y53" s="10" t="s">
        <v>4264</v>
      </c>
      <c r="Z53" s="10" t="s">
        <v>4265</v>
      </c>
      <c r="AA53" s="238" t="s">
        <v>4266</v>
      </c>
      <c r="AB53" s="238"/>
      <c r="AC53" s="238"/>
      <c r="AD53" s="238"/>
      <c r="AE53" s="238"/>
      <c r="AF53" s="10" t="s">
        <v>6084</v>
      </c>
      <c r="AG53" s="237" t="s">
        <v>4267</v>
      </c>
      <c r="AH53" s="237"/>
      <c r="AI53" s="237"/>
      <c r="AJ53" s="237"/>
      <c r="AK53" s="237"/>
      <c r="AL53" s="2"/>
      <c r="AM53" s="2"/>
      <c r="AN53" s="2"/>
      <c r="AO53" s="2"/>
      <c r="AP53" s="7"/>
    </row>
    <row r="54" spans="1:42" ht="13.5" thickBot="1">
      <c r="A54" s="6"/>
      <c r="B54" s="2"/>
      <c r="C54" s="2"/>
      <c r="D54" s="244" t="s">
        <v>285</v>
      </c>
      <c r="E54" s="244"/>
      <c r="F54" s="238" t="s">
        <v>3379</v>
      </c>
      <c r="G54" s="238"/>
      <c r="H54" s="238"/>
      <c r="I54" s="238"/>
      <c r="J54" s="10" t="s">
        <v>4268</v>
      </c>
      <c r="K54" s="238" t="s">
        <v>6883</v>
      </c>
      <c r="L54" s="238"/>
      <c r="M54" s="238"/>
      <c r="N54" s="238" t="s">
        <v>6761</v>
      </c>
      <c r="O54" s="238"/>
      <c r="P54" s="238"/>
      <c r="Q54" s="238" t="s">
        <v>6992</v>
      </c>
      <c r="R54" s="238"/>
      <c r="S54" s="238"/>
      <c r="T54" s="238"/>
      <c r="U54" s="238"/>
      <c r="V54" s="238"/>
      <c r="W54" s="238" t="s">
        <v>445</v>
      </c>
      <c r="X54" s="238"/>
      <c r="Y54" s="10" t="s">
        <v>3470</v>
      </c>
      <c r="Z54" s="10" t="s">
        <v>6533</v>
      </c>
      <c r="AA54" s="238" t="s">
        <v>4269</v>
      </c>
      <c r="AB54" s="238"/>
      <c r="AC54" s="238"/>
      <c r="AD54" s="238"/>
      <c r="AE54" s="238"/>
      <c r="AF54" s="10" t="s">
        <v>4270</v>
      </c>
      <c r="AG54" s="237" t="s">
        <v>4271</v>
      </c>
      <c r="AH54" s="237"/>
      <c r="AI54" s="237"/>
      <c r="AJ54" s="237"/>
      <c r="AK54" s="237"/>
      <c r="AL54" s="2"/>
      <c r="AM54" s="2"/>
      <c r="AN54" s="2"/>
      <c r="AO54" s="2"/>
      <c r="AP54" s="7"/>
    </row>
    <row r="55" spans="1:42" ht="13.5" thickBot="1">
      <c r="A55" s="6"/>
      <c r="B55" s="2"/>
      <c r="C55" s="2"/>
      <c r="D55" s="244" t="s">
        <v>295</v>
      </c>
      <c r="E55" s="244"/>
      <c r="F55" s="238" t="s">
        <v>4272</v>
      </c>
      <c r="G55" s="238"/>
      <c r="H55" s="238"/>
      <c r="I55" s="238"/>
      <c r="J55" s="10" t="s">
        <v>1843</v>
      </c>
      <c r="K55" s="238" t="s">
        <v>6848</v>
      </c>
      <c r="L55" s="238"/>
      <c r="M55" s="238"/>
      <c r="N55" s="238" t="s">
        <v>1779</v>
      </c>
      <c r="O55" s="238"/>
      <c r="P55" s="238"/>
      <c r="Q55" s="238" t="s">
        <v>6247</v>
      </c>
      <c r="R55" s="238"/>
      <c r="S55" s="238"/>
      <c r="T55" s="238"/>
      <c r="U55" s="238"/>
      <c r="V55" s="238"/>
      <c r="W55" s="238" t="s">
        <v>6013</v>
      </c>
      <c r="X55" s="238"/>
      <c r="Y55" s="10" t="s">
        <v>6982</v>
      </c>
      <c r="Z55" s="10" t="s">
        <v>4273</v>
      </c>
      <c r="AA55" s="238" t="s">
        <v>4274</v>
      </c>
      <c r="AB55" s="238"/>
      <c r="AC55" s="238"/>
      <c r="AD55" s="238"/>
      <c r="AE55" s="238"/>
      <c r="AF55" s="10" t="s">
        <v>4209</v>
      </c>
      <c r="AG55" s="237" t="s">
        <v>4275</v>
      </c>
      <c r="AH55" s="237"/>
      <c r="AI55" s="237"/>
      <c r="AJ55" s="237"/>
      <c r="AK55" s="237"/>
      <c r="AL55" s="2"/>
      <c r="AM55" s="2"/>
      <c r="AN55" s="2"/>
      <c r="AO55" s="2"/>
      <c r="AP55" s="7"/>
    </row>
    <row r="56" spans="1:42" ht="13.5" thickBot="1">
      <c r="A56" s="6"/>
      <c r="B56" s="2"/>
      <c r="C56" s="2"/>
      <c r="D56" s="244" t="s">
        <v>307</v>
      </c>
      <c r="E56" s="244"/>
      <c r="F56" s="238" t="s">
        <v>6915</v>
      </c>
      <c r="G56" s="238"/>
      <c r="H56" s="238"/>
      <c r="I56" s="238"/>
      <c r="J56" s="10" t="s">
        <v>4276</v>
      </c>
      <c r="K56" s="238" t="s">
        <v>6850</v>
      </c>
      <c r="L56" s="238"/>
      <c r="M56" s="238"/>
      <c r="N56" s="238" t="s">
        <v>4277</v>
      </c>
      <c r="O56" s="238"/>
      <c r="P56" s="238"/>
      <c r="Q56" s="238" t="s">
        <v>391</v>
      </c>
      <c r="R56" s="238"/>
      <c r="S56" s="238"/>
      <c r="T56" s="238"/>
      <c r="U56" s="238"/>
      <c r="V56" s="238"/>
      <c r="W56" s="238" t="s">
        <v>4278</v>
      </c>
      <c r="X56" s="238"/>
      <c r="Y56" s="10" t="s">
        <v>1975</v>
      </c>
      <c r="Z56" s="10" t="s">
        <v>2947</v>
      </c>
      <c r="AA56" s="238" t="s">
        <v>4279</v>
      </c>
      <c r="AB56" s="238"/>
      <c r="AC56" s="238"/>
      <c r="AD56" s="238"/>
      <c r="AE56" s="238"/>
      <c r="AF56" s="10" t="s">
        <v>323</v>
      </c>
      <c r="AG56" s="237" t="s">
        <v>6019</v>
      </c>
      <c r="AH56" s="237"/>
      <c r="AI56" s="237"/>
      <c r="AJ56" s="237"/>
      <c r="AK56" s="237"/>
      <c r="AL56" s="2"/>
      <c r="AM56" s="2"/>
      <c r="AN56" s="2"/>
      <c r="AO56" s="2"/>
      <c r="AP56" s="7"/>
    </row>
    <row r="57" spans="1:42" ht="13.5" thickBot="1">
      <c r="A57" s="6"/>
      <c r="B57" s="2"/>
      <c r="C57" s="2"/>
      <c r="D57" s="244" t="s">
        <v>319</v>
      </c>
      <c r="E57" s="244"/>
      <c r="F57" s="237" t="s">
        <v>6431</v>
      </c>
      <c r="G57" s="237"/>
      <c r="H57" s="237"/>
      <c r="I57" s="237"/>
      <c r="J57" s="11" t="s">
        <v>4280</v>
      </c>
      <c r="K57" s="237" t="s">
        <v>4281</v>
      </c>
      <c r="L57" s="237"/>
      <c r="M57" s="237"/>
      <c r="N57" s="237" t="s">
        <v>6077</v>
      </c>
      <c r="O57" s="237"/>
      <c r="P57" s="237"/>
      <c r="Q57" s="237" t="s">
        <v>2688</v>
      </c>
      <c r="R57" s="237"/>
      <c r="S57" s="237"/>
      <c r="T57" s="237"/>
      <c r="U57" s="237"/>
      <c r="V57" s="237"/>
      <c r="W57" s="237" t="s">
        <v>6542</v>
      </c>
      <c r="X57" s="237"/>
      <c r="Y57" s="11" t="s">
        <v>3529</v>
      </c>
      <c r="Z57" s="11" t="s">
        <v>4282</v>
      </c>
      <c r="AA57" s="237" t="s">
        <v>4257</v>
      </c>
      <c r="AB57" s="237"/>
      <c r="AC57" s="237"/>
      <c r="AD57" s="237"/>
      <c r="AE57" s="237"/>
      <c r="AF57" s="11" t="s">
        <v>3090</v>
      </c>
      <c r="AG57" s="237" t="s">
        <v>4283</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tabColor indexed="37"/>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0.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4284</v>
      </c>
      <c r="E7" s="269"/>
      <c r="F7" s="269"/>
      <c r="G7" s="269"/>
      <c r="H7" s="269" t="s">
        <v>4285</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ASCO-2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4234</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4286</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2.75" customHeight="1">
      <c r="A13" s="6"/>
      <c r="B13" s="1"/>
      <c r="C13" s="2"/>
      <c r="D13" s="247" t="s">
        <v>5716</v>
      </c>
      <c r="E13" s="247"/>
      <c r="F13" s="247"/>
      <c r="G13" s="247" t="s">
        <v>5709</v>
      </c>
      <c r="H13" s="247"/>
      <c r="I13" s="247" t="s">
        <v>1926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2941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1027</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997</v>
      </c>
    </row>
    <row r="18" spans="1:47" ht="13.5" thickBot="1">
      <c r="A18" s="6"/>
      <c r="B18" s="1"/>
      <c r="C18" s="1"/>
      <c r="D18" s="248" t="s">
        <v>185</v>
      </c>
      <c r="E18" s="248"/>
      <c r="F18" s="248"/>
      <c r="G18" s="248"/>
      <c r="H18" s="248"/>
      <c r="I18" s="248"/>
      <c r="J18" s="248"/>
      <c r="K18" s="248"/>
      <c r="L18" s="8" t="s">
        <v>5709</v>
      </c>
      <c r="M18" s="264">
        <v>2941</v>
      </c>
      <c r="N18" s="264"/>
      <c r="O18" s="264"/>
      <c r="P18" s="248" t="s">
        <v>186</v>
      </c>
      <c r="Q18" s="248"/>
      <c r="R18" s="248"/>
      <c r="S18" s="2"/>
      <c r="T18" s="2"/>
      <c r="U18" s="252" t="s">
        <v>187</v>
      </c>
      <c r="V18" s="252"/>
      <c r="W18" s="252"/>
      <c r="X18" s="252"/>
      <c r="Y18" s="252"/>
      <c r="Z18" s="252"/>
      <c r="AA18" s="252"/>
      <c r="AB18" s="247" t="s">
        <v>5709</v>
      </c>
      <c r="AC18" s="247"/>
      <c r="AD18" s="248" t="s">
        <v>4236</v>
      </c>
      <c r="AE18" s="248"/>
      <c r="AF18" s="248"/>
      <c r="AG18" s="248"/>
      <c r="AH18" s="248"/>
      <c r="AI18" s="248"/>
      <c r="AJ18" s="248"/>
      <c r="AK18" s="2"/>
      <c r="AL18" s="1"/>
      <c r="AM18" s="2"/>
      <c r="AN18" s="1"/>
      <c r="AO18" s="2"/>
      <c r="AP18" s="7"/>
      <c r="AT18" s="25" t="str">
        <f>D26</f>
        <v>Grid Date</v>
      </c>
      <c r="AU18" s="25">
        <f>M26</f>
        <v>31343</v>
      </c>
    </row>
    <row r="19" spans="1:47" ht="13.5" thickBot="1">
      <c r="A19" s="6"/>
      <c r="B19" s="1"/>
      <c r="C19" s="1"/>
      <c r="D19" s="248" t="s">
        <v>189</v>
      </c>
      <c r="E19" s="248"/>
      <c r="F19" s="248"/>
      <c r="G19" s="248"/>
      <c r="H19" s="248"/>
      <c r="I19" s="248"/>
      <c r="J19" s="248"/>
      <c r="K19" s="248"/>
      <c r="L19" s="8" t="s">
        <v>5709</v>
      </c>
      <c r="M19" s="264">
        <v>1027</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50500</v>
      </c>
    </row>
    <row r="20" spans="1:47" ht="13.5" thickBot="1">
      <c r="A20" s="6"/>
      <c r="B20" s="1"/>
      <c r="C20" s="1"/>
      <c r="D20" s="248" t="s">
        <v>193</v>
      </c>
      <c r="E20" s="248"/>
      <c r="F20" s="248"/>
      <c r="G20" s="248"/>
      <c r="H20" s="248"/>
      <c r="I20" s="248"/>
      <c r="J20" s="248"/>
      <c r="K20" s="248"/>
      <c r="L20" s="8" t="s">
        <v>5709</v>
      </c>
      <c r="M20" s="264">
        <v>888</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t="str">
        <f>Q57</f>
        <v>84.95</v>
      </c>
    </row>
    <row r="21" spans="1:47" ht="13.5" thickBot="1">
      <c r="A21" s="6"/>
      <c r="B21" s="1"/>
      <c r="C21" s="1"/>
      <c r="D21" s="248" t="s">
        <v>196</v>
      </c>
      <c r="E21" s="248"/>
      <c r="F21" s="248"/>
      <c r="G21" s="248"/>
      <c r="H21" s="248"/>
      <c r="I21" s="248"/>
      <c r="J21" s="248"/>
      <c r="K21" s="248"/>
      <c r="L21" s="8" t="s">
        <v>5709</v>
      </c>
      <c r="M21" s="264">
        <v>997</v>
      </c>
      <c r="N21" s="264"/>
      <c r="O21" s="264"/>
      <c r="P21" s="248" t="s">
        <v>190</v>
      </c>
      <c r="Q21" s="248"/>
      <c r="R21" s="248"/>
      <c r="S21" s="2"/>
      <c r="T21" s="2"/>
      <c r="U21" s="252" t="s">
        <v>197</v>
      </c>
      <c r="V21" s="252"/>
      <c r="W21" s="252"/>
      <c r="X21" s="252"/>
      <c r="Y21" s="252"/>
      <c r="Z21" s="252"/>
      <c r="AA21" s="252"/>
      <c r="AB21" s="247" t="s">
        <v>5709</v>
      </c>
      <c r="AC21" s="247"/>
      <c r="AD21" s="248" t="s">
        <v>4237</v>
      </c>
      <c r="AE21" s="248"/>
      <c r="AF21" s="248"/>
      <c r="AG21" s="248"/>
      <c r="AH21" s="248"/>
      <c r="AI21" s="248"/>
      <c r="AJ21" s="248"/>
      <c r="AK21" s="2"/>
      <c r="AL21" s="1"/>
      <c r="AM21" s="2"/>
      <c r="AN21" s="1"/>
      <c r="AO21" s="2"/>
      <c r="AP21" s="7"/>
      <c r="AT21" s="23" t="str">
        <f>D57&amp;AF50</f>
        <v>LF [%]2010</v>
      </c>
      <c r="AU21" s="23" t="str">
        <f>AF57</f>
        <v>83.69</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3291</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27460</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31343</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4238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31502</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3541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4239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4287</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4241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4242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4288</v>
      </c>
      <c r="G51" s="238"/>
      <c r="H51" s="238"/>
      <c r="I51" s="238"/>
      <c r="J51" s="10" t="s">
        <v>4289</v>
      </c>
      <c r="K51" s="238" t="s">
        <v>4290</v>
      </c>
      <c r="L51" s="238"/>
      <c r="M51" s="238"/>
      <c r="N51" s="238" t="s">
        <v>4291</v>
      </c>
      <c r="O51" s="238"/>
      <c r="P51" s="238"/>
      <c r="Q51" s="238" t="s">
        <v>4292</v>
      </c>
      <c r="R51" s="238"/>
      <c r="S51" s="238"/>
      <c r="T51" s="238"/>
      <c r="U51" s="238"/>
      <c r="V51" s="238"/>
      <c r="W51" s="238" t="s">
        <v>4293</v>
      </c>
      <c r="X51" s="238"/>
      <c r="Y51" s="10" t="s">
        <v>4294</v>
      </c>
      <c r="Z51" s="10" t="s">
        <v>4295</v>
      </c>
      <c r="AA51" s="238" t="s">
        <v>4296</v>
      </c>
      <c r="AB51" s="238"/>
      <c r="AC51" s="238"/>
      <c r="AD51" s="238"/>
      <c r="AE51" s="238"/>
      <c r="AF51" s="10" t="s">
        <v>4297</v>
      </c>
      <c r="AG51" s="237" t="s">
        <v>4298</v>
      </c>
      <c r="AH51" s="237"/>
      <c r="AI51" s="237"/>
      <c r="AJ51" s="237"/>
      <c r="AK51" s="237"/>
      <c r="AL51" s="2"/>
      <c r="AM51" s="2"/>
      <c r="AN51" s="2"/>
      <c r="AO51" s="2"/>
      <c r="AP51" s="7"/>
    </row>
    <row r="52" spans="1:42" ht="13.5" thickBot="1">
      <c r="A52" s="6"/>
      <c r="B52" s="2"/>
      <c r="C52" s="2"/>
      <c r="D52" s="244" t="s">
        <v>261</v>
      </c>
      <c r="E52" s="244"/>
      <c r="F52" s="238" t="s">
        <v>3499</v>
      </c>
      <c r="G52" s="238"/>
      <c r="H52" s="238"/>
      <c r="I52" s="238"/>
      <c r="J52" s="10" t="s">
        <v>4299</v>
      </c>
      <c r="K52" s="238" t="s">
        <v>4300</v>
      </c>
      <c r="L52" s="238"/>
      <c r="M52" s="238"/>
      <c r="N52" s="238" t="s">
        <v>4301</v>
      </c>
      <c r="O52" s="238"/>
      <c r="P52" s="238"/>
      <c r="Q52" s="238" t="s">
        <v>3446</v>
      </c>
      <c r="R52" s="238"/>
      <c r="S52" s="238"/>
      <c r="T52" s="238"/>
      <c r="U52" s="238"/>
      <c r="V52" s="238"/>
      <c r="W52" s="238" t="s">
        <v>4302</v>
      </c>
      <c r="X52" s="238"/>
      <c r="Y52" s="10" t="s">
        <v>4303</v>
      </c>
      <c r="Z52" s="10" t="s">
        <v>4304</v>
      </c>
      <c r="AA52" s="238" t="s">
        <v>4305</v>
      </c>
      <c r="AB52" s="238"/>
      <c r="AC52" s="238"/>
      <c r="AD52" s="238"/>
      <c r="AE52" s="238"/>
      <c r="AF52" s="10" t="s">
        <v>6477</v>
      </c>
      <c r="AG52" s="237" t="s">
        <v>4306</v>
      </c>
      <c r="AH52" s="237"/>
      <c r="AI52" s="237"/>
      <c r="AJ52" s="237"/>
      <c r="AK52" s="237"/>
      <c r="AL52" s="2"/>
      <c r="AM52" s="2"/>
      <c r="AN52" s="2"/>
      <c r="AO52" s="2"/>
      <c r="AP52" s="7"/>
    </row>
    <row r="53" spans="1:42" ht="13.5" thickBot="1">
      <c r="A53" s="6"/>
      <c r="B53" s="2"/>
      <c r="C53" s="2"/>
      <c r="D53" s="244" t="s">
        <v>273</v>
      </c>
      <c r="E53" s="244"/>
      <c r="F53" s="238" t="s">
        <v>3520</v>
      </c>
      <c r="G53" s="238"/>
      <c r="H53" s="238"/>
      <c r="I53" s="238"/>
      <c r="J53" s="10" t="s">
        <v>4307</v>
      </c>
      <c r="K53" s="238" t="s">
        <v>304</v>
      </c>
      <c r="L53" s="238"/>
      <c r="M53" s="238"/>
      <c r="N53" s="238" t="s">
        <v>4308</v>
      </c>
      <c r="O53" s="238"/>
      <c r="P53" s="238"/>
      <c r="Q53" s="238" t="s">
        <v>4309</v>
      </c>
      <c r="R53" s="238"/>
      <c r="S53" s="238"/>
      <c r="T53" s="238"/>
      <c r="U53" s="238"/>
      <c r="V53" s="238"/>
      <c r="W53" s="238" t="s">
        <v>6010</v>
      </c>
      <c r="X53" s="238"/>
      <c r="Y53" s="10" t="s">
        <v>6442</v>
      </c>
      <c r="Z53" s="10" t="s">
        <v>4310</v>
      </c>
      <c r="AA53" s="238" t="s">
        <v>3187</v>
      </c>
      <c r="AB53" s="238"/>
      <c r="AC53" s="238"/>
      <c r="AD53" s="238"/>
      <c r="AE53" s="238"/>
      <c r="AF53" s="10" t="s">
        <v>6775</v>
      </c>
      <c r="AG53" s="237" t="s">
        <v>4311</v>
      </c>
      <c r="AH53" s="237"/>
      <c r="AI53" s="237"/>
      <c r="AJ53" s="237"/>
      <c r="AK53" s="237"/>
      <c r="AL53" s="2"/>
      <c r="AM53" s="2"/>
      <c r="AN53" s="2"/>
      <c r="AO53" s="2"/>
      <c r="AP53" s="7"/>
    </row>
    <row r="54" spans="1:42" ht="13.5" thickBot="1">
      <c r="A54" s="6"/>
      <c r="B54" s="2"/>
      <c r="C54" s="2"/>
      <c r="D54" s="244" t="s">
        <v>285</v>
      </c>
      <c r="E54" s="244"/>
      <c r="F54" s="238" t="s">
        <v>4312</v>
      </c>
      <c r="G54" s="238"/>
      <c r="H54" s="238"/>
      <c r="I54" s="238"/>
      <c r="J54" s="10" t="s">
        <v>4313</v>
      </c>
      <c r="K54" s="238" t="s">
        <v>4172</v>
      </c>
      <c r="L54" s="238"/>
      <c r="M54" s="238"/>
      <c r="N54" s="238" t="s">
        <v>3562</v>
      </c>
      <c r="O54" s="238"/>
      <c r="P54" s="238"/>
      <c r="Q54" s="238" t="s">
        <v>4314</v>
      </c>
      <c r="R54" s="238"/>
      <c r="S54" s="238"/>
      <c r="T54" s="238"/>
      <c r="U54" s="238"/>
      <c r="V54" s="238"/>
      <c r="W54" s="238" t="s">
        <v>3522</v>
      </c>
      <c r="X54" s="238"/>
      <c r="Y54" s="10" t="s">
        <v>4315</v>
      </c>
      <c r="Z54" s="10" t="s">
        <v>1985</v>
      </c>
      <c r="AA54" s="238" t="s">
        <v>1980</v>
      </c>
      <c r="AB54" s="238"/>
      <c r="AC54" s="238"/>
      <c r="AD54" s="238"/>
      <c r="AE54" s="238"/>
      <c r="AF54" s="10" t="s">
        <v>4316</v>
      </c>
      <c r="AG54" s="237" t="s">
        <v>3459</v>
      </c>
      <c r="AH54" s="237"/>
      <c r="AI54" s="237"/>
      <c r="AJ54" s="237"/>
      <c r="AK54" s="237"/>
      <c r="AL54" s="2"/>
      <c r="AM54" s="2"/>
      <c r="AN54" s="2"/>
      <c r="AO54" s="2"/>
      <c r="AP54" s="7"/>
    </row>
    <row r="55" spans="1:42" ht="13.5" thickBot="1">
      <c r="A55" s="6"/>
      <c r="B55" s="2"/>
      <c r="C55" s="2"/>
      <c r="D55" s="244" t="s">
        <v>295</v>
      </c>
      <c r="E55" s="244"/>
      <c r="F55" s="238" t="s">
        <v>6180</v>
      </c>
      <c r="G55" s="238"/>
      <c r="H55" s="238"/>
      <c r="I55" s="238"/>
      <c r="J55" s="10" t="s">
        <v>1901</v>
      </c>
      <c r="K55" s="238" t="s">
        <v>4317</v>
      </c>
      <c r="L55" s="238"/>
      <c r="M55" s="238"/>
      <c r="N55" s="238" t="s">
        <v>4318</v>
      </c>
      <c r="O55" s="238"/>
      <c r="P55" s="238"/>
      <c r="Q55" s="238" t="s">
        <v>279</v>
      </c>
      <c r="R55" s="238"/>
      <c r="S55" s="238"/>
      <c r="T55" s="238"/>
      <c r="U55" s="238"/>
      <c r="V55" s="238"/>
      <c r="W55" s="238" t="s">
        <v>3093</v>
      </c>
      <c r="X55" s="238"/>
      <c r="Y55" s="10" t="s">
        <v>3261</v>
      </c>
      <c r="Z55" s="10" t="s">
        <v>378</v>
      </c>
      <c r="AA55" s="238" t="s">
        <v>4319</v>
      </c>
      <c r="AB55" s="238"/>
      <c r="AC55" s="238"/>
      <c r="AD55" s="238"/>
      <c r="AE55" s="238"/>
      <c r="AF55" s="10" t="s">
        <v>378</v>
      </c>
      <c r="AG55" s="237" t="s">
        <v>4320</v>
      </c>
      <c r="AH55" s="237"/>
      <c r="AI55" s="237"/>
      <c r="AJ55" s="237"/>
      <c r="AK55" s="237"/>
      <c r="AL55" s="2"/>
      <c r="AM55" s="2"/>
      <c r="AN55" s="2"/>
      <c r="AO55" s="2"/>
      <c r="AP55" s="7"/>
    </row>
    <row r="56" spans="1:42" ht="13.5" thickBot="1">
      <c r="A56" s="6"/>
      <c r="B56" s="2"/>
      <c r="C56" s="2"/>
      <c r="D56" s="244" t="s">
        <v>307</v>
      </c>
      <c r="E56" s="244"/>
      <c r="F56" s="238" t="s">
        <v>4321</v>
      </c>
      <c r="G56" s="238"/>
      <c r="H56" s="238"/>
      <c r="I56" s="238"/>
      <c r="J56" s="10" t="s">
        <v>4322</v>
      </c>
      <c r="K56" s="238" t="s">
        <v>4323</v>
      </c>
      <c r="L56" s="238"/>
      <c r="M56" s="238"/>
      <c r="N56" s="238" t="s">
        <v>4324</v>
      </c>
      <c r="O56" s="238"/>
      <c r="P56" s="238"/>
      <c r="Q56" s="238" t="s">
        <v>6062</v>
      </c>
      <c r="R56" s="238"/>
      <c r="S56" s="238"/>
      <c r="T56" s="238"/>
      <c r="U56" s="238"/>
      <c r="V56" s="238"/>
      <c r="W56" s="238" t="s">
        <v>3004</v>
      </c>
      <c r="X56" s="238"/>
      <c r="Y56" s="10" t="s">
        <v>7095</v>
      </c>
      <c r="Z56" s="10" t="s">
        <v>4325</v>
      </c>
      <c r="AA56" s="238" t="s">
        <v>1908</v>
      </c>
      <c r="AB56" s="238"/>
      <c r="AC56" s="238"/>
      <c r="AD56" s="238"/>
      <c r="AE56" s="238"/>
      <c r="AF56" s="10" t="s">
        <v>4228</v>
      </c>
      <c r="AG56" s="237" t="s">
        <v>4326</v>
      </c>
      <c r="AH56" s="237"/>
      <c r="AI56" s="237"/>
      <c r="AJ56" s="237"/>
      <c r="AK56" s="237"/>
      <c r="AL56" s="2"/>
      <c r="AM56" s="2"/>
      <c r="AN56" s="2"/>
      <c r="AO56" s="2"/>
      <c r="AP56" s="7"/>
    </row>
    <row r="57" spans="1:42" ht="13.5" thickBot="1">
      <c r="A57" s="6"/>
      <c r="B57" s="2"/>
      <c r="C57" s="2"/>
      <c r="D57" s="244" t="s">
        <v>319</v>
      </c>
      <c r="E57" s="244"/>
      <c r="F57" s="237" t="s">
        <v>4327</v>
      </c>
      <c r="G57" s="237"/>
      <c r="H57" s="237"/>
      <c r="I57" s="237"/>
      <c r="J57" s="11" t="s">
        <v>4328</v>
      </c>
      <c r="K57" s="237" t="s">
        <v>4329</v>
      </c>
      <c r="L57" s="237"/>
      <c r="M57" s="237"/>
      <c r="N57" s="237" t="s">
        <v>4330</v>
      </c>
      <c r="O57" s="237"/>
      <c r="P57" s="237"/>
      <c r="Q57" s="237" t="s">
        <v>4331</v>
      </c>
      <c r="R57" s="237"/>
      <c r="S57" s="237"/>
      <c r="T57" s="237"/>
      <c r="U57" s="237"/>
      <c r="V57" s="237"/>
      <c r="W57" s="237" t="s">
        <v>6470</v>
      </c>
      <c r="X57" s="237"/>
      <c r="Y57" s="11" t="s">
        <v>4332</v>
      </c>
      <c r="Z57" s="11" t="s">
        <v>4333</v>
      </c>
      <c r="AA57" s="237" t="s">
        <v>4305</v>
      </c>
      <c r="AB57" s="237"/>
      <c r="AC57" s="237"/>
      <c r="AD57" s="237"/>
      <c r="AE57" s="237"/>
      <c r="AF57" s="11" t="s">
        <v>6477</v>
      </c>
      <c r="AG57" s="237" t="s">
        <v>3446</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indexed="37"/>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4334</v>
      </c>
      <c r="E7" s="269"/>
      <c r="F7" s="269"/>
      <c r="G7" s="269"/>
      <c r="H7" s="269" t="s">
        <v>4335</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COFRENTES</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4336</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4336</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4337</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BWR-6</v>
      </c>
    </row>
    <row r="13" spans="1:47" ht="12.75" customHeight="1">
      <c r="A13" s="6"/>
      <c r="B13" s="1"/>
      <c r="C13" s="2"/>
      <c r="D13" s="247" t="s">
        <v>5716</v>
      </c>
      <c r="E13" s="247"/>
      <c r="F13" s="247"/>
      <c r="G13" s="247" t="s">
        <v>5709</v>
      </c>
      <c r="H13" s="247"/>
      <c r="I13" s="247" t="s">
        <v>4337</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3237</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1092</v>
      </c>
    </row>
    <row r="17" spans="1:47" ht="11.45" customHeight="1" thickBot="1">
      <c r="A17" s="6"/>
      <c r="B17" s="1"/>
      <c r="C17" s="1"/>
      <c r="D17" s="248" t="s">
        <v>5722</v>
      </c>
      <c r="E17" s="248"/>
      <c r="F17" s="248"/>
      <c r="G17" s="247" t="s">
        <v>5709</v>
      </c>
      <c r="H17" s="247"/>
      <c r="I17" s="248" t="s">
        <v>4338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1064</v>
      </c>
    </row>
    <row r="18" spans="1:47" ht="13.5" thickBot="1">
      <c r="A18" s="6"/>
      <c r="B18" s="1"/>
      <c r="C18" s="1"/>
      <c r="D18" s="248" t="s">
        <v>185</v>
      </c>
      <c r="E18" s="248"/>
      <c r="F18" s="248"/>
      <c r="G18" s="248"/>
      <c r="H18" s="248"/>
      <c r="I18" s="248"/>
      <c r="J18" s="248"/>
      <c r="K18" s="248"/>
      <c r="L18" s="8" t="s">
        <v>5709</v>
      </c>
      <c r="M18" s="264">
        <v>3237</v>
      </c>
      <c r="N18" s="264"/>
      <c r="O18" s="264"/>
      <c r="P18" s="248" t="s">
        <v>186</v>
      </c>
      <c r="Q18" s="248"/>
      <c r="R18" s="248"/>
      <c r="S18" s="2"/>
      <c r="T18" s="2"/>
      <c r="U18" s="252" t="s">
        <v>187</v>
      </c>
      <c r="V18" s="252"/>
      <c r="W18" s="252"/>
      <c r="X18" s="252"/>
      <c r="Y18" s="252"/>
      <c r="Z18" s="252"/>
      <c r="AA18" s="252"/>
      <c r="AB18" s="247" t="s">
        <v>5709</v>
      </c>
      <c r="AC18" s="247"/>
      <c r="AD18" s="248" t="s">
        <v>4339</v>
      </c>
      <c r="AE18" s="248"/>
      <c r="AF18" s="248"/>
      <c r="AG18" s="248"/>
      <c r="AH18" s="248"/>
      <c r="AI18" s="248"/>
      <c r="AJ18" s="248"/>
      <c r="AK18" s="2"/>
      <c r="AL18" s="1"/>
      <c r="AM18" s="2"/>
      <c r="AN18" s="1"/>
      <c r="AO18" s="2"/>
      <c r="AP18" s="7"/>
      <c r="AT18" s="25" t="str">
        <f>D26</f>
        <v>Grid Date</v>
      </c>
      <c r="AU18" s="25">
        <f>M26</f>
        <v>30969</v>
      </c>
    </row>
    <row r="19" spans="1:47" ht="13.5" thickBot="1">
      <c r="A19" s="6"/>
      <c r="B19" s="1"/>
      <c r="C19" s="1"/>
      <c r="D19" s="248" t="s">
        <v>189</v>
      </c>
      <c r="E19" s="248"/>
      <c r="F19" s="248"/>
      <c r="G19" s="248"/>
      <c r="H19" s="248"/>
      <c r="I19" s="248"/>
      <c r="J19" s="248"/>
      <c r="K19" s="248"/>
      <c r="L19" s="8" t="s">
        <v>5709</v>
      </c>
      <c r="M19" s="264">
        <v>1092</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40000</v>
      </c>
    </row>
    <row r="20" spans="1:47" ht="13.5" thickBot="1">
      <c r="A20" s="6"/>
      <c r="B20" s="1"/>
      <c r="C20" s="1"/>
      <c r="D20" s="248" t="s">
        <v>193</v>
      </c>
      <c r="E20" s="248"/>
      <c r="F20" s="248"/>
      <c r="G20" s="248"/>
      <c r="H20" s="248"/>
      <c r="I20" s="248"/>
      <c r="J20" s="248"/>
      <c r="K20" s="248"/>
      <c r="L20" s="8" t="s">
        <v>5709</v>
      </c>
      <c r="M20" s="264">
        <v>939</v>
      </c>
      <c r="N20" s="264"/>
      <c r="O20" s="264"/>
      <c r="P20" s="248" t="s">
        <v>190</v>
      </c>
      <c r="Q20" s="248"/>
      <c r="R20" s="248"/>
      <c r="S20" s="2"/>
      <c r="T20" s="2"/>
      <c r="U20" s="252" t="s">
        <v>194</v>
      </c>
      <c r="V20" s="252"/>
      <c r="W20" s="252"/>
      <c r="X20" s="252"/>
      <c r="Y20" s="252"/>
      <c r="Z20" s="252"/>
      <c r="AA20" s="252"/>
      <c r="AB20" s="247" t="s">
        <v>5709</v>
      </c>
      <c r="AC20" s="247"/>
      <c r="AD20" s="248" t="s">
        <v>4340</v>
      </c>
      <c r="AE20" s="248"/>
      <c r="AF20" s="248"/>
      <c r="AG20" s="248"/>
      <c r="AH20" s="248"/>
      <c r="AI20" s="248"/>
      <c r="AJ20" s="248"/>
      <c r="AK20" s="2"/>
      <c r="AL20" s="1"/>
      <c r="AM20" s="2"/>
      <c r="AN20" s="1"/>
      <c r="AO20" s="2"/>
      <c r="AP20" s="7"/>
      <c r="AT20" s="23" t="str">
        <f>D57 &amp; Q50</f>
        <v>LF [%]2005</v>
      </c>
      <c r="AU20" s="23" t="str">
        <f>Q57</f>
        <v>72.58</v>
      </c>
    </row>
    <row r="21" spans="1:47" ht="13.5" thickBot="1">
      <c r="A21" s="6"/>
      <c r="B21" s="1"/>
      <c r="C21" s="1"/>
      <c r="D21" s="248" t="s">
        <v>196</v>
      </c>
      <c r="E21" s="248"/>
      <c r="F21" s="248"/>
      <c r="G21" s="248"/>
      <c r="H21" s="248"/>
      <c r="I21" s="248"/>
      <c r="J21" s="248"/>
      <c r="K21" s="248"/>
      <c r="L21" s="8" t="s">
        <v>5709</v>
      </c>
      <c r="M21" s="264">
        <v>1064</v>
      </c>
      <c r="N21" s="264"/>
      <c r="O21" s="264"/>
      <c r="P21" s="248" t="s">
        <v>190</v>
      </c>
      <c r="Q21" s="248"/>
      <c r="R21" s="248"/>
      <c r="S21" s="2"/>
      <c r="T21" s="2"/>
      <c r="U21" s="252" t="s">
        <v>197</v>
      </c>
      <c r="V21" s="252"/>
      <c r="W21" s="252"/>
      <c r="X21" s="252"/>
      <c r="Y21" s="252"/>
      <c r="Z21" s="252"/>
      <c r="AA21" s="252"/>
      <c r="AB21" s="247" t="s">
        <v>5709</v>
      </c>
      <c r="AC21" s="247"/>
      <c r="AD21" s="248" t="s">
        <v>410</v>
      </c>
      <c r="AE21" s="248"/>
      <c r="AF21" s="248"/>
      <c r="AG21" s="248"/>
      <c r="AH21" s="248"/>
      <c r="AI21" s="248"/>
      <c r="AJ21" s="248"/>
      <c r="AK21" s="2"/>
      <c r="AL21" s="1"/>
      <c r="AM21" s="2"/>
      <c r="AN21" s="1"/>
      <c r="AO21" s="2"/>
      <c r="AP21" s="7"/>
      <c r="AT21" s="23" t="str">
        <f>D57&amp;AF50</f>
        <v>LF [%]2010</v>
      </c>
      <c r="AU21" s="23" t="str">
        <f>AF57</f>
        <v>98.73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4341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4342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27646</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4343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30969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4344</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31117</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4345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4346</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4347</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4348</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4349</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4350</v>
      </c>
      <c r="G51" s="238"/>
      <c r="H51" s="238"/>
      <c r="I51" s="238"/>
      <c r="J51" s="10" t="s">
        <v>4351</v>
      </c>
      <c r="K51" s="238" t="s">
        <v>4352</v>
      </c>
      <c r="L51" s="238"/>
      <c r="M51" s="238"/>
      <c r="N51" s="238" t="s">
        <v>4353</v>
      </c>
      <c r="O51" s="238"/>
      <c r="P51" s="238"/>
      <c r="Q51" s="238" t="s">
        <v>4354</v>
      </c>
      <c r="R51" s="238"/>
      <c r="S51" s="238"/>
      <c r="T51" s="238"/>
      <c r="U51" s="238"/>
      <c r="V51" s="238"/>
      <c r="W51" s="238" t="s">
        <v>4355</v>
      </c>
      <c r="X51" s="238"/>
      <c r="Y51" s="10" t="s">
        <v>4356</v>
      </c>
      <c r="Z51" s="10" t="s">
        <v>4357</v>
      </c>
      <c r="AA51" s="238" t="s">
        <v>4358</v>
      </c>
      <c r="AB51" s="238"/>
      <c r="AC51" s="238"/>
      <c r="AD51" s="238"/>
      <c r="AE51" s="238"/>
      <c r="AF51" s="10" t="s">
        <v>4359</v>
      </c>
      <c r="AG51" s="237" t="s">
        <v>4360</v>
      </c>
      <c r="AH51" s="237"/>
      <c r="AI51" s="237"/>
      <c r="AJ51" s="237"/>
      <c r="AK51" s="237"/>
      <c r="AL51" s="2"/>
      <c r="AM51" s="2"/>
      <c r="AN51" s="2"/>
      <c r="AO51" s="2"/>
      <c r="AP51" s="7"/>
    </row>
    <row r="52" spans="1:42" ht="13.5" thickBot="1">
      <c r="A52" s="6"/>
      <c r="B52" s="2"/>
      <c r="C52" s="2"/>
      <c r="D52" s="244" t="s">
        <v>261</v>
      </c>
      <c r="E52" s="244"/>
      <c r="F52" s="238" t="s">
        <v>6348</v>
      </c>
      <c r="G52" s="238"/>
      <c r="H52" s="238"/>
      <c r="I52" s="238"/>
      <c r="J52" s="10" t="s">
        <v>6969</v>
      </c>
      <c r="K52" s="238" t="s">
        <v>3046</v>
      </c>
      <c r="L52" s="238"/>
      <c r="M52" s="238"/>
      <c r="N52" s="238" t="s">
        <v>2866</v>
      </c>
      <c r="O52" s="238"/>
      <c r="P52" s="238"/>
      <c r="Q52" s="238" t="s">
        <v>4361</v>
      </c>
      <c r="R52" s="238"/>
      <c r="S52" s="238"/>
      <c r="T52" s="238"/>
      <c r="U52" s="238"/>
      <c r="V52" s="238"/>
      <c r="W52" s="238" t="s">
        <v>2918</v>
      </c>
      <c r="X52" s="238"/>
      <c r="Y52" s="10" t="s">
        <v>4362</v>
      </c>
      <c r="Z52" s="10" t="s">
        <v>2692</v>
      </c>
      <c r="AA52" s="238" t="s">
        <v>4363</v>
      </c>
      <c r="AB52" s="238"/>
      <c r="AC52" s="238"/>
      <c r="AD52" s="238"/>
      <c r="AE52" s="238"/>
      <c r="AF52" s="10" t="s">
        <v>4300</v>
      </c>
      <c r="AG52" s="237" t="s">
        <v>1852</v>
      </c>
      <c r="AH52" s="237"/>
      <c r="AI52" s="237"/>
      <c r="AJ52" s="237"/>
      <c r="AK52" s="237"/>
      <c r="AL52" s="2"/>
      <c r="AM52" s="2"/>
      <c r="AN52" s="2"/>
      <c r="AO52" s="2"/>
      <c r="AP52" s="7"/>
    </row>
    <row r="53" spans="1:42" ht="13.5" thickBot="1">
      <c r="A53" s="6"/>
      <c r="B53" s="2"/>
      <c r="C53" s="2"/>
      <c r="D53" s="244" t="s">
        <v>273</v>
      </c>
      <c r="E53" s="244"/>
      <c r="F53" s="238" t="s">
        <v>382</v>
      </c>
      <c r="G53" s="238"/>
      <c r="H53" s="238"/>
      <c r="I53" s="238"/>
      <c r="J53" s="10" t="s">
        <v>6376</v>
      </c>
      <c r="K53" s="238" t="s">
        <v>3097</v>
      </c>
      <c r="L53" s="238"/>
      <c r="M53" s="238"/>
      <c r="N53" s="238" t="s">
        <v>4364</v>
      </c>
      <c r="O53" s="238"/>
      <c r="P53" s="238"/>
      <c r="Q53" s="238" t="s">
        <v>4365</v>
      </c>
      <c r="R53" s="238"/>
      <c r="S53" s="238"/>
      <c r="T53" s="238"/>
      <c r="U53" s="238"/>
      <c r="V53" s="238"/>
      <c r="W53" s="238" t="s">
        <v>6179</v>
      </c>
      <c r="X53" s="238"/>
      <c r="Y53" s="10" t="s">
        <v>4366</v>
      </c>
      <c r="Z53" s="10" t="s">
        <v>6966</v>
      </c>
      <c r="AA53" s="238" t="s">
        <v>4367</v>
      </c>
      <c r="AB53" s="238"/>
      <c r="AC53" s="238"/>
      <c r="AD53" s="238"/>
      <c r="AE53" s="238"/>
      <c r="AF53" s="10" t="s">
        <v>6847</v>
      </c>
      <c r="AG53" s="237" t="s">
        <v>3391</v>
      </c>
      <c r="AH53" s="237"/>
      <c r="AI53" s="237"/>
      <c r="AJ53" s="237"/>
      <c r="AK53" s="237"/>
      <c r="AL53" s="2"/>
      <c r="AM53" s="2"/>
      <c r="AN53" s="2"/>
      <c r="AO53" s="2"/>
      <c r="AP53" s="7"/>
    </row>
    <row r="54" spans="1:42" ht="13.5" thickBot="1">
      <c r="A54" s="6"/>
      <c r="B54" s="2"/>
      <c r="C54" s="2"/>
      <c r="D54" s="244" t="s">
        <v>285</v>
      </c>
      <c r="E54" s="244"/>
      <c r="F54" s="238" t="s">
        <v>6348</v>
      </c>
      <c r="G54" s="238"/>
      <c r="H54" s="238"/>
      <c r="I54" s="238"/>
      <c r="J54" s="10" t="s">
        <v>6365</v>
      </c>
      <c r="K54" s="238" t="s">
        <v>3046</v>
      </c>
      <c r="L54" s="238"/>
      <c r="M54" s="238"/>
      <c r="N54" s="238" t="s">
        <v>4368</v>
      </c>
      <c r="O54" s="238"/>
      <c r="P54" s="238"/>
      <c r="Q54" s="238" t="s">
        <v>6797</v>
      </c>
      <c r="R54" s="238"/>
      <c r="S54" s="238"/>
      <c r="T54" s="238"/>
      <c r="U54" s="238"/>
      <c r="V54" s="238"/>
      <c r="W54" s="238" t="s">
        <v>310</v>
      </c>
      <c r="X54" s="238"/>
      <c r="Y54" s="10" t="s">
        <v>4369</v>
      </c>
      <c r="Z54" s="10" t="s">
        <v>4370</v>
      </c>
      <c r="AA54" s="238" t="s">
        <v>6255</v>
      </c>
      <c r="AB54" s="238"/>
      <c r="AC54" s="238"/>
      <c r="AD54" s="238"/>
      <c r="AE54" s="238"/>
      <c r="AF54" s="10" t="s">
        <v>4371</v>
      </c>
      <c r="AG54" s="237" t="s">
        <v>6201</v>
      </c>
      <c r="AH54" s="237"/>
      <c r="AI54" s="237"/>
      <c r="AJ54" s="237"/>
      <c r="AK54" s="237"/>
      <c r="AL54" s="2"/>
      <c r="AM54" s="2"/>
      <c r="AN54" s="2"/>
      <c r="AO54" s="2"/>
      <c r="AP54" s="7"/>
    </row>
    <row r="55" spans="1:42" ht="13.5" thickBot="1">
      <c r="A55" s="6"/>
      <c r="B55" s="2"/>
      <c r="C55" s="2"/>
      <c r="D55" s="244" t="s">
        <v>295</v>
      </c>
      <c r="E55" s="244"/>
      <c r="F55" s="238" t="s">
        <v>4372</v>
      </c>
      <c r="G55" s="238"/>
      <c r="H55" s="238"/>
      <c r="I55" s="238"/>
      <c r="J55" s="10" t="s">
        <v>4373</v>
      </c>
      <c r="K55" s="238" t="s">
        <v>4374</v>
      </c>
      <c r="L55" s="238"/>
      <c r="M55" s="238"/>
      <c r="N55" s="238" t="s">
        <v>4375</v>
      </c>
      <c r="O55" s="238"/>
      <c r="P55" s="238"/>
      <c r="Q55" s="238" t="s">
        <v>4220</v>
      </c>
      <c r="R55" s="238"/>
      <c r="S55" s="238"/>
      <c r="T55" s="238"/>
      <c r="U55" s="238"/>
      <c r="V55" s="238"/>
      <c r="W55" s="238" t="s">
        <v>4376</v>
      </c>
      <c r="X55" s="238"/>
      <c r="Y55" s="10" t="s">
        <v>4377</v>
      </c>
      <c r="Z55" s="10" t="s">
        <v>4378</v>
      </c>
      <c r="AA55" s="238" t="s">
        <v>1844</v>
      </c>
      <c r="AB55" s="238"/>
      <c r="AC55" s="238"/>
      <c r="AD55" s="238"/>
      <c r="AE55" s="238"/>
      <c r="AF55" s="10" t="s">
        <v>6979</v>
      </c>
      <c r="AG55" s="237" t="s">
        <v>6546</v>
      </c>
      <c r="AH55" s="237"/>
      <c r="AI55" s="237"/>
      <c r="AJ55" s="237"/>
      <c r="AK55" s="237"/>
      <c r="AL55" s="2"/>
      <c r="AM55" s="2"/>
      <c r="AN55" s="2"/>
      <c r="AO55" s="2"/>
      <c r="AP55" s="7"/>
    </row>
    <row r="56" spans="1:42" ht="13.5" thickBot="1">
      <c r="A56" s="6"/>
      <c r="B56" s="2"/>
      <c r="C56" s="2"/>
      <c r="D56" s="244" t="s">
        <v>307</v>
      </c>
      <c r="E56" s="244"/>
      <c r="F56" s="238" t="s">
        <v>4379</v>
      </c>
      <c r="G56" s="238"/>
      <c r="H56" s="238"/>
      <c r="I56" s="238"/>
      <c r="J56" s="10" t="s">
        <v>2789</v>
      </c>
      <c r="K56" s="238" t="s">
        <v>1784</v>
      </c>
      <c r="L56" s="238"/>
      <c r="M56" s="238"/>
      <c r="N56" s="238" t="s">
        <v>4380</v>
      </c>
      <c r="O56" s="238"/>
      <c r="P56" s="238"/>
      <c r="Q56" s="238" t="s">
        <v>4381</v>
      </c>
      <c r="R56" s="238"/>
      <c r="S56" s="238"/>
      <c r="T56" s="238"/>
      <c r="U56" s="238"/>
      <c r="V56" s="238"/>
      <c r="W56" s="238" t="s">
        <v>291</v>
      </c>
      <c r="X56" s="238"/>
      <c r="Y56" s="10" t="s">
        <v>4382</v>
      </c>
      <c r="Z56" s="10" t="s">
        <v>6733</v>
      </c>
      <c r="AA56" s="238" t="s">
        <v>6842</v>
      </c>
      <c r="AB56" s="238"/>
      <c r="AC56" s="238"/>
      <c r="AD56" s="238"/>
      <c r="AE56" s="238"/>
      <c r="AF56" s="10" t="s">
        <v>2746</v>
      </c>
      <c r="AG56" s="237" t="s">
        <v>6971</v>
      </c>
      <c r="AH56" s="237"/>
      <c r="AI56" s="237"/>
      <c r="AJ56" s="237"/>
      <c r="AK56" s="237"/>
      <c r="AL56" s="2"/>
      <c r="AM56" s="2"/>
      <c r="AN56" s="2"/>
      <c r="AO56" s="2"/>
      <c r="AP56" s="7"/>
    </row>
    <row r="57" spans="1:42" ht="13.5" thickBot="1">
      <c r="A57" s="6"/>
      <c r="B57" s="2"/>
      <c r="C57" s="2"/>
      <c r="D57" s="244" t="s">
        <v>319</v>
      </c>
      <c r="E57" s="244"/>
      <c r="F57" s="237" t="s">
        <v>4383</v>
      </c>
      <c r="G57" s="237"/>
      <c r="H57" s="237"/>
      <c r="I57" s="237"/>
      <c r="J57" s="11" t="s">
        <v>6030</v>
      </c>
      <c r="K57" s="237" t="s">
        <v>4384</v>
      </c>
      <c r="L57" s="237"/>
      <c r="M57" s="237"/>
      <c r="N57" s="237" t="s">
        <v>3134</v>
      </c>
      <c r="O57" s="237"/>
      <c r="P57" s="237"/>
      <c r="Q57" s="237" t="s">
        <v>4385</v>
      </c>
      <c r="R57" s="237"/>
      <c r="S57" s="237"/>
      <c r="T57" s="237"/>
      <c r="U57" s="237"/>
      <c r="V57" s="237"/>
      <c r="W57" s="237" t="s">
        <v>2869</v>
      </c>
      <c r="X57" s="237"/>
      <c r="Y57" s="11" t="s">
        <v>4386</v>
      </c>
      <c r="Z57" s="11" t="s">
        <v>4387</v>
      </c>
      <c r="AA57" s="237" t="s">
        <v>4363</v>
      </c>
      <c r="AB57" s="237"/>
      <c r="AC57" s="237"/>
      <c r="AD57" s="237"/>
      <c r="AE57" s="237"/>
      <c r="AF57" s="11" t="s">
        <v>4300</v>
      </c>
      <c r="AG57" s="237" t="s">
        <v>3515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indexed="37"/>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25.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4388</v>
      </c>
      <c r="E7" s="269"/>
      <c r="F7" s="269"/>
      <c r="G7" s="269"/>
      <c r="H7" s="269" t="s">
        <v>4389</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SANTA MARIA DE GARONA</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4390</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4390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4337</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BWR-3</v>
      </c>
    </row>
    <row r="13" spans="1:47" ht="12.75" customHeight="1">
      <c r="A13" s="6"/>
      <c r="B13" s="1"/>
      <c r="C13" s="2"/>
      <c r="D13" s="247" t="s">
        <v>5716</v>
      </c>
      <c r="E13" s="247"/>
      <c r="F13" s="247"/>
      <c r="G13" s="247" t="s">
        <v>5709</v>
      </c>
      <c r="H13" s="247"/>
      <c r="I13" s="247" t="s">
        <v>4337</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1381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466</v>
      </c>
    </row>
    <row r="17" spans="1:47" ht="11.45" customHeight="1" thickBot="1">
      <c r="A17" s="6"/>
      <c r="B17" s="1"/>
      <c r="C17" s="1"/>
      <c r="D17" s="248" t="s">
        <v>5722</v>
      </c>
      <c r="E17" s="248"/>
      <c r="F17" s="248"/>
      <c r="G17" s="247" t="s">
        <v>5709</v>
      </c>
      <c r="H17" s="247"/>
      <c r="I17" s="248" t="s">
        <v>4391</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446</v>
      </c>
    </row>
    <row r="18" spans="1:47" ht="13.5" thickBot="1">
      <c r="A18" s="6"/>
      <c r="B18" s="1"/>
      <c r="C18" s="1"/>
      <c r="D18" s="248" t="s">
        <v>185</v>
      </c>
      <c r="E18" s="248"/>
      <c r="F18" s="248"/>
      <c r="G18" s="248"/>
      <c r="H18" s="248"/>
      <c r="I18" s="248"/>
      <c r="J18" s="248"/>
      <c r="K18" s="248"/>
      <c r="L18" s="8" t="s">
        <v>5709</v>
      </c>
      <c r="M18" s="264">
        <v>1381</v>
      </c>
      <c r="N18" s="264"/>
      <c r="O18" s="264"/>
      <c r="P18" s="248" t="s">
        <v>186</v>
      </c>
      <c r="Q18" s="248"/>
      <c r="R18" s="248"/>
      <c r="S18" s="2"/>
      <c r="T18" s="2"/>
      <c r="U18" s="252" t="s">
        <v>187</v>
      </c>
      <c r="V18" s="252"/>
      <c r="W18" s="252"/>
      <c r="X18" s="252"/>
      <c r="Y18" s="252"/>
      <c r="Z18" s="252"/>
      <c r="AA18" s="252"/>
      <c r="AB18" s="247" t="s">
        <v>5709</v>
      </c>
      <c r="AC18" s="247"/>
      <c r="AD18" s="248" t="s">
        <v>4392</v>
      </c>
      <c r="AE18" s="248"/>
      <c r="AF18" s="248"/>
      <c r="AG18" s="248"/>
      <c r="AH18" s="248"/>
      <c r="AI18" s="248"/>
      <c r="AJ18" s="248"/>
      <c r="AK18" s="2"/>
      <c r="AL18" s="1"/>
      <c r="AM18" s="2"/>
      <c r="AN18" s="1"/>
      <c r="AO18" s="2"/>
      <c r="AP18" s="7"/>
      <c r="AT18" s="25" t="str">
        <f>D26</f>
        <v>Grid Date</v>
      </c>
      <c r="AU18" s="25">
        <f>M26</f>
        <v>25994</v>
      </c>
    </row>
    <row r="19" spans="1:47" ht="13.5" thickBot="1">
      <c r="A19" s="6"/>
      <c r="B19" s="1"/>
      <c r="C19" s="1"/>
      <c r="D19" s="248" t="s">
        <v>189</v>
      </c>
      <c r="E19" s="248"/>
      <c r="F19" s="248"/>
      <c r="G19" s="248"/>
      <c r="H19" s="248"/>
      <c r="I19" s="248"/>
      <c r="J19" s="248"/>
      <c r="K19" s="248"/>
      <c r="L19" s="8" t="s">
        <v>5709</v>
      </c>
      <c r="M19" s="264">
        <v>466</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31000</v>
      </c>
    </row>
    <row r="20" spans="1:47" ht="13.5" thickBot="1">
      <c r="A20" s="6"/>
      <c r="B20" s="1"/>
      <c r="C20" s="1"/>
      <c r="D20" s="248" t="s">
        <v>193</v>
      </c>
      <c r="E20" s="248"/>
      <c r="F20" s="248"/>
      <c r="G20" s="248"/>
      <c r="H20" s="248"/>
      <c r="I20" s="248"/>
      <c r="J20" s="248"/>
      <c r="K20" s="248"/>
      <c r="L20" s="8" t="s">
        <v>5709</v>
      </c>
      <c r="M20" s="264">
        <v>440</v>
      </c>
      <c r="N20" s="264"/>
      <c r="O20" s="264"/>
      <c r="P20" s="248" t="s">
        <v>190</v>
      </c>
      <c r="Q20" s="248"/>
      <c r="R20" s="248"/>
      <c r="S20" s="2"/>
      <c r="T20" s="2"/>
      <c r="U20" s="252" t="s">
        <v>194</v>
      </c>
      <c r="V20" s="252"/>
      <c r="W20" s="252"/>
      <c r="X20" s="252"/>
      <c r="Y20" s="252"/>
      <c r="Z20" s="252"/>
      <c r="AA20" s="252"/>
      <c r="AB20" s="247" t="s">
        <v>5709</v>
      </c>
      <c r="AC20" s="247"/>
      <c r="AD20" s="248" t="s">
        <v>4340</v>
      </c>
      <c r="AE20" s="248"/>
      <c r="AF20" s="248"/>
      <c r="AG20" s="248"/>
      <c r="AH20" s="248"/>
      <c r="AI20" s="248"/>
      <c r="AJ20" s="248"/>
      <c r="AK20" s="2"/>
      <c r="AL20" s="1"/>
      <c r="AM20" s="2"/>
      <c r="AN20" s="1"/>
      <c r="AO20" s="2"/>
      <c r="AP20" s="7"/>
      <c r="AT20" s="23" t="str">
        <f>D57 &amp; Q50</f>
        <v>LF [%]2005</v>
      </c>
      <c r="AU20" s="23" t="str">
        <f>Q57</f>
        <v>89.97</v>
      </c>
    </row>
    <row r="21" spans="1:47" ht="13.5" thickBot="1">
      <c r="A21" s="6"/>
      <c r="B21" s="1"/>
      <c r="C21" s="1"/>
      <c r="D21" s="248" t="s">
        <v>196</v>
      </c>
      <c r="E21" s="248"/>
      <c r="F21" s="248"/>
      <c r="G21" s="248"/>
      <c r="H21" s="248"/>
      <c r="I21" s="248"/>
      <c r="J21" s="248"/>
      <c r="K21" s="248"/>
      <c r="L21" s="8" t="s">
        <v>5709</v>
      </c>
      <c r="M21" s="264">
        <v>446</v>
      </c>
      <c r="N21" s="264"/>
      <c r="O21" s="264"/>
      <c r="P21" s="248" t="s">
        <v>190</v>
      </c>
      <c r="Q21" s="248"/>
      <c r="R21" s="248"/>
      <c r="S21" s="2"/>
      <c r="T21" s="2"/>
      <c r="U21" s="252" t="s">
        <v>197</v>
      </c>
      <c r="V21" s="252"/>
      <c r="W21" s="252"/>
      <c r="X21" s="252"/>
      <c r="Y21" s="252"/>
      <c r="Z21" s="252"/>
      <c r="AA21" s="252"/>
      <c r="AB21" s="247" t="s">
        <v>5709</v>
      </c>
      <c r="AC21" s="247"/>
      <c r="AD21" s="248" t="s">
        <v>4393</v>
      </c>
      <c r="AE21" s="248"/>
      <c r="AF21" s="248"/>
      <c r="AG21" s="248"/>
      <c r="AH21" s="248"/>
      <c r="AI21" s="248"/>
      <c r="AJ21" s="248"/>
      <c r="AK21" s="2"/>
      <c r="AL21" s="1"/>
      <c r="AM21" s="2"/>
      <c r="AN21" s="1"/>
      <c r="AO21" s="2"/>
      <c r="AP21" s="7"/>
      <c r="AT21" s="23" t="str">
        <f>D57&amp;AF50</f>
        <v>LF [%]2010</v>
      </c>
      <c r="AU21" s="23" t="str">
        <f>AF57</f>
        <v>93.75</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4394</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4395</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24351</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4396</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25994</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4397</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26064</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4398</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3050</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4399</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4400</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4401</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4402</v>
      </c>
      <c r="G51" s="238"/>
      <c r="H51" s="238"/>
      <c r="I51" s="238"/>
      <c r="J51" s="10" t="s">
        <v>4403</v>
      </c>
      <c r="K51" s="238" t="s">
        <v>4404</v>
      </c>
      <c r="L51" s="238"/>
      <c r="M51" s="238"/>
      <c r="N51" s="238" t="s">
        <v>4405</v>
      </c>
      <c r="O51" s="238"/>
      <c r="P51" s="238"/>
      <c r="Q51" s="238" t="s">
        <v>4406</v>
      </c>
      <c r="R51" s="238"/>
      <c r="S51" s="238"/>
      <c r="T51" s="238"/>
      <c r="U51" s="238"/>
      <c r="V51" s="238"/>
      <c r="W51" s="238" t="s">
        <v>4768</v>
      </c>
      <c r="X51" s="238"/>
      <c r="Y51" s="10" t="s">
        <v>4769</v>
      </c>
      <c r="Z51" s="10" t="s">
        <v>4770</v>
      </c>
      <c r="AA51" s="238" t="s">
        <v>4771</v>
      </c>
      <c r="AB51" s="238"/>
      <c r="AC51" s="238"/>
      <c r="AD51" s="238"/>
      <c r="AE51" s="238"/>
      <c r="AF51" s="10" t="s">
        <v>4772</v>
      </c>
      <c r="AG51" s="237" t="s">
        <v>4773</v>
      </c>
      <c r="AH51" s="237"/>
      <c r="AI51" s="237"/>
      <c r="AJ51" s="237"/>
      <c r="AK51" s="237"/>
      <c r="AL51" s="2"/>
      <c r="AM51" s="2"/>
      <c r="AN51" s="2"/>
      <c r="AO51" s="2"/>
      <c r="AP51" s="7"/>
    </row>
    <row r="52" spans="1:42" ht="13.5" thickBot="1">
      <c r="A52" s="6"/>
      <c r="B52" s="2"/>
      <c r="C52" s="2"/>
      <c r="D52" s="244" t="s">
        <v>261</v>
      </c>
      <c r="E52" s="244"/>
      <c r="F52" s="238" t="s">
        <v>1769</v>
      </c>
      <c r="G52" s="238"/>
      <c r="H52" s="238"/>
      <c r="I52" s="238"/>
      <c r="J52" s="10" t="s">
        <v>4774</v>
      </c>
      <c r="K52" s="238" t="s">
        <v>4775</v>
      </c>
      <c r="L52" s="238"/>
      <c r="M52" s="238"/>
      <c r="N52" s="238" t="s">
        <v>4184</v>
      </c>
      <c r="O52" s="238"/>
      <c r="P52" s="238"/>
      <c r="Q52" s="238" t="s">
        <v>4776</v>
      </c>
      <c r="R52" s="238"/>
      <c r="S52" s="238"/>
      <c r="T52" s="238"/>
      <c r="U52" s="238"/>
      <c r="V52" s="238"/>
      <c r="W52" s="238" t="s">
        <v>2844</v>
      </c>
      <c r="X52" s="238"/>
      <c r="Y52" s="10" t="s">
        <v>2685</v>
      </c>
      <c r="Z52" s="10" t="s">
        <v>4777</v>
      </c>
      <c r="AA52" s="238" t="s">
        <v>6863</v>
      </c>
      <c r="AB52" s="238"/>
      <c r="AC52" s="238"/>
      <c r="AD52" s="238"/>
      <c r="AE52" s="238"/>
      <c r="AF52" s="10" t="s">
        <v>2844</v>
      </c>
      <c r="AG52" s="237" t="s">
        <v>4778</v>
      </c>
      <c r="AH52" s="237"/>
      <c r="AI52" s="237"/>
      <c r="AJ52" s="237"/>
      <c r="AK52" s="237"/>
      <c r="AL52" s="2"/>
      <c r="AM52" s="2"/>
      <c r="AN52" s="2"/>
      <c r="AO52" s="2"/>
      <c r="AP52" s="7"/>
    </row>
    <row r="53" spans="1:42" ht="13.5" thickBot="1">
      <c r="A53" s="6"/>
      <c r="B53" s="2"/>
      <c r="C53" s="2"/>
      <c r="D53" s="244" t="s">
        <v>273</v>
      </c>
      <c r="E53" s="244"/>
      <c r="F53" s="238" t="s">
        <v>4779</v>
      </c>
      <c r="G53" s="238"/>
      <c r="H53" s="238"/>
      <c r="I53" s="238"/>
      <c r="J53" s="10" t="s">
        <v>6395</v>
      </c>
      <c r="K53" s="238" t="s">
        <v>4780</v>
      </c>
      <c r="L53" s="238"/>
      <c r="M53" s="238"/>
      <c r="N53" s="238" t="s">
        <v>6899</v>
      </c>
      <c r="O53" s="238"/>
      <c r="P53" s="238"/>
      <c r="Q53" s="238" t="s">
        <v>4781</v>
      </c>
      <c r="R53" s="238"/>
      <c r="S53" s="238"/>
      <c r="T53" s="238"/>
      <c r="U53" s="238"/>
      <c r="V53" s="238"/>
      <c r="W53" s="238" t="s">
        <v>6966</v>
      </c>
      <c r="X53" s="238"/>
      <c r="Y53" s="10" t="s">
        <v>4782</v>
      </c>
      <c r="Z53" s="10" t="s">
        <v>1842</v>
      </c>
      <c r="AA53" s="238" t="s">
        <v>4783</v>
      </c>
      <c r="AB53" s="238"/>
      <c r="AC53" s="238"/>
      <c r="AD53" s="238"/>
      <c r="AE53" s="238"/>
      <c r="AF53" s="10" t="s">
        <v>4784</v>
      </c>
      <c r="AG53" s="237" t="s">
        <v>1822</v>
      </c>
      <c r="AH53" s="237"/>
      <c r="AI53" s="237"/>
      <c r="AJ53" s="237"/>
      <c r="AK53" s="237"/>
      <c r="AL53" s="2"/>
      <c r="AM53" s="2"/>
      <c r="AN53" s="2"/>
      <c r="AO53" s="2"/>
      <c r="AP53" s="7"/>
    </row>
    <row r="54" spans="1:42" ht="13.5" thickBot="1">
      <c r="A54" s="6"/>
      <c r="B54" s="2"/>
      <c r="C54" s="2"/>
      <c r="D54" s="244" t="s">
        <v>285</v>
      </c>
      <c r="E54" s="244"/>
      <c r="F54" s="238" t="s">
        <v>4218</v>
      </c>
      <c r="G54" s="238"/>
      <c r="H54" s="238"/>
      <c r="I54" s="238"/>
      <c r="J54" s="10" t="s">
        <v>4785</v>
      </c>
      <c r="K54" s="238" t="s">
        <v>4786</v>
      </c>
      <c r="L54" s="238"/>
      <c r="M54" s="238"/>
      <c r="N54" s="238" t="s">
        <v>4787</v>
      </c>
      <c r="O54" s="238"/>
      <c r="P54" s="238"/>
      <c r="Q54" s="238" t="s">
        <v>3384</v>
      </c>
      <c r="R54" s="238"/>
      <c r="S54" s="238"/>
      <c r="T54" s="238"/>
      <c r="U54" s="238"/>
      <c r="V54" s="238"/>
      <c r="W54" s="238" t="s">
        <v>265</v>
      </c>
      <c r="X54" s="238"/>
      <c r="Y54" s="10" t="s">
        <v>4788</v>
      </c>
      <c r="Z54" s="10" t="s">
        <v>4789</v>
      </c>
      <c r="AA54" s="238" t="s">
        <v>6883</v>
      </c>
      <c r="AB54" s="238"/>
      <c r="AC54" s="238"/>
      <c r="AD54" s="238"/>
      <c r="AE54" s="238"/>
      <c r="AF54" s="10" t="s">
        <v>6095</v>
      </c>
      <c r="AG54" s="237" t="s">
        <v>7117</v>
      </c>
      <c r="AH54" s="237"/>
      <c r="AI54" s="237"/>
      <c r="AJ54" s="237"/>
      <c r="AK54" s="237"/>
      <c r="AL54" s="2"/>
      <c r="AM54" s="2"/>
      <c r="AN54" s="2"/>
      <c r="AO54" s="2"/>
      <c r="AP54" s="7"/>
    </row>
    <row r="55" spans="1:42" ht="13.5" thickBot="1">
      <c r="A55" s="6"/>
      <c r="B55" s="2"/>
      <c r="C55" s="2"/>
      <c r="D55" s="244" t="s">
        <v>295</v>
      </c>
      <c r="E55" s="244"/>
      <c r="F55" s="238" t="s">
        <v>3468</v>
      </c>
      <c r="G55" s="238"/>
      <c r="H55" s="238"/>
      <c r="I55" s="238"/>
      <c r="J55" s="10" t="s">
        <v>302</v>
      </c>
      <c r="K55" s="238" t="s">
        <v>4790</v>
      </c>
      <c r="L55" s="238"/>
      <c r="M55" s="238"/>
      <c r="N55" s="238" t="s">
        <v>6244</v>
      </c>
      <c r="O55" s="238"/>
      <c r="P55" s="238"/>
      <c r="Q55" s="238" t="s">
        <v>6176</v>
      </c>
      <c r="R55" s="238"/>
      <c r="S55" s="238"/>
      <c r="T55" s="238"/>
      <c r="U55" s="238"/>
      <c r="V55" s="238"/>
      <c r="W55" s="238" t="s">
        <v>4791</v>
      </c>
      <c r="X55" s="238"/>
      <c r="Y55" s="10" t="s">
        <v>3309</v>
      </c>
      <c r="Z55" s="10" t="s">
        <v>1903</v>
      </c>
      <c r="AA55" s="238" t="s">
        <v>2742</v>
      </c>
      <c r="AB55" s="238"/>
      <c r="AC55" s="238"/>
      <c r="AD55" s="238"/>
      <c r="AE55" s="238"/>
      <c r="AF55" s="10" t="s">
        <v>6247</v>
      </c>
      <c r="AG55" s="237" t="s">
        <v>4307</v>
      </c>
      <c r="AH55" s="237"/>
      <c r="AI55" s="237"/>
      <c r="AJ55" s="237"/>
      <c r="AK55" s="237"/>
      <c r="AL55" s="2"/>
      <c r="AM55" s="2"/>
      <c r="AN55" s="2"/>
      <c r="AO55" s="2"/>
      <c r="AP55" s="7"/>
    </row>
    <row r="56" spans="1:42" ht="13.5" thickBot="1">
      <c r="A56" s="6"/>
      <c r="B56" s="2"/>
      <c r="C56" s="2"/>
      <c r="D56" s="244" t="s">
        <v>307</v>
      </c>
      <c r="E56" s="244"/>
      <c r="F56" s="238" t="s">
        <v>1785</v>
      </c>
      <c r="G56" s="238"/>
      <c r="H56" s="238"/>
      <c r="I56" s="238"/>
      <c r="J56" s="10" t="s">
        <v>2687</v>
      </c>
      <c r="K56" s="238" t="s">
        <v>4792</v>
      </c>
      <c r="L56" s="238"/>
      <c r="M56" s="238"/>
      <c r="N56" s="238" t="s">
        <v>4793</v>
      </c>
      <c r="O56" s="238"/>
      <c r="P56" s="238"/>
      <c r="Q56" s="238" t="s">
        <v>6524</v>
      </c>
      <c r="R56" s="238"/>
      <c r="S56" s="238"/>
      <c r="T56" s="238"/>
      <c r="U56" s="238"/>
      <c r="V56" s="238"/>
      <c r="W56" s="238" t="s">
        <v>4794</v>
      </c>
      <c r="X56" s="238"/>
      <c r="Y56" s="10" t="s">
        <v>6738</v>
      </c>
      <c r="Z56" s="10" t="s">
        <v>4795</v>
      </c>
      <c r="AA56" s="238" t="s">
        <v>3365</v>
      </c>
      <c r="AB56" s="238"/>
      <c r="AC56" s="238"/>
      <c r="AD56" s="238"/>
      <c r="AE56" s="238"/>
      <c r="AF56" s="10" t="s">
        <v>3150</v>
      </c>
      <c r="AG56" s="237" t="s">
        <v>4796</v>
      </c>
      <c r="AH56" s="237"/>
      <c r="AI56" s="237"/>
      <c r="AJ56" s="237"/>
      <c r="AK56" s="237"/>
      <c r="AL56" s="2"/>
      <c r="AM56" s="2"/>
      <c r="AN56" s="2"/>
      <c r="AO56" s="2"/>
      <c r="AP56" s="7"/>
    </row>
    <row r="57" spans="1:42" ht="13.5" thickBot="1">
      <c r="A57" s="6"/>
      <c r="B57" s="2"/>
      <c r="C57" s="2"/>
      <c r="D57" s="244" t="s">
        <v>319</v>
      </c>
      <c r="E57" s="244"/>
      <c r="F57" s="237" t="s">
        <v>6917</v>
      </c>
      <c r="G57" s="237"/>
      <c r="H57" s="237"/>
      <c r="I57" s="237"/>
      <c r="J57" s="11" t="s">
        <v>1952</v>
      </c>
      <c r="K57" s="237" t="s">
        <v>3066</v>
      </c>
      <c r="L57" s="237"/>
      <c r="M57" s="237"/>
      <c r="N57" s="237" t="s">
        <v>4797</v>
      </c>
      <c r="O57" s="237"/>
      <c r="P57" s="237"/>
      <c r="Q57" s="237" t="s">
        <v>4798</v>
      </c>
      <c r="R57" s="237"/>
      <c r="S57" s="237"/>
      <c r="T57" s="237"/>
      <c r="U57" s="237"/>
      <c r="V57" s="237"/>
      <c r="W57" s="237" t="s">
        <v>4799</v>
      </c>
      <c r="X57" s="237"/>
      <c r="Y57" s="11" t="s">
        <v>6240</v>
      </c>
      <c r="Z57" s="11" t="s">
        <v>4800</v>
      </c>
      <c r="AA57" s="237" t="s">
        <v>6885</v>
      </c>
      <c r="AB57" s="237"/>
      <c r="AC57" s="237"/>
      <c r="AD57" s="237"/>
      <c r="AE57" s="237"/>
      <c r="AF57" s="11" t="s">
        <v>4801</v>
      </c>
      <c r="AG57" s="237" t="s">
        <v>4802</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tabColor indexed="37"/>
  </sheetPr>
  <dimension ref="A1:AU63"/>
  <sheetViews>
    <sheetView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2"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4803</v>
      </c>
      <c r="E7" s="269"/>
      <c r="F7" s="269"/>
      <c r="G7" s="269"/>
      <c r="H7" s="269" t="s">
        <v>4804</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TRILLO-1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3287</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4805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PWR 3 loops</v>
      </c>
    </row>
    <row r="13" spans="1:47" ht="12.75" customHeight="1">
      <c r="A13" s="6"/>
      <c r="B13" s="1"/>
      <c r="C13" s="2"/>
      <c r="D13" s="247" t="s">
        <v>5716</v>
      </c>
      <c r="E13" s="247"/>
      <c r="F13" s="247"/>
      <c r="G13" s="247" t="s">
        <v>5709</v>
      </c>
      <c r="H13" s="247"/>
      <c r="I13" s="247" t="s">
        <v>2819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3010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1066</v>
      </c>
    </row>
    <row r="17" spans="1:47" ht="11.45" customHeight="1" thickBot="1">
      <c r="A17" s="6"/>
      <c r="B17" s="1"/>
      <c r="C17" s="1"/>
      <c r="D17" s="248" t="s">
        <v>5722</v>
      </c>
      <c r="E17" s="248"/>
      <c r="F17" s="248"/>
      <c r="G17" s="247" t="s">
        <v>5709</v>
      </c>
      <c r="H17" s="247"/>
      <c r="I17" s="248" t="s">
        <v>4806</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1003</v>
      </c>
    </row>
    <row r="18" spans="1:47" ht="13.5" thickBot="1">
      <c r="A18" s="6"/>
      <c r="B18" s="1"/>
      <c r="C18" s="1"/>
      <c r="D18" s="248" t="s">
        <v>185</v>
      </c>
      <c r="E18" s="248"/>
      <c r="F18" s="248"/>
      <c r="G18" s="248"/>
      <c r="H18" s="248"/>
      <c r="I18" s="248"/>
      <c r="J18" s="248"/>
      <c r="K18" s="248"/>
      <c r="L18" s="8" t="s">
        <v>5709</v>
      </c>
      <c r="M18" s="264">
        <v>3010</v>
      </c>
      <c r="N18" s="264"/>
      <c r="O18" s="264"/>
      <c r="P18" s="248" t="s">
        <v>186</v>
      </c>
      <c r="Q18" s="248"/>
      <c r="R18" s="248"/>
      <c r="S18" s="2"/>
      <c r="T18" s="2"/>
      <c r="U18" s="252" t="s">
        <v>187</v>
      </c>
      <c r="V18" s="252"/>
      <c r="W18" s="252"/>
      <c r="X18" s="252"/>
      <c r="Y18" s="252"/>
      <c r="Z18" s="252"/>
      <c r="AA18" s="252"/>
      <c r="AB18" s="247" t="s">
        <v>5709</v>
      </c>
      <c r="AC18" s="247"/>
      <c r="AD18" s="248" t="s">
        <v>4807</v>
      </c>
      <c r="AE18" s="248"/>
      <c r="AF18" s="248"/>
      <c r="AG18" s="248"/>
      <c r="AH18" s="248"/>
      <c r="AI18" s="248"/>
      <c r="AJ18" s="248"/>
      <c r="AK18" s="2"/>
      <c r="AL18" s="1"/>
      <c r="AM18" s="2"/>
      <c r="AN18" s="1"/>
      <c r="AO18" s="2"/>
      <c r="AP18" s="7"/>
      <c r="AT18" s="25" t="str">
        <f>D26</f>
        <v>Grid Date</v>
      </c>
      <c r="AU18" s="25">
        <f>M26</f>
        <v>32286</v>
      </c>
    </row>
    <row r="19" spans="1:47" ht="13.5" thickBot="1">
      <c r="A19" s="6"/>
      <c r="B19" s="1"/>
      <c r="C19" s="1"/>
      <c r="D19" s="248" t="s">
        <v>189</v>
      </c>
      <c r="E19" s="248"/>
      <c r="F19" s="248"/>
      <c r="G19" s="248"/>
      <c r="H19" s="248"/>
      <c r="I19" s="248"/>
      <c r="J19" s="248"/>
      <c r="K19" s="248"/>
      <c r="L19" s="8" t="s">
        <v>5709</v>
      </c>
      <c r="M19" s="264">
        <v>1066</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33000</v>
      </c>
    </row>
    <row r="20" spans="1:47" ht="13.5" thickBot="1">
      <c r="A20" s="6"/>
      <c r="B20" s="1"/>
      <c r="C20" s="1"/>
      <c r="D20" s="248" t="s">
        <v>193</v>
      </c>
      <c r="E20" s="248"/>
      <c r="F20" s="248"/>
      <c r="G20" s="248"/>
      <c r="H20" s="248"/>
      <c r="I20" s="248"/>
      <c r="J20" s="248"/>
      <c r="K20" s="248"/>
      <c r="L20" s="8" t="s">
        <v>5709</v>
      </c>
      <c r="M20" s="264">
        <v>990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91.97</v>
      </c>
    </row>
    <row r="21" spans="1:47" ht="13.5" thickBot="1">
      <c r="A21" s="6"/>
      <c r="B21" s="1"/>
      <c r="C21" s="1"/>
      <c r="D21" s="248" t="s">
        <v>196</v>
      </c>
      <c r="E21" s="248"/>
      <c r="F21" s="248"/>
      <c r="G21" s="248"/>
      <c r="H21" s="248"/>
      <c r="I21" s="248"/>
      <c r="J21" s="248"/>
      <c r="K21" s="248"/>
      <c r="L21" s="8" t="s">
        <v>5709</v>
      </c>
      <c r="M21" s="264">
        <v>1003</v>
      </c>
      <c r="N21" s="264"/>
      <c r="O21" s="264"/>
      <c r="P21" s="248" t="s">
        <v>190</v>
      </c>
      <c r="Q21" s="248"/>
      <c r="R21" s="248"/>
      <c r="S21" s="2"/>
      <c r="T21" s="2"/>
      <c r="U21" s="252" t="s">
        <v>197</v>
      </c>
      <c r="V21" s="252"/>
      <c r="W21" s="252"/>
      <c r="X21" s="252"/>
      <c r="Y21" s="252"/>
      <c r="Z21" s="252"/>
      <c r="AA21" s="252"/>
      <c r="AB21" s="247" t="s">
        <v>5709</v>
      </c>
      <c r="AC21" s="247"/>
      <c r="AD21" s="248" t="s">
        <v>3197</v>
      </c>
      <c r="AE21" s="248"/>
      <c r="AF21" s="248"/>
      <c r="AG21" s="248"/>
      <c r="AH21" s="248"/>
      <c r="AI21" s="248"/>
      <c r="AJ21" s="248"/>
      <c r="AK21" s="2"/>
      <c r="AL21" s="1"/>
      <c r="AM21" s="2"/>
      <c r="AN21" s="1"/>
      <c r="AO21" s="2"/>
      <c r="AP21" s="7"/>
      <c r="AT21" s="23" t="str">
        <f>D57&amp;AF50</f>
        <v>LF [%]2010</v>
      </c>
      <c r="AU21" s="23" t="str">
        <f>AF57</f>
        <v>87.59</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29084</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4808</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32286</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4809</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32361</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6548</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4810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4811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1937</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4812</v>
      </c>
      <c r="G51" s="238"/>
      <c r="H51" s="238"/>
      <c r="I51" s="238"/>
      <c r="J51" s="10" t="s">
        <v>4813</v>
      </c>
      <c r="K51" s="238" t="s">
        <v>4814</v>
      </c>
      <c r="L51" s="238"/>
      <c r="M51" s="238"/>
      <c r="N51" s="238" t="s">
        <v>4815</v>
      </c>
      <c r="O51" s="238"/>
      <c r="P51" s="238"/>
      <c r="Q51" s="238" t="s">
        <v>4816</v>
      </c>
      <c r="R51" s="238"/>
      <c r="S51" s="238"/>
      <c r="T51" s="238"/>
      <c r="U51" s="238"/>
      <c r="V51" s="238"/>
      <c r="W51" s="238" t="s">
        <v>4817</v>
      </c>
      <c r="X51" s="238"/>
      <c r="Y51" s="10" t="s">
        <v>4818</v>
      </c>
      <c r="Z51" s="10" t="s">
        <v>4819</v>
      </c>
      <c r="AA51" s="238" t="s">
        <v>4820</v>
      </c>
      <c r="AB51" s="238"/>
      <c r="AC51" s="238"/>
      <c r="AD51" s="238"/>
      <c r="AE51" s="238"/>
      <c r="AF51" s="10" t="s">
        <v>4821</v>
      </c>
      <c r="AG51" s="237" t="s">
        <v>4822</v>
      </c>
      <c r="AH51" s="237"/>
      <c r="AI51" s="237"/>
      <c r="AJ51" s="237"/>
      <c r="AK51" s="237"/>
      <c r="AL51" s="2"/>
      <c r="AM51" s="2"/>
      <c r="AN51" s="2"/>
      <c r="AO51" s="2"/>
      <c r="AP51" s="7"/>
    </row>
    <row r="52" spans="1:42" ht="13.5" thickBot="1">
      <c r="A52" s="6"/>
      <c r="B52" s="2"/>
      <c r="C52" s="2"/>
      <c r="D52" s="244" t="s">
        <v>261</v>
      </c>
      <c r="E52" s="244"/>
      <c r="F52" s="238" t="s">
        <v>6400</v>
      </c>
      <c r="G52" s="238"/>
      <c r="H52" s="238"/>
      <c r="I52" s="238"/>
      <c r="J52" s="10" t="s">
        <v>4823</v>
      </c>
      <c r="K52" s="238" t="s">
        <v>4824</v>
      </c>
      <c r="L52" s="238"/>
      <c r="M52" s="238"/>
      <c r="N52" s="238" t="s">
        <v>6333</v>
      </c>
      <c r="O52" s="238"/>
      <c r="P52" s="238"/>
      <c r="Q52" s="238" t="s">
        <v>4825</v>
      </c>
      <c r="R52" s="238"/>
      <c r="S52" s="238"/>
      <c r="T52" s="238"/>
      <c r="U52" s="238"/>
      <c r="V52" s="238"/>
      <c r="W52" s="238" t="s">
        <v>6099</v>
      </c>
      <c r="X52" s="238"/>
      <c r="Y52" s="10" t="s">
        <v>3416</v>
      </c>
      <c r="Z52" s="10" t="s">
        <v>2737</v>
      </c>
      <c r="AA52" s="238" t="s">
        <v>6438</v>
      </c>
      <c r="AB52" s="238"/>
      <c r="AC52" s="238"/>
      <c r="AD52" s="238"/>
      <c r="AE52" s="238"/>
      <c r="AF52" s="10" t="s">
        <v>6152</v>
      </c>
      <c r="AG52" s="237" t="s">
        <v>4826</v>
      </c>
      <c r="AH52" s="237"/>
      <c r="AI52" s="237"/>
      <c r="AJ52" s="237"/>
      <c r="AK52" s="237"/>
      <c r="AL52" s="2"/>
      <c r="AM52" s="2"/>
      <c r="AN52" s="2"/>
      <c r="AO52" s="2"/>
      <c r="AP52" s="7"/>
    </row>
    <row r="53" spans="1:42" ht="13.5" thickBot="1">
      <c r="A53" s="6"/>
      <c r="B53" s="2"/>
      <c r="C53" s="2"/>
      <c r="D53" s="244" t="s">
        <v>273</v>
      </c>
      <c r="E53" s="244"/>
      <c r="F53" s="238" t="s">
        <v>4827</v>
      </c>
      <c r="G53" s="238"/>
      <c r="H53" s="238"/>
      <c r="I53" s="238"/>
      <c r="J53" s="10" t="s">
        <v>4828</v>
      </c>
      <c r="K53" s="238" t="s">
        <v>2854</v>
      </c>
      <c r="L53" s="238"/>
      <c r="M53" s="238"/>
      <c r="N53" s="238" t="s">
        <v>3182</v>
      </c>
      <c r="O53" s="238"/>
      <c r="P53" s="238"/>
      <c r="Q53" s="238" t="s">
        <v>4829</v>
      </c>
      <c r="R53" s="238"/>
      <c r="S53" s="238"/>
      <c r="T53" s="238"/>
      <c r="U53" s="238"/>
      <c r="V53" s="238"/>
      <c r="W53" s="238" t="s">
        <v>6781</v>
      </c>
      <c r="X53" s="238"/>
      <c r="Y53" s="10" t="s">
        <v>2930</v>
      </c>
      <c r="Z53" s="10" t="s">
        <v>4830</v>
      </c>
      <c r="AA53" s="238" t="s">
        <v>4831</v>
      </c>
      <c r="AB53" s="238"/>
      <c r="AC53" s="238"/>
      <c r="AD53" s="238"/>
      <c r="AE53" s="238"/>
      <c r="AF53" s="10" t="s">
        <v>4832</v>
      </c>
      <c r="AG53" s="237" t="s">
        <v>4833</v>
      </c>
      <c r="AH53" s="237"/>
      <c r="AI53" s="237"/>
      <c r="AJ53" s="237"/>
      <c r="AK53" s="237"/>
      <c r="AL53" s="2"/>
      <c r="AM53" s="2"/>
      <c r="AN53" s="2"/>
      <c r="AO53" s="2"/>
      <c r="AP53" s="7"/>
    </row>
    <row r="54" spans="1:42" ht="13.5" thickBot="1">
      <c r="A54" s="6"/>
      <c r="B54" s="2"/>
      <c r="C54" s="2"/>
      <c r="D54" s="244" t="s">
        <v>285</v>
      </c>
      <c r="E54" s="244"/>
      <c r="F54" s="238" t="s">
        <v>6493</v>
      </c>
      <c r="G54" s="238"/>
      <c r="H54" s="238"/>
      <c r="I54" s="238"/>
      <c r="J54" s="10" t="s">
        <v>1977</v>
      </c>
      <c r="K54" s="238" t="s">
        <v>4824</v>
      </c>
      <c r="L54" s="238"/>
      <c r="M54" s="238"/>
      <c r="N54" s="238" t="s">
        <v>6333</v>
      </c>
      <c r="O54" s="238"/>
      <c r="P54" s="238"/>
      <c r="Q54" s="238" t="s">
        <v>4825</v>
      </c>
      <c r="R54" s="238"/>
      <c r="S54" s="238"/>
      <c r="T54" s="238"/>
      <c r="U54" s="238"/>
      <c r="V54" s="238"/>
      <c r="W54" s="238" t="s">
        <v>4834</v>
      </c>
      <c r="X54" s="238"/>
      <c r="Y54" s="10" t="s">
        <v>6333</v>
      </c>
      <c r="Z54" s="10" t="s">
        <v>6028</v>
      </c>
      <c r="AA54" s="238" t="s">
        <v>4835</v>
      </c>
      <c r="AB54" s="238"/>
      <c r="AC54" s="238"/>
      <c r="AD54" s="238"/>
      <c r="AE54" s="238"/>
      <c r="AF54" s="10" t="s">
        <v>4836</v>
      </c>
      <c r="AG54" s="237" t="s">
        <v>4837</v>
      </c>
      <c r="AH54" s="237"/>
      <c r="AI54" s="237"/>
      <c r="AJ54" s="237"/>
      <c r="AK54" s="237"/>
      <c r="AL54" s="2"/>
      <c r="AM54" s="2"/>
      <c r="AN54" s="2"/>
      <c r="AO54" s="2"/>
      <c r="AP54" s="7"/>
    </row>
    <row r="55" spans="1:42" ht="13.5" thickBot="1">
      <c r="A55" s="6"/>
      <c r="B55" s="2"/>
      <c r="C55" s="2"/>
      <c r="D55" s="244" t="s">
        <v>295</v>
      </c>
      <c r="E55" s="244"/>
      <c r="F55" s="238" t="s">
        <v>412</v>
      </c>
      <c r="G55" s="238"/>
      <c r="H55" s="238"/>
      <c r="I55" s="238"/>
      <c r="J55" s="10" t="s">
        <v>375</v>
      </c>
      <c r="K55" s="238" t="s">
        <v>4838</v>
      </c>
      <c r="L55" s="238"/>
      <c r="M55" s="238"/>
      <c r="N55" s="238" t="s">
        <v>6849</v>
      </c>
      <c r="O55" s="238"/>
      <c r="P55" s="238"/>
      <c r="Q55" s="238" t="s">
        <v>6012</v>
      </c>
      <c r="R55" s="238"/>
      <c r="S55" s="238"/>
      <c r="T55" s="238"/>
      <c r="U55" s="238"/>
      <c r="V55" s="238"/>
      <c r="W55" s="238" t="s">
        <v>4839</v>
      </c>
      <c r="X55" s="238"/>
      <c r="Y55" s="10" t="s">
        <v>6902</v>
      </c>
      <c r="Z55" s="10" t="s">
        <v>1779</v>
      </c>
      <c r="AA55" s="238" t="s">
        <v>4840</v>
      </c>
      <c r="AB55" s="238"/>
      <c r="AC55" s="238"/>
      <c r="AD55" s="238"/>
      <c r="AE55" s="238"/>
      <c r="AF55" s="10" t="s">
        <v>4841</v>
      </c>
      <c r="AG55" s="237" t="s">
        <v>3263</v>
      </c>
      <c r="AH55" s="237"/>
      <c r="AI55" s="237"/>
      <c r="AJ55" s="237"/>
      <c r="AK55" s="237"/>
      <c r="AL55" s="2"/>
      <c r="AM55" s="2"/>
      <c r="AN55" s="2"/>
      <c r="AO55" s="2"/>
      <c r="AP55" s="7"/>
    </row>
    <row r="56" spans="1:42" ht="13.5" thickBot="1">
      <c r="A56" s="6"/>
      <c r="B56" s="2"/>
      <c r="C56" s="2"/>
      <c r="D56" s="244" t="s">
        <v>307</v>
      </c>
      <c r="E56" s="244"/>
      <c r="F56" s="238" t="s">
        <v>4842</v>
      </c>
      <c r="G56" s="238"/>
      <c r="H56" s="238"/>
      <c r="I56" s="238"/>
      <c r="J56" s="10" t="s">
        <v>2789</v>
      </c>
      <c r="K56" s="238" t="s">
        <v>6406</v>
      </c>
      <c r="L56" s="238"/>
      <c r="M56" s="238"/>
      <c r="N56" s="238" t="s">
        <v>3414</v>
      </c>
      <c r="O56" s="238"/>
      <c r="P56" s="238"/>
      <c r="Q56" s="238" t="s">
        <v>327</v>
      </c>
      <c r="R56" s="238"/>
      <c r="S56" s="238"/>
      <c r="T56" s="238"/>
      <c r="U56" s="238"/>
      <c r="V56" s="238"/>
      <c r="W56" s="238" t="s">
        <v>6737</v>
      </c>
      <c r="X56" s="238"/>
      <c r="Y56" s="10" t="s">
        <v>6715</v>
      </c>
      <c r="Z56" s="10" t="s">
        <v>6026</v>
      </c>
      <c r="AA56" s="238" t="s">
        <v>4843</v>
      </c>
      <c r="AB56" s="238"/>
      <c r="AC56" s="238"/>
      <c r="AD56" s="238"/>
      <c r="AE56" s="238"/>
      <c r="AF56" s="10" t="s">
        <v>4312</v>
      </c>
      <c r="AG56" s="237" t="s">
        <v>6516</v>
      </c>
      <c r="AH56" s="237"/>
      <c r="AI56" s="237"/>
      <c r="AJ56" s="237"/>
      <c r="AK56" s="237"/>
      <c r="AL56" s="2"/>
      <c r="AM56" s="2"/>
      <c r="AN56" s="2"/>
      <c r="AO56" s="2"/>
      <c r="AP56" s="7"/>
    </row>
    <row r="57" spans="1:42" ht="13.5" thickBot="1">
      <c r="A57" s="6"/>
      <c r="B57" s="2"/>
      <c r="C57" s="2"/>
      <c r="D57" s="244" t="s">
        <v>319</v>
      </c>
      <c r="E57" s="244"/>
      <c r="F57" s="237" t="s">
        <v>6451</v>
      </c>
      <c r="G57" s="237"/>
      <c r="H57" s="237"/>
      <c r="I57" s="237"/>
      <c r="J57" s="11" t="s">
        <v>4844</v>
      </c>
      <c r="K57" s="237" t="s">
        <v>4845</v>
      </c>
      <c r="L57" s="237"/>
      <c r="M57" s="237"/>
      <c r="N57" s="237" t="s">
        <v>6315</v>
      </c>
      <c r="O57" s="237"/>
      <c r="P57" s="237"/>
      <c r="Q57" s="237" t="s">
        <v>4846</v>
      </c>
      <c r="R57" s="237"/>
      <c r="S57" s="237"/>
      <c r="T57" s="237"/>
      <c r="U57" s="237"/>
      <c r="V57" s="237"/>
      <c r="W57" s="237" t="s">
        <v>4847</v>
      </c>
      <c r="X57" s="237"/>
      <c r="Y57" s="11" t="s">
        <v>3328</v>
      </c>
      <c r="Z57" s="11" t="s">
        <v>4848</v>
      </c>
      <c r="AA57" s="237" t="s">
        <v>6881</v>
      </c>
      <c r="AB57" s="237"/>
      <c r="AC57" s="237"/>
      <c r="AD57" s="237"/>
      <c r="AE57" s="237"/>
      <c r="AF57" s="11" t="s">
        <v>4849</v>
      </c>
      <c r="AG57" s="237" t="s">
        <v>4850</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tabColor indexed="37"/>
  </sheetPr>
  <dimension ref="A1:AU63"/>
  <sheetViews>
    <sheetView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3.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4851</v>
      </c>
      <c r="E7" s="269"/>
      <c r="F7" s="269"/>
      <c r="G7" s="269"/>
      <c r="H7" s="269" t="s">
        <v>4852</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VANDELLOS-2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4234</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4286</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2.75" customHeight="1">
      <c r="A13" s="6"/>
      <c r="B13" s="1"/>
      <c r="C13" s="2"/>
      <c r="D13" s="247" t="s">
        <v>5716</v>
      </c>
      <c r="E13" s="247"/>
      <c r="F13" s="247"/>
      <c r="G13" s="247" t="s">
        <v>5709</v>
      </c>
      <c r="H13" s="247"/>
      <c r="I13" s="247" t="s">
        <v>1926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2941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1087</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1045</v>
      </c>
    </row>
    <row r="18" spans="1:47" ht="13.5" thickBot="1">
      <c r="A18" s="6"/>
      <c r="B18" s="1"/>
      <c r="C18" s="1"/>
      <c r="D18" s="248" t="s">
        <v>185</v>
      </c>
      <c r="E18" s="248"/>
      <c r="F18" s="248"/>
      <c r="G18" s="248"/>
      <c r="H18" s="248"/>
      <c r="I18" s="248"/>
      <c r="J18" s="248"/>
      <c r="K18" s="248"/>
      <c r="L18" s="8" t="s">
        <v>5709</v>
      </c>
      <c r="M18" s="264">
        <v>2941</v>
      </c>
      <c r="N18" s="264"/>
      <c r="O18" s="264"/>
      <c r="P18" s="248" t="s">
        <v>186</v>
      </c>
      <c r="Q18" s="248"/>
      <c r="R18" s="248"/>
      <c r="S18" s="2"/>
      <c r="T18" s="2"/>
      <c r="U18" s="252" t="s">
        <v>187</v>
      </c>
      <c r="V18" s="252"/>
      <c r="W18" s="252"/>
      <c r="X18" s="252"/>
      <c r="Y18" s="252"/>
      <c r="Z18" s="252"/>
      <c r="AA18" s="252"/>
      <c r="AB18" s="247" t="s">
        <v>5709</v>
      </c>
      <c r="AC18" s="247"/>
      <c r="AD18" s="248" t="s">
        <v>4853</v>
      </c>
      <c r="AE18" s="248"/>
      <c r="AF18" s="248"/>
      <c r="AG18" s="248"/>
      <c r="AH18" s="248"/>
      <c r="AI18" s="248"/>
      <c r="AJ18" s="248"/>
      <c r="AK18" s="2"/>
      <c r="AL18" s="1"/>
      <c r="AM18" s="2"/>
      <c r="AN18" s="1"/>
      <c r="AO18" s="2"/>
      <c r="AP18" s="7"/>
      <c r="AT18" s="25" t="str">
        <f>D26</f>
        <v>Grid Date</v>
      </c>
      <c r="AU18" s="25">
        <f>M26</f>
        <v>32123</v>
      </c>
    </row>
    <row r="19" spans="1:47" ht="13.5" thickBot="1">
      <c r="A19" s="6"/>
      <c r="B19" s="1"/>
      <c r="C19" s="1"/>
      <c r="D19" s="248" t="s">
        <v>189</v>
      </c>
      <c r="E19" s="248"/>
      <c r="F19" s="248"/>
      <c r="G19" s="248"/>
      <c r="H19" s="248"/>
      <c r="I19" s="248"/>
      <c r="J19" s="248"/>
      <c r="K19" s="248"/>
      <c r="L19" s="8" t="s">
        <v>5709</v>
      </c>
      <c r="M19" s="264">
        <v>1087</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50500</v>
      </c>
    </row>
    <row r="20" spans="1:47" ht="13.5" thickBot="1">
      <c r="A20" s="6"/>
      <c r="B20" s="1"/>
      <c r="C20" s="1"/>
      <c r="D20" s="248" t="s">
        <v>193</v>
      </c>
      <c r="E20" s="248"/>
      <c r="F20" s="248"/>
      <c r="G20" s="248"/>
      <c r="H20" s="248"/>
      <c r="I20" s="248"/>
      <c r="J20" s="248"/>
      <c r="K20" s="248"/>
      <c r="L20" s="8" t="s">
        <v>5709</v>
      </c>
      <c r="M20" s="264">
        <v>930</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t="str">
        <f>Q57</f>
        <v>51.33</v>
      </c>
    </row>
    <row r="21" spans="1:47" ht="13.5" thickBot="1">
      <c r="A21" s="6"/>
      <c r="B21" s="1"/>
      <c r="C21" s="1"/>
      <c r="D21" s="248" t="s">
        <v>196</v>
      </c>
      <c r="E21" s="248"/>
      <c r="F21" s="248"/>
      <c r="G21" s="248"/>
      <c r="H21" s="248"/>
      <c r="I21" s="248"/>
      <c r="J21" s="248"/>
      <c r="K21" s="248"/>
      <c r="L21" s="8" t="s">
        <v>5709</v>
      </c>
      <c r="M21" s="264">
        <v>1045</v>
      </c>
      <c r="N21" s="264"/>
      <c r="O21" s="264"/>
      <c r="P21" s="248" t="s">
        <v>190</v>
      </c>
      <c r="Q21" s="248"/>
      <c r="R21" s="248"/>
      <c r="S21" s="2"/>
      <c r="T21" s="2"/>
      <c r="U21" s="252" t="s">
        <v>197</v>
      </c>
      <c r="V21" s="252"/>
      <c r="W21" s="252"/>
      <c r="X21" s="252"/>
      <c r="Y21" s="252"/>
      <c r="Z21" s="252"/>
      <c r="AA21" s="252"/>
      <c r="AB21" s="247" t="s">
        <v>5709</v>
      </c>
      <c r="AC21" s="247"/>
      <c r="AD21" s="248" t="s">
        <v>4237</v>
      </c>
      <c r="AE21" s="248"/>
      <c r="AF21" s="248"/>
      <c r="AG21" s="248"/>
      <c r="AH21" s="248"/>
      <c r="AI21" s="248"/>
      <c r="AJ21" s="248"/>
      <c r="AK21" s="2"/>
      <c r="AL21" s="1"/>
      <c r="AM21" s="2"/>
      <c r="AN21" s="1"/>
      <c r="AO21" s="2"/>
      <c r="AP21" s="7"/>
      <c r="AT21" s="23" t="str">
        <f>D57&amp;AF50</f>
        <v>LF [%]2010</v>
      </c>
      <c r="AU21" s="23" t="str">
        <f>AF57</f>
        <v>92.84</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1932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29584</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32123</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3292</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32210</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3541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2827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4854</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4855</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4856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4857</v>
      </c>
      <c r="G51" s="238"/>
      <c r="H51" s="238"/>
      <c r="I51" s="238"/>
      <c r="J51" s="10" t="s">
        <v>4858</v>
      </c>
      <c r="K51" s="238" t="s">
        <v>4859</v>
      </c>
      <c r="L51" s="238"/>
      <c r="M51" s="238"/>
      <c r="N51" s="238" t="s">
        <v>4860</v>
      </c>
      <c r="O51" s="238"/>
      <c r="P51" s="238"/>
      <c r="Q51" s="238" t="s">
        <v>4861</v>
      </c>
      <c r="R51" s="238"/>
      <c r="S51" s="238"/>
      <c r="T51" s="238"/>
      <c r="U51" s="238"/>
      <c r="V51" s="238"/>
      <c r="W51" s="238" t="s">
        <v>4862</v>
      </c>
      <c r="X51" s="238"/>
      <c r="Y51" s="10" t="s">
        <v>4863</v>
      </c>
      <c r="Z51" s="10" t="s">
        <v>4864</v>
      </c>
      <c r="AA51" s="238" t="s">
        <v>4865</v>
      </c>
      <c r="AB51" s="238"/>
      <c r="AC51" s="238"/>
      <c r="AD51" s="238"/>
      <c r="AE51" s="238"/>
      <c r="AF51" s="10" t="s">
        <v>4866</v>
      </c>
      <c r="AG51" s="237" t="s">
        <v>4867</v>
      </c>
      <c r="AH51" s="237"/>
      <c r="AI51" s="237"/>
      <c r="AJ51" s="237"/>
      <c r="AK51" s="237"/>
      <c r="AL51" s="2"/>
      <c r="AM51" s="2"/>
      <c r="AN51" s="2"/>
      <c r="AO51" s="2"/>
      <c r="AP51" s="7"/>
    </row>
    <row r="52" spans="1:42" ht="13.5" thickBot="1">
      <c r="A52" s="6"/>
      <c r="B52" s="2"/>
      <c r="C52" s="2"/>
      <c r="D52" s="244" t="s">
        <v>261</v>
      </c>
      <c r="E52" s="244"/>
      <c r="F52" s="238" t="s">
        <v>6999</v>
      </c>
      <c r="G52" s="238"/>
      <c r="H52" s="238"/>
      <c r="I52" s="238"/>
      <c r="J52" s="10" t="s">
        <v>6911</v>
      </c>
      <c r="K52" s="238" t="s">
        <v>4868</v>
      </c>
      <c r="L52" s="238"/>
      <c r="M52" s="238"/>
      <c r="N52" s="238" t="s">
        <v>2995</v>
      </c>
      <c r="O52" s="238"/>
      <c r="P52" s="238"/>
      <c r="Q52" s="238" t="s">
        <v>4869</v>
      </c>
      <c r="R52" s="238"/>
      <c r="S52" s="238"/>
      <c r="T52" s="238"/>
      <c r="U52" s="238"/>
      <c r="V52" s="238"/>
      <c r="W52" s="238" t="s">
        <v>4870</v>
      </c>
      <c r="X52" s="238"/>
      <c r="Y52" s="10" t="s">
        <v>4871</v>
      </c>
      <c r="Z52" s="10" t="s">
        <v>6634</v>
      </c>
      <c r="AA52" s="238" t="s">
        <v>4872</v>
      </c>
      <c r="AB52" s="238"/>
      <c r="AC52" s="238"/>
      <c r="AD52" s="238"/>
      <c r="AE52" s="238"/>
      <c r="AF52" s="10" t="s">
        <v>1910</v>
      </c>
      <c r="AG52" s="237" t="s">
        <v>2747</v>
      </c>
      <c r="AH52" s="237"/>
      <c r="AI52" s="237"/>
      <c r="AJ52" s="237"/>
      <c r="AK52" s="237"/>
      <c r="AL52" s="2"/>
      <c r="AM52" s="2"/>
      <c r="AN52" s="2"/>
      <c r="AO52" s="2"/>
      <c r="AP52" s="7"/>
    </row>
    <row r="53" spans="1:42" ht="13.5" thickBot="1">
      <c r="A53" s="6"/>
      <c r="B53" s="2"/>
      <c r="C53" s="2"/>
      <c r="D53" s="244" t="s">
        <v>273</v>
      </c>
      <c r="E53" s="244"/>
      <c r="F53" s="238" t="s">
        <v>6245</v>
      </c>
      <c r="G53" s="238"/>
      <c r="H53" s="238"/>
      <c r="I53" s="238"/>
      <c r="J53" s="10" t="s">
        <v>4873</v>
      </c>
      <c r="K53" s="238" t="s">
        <v>4874</v>
      </c>
      <c r="L53" s="238"/>
      <c r="M53" s="238"/>
      <c r="N53" s="238" t="s">
        <v>6087</v>
      </c>
      <c r="O53" s="238"/>
      <c r="P53" s="238"/>
      <c r="Q53" s="238" t="s">
        <v>4875</v>
      </c>
      <c r="R53" s="238"/>
      <c r="S53" s="238"/>
      <c r="T53" s="238"/>
      <c r="U53" s="238"/>
      <c r="V53" s="238"/>
      <c r="W53" s="238" t="s">
        <v>4876</v>
      </c>
      <c r="X53" s="238"/>
      <c r="Y53" s="10" t="s">
        <v>4877</v>
      </c>
      <c r="Z53" s="10" t="s">
        <v>4878</v>
      </c>
      <c r="AA53" s="238" t="s">
        <v>4879</v>
      </c>
      <c r="AB53" s="238"/>
      <c r="AC53" s="238"/>
      <c r="AD53" s="238"/>
      <c r="AE53" s="238"/>
      <c r="AF53" s="10" t="s">
        <v>6244</v>
      </c>
      <c r="AG53" s="237" t="s">
        <v>6442</v>
      </c>
      <c r="AH53" s="237"/>
      <c r="AI53" s="237"/>
      <c r="AJ53" s="237"/>
      <c r="AK53" s="237"/>
      <c r="AL53" s="2"/>
      <c r="AM53" s="2"/>
      <c r="AN53" s="2"/>
      <c r="AO53" s="2"/>
      <c r="AP53" s="7"/>
    </row>
    <row r="54" spans="1:42" ht="13.5" thickBot="1">
      <c r="A54" s="6"/>
      <c r="B54" s="2"/>
      <c r="C54" s="2"/>
      <c r="D54" s="244" t="s">
        <v>285</v>
      </c>
      <c r="E54" s="244"/>
      <c r="F54" s="238" t="s">
        <v>6999</v>
      </c>
      <c r="G54" s="238"/>
      <c r="H54" s="238"/>
      <c r="I54" s="238"/>
      <c r="J54" s="10" t="s">
        <v>6491</v>
      </c>
      <c r="K54" s="238" t="s">
        <v>3395</v>
      </c>
      <c r="L54" s="238"/>
      <c r="M54" s="238"/>
      <c r="N54" s="238" t="s">
        <v>4880</v>
      </c>
      <c r="O54" s="238"/>
      <c r="P54" s="238"/>
      <c r="Q54" s="238" t="s">
        <v>4881</v>
      </c>
      <c r="R54" s="238"/>
      <c r="S54" s="238"/>
      <c r="T54" s="238"/>
      <c r="U54" s="238"/>
      <c r="V54" s="238"/>
      <c r="W54" s="238" t="s">
        <v>4882</v>
      </c>
      <c r="X54" s="238"/>
      <c r="Y54" s="10" t="s">
        <v>4883</v>
      </c>
      <c r="Z54" s="10" t="s">
        <v>4884</v>
      </c>
      <c r="AA54" s="238" t="s">
        <v>4885</v>
      </c>
      <c r="AB54" s="238"/>
      <c r="AC54" s="238"/>
      <c r="AD54" s="238"/>
      <c r="AE54" s="238"/>
      <c r="AF54" s="10" t="s">
        <v>294</v>
      </c>
      <c r="AG54" s="237" t="s">
        <v>4886</v>
      </c>
      <c r="AH54" s="237"/>
      <c r="AI54" s="237"/>
      <c r="AJ54" s="237"/>
      <c r="AK54" s="237"/>
      <c r="AL54" s="2"/>
      <c r="AM54" s="2"/>
      <c r="AN54" s="2"/>
      <c r="AO54" s="2"/>
      <c r="AP54" s="7"/>
    </row>
    <row r="55" spans="1:42" ht="13.5" thickBot="1">
      <c r="A55" s="6"/>
      <c r="B55" s="2"/>
      <c r="C55" s="2"/>
      <c r="D55" s="244" t="s">
        <v>295</v>
      </c>
      <c r="E55" s="244"/>
      <c r="F55" s="238" t="s">
        <v>6085</v>
      </c>
      <c r="G55" s="238"/>
      <c r="H55" s="238"/>
      <c r="I55" s="238"/>
      <c r="J55" s="10" t="s">
        <v>297</v>
      </c>
      <c r="K55" s="238" t="s">
        <v>3347</v>
      </c>
      <c r="L55" s="238"/>
      <c r="M55" s="238"/>
      <c r="N55" s="238" t="s">
        <v>4887</v>
      </c>
      <c r="O55" s="238"/>
      <c r="P55" s="238"/>
      <c r="Q55" s="238" t="s">
        <v>380</v>
      </c>
      <c r="R55" s="238"/>
      <c r="S55" s="238"/>
      <c r="T55" s="238"/>
      <c r="U55" s="238"/>
      <c r="V55" s="238"/>
      <c r="W55" s="238" t="s">
        <v>4888</v>
      </c>
      <c r="X55" s="238"/>
      <c r="Y55" s="10" t="s">
        <v>4889</v>
      </c>
      <c r="Z55" s="10" t="s">
        <v>6502</v>
      </c>
      <c r="AA55" s="238" t="s">
        <v>4890</v>
      </c>
      <c r="AB55" s="238"/>
      <c r="AC55" s="238"/>
      <c r="AD55" s="238"/>
      <c r="AE55" s="238"/>
      <c r="AF55" s="10" t="s">
        <v>4891</v>
      </c>
      <c r="AG55" s="237" t="s">
        <v>2953</v>
      </c>
      <c r="AH55" s="237"/>
      <c r="AI55" s="237"/>
      <c r="AJ55" s="237"/>
      <c r="AK55" s="237"/>
      <c r="AL55" s="2"/>
      <c r="AM55" s="2"/>
      <c r="AN55" s="2"/>
      <c r="AO55" s="2"/>
      <c r="AP55" s="7"/>
    </row>
    <row r="56" spans="1:42" ht="13.5" thickBot="1">
      <c r="A56" s="6"/>
      <c r="B56" s="2"/>
      <c r="C56" s="2"/>
      <c r="D56" s="244" t="s">
        <v>307</v>
      </c>
      <c r="E56" s="244"/>
      <c r="F56" s="238" t="s">
        <v>4892</v>
      </c>
      <c r="G56" s="238"/>
      <c r="H56" s="238"/>
      <c r="I56" s="238"/>
      <c r="J56" s="10" t="s">
        <v>4798</v>
      </c>
      <c r="K56" s="238" t="s">
        <v>4893</v>
      </c>
      <c r="L56" s="238"/>
      <c r="M56" s="238"/>
      <c r="N56" s="238" t="s">
        <v>322</v>
      </c>
      <c r="O56" s="238"/>
      <c r="P56" s="238"/>
      <c r="Q56" s="238" t="s">
        <v>4894</v>
      </c>
      <c r="R56" s="238"/>
      <c r="S56" s="238"/>
      <c r="T56" s="238"/>
      <c r="U56" s="238"/>
      <c r="V56" s="238"/>
      <c r="W56" s="238" t="s">
        <v>1918</v>
      </c>
      <c r="X56" s="238"/>
      <c r="Y56" s="10" t="s">
        <v>4895</v>
      </c>
      <c r="Z56" s="10" t="s">
        <v>4896</v>
      </c>
      <c r="AA56" s="238" t="s">
        <v>4897</v>
      </c>
      <c r="AB56" s="238"/>
      <c r="AC56" s="238"/>
      <c r="AD56" s="238"/>
      <c r="AE56" s="238"/>
      <c r="AF56" s="10" t="s">
        <v>2857</v>
      </c>
      <c r="AG56" s="237" t="s">
        <v>6342</v>
      </c>
      <c r="AH56" s="237"/>
      <c r="AI56" s="237"/>
      <c r="AJ56" s="237"/>
      <c r="AK56" s="237"/>
      <c r="AL56" s="2"/>
      <c r="AM56" s="2"/>
      <c r="AN56" s="2"/>
      <c r="AO56" s="2"/>
      <c r="AP56" s="7"/>
    </row>
    <row r="57" spans="1:42" ht="13.5" thickBot="1">
      <c r="A57" s="6"/>
      <c r="B57" s="2"/>
      <c r="C57" s="2"/>
      <c r="D57" s="244" t="s">
        <v>319</v>
      </c>
      <c r="E57" s="244"/>
      <c r="F57" s="237" t="s">
        <v>4898</v>
      </c>
      <c r="G57" s="237"/>
      <c r="H57" s="237"/>
      <c r="I57" s="237"/>
      <c r="J57" s="11" t="s">
        <v>6917</v>
      </c>
      <c r="K57" s="237" t="s">
        <v>2863</v>
      </c>
      <c r="L57" s="237"/>
      <c r="M57" s="237"/>
      <c r="N57" s="237" t="s">
        <v>270</v>
      </c>
      <c r="O57" s="237"/>
      <c r="P57" s="237"/>
      <c r="Q57" s="237" t="s">
        <v>4899</v>
      </c>
      <c r="R57" s="237"/>
      <c r="S57" s="237"/>
      <c r="T57" s="237"/>
      <c r="U57" s="237"/>
      <c r="V57" s="237"/>
      <c r="W57" s="237" t="s">
        <v>4900</v>
      </c>
      <c r="X57" s="237"/>
      <c r="Y57" s="11" t="s">
        <v>4901</v>
      </c>
      <c r="Z57" s="11" t="s">
        <v>4902</v>
      </c>
      <c r="AA57" s="237" t="s">
        <v>4872</v>
      </c>
      <c r="AB57" s="237"/>
      <c r="AC57" s="237"/>
      <c r="AD57" s="237"/>
      <c r="AE57" s="237"/>
      <c r="AF57" s="11" t="s">
        <v>4903</v>
      </c>
      <c r="AG57" s="237" t="s">
        <v>2747</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4904</v>
      </c>
      <c r="E7" s="269"/>
      <c r="F7" s="269"/>
      <c r="G7" s="269"/>
      <c r="H7" s="269" t="s">
        <v>4905</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FORSMARK-1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4907</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4907</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 75</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2928</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1033</v>
      </c>
    </row>
    <row r="17" spans="1:47" ht="11.45" customHeight="1" thickBot="1">
      <c r="A17" s="6"/>
      <c r="B17" s="1"/>
      <c r="C17" s="1"/>
      <c r="D17" s="248" t="s">
        <v>5722</v>
      </c>
      <c r="E17" s="248"/>
      <c r="F17" s="248"/>
      <c r="G17" s="247" t="s">
        <v>5709</v>
      </c>
      <c r="H17" s="247"/>
      <c r="I17" s="248" t="s">
        <v>4910</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978</v>
      </c>
    </row>
    <row r="18" spans="1:47" ht="13.5" thickBot="1">
      <c r="A18" s="6"/>
      <c r="B18" s="1"/>
      <c r="C18" s="1"/>
      <c r="D18" s="248" t="s">
        <v>185</v>
      </c>
      <c r="E18" s="248"/>
      <c r="F18" s="248"/>
      <c r="G18" s="248"/>
      <c r="H18" s="248"/>
      <c r="I18" s="248"/>
      <c r="J18" s="248"/>
      <c r="K18" s="248"/>
      <c r="L18" s="8" t="s">
        <v>5709</v>
      </c>
      <c r="M18" s="264">
        <v>2928</v>
      </c>
      <c r="N18" s="264"/>
      <c r="O18" s="264"/>
      <c r="P18" s="248" t="s">
        <v>186</v>
      </c>
      <c r="Q18" s="248"/>
      <c r="R18" s="248"/>
      <c r="S18" s="2"/>
      <c r="T18" s="2"/>
      <c r="U18" s="252" t="s">
        <v>187</v>
      </c>
      <c r="V18" s="252"/>
      <c r="W18" s="252"/>
      <c r="X18" s="252"/>
      <c r="Y18" s="252"/>
      <c r="Z18" s="252"/>
      <c r="AA18" s="252"/>
      <c r="AB18" s="247" t="s">
        <v>5709</v>
      </c>
      <c r="AC18" s="247"/>
      <c r="AD18" s="248" t="s">
        <v>4911</v>
      </c>
      <c r="AE18" s="248"/>
      <c r="AF18" s="248"/>
      <c r="AG18" s="248"/>
      <c r="AH18" s="248"/>
      <c r="AI18" s="248"/>
      <c r="AJ18" s="248"/>
      <c r="AK18" s="2"/>
      <c r="AL18" s="1"/>
      <c r="AM18" s="2"/>
      <c r="AN18" s="1"/>
      <c r="AO18" s="2"/>
      <c r="AP18" s="7"/>
      <c r="AT18" s="25" t="str">
        <f>D26</f>
        <v>Grid Date</v>
      </c>
      <c r="AU18" s="25">
        <f>M26</f>
        <v>29378</v>
      </c>
    </row>
    <row r="19" spans="1:47" ht="13.5" thickBot="1">
      <c r="A19" s="6"/>
      <c r="B19" s="1"/>
      <c r="C19" s="1"/>
      <c r="D19" s="248" t="s">
        <v>189</v>
      </c>
      <c r="E19" s="248"/>
      <c r="F19" s="248"/>
      <c r="G19" s="248"/>
      <c r="H19" s="248"/>
      <c r="I19" s="248"/>
      <c r="J19" s="248"/>
      <c r="K19" s="248"/>
      <c r="L19" s="8" t="s">
        <v>5709</v>
      </c>
      <c r="M19" s="264">
        <v>1033</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42000</v>
      </c>
    </row>
    <row r="20" spans="1:47" ht="13.5" thickBot="1">
      <c r="A20" s="6"/>
      <c r="B20" s="1"/>
      <c r="C20" s="1"/>
      <c r="D20" s="248" t="s">
        <v>193</v>
      </c>
      <c r="E20" s="248"/>
      <c r="F20" s="248"/>
      <c r="G20" s="248"/>
      <c r="H20" s="248"/>
      <c r="I20" s="248"/>
      <c r="J20" s="248"/>
      <c r="K20" s="248"/>
      <c r="L20" s="8" t="s">
        <v>5709</v>
      </c>
      <c r="M20" s="264">
        <v>900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85.13</v>
      </c>
    </row>
    <row r="21" spans="1:47" ht="13.5" thickBot="1">
      <c r="A21" s="6"/>
      <c r="B21" s="1"/>
      <c r="C21" s="1"/>
      <c r="D21" s="248" t="s">
        <v>196</v>
      </c>
      <c r="E21" s="248"/>
      <c r="F21" s="248"/>
      <c r="G21" s="248"/>
      <c r="H21" s="248"/>
      <c r="I21" s="248"/>
      <c r="J21" s="248"/>
      <c r="K21" s="248"/>
      <c r="L21" s="8" t="s">
        <v>5709</v>
      </c>
      <c r="M21" s="264">
        <v>978</v>
      </c>
      <c r="N21" s="264"/>
      <c r="O21" s="264"/>
      <c r="P21" s="248" t="s">
        <v>190</v>
      </c>
      <c r="Q21" s="248"/>
      <c r="R21" s="248"/>
      <c r="S21" s="2"/>
      <c r="T21" s="2"/>
      <c r="U21" s="252" t="s">
        <v>197</v>
      </c>
      <c r="V21" s="252"/>
      <c r="W21" s="252"/>
      <c r="X21" s="252"/>
      <c r="Y21" s="252"/>
      <c r="Z21" s="252"/>
      <c r="AA21" s="252"/>
      <c r="AB21" s="247" t="s">
        <v>5709</v>
      </c>
      <c r="AC21" s="247"/>
      <c r="AD21" s="248" t="s">
        <v>7035</v>
      </c>
      <c r="AE21" s="248"/>
      <c r="AF21" s="248"/>
      <c r="AG21" s="248"/>
      <c r="AH21" s="248"/>
      <c r="AI21" s="248"/>
      <c r="AJ21" s="248"/>
      <c r="AK21" s="2"/>
      <c r="AL21" s="1"/>
      <c r="AM21" s="2"/>
      <c r="AN21" s="1"/>
      <c r="AO21" s="2"/>
      <c r="AP21" s="7"/>
      <c r="AT21" s="23" t="str">
        <f>D57&amp;AF50</f>
        <v>LF [%]2010</v>
      </c>
      <c r="AU21" s="23" t="str">
        <f>AF57</f>
        <v>93.30</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4912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204</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26816</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4913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29378</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4914</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29565</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4915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215</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4916</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215</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416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4917</v>
      </c>
      <c r="G51" s="238"/>
      <c r="H51" s="238"/>
      <c r="I51" s="238"/>
      <c r="J51" s="10" t="s">
        <v>4918</v>
      </c>
      <c r="K51" s="238" t="s">
        <v>4919</v>
      </c>
      <c r="L51" s="238"/>
      <c r="M51" s="238"/>
      <c r="N51" s="238" t="s">
        <v>4920</v>
      </c>
      <c r="O51" s="238"/>
      <c r="P51" s="238"/>
      <c r="Q51" s="238" t="s">
        <v>4921</v>
      </c>
      <c r="R51" s="238"/>
      <c r="S51" s="238"/>
      <c r="T51" s="238"/>
      <c r="U51" s="238"/>
      <c r="V51" s="238"/>
      <c r="W51" s="238" t="s">
        <v>4922</v>
      </c>
      <c r="X51" s="238"/>
      <c r="Y51" s="10" t="s">
        <v>4923</v>
      </c>
      <c r="Z51" s="10" t="s">
        <v>4924</v>
      </c>
      <c r="AA51" s="238" t="s">
        <v>4925</v>
      </c>
      <c r="AB51" s="238"/>
      <c r="AC51" s="238"/>
      <c r="AD51" s="238"/>
      <c r="AE51" s="238"/>
      <c r="AF51" s="10" t="s">
        <v>4926</v>
      </c>
      <c r="AG51" s="237" t="s">
        <v>4927</v>
      </c>
      <c r="AH51" s="237"/>
      <c r="AI51" s="237"/>
      <c r="AJ51" s="237"/>
      <c r="AK51" s="237"/>
      <c r="AL51" s="2"/>
      <c r="AM51" s="2"/>
      <c r="AN51" s="2"/>
      <c r="AO51" s="2"/>
      <c r="AP51" s="7"/>
    </row>
    <row r="52" spans="1:42" ht="13.5" thickBot="1">
      <c r="A52" s="6"/>
      <c r="B52" s="2"/>
      <c r="C52" s="2"/>
      <c r="D52" s="244" t="s">
        <v>261</v>
      </c>
      <c r="E52" s="244"/>
      <c r="F52" s="238" t="s">
        <v>3441</v>
      </c>
      <c r="G52" s="238"/>
      <c r="H52" s="238"/>
      <c r="I52" s="238"/>
      <c r="J52" s="10" t="s">
        <v>6200</v>
      </c>
      <c r="K52" s="238" t="s">
        <v>6077</v>
      </c>
      <c r="L52" s="238"/>
      <c r="M52" s="238"/>
      <c r="N52" s="238" t="s">
        <v>4928</v>
      </c>
      <c r="O52" s="238"/>
      <c r="P52" s="238"/>
      <c r="Q52" s="238" t="s">
        <v>1878</v>
      </c>
      <c r="R52" s="238"/>
      <c r="S52" s="238"/>
      <c r="T52" s="238"/>
      <c r="U52" s="238"/>
      <c r="V52" s="238"/>
      <c r="W52" s="238" t="s">
        <v>6673</v>
      </c>
      <c r="X52" s="238"/>
      <c r="Y52" s="10" t="s">
        <v>4929</v>
      </c>
      <c r="Z52" s="10" t="s">
        <v>1835</v>
      </c>
      <c r="AA52" s="238" t="s">
        <v>4848</v>
      </c>
      <c r="AB52" s="238"/>
      <c r="AC52" s="238"/>
      <c r="AD52" s="238"/>
      <c r="AE52" s="238"/>
      <c r="AF52" s="10" t="s">
        <v>4930</v>
      </c>
      <c r="AG52" s="237" t="s">
        <v>6318</v>
      </c>
      <c r="AH52" s="237"/>
      <c r="AI52" s="237"/>
      <c r="AJ52" s="237"/>
      <c r="AK52" s="237"/>
      <c r="AL52" s="2"/>
      <c r="AM52" s="2"/>
      <c r="AN52" s="2"/>
      <c r="AO52" s="2"/>
      <c r="AP52" s="7"/>
    </row>
    <row r="53" spans="1:42" ht="13.5" thickBot="1">
      <c r="A53" s="6"/>
      <c r="B53" s="2"/>
      <c r="C53" s="2"/>
      <c r="D53" s="244" t="s">
        <v>273</v>
      </c>
      <c r="E53" s="244"/>
      <c r="F53" s="238" t="s">
        <v>4931</v>
      </c>
      <c r="G53" s="238"/>
      <c r="H53" s="238"/>
      <c r="I53" s="238"/>
      <c r="J53" s="10" t="s">
        <v>4932</v>
      </c>
      <c r="K53" s="238" t="s">
        <v>3055</v>
      </c>
      <c r="L53" s="238"/>
      <c r="M53" s="238"/>
      <c r="N53" s="238" t="s">
        <v>2960</v>
      </c>
      <c r="O53" s="238"/>
      <c r="P53" s="238"/>
      <c r="Q53" s="238" t="s">
        <v>6889</v>
      </c>
      <c r="R53" s="238"/>
      <c r="S53" s="238"/>
      <c r="T53" s="238"/>
      <c r="U53" s="238"/>
      <c r="V53" s="238"/>
      <c r="W53" s="238" t="s">
        <v>4933</v>
      </c>
      <c r="X53" s="238"/>
      <c r="Y53" s="10" t="s">
        <v>3546</v>
      </c>
      <c r="Z53" s="10" t="s">
        <v>6314</v>
      </c>
      <c r="AA53" s="238" t="s">
        <v>3389</v>
      </c>
      <c r="AB53" s="238"/>
      <c r="AC53" s="238"/>
      <c r="AD53" s="238"/>
      <c r="AE53" s="238"/>
      <c r="AF53" s="10" t="s">
        <v>1938</v>
      </c>
      <c r="AG53" s="237" t="s">
        <v>6440</v>
      </c>
      <c r="AH53" s="237"/>
      <c r="AI53" s="237"/>
      <c r="AJ53" s="237"/>
      <c r="AK53" s="237"/>
      <c r="AL53" s="2"/>
      <c r="AM53" s="2"/>
      <c r="AN53" s="2"/>
      <c r="AO53" s="2"/>
      <c r="AP53" s="7"/>
    </row>
    <row r="54" spans="1:42" ht="13.5" thickBot="1">
      <c r="A54" s="6"/>
      <c r="B54" s="2"/>
      <c r="C54" s="2"/>
      <c r="D54" s="244" t="s">
        <v>285</v>
      </c>
      <c r="E54" s="244"/>
      <c r="F54" s="238" t="s">
        <v>4934</v>
      </c>
      <c r="G54" s="238"/>
      <c r="H54" s="238"/>
      <c r="I54" s="238"/>
      <c r="J54" s="10" t="s">
        <v>4935</v>
      </c>
      <c r="K54" s="238" t="s">
        <v>6077</v>
      </c>
      <c r="L54" s="238"/>
      <c r="M54" s="238"/>
      <c r="N54" s="238" t="s">
        <v>4936</v>
      </c>
      <c r="O54" s="238"/>
      <c r="P54" s="238"/>
      <c r="Q54" s="238" t="s">
        <v>6790</v>
      </c>
      <c r="R54" s="238"/>
      <c r="S54" s="238"/>
      <c r="T54" s="238"/>
      <c r="U54" s="238"/>
      <c r="V54" s="238"/>
      <c r="W54" s="238" t="s">
        <v>6804</v>
      </c>
      <c r="X54" s="238"/>
      <c r="Y54" s="10" t="s">
        <v>7084</v>
      </c>
      <c r="Z54" s="10" t="s">
        <v>1873</v>
      </c>
      <c r="AA54" s="238" t="s">
        <v>3513</v>
      </c>
      <c r="AB54" s="238"/>
      <c r="AC54" s="238"/>
      <c r="AD54" s="238"/>
      <c r="AE54" s="238"/>
      <c r="AF54" s="10" t="s">
        <v>4179</v>
      </c>
      <c r="AG54" s="237" t="s">
        <v>2793</v>
      </c>
      <c r="AH54" s="237"/>
      <c r="AI54" s="237"/>
      <c r="AJ54" s="237"/>
      <c r="AK54" s="237"/>
      <c r="AL54" s="2"/>
      <c r="AM54" s="2"/>
      <c r="AN54" s="2"/>
      <c r="AO54" s="2"/>
      <c r="AP54" s="7"/>
    </row>
    <row r="55" spans="1:42" ht="13.5" thickBot="1">
      <c r="A55" s="6"/>
      <c r="B55" s="2"/>
      <c r="C55" s="2"/>
      <c r="D55" s="244" t="s">
        <v>295</v>
      </c>
      <c r="E55" s="244"/>
      <c r="F55" s="238" t="s">
        <v>4937</v>
      </c>
      <c r="G55" s="238"/>
      <c r="H55" s="238"/>
      <c r="I55" s="238"/>
      <c r="J55" s="10" t="s">
        <v>4938</v>
      </c>
      <c r="K55" s="238" t="s">
        <v>296</v>
      </c>
      <c r="L55" s="238"/>
      <c r="M55" s="238"/>
      <c r="N55" s="238" t="s">
        <v>378</v>
      </c>
      <c r="O55" s="238"/>
      <c r="P55" s="238"/>
      <c r="Q55" s="238" t="s">
        <v>2960</v>
      </c>
      <c r="R55" s="238"/>
      <c r="S55" s="238"/>
      <c r="T55" s="238"/>
      <c r="U55" s="238"/>
      <c r="V55" s="238"/>
      <c r="W55" s="238" t="s">
        <v>6161</v>
      </c>
      <c r="X55" s="238"/>
      <c r="Y55" s="10" t="s">
        <v>4939</v>
      </c>
      <c r="Z55" s="10" t="s">
        <v>3263</v>
      </c>
      <c r="AA55" s="238" t="s">
        <v>4940</v>
      </c>
      <c r="AB55" s="238"/>
      <c r="AC55" s="238"/>
      <c r="AD55" s="238"/>
      <c r="AE55" s="238"/>
      <c r="AF55" s="10" t="s">
        <v>6014</v>
      </c>
      <c r="AG55" s="237" t="s">
        <v>3179</v>
      </c>
      <c r="AH55" s="237"/>
      <c r="AI55" s="237"/>
      <c r="AJ55" s="237"/>
      <c r="AK55" s="237"/>
      <c r="AL55" s="2"/>
      <c r="AM55" s="2"/>
      <c r="AN55" s="2"/>
      <c r="AO55" s="2"/>
      <c r="AP55" s="7"/>
    </row>
    <row r="56" spans="1:42" ht="13.5" thickBot="1">
      <c r="A56" s="6"/>
      <c r="B56" s="2"/>
      <c r="C56" s="2"/>
      <c r="D56" s="244" t="s">
        <v>307</v>
      </c>
      <c r="E56" s="244"/>
      <c r="F56" s="238" t="s">
        <v>4941</v>
      </c>
      <c r="G56" s="238"/>
      <c r="H56" s="238"/>
      <c r="I56" s="238"/>
      <c r="J56" s="10" t="s">
        <v>3409</v>
      </c>
      <c r="K56" s="238" t="s">
        <v>435</v>
      </c>
      <c r="L56" s="238"/>
      <c r="M56" s="238"/>
      <c r="N56" s="238" t="s">
        <v>4942</v>
      </c>
      <c r="O56" s="238"/>
      <c r="P56" s="238"/>
      <c r="Q56" s="238" t="s">
        <v>4943</v>
      </c>
      <c r="R56" s="238"/>
      <c r="S56" s="238"/>
      <c r="T56" s="238"/>
      <c r="U56" s="238"/>
      <c r="V56" s="238"/>
      <c r="W56" s="238" t="s">
        <v>4944</v>
      </c>
      <c r="X56" s="238"/>
      <c r="Y56" s="10" t="s">
        <v>4945</v>
      </c>
      <c r="Z56" s="10" t="s">
        <v>4946</v>
      </c>
      <c r="AA56" s="238" t="s">
        <v>6727</v>
      </c>
      <c r="AB56" s="238"/>
      <c r="AC56" s="238"/>
      <c r="AD56" s="238"/>
      <c r="AE56" s="238"/>
      <c r="AF56" s="10" t="s">
        <v>6056</v>
      </c>
      <c r="AG56" s="237" t="s">
        <v>1951</v>
      </c>
      <c r="AH56" s="237"/>
      <c r="AI56" s="237"/>
      <c r="AJ56" s="237"/>
      <c r="AK56" s="237"/>
      <c r="AL56" s="2"/>
      <c r="AM56" s="2"/>
      <c r="AN56" s="2"/>
      <c r="AO56" s="2"/>
      <c r="AP56" s="7"/>
    </row>
    <row r="57" spans="1:42" ht="13.5" thickBot="1">
      <c r="A57" s="6"/>
      <c r="B57" s="2"/>
      <c r="C57" s="2"/>
      <c r="D57" s="244" t="s">
        <v>319</v>
      </c>
      <c r="E57" s="244"/>
      <c r="F57" s="237" t="s">
        <v>3527</v>
      </c>
      <c r="G57" s="237"/>
      <c r="H57" s="237"/>
      <c r="I57" s="237"/>
      <c r="J57" s="11" t="s">
        <v>2945</v>
      </c>
      <c r="K57" s="237" t="s">
        <v>4947</v>
      </c>
      <c r="L57" s="237"/>
      <c r="M57" s="237"/>
      <c r="N57" s="237" t="s">
        <v>3004</v>
      </c>
      <c r="O57" s="237"/>
      <c r="P57" s="237"/>
      <c r="Q57" s="237" t="s">
        <v>4948</v>
      </c>
      <c r="R57" s="237"/>
      <c r="S57" s="237"/>
      <c r="T57" s="237"/>
      <c r="U57" s="237"/>
      <c r="V57" s="237"/>
      <c r="W57" s="237" t="s">
        <v>4949</v>
      </c>
      <c r="X57" s="237"/>
      <c r="Y57" s="11" t="s">
        <v>2755</v>
      </c>
      <c r="Z57" s="11" t="s">
        <v>6650</v>
      </c>
      <c r="AA57" s="237" t="s">
        <v>4950</v>
      </c>
      <c r="AB57" s="237"/>
      <c r="AC57" s="237"/>
      <c r="AD57" s="237"/>
      <c r="AE57" s="237"/>
      <c r="AF57" s="11" t="s">
        <v>3511</v>
      </c>
      <c r="AG57" s="237" t="s">
        <v>4951</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4952</v>
      </c>
      <c r="E7" s="269"/>
      <c r="F7" s="269"/>
      <c r="G7" s="269"/>
      <c r="H7" s="269" t="s">
        <v>4953</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FORSMARK-2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4907</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4907</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 75</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2928</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1028</v>
      </c>
    </row>
    <row r="17" spans="1:47" ht="11.45" customHeight="1" thickBot="1">
      <c r="A17" s="6"/>
      <c r="B17" s="1"/>
      <c r="C17" s="1"/>
      <c r="D17" s="248" t="s">
        <v>5722</v>
      </c>
      <c r="E17" s="248"/>
      <c r="F17" s="248"/>
      <c r="G17" s="247" t="s">
        <v>5709</v>
      </c>
      <c r="H17" s="247"/>
      <c r="I17" s="248" t="s">
        <v>4910</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990</v>
      </c>
    </row>
    <row r="18" spans="1:47" ht="13.5" thickBot="1">
      <c r="A18" s="6"/>
      <c r="B18" s="1"/>
      <c r="C18" s="1"/>
      <c r="D18" s="248" t="s">
        <v>185</v>
      </c>
      <c r="E18" s="248"/>
      <c r="F18" s="248"/>
      <c r="G18" s="248"/>
      <c r="H18" s="248"/>
      <c r="I18" s="248"/>
      <c r="J18" s="248"/>
      <c r="K18" s="248"/>
      <c r="L18" s="8" t="s">
        <v>5709</v>
      </c>
      <c r="M18" s="264">
        <v>2928</v>
      </c>
      <c r="N18" s="264"/>
      <c r="O18" s="264"/>
      <c r="P18" s="248" t="s">
        <v>186</v>
      </c>
      <c r="Q18" s="248"/>
      <c r="R18" s="248"/>
      <c r="S18" s="2"/>
      <c r="T18" s="2"/>
      <c r="U18" s="252" t="s">
        <v>187</v>
      </c>
      <c r="V18" s="252"/>
      <c r="W18" s="252"/>
      <c r="X18" s="252"/>
      <c r="Y18" s="252"/>
      <c r="Z18" s="252"/>
      <c r="AA18" s="252"/>
      <c r="AB18" s="247" t="s">
        <v>5709</v>
      </c>
      <c r="AC18" s="247"/>
      <c r="AD18" s="248" t="s">
        <v>4954</v>
      </c>
      <c r="AE18" s="248"/>
      <c r="AF18" s="248"/>
      <c r="AG18" s="248"/>
      <c r="AH18" s="248"/>
      <c r="AI18" s="248"/>
      <c r="AJ18" s="248"/>
      <c r="AK18" s="2"/>
      <c r="AL18" s="1"/>
      <c r="AM18" s="2"/>
      <c r="AN18" s="1"/>
      <c r="AO18" s="2"/>
      <c r="AP18" s="7"/>
      <c r="AT18" s="25" t="str">
        <f>D26</f>
        <v>Grid Date</v>
      </c>
      <c r="AU18" s="25">
        <f>M26</f>
        <v>29612</v>
      </c>
    </row>
    <row r="19" spans="1:47" ht="13.5" thickBot="1">
      <c r="A19" s="6"/>
      <c r="B19" s="1"/>
      <c r="C19" s="1"/>
      <c r="D19" s="248" t="s">
        <v>189</v>
      </c>
      <c r="E19" s="248"/>
      <c r="F19" s="248"/>
      <c r="G19" s="248"/>
      <c r="H19" s="248"/>
      <c r="I19" s="248"/>
      <c r="J19" s="248"/>
      <c r="K19" s="248"/>
      <c r="L19" s="8" t="s">
        <v>5709</v>
      </c>
      <c r="M19" s="264">
        <v>1028</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42000</v>
      </c>
    </row>
    <row r="20" spans="1:47" ht="13.5" thickBot="1">
      <c r="A20" s="6"/>
      <c r="B20" s="1"/>
      <c r="C20" s="1"/>
      <c r="D20" s="248" t="s">
        <v>193</v>
      </c>
      <c r="E20" s="248"/>
      <c r="F20" s="248"/>
      <c r="G20" s="248"/>
      <c r="H20" s="248"/>
      <c r="I20" s="248"/>
      <c r="J20" s="248"/>
      <c r="K20" s="248"/>
      <c r="L20" s="8" t="s">
        <v>5709</v>
      </c>
      <c r="M20" s="264">
        <v>900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93.51</v>
      </c>
    </row>
    <row r="21" spans="1:47" ht="13.5" thickBot="1">
      <c r="A21" s="6"/>
      <c r="B21" s="1"/>
      <c r="C21" s="1"/>
      <c r="D21" s="248" t="s">
        <v>196</v>
      </c>
      <c r="E21" s="248"/>
      <c r="F21" s="248"/>
      <c r="G21" s="248"/>
      <c r="H21" s="248"/>
      <c r="I21" s="248"/>
      <c r="J21" s="248"/>
      <c r="K21" s="248"/>
      <c r="L21" s="8" t="s">
        <v>5709</v>
      </c>
      <c r="M21" s="264">
        <v>990</v>
      </c>
      <c r="N21" s="264"/>
      <c r="O21" s="264"/>
      <c r="P21" s="248" t="s">
        <v>190</v>
      </c>
      <c r="Q21" s="248"/>
      <c r="R21" s="248"/>
      <c r="S21" s="2"/>
      <c r="T21" s="2"/>
      <c r="U21" s="252" t="s">
        <v>197</v>
      </c>
      <c r="V21" s="252"/>
      <c r="W21" s="252"/>
      <c r="X21" s="252"/>
      <c r="Y21" s="252"/>
      <c r="Z21" s="252"/>
      <c r="AA21" s="252"/>
      <c r="AB21" s="247" t="s">
        <v>5709</v>
      </c>
      <c r="AC21" s="247"/>
      <c r="AD21" s="248" t="s">
        <v>7035</v>
      </c>
      <c r="AE21" s="248"/>
      <c r="AF21" s="248"/>
      <c r="AG21" s="248"/>
      <c r="AH21" s="248"/>
      <c r="AI21" s="248"/>
      <c r="AJ21" s="248"/>
      <c r="AK21" s="2"/>
      <c r="AL21" s="1"/>
      <c r="AM21" s="2"/>
      <c r="AN21" s="1"/>
      <c r="AO21" s="2"/>
      <c r="AP21" s="7"/>
      <c r="AT21" s="23" t="str">
        <f>D57&amp;AF50</f>
        <v>LF [%]2010</v>
      </c>
      <c r="AU21" s="23" t="str">
        <f>AF57</f>
        <v>38.45</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4912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4955</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27395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4913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29612</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4956</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29774</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4915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3315</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4957</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3315</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416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4958</v>
      </c>
      <c r="G51" s="238"/>
      <c r="H51" s="238"/>
      <c r="I51" s="238"/>
      <c r="J51" s="10" t="s">
        <v>4959</v>
      </c>
      <c r="K51" s="238" t="s">
        <v>4960</v>
      </c>
      <c r="L51" s="238"/>
      <c r="M51" s="238"/>
      <c r="N51" s="238" t="s">
        <v>4961</v>
      </c>
      <c r="O51" s="238"/>
      <c r="P51" s="238"/>
      <c r="Q51" s="238" t="s">
        <v>4962</v>
      </c>
      <c r="R51" s="238"/>
      <c r="S51" s="238"/>
      <c r="T51" s="238"/>
      <c r="U51" s="238"/>
      <c r="V51" s="238"/>
      <c r="W51" s="238" t="s">
        <v>4963</v>
      </c>
      <c r="X51" s="238"/>
      <c r="Y51" s="10" t="s">
        <v>4964</v>
      </c>
      <c r="Z51" s="10" t="s">
        <v>4965</v>
      </c>
      <c r="AA51" s="238" t="s">
        <v>4966</v>
      </c>
      <c r="AB51" s="238"/>
      <c r="AC51" s="238"/>
      <c r="AD51" s="238"/>
      <c r="AE51" s="238"/>
      <c r="AF51" s="10" t="s">
        <v>4967</v>
      </c>
      <c r="AG51" s="237" t="s">
        <v>4968</v>
      </c>
      <c r="AH51" s="237"/>
      <c r="AI51" s="237"/>
      <c r="AJ51" s="237"/>
      <c r="AK51" s="237"/>
      <c r="AL51" s="2"/>
      <c r="AM51" s="2"/>
      <c r="AN51" s="2"/>
      <c r="AO51" s="2"/>
      <c r="AP51" s="7"/>
    </row>
    <row r="52" spans="1:42" ht="13.5" thickBot="1">
      <c r="A52" s="6"/>
      <c r="B52" s="2"/>
      <c r="C52" s="2"/>
      <c r="D52" s="244" t="s">
        <v>261</v>
      </c>
      <c r="E52" s="244"/>
      <c r="F52" s="238" t="s">
        <v>4969</v>
      </c>
      <c r="G52" s="238"/>
      <c r="H52" s="238"/>
      <c r="I52" s="238"/>
      <c r="J52" s="10" t="s">
        <v>4970</v>
      </c>
      <c r="K52" s="238" t="s">
        <v>2957</v>
      </c>
      <c r="L52" s="238"/>
      <c r="M52" s="238"/>
      <c r="N52" s="238" t="s">
        <v>4971</v>
      </c>
      <c r="O52" s="238"/>
      <c r="P52" s="238"/>
      <c r="Q52" s="238" t="s">
        <v>388</v>
      </c>
      <c r="R52" s="238"/>
      <c r="S52" s="238"/>
      <c r="T52" s="238"/>
      <c r="U52" s="238"/>
      <c r="V52" s="238"/>
      <c r="W52" s="238" t="s">
        <v>4972</v>
      </c>
      <c r="X52" s="238"/>
      <c r="Y52" s="10" t="s">
        <v>4973</v>
      </c>
      <c r="Z52" s="10" t="s">
        <v>4974</v>
      </c>
      <c r="AA52" s="238" t="s">
        <v>4975</v>
      </c>
      <c r="AB52" s="238"/>
      <c r="AC52" s="238"/>
      <c r="AD52" s="238"/>
      <c r="AE52" s="238"/>
      <c r="AF52" s="10" t="s">
        <v>4976</v>
      </c>
      <c r="AG52" s="237" t="s">
        <v>4333</v>
      </c>
      <c r="AH52" s="237"/>
      <c r="AI52" s="237"/>
      <c r="AJ52" s="237"/>
      <c r="AK52" s="237"/>
      <c r="AL52" s="2"/>
      <c r="AM52" s="2"/>
      <c r="AN52" s="2"/>
      <c r="AO52" s="2"/>
      <c r="AP52" s="7"/>
    </row>
    <row r="53" spans="1:42" ht="13.5" thickBot="1">
      <c r="A53" s="6"/>
      <c r="B53" s="2"/>
      <c r="C53" s="2"/>
      <c r="D53" s="244" t="s">
        <v>273</v>
      </c>
      <c r="E53" s="244"/>
      <c r="F53" s="238" t="s">
        <v>4977</v>
      </c>
      <c r="G53" s="238"/>
      <c r="H53" s="238"/>
      <c r="I53" s="238"/>
      <c r="J53" s="10" t="s">
        <v>3213</v>
      </c>
      <c r="K53" s="238" t="s">
        <v>6895</v>
      </c>
      <c r="L53" s="238"/>
      <c r="M53" s="238"/>
      <c r="N53" s="238" t="s">
        <v>3176</v>
      </c>
      <c r="O53" s="238"/>
      <c r="P53" s="238"/>
      <c r="Q53" s="238" t="s">
        <v>4978</v>
      </c>
      <c r="R53" s="238"/>
      <c r="S53" s="238"/>
      <c r="T53" s="238"/>
      <c r="U53" s="238"/>
      <c r="V53" s="238"/>
      <c r="W53" s="238" t="s">
        <v>4979</v>
      </c>
      <c r="X53" s="238"/>
      <c r="Y53" s="10" t="s">
        <v>6930</v>
      </c>
      <c r="Z53" s="10" t="s">
        <v>4980</v>
      </c>
      <c r="AA53" s="238" t="s">
        <v>4981</v>
      </c>
      <c r="AB53" s="238"/>
      <c r="AC53" s="238"/>
      <c r="AD53" s="238"/>
      <c r="AE53" s="238"/>
      <c r="AF53" s="10" t="s">
        <v>4982</v>
      </c>
      <c r="AG53" s="237" t="s">
        <v>4983</v>
      </c>
      <c r="AH53" s="237"/>
      <c r="AI53" s="237"/>
      <c r="AJ53" s="237"/>
      <c r="AK53" s="237"/>
      <c r="AL53" s="2"/>
      <c r="AM53" s="2"/>
      <c r="AN53" s="2"/>
      <c r="AO53" s="2"/>
      <c r="AP53" s="7"/>
    </row>
    <row r="54" spans="1:42" ht="13.5" thickBot="1">
      <c r="A54" s="6"/>
      <c r="B54" s="2"/>
      <c r="C54" s="2"/>
      <c r="D54" s="244" t="s">
        <v>285</v>
      </c>
      <c r="E54" s="244"/>
      <c r="F54" s="238" t="s">
        <v>4984</v>
      </c>
      <c r="G54" s="238"/>
      <c r="H54" s="238"/>
      <c r="I54" s="238"/>
      <c r="J54" s="10" t="s">
        <v>1953</v>
      </c>
      <c r="K54" s="238" t="s">
        <v>2957</v>
      </c>
      <c r="L54" s="238"/>
      <c r="M54" s="238"/>
      <c r="N54" s="238" t="s">
        <v>7009</v>
      </c>
      <c r="O54" s="238"/>
      <c r="P54" s="238"/>
      <c r="Q54" s="238" t="s">
        <v>4985</v>
      </c>
      <c r="R54" s="238"/>
      <c r="S54" s="238"/>
      <c r="T54" s="238"/>
      <c r="U54" s="238"/>
      <c r="V54" s="238"/>
      <c r="W54" s="238" t="s">
        <v>4986</v>
      </c>
      <c r="X54" s="238"/>
      <c r="Y54" s="10" t="s">
        <v>4987</v>
      </c>
      <c r="Z54" s="10" t="s">
        <v>4988</v>
      </c>
      <c r="AA54" s="238" t="s">
        <v>4989</v>
      </c>
      <c r="AB54" s="238"/>
      <c r="AC54" s="238"/>
      <c r="AD54" s="238"/>
      <c r="AE54" s="238"/>
      <c r="AF54" s="10" t="s">
        <v>4990</v>
      </c>
      <c r="AG54" s="237" t="s">
        <v>4991</v>
      </c>
      <c r="AH54" s="237"/>
      <c r="AI54" s="237"/>
      <c r="AJ54" s="237"/>
      <c r="AK54" s="237"/>
      <c r="AL54" s="2"/>
      <c r="AM54" s="2"/>
      <c r="AN54" s="2"/>
      <c r="AO54" s="2"/>
      <c r="AP54" s="7"/>
    </row>
    <row r="55" spans="1:42" ht="13.5" thickBot="1">
      <c r="A55" s="6"/>
      <c r="B55" s="2"/>
      <c r="C55" s="2"/>
      <c r="D55" s="244" t="s">
        <v>295</v>
      </c>
      <c r="E55" s="244"/>
      <c r="F55" s="238" t="s">
        <v>2950</v>
      </c>
      <c r="G55" s="238"/>
      <c r="H55" s="238"/>
      <c r="I55" s="238"/>
      <c r="J55" s="10" t="s">
        <v>4992</v>
      </c>
      <c r="K55" s="238" t="s">
        <v>1965</v>
      </c>
      <c r="L55" s="238"/>
      <c r="M55" s="238"/>
      <c r="N55" s="238" t="s">
        <v>6848</v>
      </c>
      <c r="O55" s="238"/>
      <c r="P55" s="238"/>
      <c r="Q55" s="238" t="s">
        <v>3271</v>
      </c>
      <c r="R55" s="238"/>
      <c r="S55" s="238"/>
      <c r="T55" s="238"/>
      <c r="U55" s="238"/>
      <c r="V55" s="238"/>
      <c r="W55" s="238" t="s">
        <v>4993</v>
      </c>
      <c r="X55" s="238"/>
      <c r="Y55" s="10" t="s">
        <v>6706</v>
      </c>
      <c r="Z55" s="10" t="s">
        <v>6163</v>
      </c>
      <c r="AA55" s="238" t="s">
        <v>4994</v>
      </c>
      <c r="AB55" s="238"/>
      <c r="AC55" s="238"/>
      <c r="AD55" s="238"/>
      <c r="AE55" s="238"/>
      <c r="AF55" s="10" t="s">
        <v>4995</v>
      </c>
      <c r="AG55" s="237" t="s">
        <v>7011</v>
      </c>
      <c r="AH55" s="237"/>
      <c r="AI55" s="237"/>
      <c r="AJ55" s="237"/>
      <c r="AK55" s="237"/>
      <c r="AL55" s="2"/>
      <c r="AM55" s="2"/>
      <c r="AN55" s="2"/>
      <c r="AO55" s="2"/>
      <c r="AP55" s="7"/>
    </row>
    <row r="56" spans="1:42" ht="13.5" thickBot="1">
      <c r="A56" s="6"/>
      <c r="B56" s="2"/>
      <c r="C56" s="2"/>
      <c r="D56" s="244" t="s">
        <v>307</v>
      </c>
      <c r="E56" s="244"/>
      <c r="F56" s="238" t="s">
        <v>326</v>
      </c>
      <c r="G56" s="238"/>
      <c r="H56" s="238"/>
      <c r="I56" s="238"/>
      <c r="J56" s="10" t="s">
        <v>3397</v>
      </c>
      <c r="K56" s="238" t="s">
        <v>6497</v>
      </c>
      <c r="L56" s="238"/>
      <c r="M56" s="238"/>
      <c r="N56" s="238" t="s">
        <v>3143</v>
      </c>
      <c r="O56" s="238"/>
      <c r="P56" s="238"/>
      <c r="Q56" s="238" t="s">
        <v>4996</v>
      </c>
      <c r="R56" s="238"/>
      <c r="S56" s="238"/>
      <c r="T56" s="238"/>
      <c r="U56" s="238"/>
      <c r="V56" s="238"/>
      <c r="W56" s="238" t="s">
        <v>4997</v>
      </c>
      <c r="X56" s="238"/>
      <c r="Y56" s="10" t="s">
        <v>4998</v>
      </c>
      <c r="Z56" s="10" t="s">
        <v>4315</v>
      </c>
      <c r="AA56" s="238" t="s">
        <v>4999</v>
      </c>
      <c r="AB56" s="238"/>
      <c r="AC56" s="238"/>
      <c r="AD56" s="238"/>
      <c r="AE56" s="238"/>
      <c r="AF56" s="10" t="s">
        <v>4175</v>
      </c>
      <c r="AG56" s="237" t="s">
        <v>5000</v>
      </c>
      <c r="AH56" s="237"/>
      <c r="AI56" s="237"/>
      <c r="AJ56" s="237"/>
      <c r="AK56" s="237"/>
      <c r="AL56" s="2"/>
      <c r="AM56" s="2"/>
      <c r="AN56" s="2"/>
      <c r="AO56" s="2"/>
      <c r="AP56" s="7"/>
    </row>
    <row r="57" spans="1:42" ht="13.5" thickBot="1">
      <c r="A57" s="6"/>
      <c r="B57" s="2"/>
      <c r="C57" s="2"/>
      <c r="D57" s="244" t="s">
        <v>319</v>
      </c>
      <c r="E57" s="244"/>
      <c r="F57" s="237" t="s">
        <v>5001</v>
      </c>
      <c r="G57" s="237"/>
      <c r="H57" s="237"/>
      <c r="I57" s="237"/>
      <c r="J57" s="11" t="s">
        <v>5002</v>
      </c>
      <c r="K57" s="237" t="s">
        <v>6019</v>
      </c>
      <c r="L57" s="237"/>
      <c r="M57" s="237"/>
      <c r="N57" s="237" t="s">
        <v>5003</v>
      </c>
      <c r="O57" s="237"/>
      <c r="P57" s="237"/>
      <c r="Q57" s="237" t="s">
        <v>2919</v>
      </c>
      <c r="R57" s="237"/>
      <c r="S57" s="237"/>
      <c r="T57" s="237"/>
      <c r="U57" s="237"/>
      <c r="V57" s="237"/>
      <c r="W57" s="237" t="s">
        <v>5004</v>
      </c>
      <c r="X57" s="237"/>
      <c r="Y57" s="11" t="s">
        <v>5005</v>
      </c>
      <c r="Z57" s="11" t="s">
        <v>5006</v>
      </c>
      <c r="AA57" s="237" t="s">
        <v>5007</v>
      </c>
      <c r="AB57" s="237"/>
      <c r="AC57" s="237"/>
      <c r="AD57" s="237"/>
      <c r="AE57" s="237"/>
      <c r="AF57" s="11" t="s">
        <v>5008</v>
      </c>
      <c r="AG57" s="237" t="s">
        <v>5009</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5010</v>
      </c>
      <c r="E7" s="269"/>
      <c r="F7" s="269"/>
      <c r="G7" s="269"/>
      <c r="H7" s="269" t="s">
        <v>5011</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FORSMARK-3</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4907</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4907</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 3000</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3300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1212</v>
      </c>
    </row>
    <row r="17" spans="1:47" ht="11.45" customHeight="1" thickBot="1">
      <c r="A17" s="6"/>
      <c r="B17" s="1"/>
      <c r="C17" s="1"/>
      <c r="D17" s="248" t="s">
        <v>5722</v>
      </c>
      <c r="E17" s="248"/>
      <c r="F17" s="248"/>
      <c r="G17" s="247" t="s">
        <v>5709</v>
      </c>
      <c r="H17" s="247"/>
      <c r="I17" s="248" t="s">
        <v>5012</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1170</v>
      </c>
    </row>
    <row r="18" spans="1:47" ht="13.5" thickBot="1">
      <c r="A18" s="6"/>
      <c r="B18" s="1"/>
      <c r="C18" s="1"/>
      <c r="D18" s="248" t="s">
        <v>185</v>
      </c>
      <c r="E18" s="248"/>
      <c r="F18" s="248"/>
      <c r="G18" s="248"/>
      <c r="H18" s="248"/>
      <c r="I18" s="248"/>
      <c r="J18" s="248"/>
      <c r="K18" s="248"/>
      <c r="L18" s="8" t="s">
        <v>5709</v>
      </c>
      <c r="M18" s="264">
        <v>3300</v>
      </c>
      <c r="N18" s="264"/>
      <c r="O18" s="264"/>
      <c r="P18" s="248" t="s">
        <v>186</v>
      </c>
      <c r="Q18" s="248"/>
      <c r="R18" s="248"/>
      <c r="S18" s="2"/>
      <c r="T18" s="2"/>
      <c r="U18" s="252" t="s">
        <v>187</v>
      </c>
      <c r="V18" s="252"/>
      <c r="W18" s="252"/>
      <c r="X18" s="252"/>
      <c r="Y18" s="252"/>
      <c r="Z18" s="252"/>
      <c r="AA18" s="252"/>
      <c r="AB18" s="247" t="s">
        <v>5709</v>
      </c>
      <c r="AC18" s="247"/>
      <c r="AD18" s="248" t="s">
        <v>5013</v>
      </c>
      <c r="AE18" s="248"/>
      <c r="AF18" s="248"/>
      <c r="AG18" s="248"/>
      <c r="AH18" s="248"/>
      <c r="AI18" s="248"/>
      <c r="AJ18" s="248"/>
      <c r="AK18" s="2"/>
      <c r="AL18" s="1"/>
      <c r="AM18" s="2"/>
      <c r="AN18" s="1"/>
      <c r="AO18" s="2"/>
      <c r="AP18" s="7"/>
      <c r="AT18" s="25" t="str">
        <f>D26</f>
        <v>Grid Date</v>
      </c>
      <c r="AU18" s="25">
        <f>M26</f>
        <v>31111</v>
      </c>
    </row>
    <row r="19" spans="1:47" ht="13.5" thickBot="1">
      <c r="A19" s="6"/>
      <c r="B19" s="1"/>
      <c r="C19" s="1"/>
      <c r="D19" s="248" t="s">
        <v>189</v>
      </c>
      <c r="E19" s="248"/>
      <c r="F19" s="248"/>
      <c r="G19" s="248"/>
      <c r="H19" s="248"/>
      <c r="I19" s="248"/>
      <c r="J19" s="248"/>
      <c r="K19" s="248"/>
      <c r="L19" s="8" t="s">
        <v>5709</v>
      </c>
      <c r="M19" s="264">
        <v>1212</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42000</v>
      </c>
    </row>
    <row r="20" spans="1:47" ht="13.5" thickBot="1">
      <c r="A20" s="6"/>
      <c r="B20" s="1"/>
      <c r="C20" s="1"/>
      <c r="D20" s="248" t="s">
        <v>193</v>
      </c>
      <c r="E20" s="248"/>
      <c r="F20" s="248"/>
      <c r="G20" s="248"/>
      <c r="H20" s="248"/>
      <c r="I20" s="248"/>
      <c r="J20" s="248"/>
      <c r="K20" s="248"/>
      <c r="L20" s="8" t="s">
        <v>5709</v>
      </c>
      <c r="M20" s="264">
        <v>1050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94.73</v>
      </c>
    </row>
    <row r="21" spans="1:47" ht="13.5" thickBot="1">
      <c r="A21" s="6"/>
      <c r="B21" s="1"/>
      <c r="C21" s="1"/>
      <c r="D21" s="248" t="s">
        <v>196</v>
      </c>
      <c r="E21" s="248"/>
      <c r="F21" s="248"/>
      <c r="G21" s="248"/>
      <c r="H21" s="248"/>
      <c r="I21" s="248"/>
      <c r="J21" s="248"/>
      <c r="K21" s="248"/>
      <c r="L21" s="8" t="s">
        <v>5709</v>
      </c>
      <c r="M21" s="264">
        <v>1170</v>
      </c>
      <c r="N21" s="264"/>
      <c r="O21" s="264"/>
      <c r="P21" s="248" t="s">
        <v>190</v>
      </c>
      <c r="Q21" s="248"/>
      <c r="R21" s="248"/>
      <c r="S21" s="2"/>
      <c r="T21" s="2"/>
      <c r="U21" s="252" t="s">
        <v>197</v>
      </c>
      <c r="V21" s="252"/>
      <c r="W21" s="252"/>
      <c r="X21" s="252"/>
      <c r="Y21" s="252"/>
      <c r="Z21" s="252"/>
      <c r="AA21" s="252"/>
      <c r="AB21" s="247" t="s">
        <v>5709</v>
      </c>
      <c r="AC21" s="247"/>
      <c r="AD21" s="248" t="s">
        <v>7035</v>
      </c>
      <c r="AE21" s="248"/>
      <c r="AF21" s="248"/>
      <c r="AG21" s="248"/>
      <c r="AH21" s="248"/>
      <c r="AI21" s="248"/>
      <c r="AJ21" s="248"/>
      <c r="AK21" s="2"/>
      <c r="AL21" s="1"/>
      <c r="AM21" s="2"/>
      <c r="AN21" s="1"/>
      <c r="AO21" s="2"/>
      <c r="AP21" s="7"/>
      <c r="AT21" s="23" t="str">
        <f>D57&amp;AF50</f>
        <v>LF [%]2010</v>
      </c>
      <c r="AU21" s="23" t="str">
        <f>AF57</f>
        <v>81.18</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5014</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204</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28856</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5015</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31111</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5016</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31277</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5017</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3315</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5018</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3315</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4209</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5019</v>
      </c>
      <c r="G51" s="238"/>
      <c r="H51" s="238"/>
      <c r="I51" s="238"/>
      <c r="J51" s="10" t="s">
        <v>5020</v>
      </c>
      <c r="K51" s="238" t="s">
        <v>5021</v>
      </c>
      <c r="L51" s="238"/>
      <c r="M51" s="238"/>
      <c r="N51" s="238" t="s">
        <v>5022</v>
      </c>
      <c r="O51" s="238"/>
      <c r="P51" s="238"/>
      <c r="Q51" s="238" t="s">
        <v>5023</v>
      </c>
      <c r="R51" s="238"/>
      <c r="S51" s="238"/>
      <c r="T51" s="238"/>
      <c r="U51" s="238"/>
      <c r="V51" s="238"/>
      <c r="W51" s="238" t="s">
        <v>5024</v>
      </c>
      <c r="X51" s="238"/>
      <c r="Y51" s="10" t="s">
        <v>5025</v>
      </c>
      <c r="Z51" s="10" t="s">
        <v>5026</v>
      </c>
      <c r="AA51" s="238" t="s">
        <v>5027</v>
      </c>
      <c r="AB51" s="238"/>
      <c r="AC51" s="238"/>
      <c r="AD51" s="238"/>
      <c r="AE51" s="238"/>
      <c r="AF51" s="10" t="s">
        <v>5028</v>
      </c>
      <c r="AG51" s="237" t="s">
        <v>5029</v>
      </c>
      <c r="AH51" s="237"/>
      <c r="AI51" s="237"/>
      <c r="AJ51" s="237"/>
      <c r="AK51" s="237"/>
      <c r="AL51" s="2"/>
      <c r="AM51" s="2"/>
      <c r="AN51" s="2"/>
      <c r="AO51" s="2"/>
      <c r="AP51" s="7"/>
    </row>
    <row r="52" spans="1:42" ht="13.5" thickBot="1">
      <c r="A52" s="6"/>
      <c r="B52" s="2"/>
      <c r="C52" s="2"/>
      <c r="D52" s="244" t="s">
        <v>261</v>
      </c>
      <c r="E52" s="244"/>
      <c r="F52" s="238" t="s">
        <v>5030</v>
      </c>
      <c r="G52" s="238"/>
      <c r="H52" s="238"/>
      <c r="I52" s="238"/>
      <c r="J52" s="10" t="s">
        <v>3018</v>
      </c>
      <c r="K52" s="238" t="s">
        <v>6986</v>
      </c>
      <c r="L52" s="238"/>
      <c r="M52" s="238"/>
      <c r="N52" s="238" t="s">
        <v>5031</v>
      </c>
      <c r="O52" s="238"/>
      <c r="P52" s="238"/>
      <c r="Q52" s="238" t="s">
        <v>2859</v>
      </c>
      <c r="R52" s="238"/>
      <c r="S52" s="238"/>
      <c r="T52" s="238"/>
      <c r="U52" s="238"/>
      <c r="V52" s="238"/>
      <c r="W52" s="238" t="s">
        <v>5032</v>
      </c>
      <c r="X52" s="238"/>
      <c r="Y52" s="10" t="s">
        <v>6791</v>
      </c>
      <c r="Z52" s="10" t="s">
        <v>5033</v>
      </c>
      <c r="AA52" s="238" t="s">
        <v>3331</v>
      </c>
      <c r="AB52" s="238"/>
      <c r="AC52" s="238"/>
      <c r="AD52" s="238"/>
      <c r="AE52" s="238"/>
      <c r="AF52" s="10" t="s">
        <v>5034</v>
      </c>
      <c r="AG52" s="237" t="s">
        <v>5035</v>
      </c>
      <c r="AH52" s="237"/>
      <c r="AI52" s="237"/>
      <c r="AJ52" s="237"/>
      <c r="AK52" s="237"/>
      <c r="AL52" s="2"/>
      <c r="AM52" s="2"/>
      <c r="AN52" s="2"/>
      <c r="AO52" s="2"/>
      <c r="AP52" s="7"/>
    </row>
    <row r="53" spans="1:42" ht="13.5" thickBot="1">
      <c r="A53" s="6"/>
      <c r="B53" s="2"/>
      <c r="C53" s="2"/>
      <c r="D53" s="244" t="s">
        <v>273</v>
      </c>
      <c r="E53" s="244"/>
      <c r="F53" s="238" t="s">
        <v>5036</v>
      </c>
      <c r="G53" s="238"/>
      <c r="H53" s="238"/>
      <c r="I53" s="238"/>
      <c r="J53" s="10" t="s">
        <v>6016</v>
      </c>
      <c r="K53" s="238" t="s">
        <v>5037</v>
      </c>
      <c r="L53" s="238"/>
      <c r="M53" s="238"/>
      <c r="N53" s="238" t="s">
        <v>6709</v>
      </c>
      <c r="O53" s="238"/>
      <c r="P53" s="238"/>
      <c r="Q53" s="238" t="s">
        <v>204</v>
      </c>
      <c r="R53" s="238"/>
      <c r="S53" s="238"/>
      <c r="T53" s="238"/>
      <c r="U53" s="238"/>
      <c r="V53" s="238"/>
      <c r="W53" s="238" t="s">
        <v>5038</v>
      </c>
      <c r="X53" s="238"/>
      <c r="Y53" s="10" t="s">
        <v>5039</v>
      </c>
      <c r="Z53" s="10" t="s">
        <v>5040</v>
      </c>
      <c r="AA53" s="238" t="s">
        <v>1826</v>
      </c>
      <c r="AB53" s="238"/>
      <c r="AC53" s="238"/>
      <c r="AD53" s="238"/>
      <c r="AE53" s="238"/>
      <c r="AF53" s="10" t="s">
        <v>6511</v>
      </c>
      <c r="AG53" s="237" t="s">
        <v>4874</v>
      </c>
      <c r="AH53" s="237"/>
      <c r="AI53" s="237"/>
      <c r="AJ53" s="237"/>
      <c r="AK53" s="237"/>
      <c r="AL53" s="2"/>
      <c r="AM53" s="2"/>
      <c r="AN53" s="2"/>
      <c r="AO53" s="2"/>
      <c r="AP53" s="7"/>
    </row>
    <row r="54" spans="1:42" ht="13.5" thickBot="1">
      <c r="A54" s="6"/>
      <c r="B54" s="2"/>
      <c r="C54" s="2"/>
      <c r="D54" s="244" t="s">
        <v>285</v>
      </c>
      <c r="E54" s="244"/>
      <c r="F54" s="238" t="s">
        <v>6339</v>
      </c>
      <c r="G54" s="238"/>
      <c r="H54" s="238"/>
      <c r="I54" s="238"/>
      <c r="J54" s="10" t="s">
        <v>3360</v>
      </c>
      <c r="K54" s="238" t="s">
        <v>6986</v>
      </c>
      <c r="L54" s="238"/>
      <c r="M54" s="238"/>
      <c r="N54" s="238" t="s">
        <v>6971</v>
      </c>
      <c r="O54" s="238"/>
      <c r="P54" s="238"/>
      <c r="Q54" s="238" t="s">
        <v>3276</v>
      </c>
      <c r="R54" s="238"/>
      <c r="S54" s="238"/>
      <c r="T54" s="238"/>
      <c r="U54" s="238"/>
      <c r="V54" s="238"/>
      <c r="W54" s="238" t="s">
        <v>439</v>
      </c>
      <c r="X54" s="238"/>
      <c r="Y54" s="10" t="s">
        <v>6969</v>
      </c>
      <c r="Z54" s="10" t="s">
        <v>5041</v>
      </c>
      <c r="AA54" s="238" t="s">
        <v>6705</v>
      </c>
      <c r="AB54" s="238"/>
      <c r="AC54" s="238"/>
      <c r="AD54" s="238"/>
      <c r="AE54" s="238"/>
      <c r="AF54" s="10" t="s">
        <v>5042</v>
      </c>
      <c r="AG54" s="237" t="s">
        <v>3188</v>
      </c>
      <c r="AH54" s="237"/>
      <c r="AI54" s="237"/>
      <c r="AJ54" s="237"/>
      <c r="AK54" s="237"/>
      <c r="AL54" s="2"/>
      <c r="AM54" s="2"/>
      <c r="AN54" s="2"/>
      <c r="AO54" s="2"/>
      <c r="AP54" s="7"/>
    </row>
    <row r="55" spans="1:42" ht="13.5" thickBot="1">
      <c r="A55" s="6"/>
      <c r="B55" s="2"/>
      <c r="C55" s="2"/>
      <c r="D55" s="244" t="s">
        <v>295</v>
      </c>
      <c r="E55" s="244"/>
      <c r="F55" s="238" t="s">
        <v>6245</v>
      </c>
      <c r="G55" s="238"/>
      <c r="H55" s="238"/>
      <c r="I55" s="238"/>
      <c r="J55" s="10" t="s">
        <v>5043</v>
      </c>
      <c r="K55" s="238" t="s">
        <v>6086</v>
      </c>
      <c r="L55" s="238"/>
      <c r="M55" s="238"/>
      <c r="N55" s="238" t="s">
        <v>1780</v>
      </c>
      <c r="O55" s="238"/>
      <c r="P55" s="238"/>
      <c r="Q55" s="238" t="s">
        <v>6083</v>
      </c>
      <c r="R55" s="238"/>
      <c r="S55" s="238"/>
      <c r="T55" s="238"/>
      <c r="U55" s="238"/>
      <c r="V55" s="238"/>
      <c r="W55" s="238" t="s">
        <v>5044</v>
      </c>
      <c r="X55" s="238"/>
      <c r="Y55" s="10" t="s">
        <v>6966</v>
      </c>
      <c r="Z55" s="10" t="s">
        <v>412</v>
      </c>
      <c r="AA55" s="238" t="s">
        <v>2786</v>
      </c>
      <c r="AB55" s="238"/>
      <c r="AC55" s="238"/>
      <c r="AD55" s="238"/>
      <c r="AE55" s="238"/>
      <c r="AF55" s="10" t="s">
        <v>2852</v>
      </c>
      <c r="AG55" s="237" t="s">
        <v>5045</v>
      </c>
      <c r="AH55" s="237"/>
      <c r="AI55" s="237"/>
      <c r="AJ55" s="237"/>
      <c r="AK55" s="237"/>
      <c r="AL55" s="2"/>
      <c r="AM55" s="2"/>
      <c r="AN55" s="2"/>
      <c r="AO55" s="2"/>
      <c r="AP55" s="7"/>
    </row>
    <row r="56" spans="1:42" ht="13.5" thickBot="1">
      <c r="A56" s="6"/>
      <c r="B56" s="2"/>
      <c r="C56" s="2"/>
      <c r="D56" s="244" t="s">
        <v>307</v>
      </c>
      <c r="E56" s="244"/>
      <c r="F56" s="238" t="s">
        <v>6668</v>
      </c>
      <c r="G56" s="238"/>
      <c r="H56" s="238"/>
      <c r="I56" s="238"/>
      <c r="J56" s="10" t="s">
        <v>346</v>
      </c>
      <c r="K56" s="238" t="s">
        <v>5046</v>
      </c>
      <c r="L56" s="238"/>
      <c r="M56" s="238"/>
      <c r="N56" s="238" t="s">
        <v>6294</v>
      </c>
      <c r="O56" s="238"/>
      <c r="P56" s="238"/>
      <c r="Q56" s="238" t="s">
        <v>3144</v>
      </c>
      <c r="R56" s="238"/>
      <c r="S56" s="238"/>
      <c r="T56" s="238"/>
      <c r="U56" s="238"/>
      <c r="V56" s="238"/>
      <c r="W56" s="238" t="s">
        <v>5047</v>
      </c>
      <c r="X56" s="238"/>
      <c r="Y56" s="10" t="s">
        <v>6517</v>
      </c>
      <c r="Z56" s="10" t="s">
        <v>5048</v>
      </c>
      <c r="AA56" s="238" t="s">
        <v>5049</v>
      </c>
      <c r="AB56" s="238"/>
      <c r="AC56" s="238"/>
      <c r="AD56" s="238"/>
      <c r="AE56" s="238"/>
      <c r="AF56" s="10" t="s">
        <v>5050</v>
      </c>
      <c r="AG56" s="237" t="s">
        <v>4842</v>
      </c>
      <c r="AH56" s="237"/>
      <c r="AI56" s="237"/>
      <c r="AJ56" s="237"/>
      <c r="AK56" s="237"/>
      <c r="AL56" s="2"/>
      <c r="AM56" s="2"/>
      <c r="AN56" s="2"/>
      <c r="AO56" s="2"/>
      <c r="AP56" s="7"/>
    </row>
    <row r="57" spans="1:42" ht="13.5" thickBot="1">
      <c r="A57" s="6"/>
      <c r="B57" s="2"/>
      <c r="C57" s="2"/>
      <c r="D57" s="244" t="s">
        <v>319</v>
      </c>
      <c r="E57" s="244"/>
      <c r="F57" s="237" t="s">
        <v>5051</v>
      </c>
      <c r="G57" s="237"/>
      <c r="H57" s="237"/>
      <c r="I57" s="237"/>
      <c r="J57" s="11" t="s">
        <v>5052</v>
      </c>
      <c r="K57" s="237" t="s">
        <v>3228</v>
      </c>
      <c r="L57" s="237"/>
      <c r="M57" s="237"/>
      <c r="N57" s="237" t="s">
        <v>5053</v>
      </c>
      <c r="O57" s="237"/>
      <c r="P57" s="237"/>
      <c r="Q57" s="237" t="s">
        <v>5054</v>
      </c>
      <c r="R57" s="237"/>
      <c r="S57" s="237"/>
      <c r="T57" s="237"/>
      <c r="U57" s="237"/>
      <c r="V57" s="237"/>
      <c r="W57" s="237" t="s">
        <v>1984</v>
      </c>
      <c r="X57" s="237"/>
      <c r="Y57" s="11" t="s">
        <v>5055</v>
      </c>
      <c r="Z57" s="11" t="s">
        <v>5056</v>
      </c>
      <c r="AA57" s="237" t="s">
        <v>6705</v>
      </c>
      <c r="AB57" s="237"/>
      <c r="AC57" s="237"/>
      <c r="AD57" s="237"/>
      <c r="AE57" s="237"/>
      <c r="AF57" s="11" t="s">
        <v>6674</v>
      </c>
      <c r="AG57" s="237" t="s">
        <v>5057</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6"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5058</v>
      </c>
      <c r="E7" s="269"/>
      <c r="F7" s="269"/>
      <c r="G7" s="269"/>
      <c r="H7" s="269" t="s">
        <v>5059</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OSKARSHAMN-1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5060</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5060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ABB BWR</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1375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492</v>
      </c>
    </row>
    <row r="17" spans="1:47" ht="11.45" customHeight="1" thickBot="1">
      <c r="A17" s="6"/>
      <c r="B17" s="1"/>
      <c r="C17" s="1"/>
      <c r="D17" s="248" t="s">
        <v>5722</v>
      </c>
      <c r="E17" s="248"/>
      <c r="F17" s="248"/>
      <c r="G17" s="247" t="s">
        <v>5709</v>
      </c>
      <c r="H17" s="247"/>
      <c r="I17" s="248" t="s">
        <v>5061</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473</v>
      </c>
    </row>
    <row r="18" spans="1:47" ht="13.5" thickBot="1">
      <c r="A18" s="6"/>
      <c r="B18" s="1"/>
      <c r="C18" s="1"/>
      <c r="D18" s="248" t="s">
        <v>185</v>
      </c>
      <c r="E18" s="248"/>
      <c r="F18" s="248"/>
      <c r="G18" s="248"/>
      <c r="H18" s="248"/>
      <c r="I18" s="248"/>
      <c r="J18" s="248"/>
      <c r="K18" s="248"/>
      <c r="L18" s="8" t="s">
        <v>5709</v>
      </c>
      <c r="M18" s="264">
        <v>1375</v>
      </c>
      <c r="N18" s="264"/>
      <c r="O18" s="264"/>
      <c r="P18" s="248" t="s">
        <v>186</v>
      </c>
      <c r="Q18" s="248"/>
      <c r="R18" s="248"/>
      <c r="S18" s="2"/>
      <c r="T18" s="2"/>
      <c r="U18" s="252" t="s">
        <v>187</v>
      </c>
      <c r="V18" s="252"/>
      <c r="W18" s="252"/>
      <c r="X18" s="252"/>
      <c r="Y18" s="252"/>
      <c r="Z18" s="252"/>
      <c r="AA18" s="252"/>
      <c r="AB18" s="247" t="s">
        <v>5709</v>
      </c>
      <c r="AC18" s="247"/>
      <c r="AD18" s="248" t="s">
        <v>5062</v>
      </c>
      <c r="AE18" s="248"/>
      <c r="AF18" s="248"/>
      <c r="AG18" s="248"/>
      <c r="AH18" s="248"/>
      <c r="AI18" s="248"/>
      <c r="AJ18" s="248"/>
      <c r="AK18" s="2"/>
      <c r="AL18" s="1"/>
      <c r="AM18" s="2"/>
      <c r="AN18" s="1"/>
      <c r="AO18" s="2"/>
      <c r="AP18" s="7"/>
      <c r="AT18" s="25" t="str">
        <f>D26</f>
        <v>Grid Date</v>
      </c>
      <c r="AU18" s="25">
        <f>M26</f>
        <v>26164</v>
      </c>
    </row>
    <row r="19" spans="1:47" ht="13.5" thickBot="1">
      <c r="A19" s="6"/>
      <c r="B19" s="1"/>
      <c r="C19" s="1"/>
      <c r="D19" s="248" t="s">
        <v>189</v>
      </c>
      <c r="E19" s="248"/>
      <c r="F19" s="248"/>
      <c r="G19" s="248"/>
      <c r="H19" s="248"/>
      <c r="I19" s="248"/>
      <c r="J19" s="248"/>
      <c r="K19" s="248"/>
      <c r="L19" s="8" t="s">
        <v>5709</v>
      </c>
      <c r="M19" s="264">
        <v>492</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45000</v>
      </c>
    </row>
    <row r="20" spans="1:47" ht="13.5" thickBot="1">
      <c r="A20" s="6"/>
      <c r="B20" s="1"/>
      <c r="C20" s="1"/>
      <c r="D20" s="248" t="s">
        <v>193</v>
      </c>
      <c r="E20" s="248"/>
      <c r="F20" s="248"/>
      <c r="G20" s="248"/>
      <c r="H20" s="248"/>
      <c r="I20" s="248"/>
      <c r="J20" s="248"/>
      <c r="K20" s="248"/>
      <c r="L20" s="8" t="s">
        <v>5709</v>
      </c>
      <c r="M20" s="264">
        <v>440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79.82</v>
      </c>
    </row>
    <row r="21" spans="1:47" ht="13.5" thickBot="1">
      <c r="A21" s="6"/>
      <c r="B21" s="1"/>
      <c r="C21" s="1"/>
      <c r="D21" s="248" t="s">
        <v>196</v>
      </c>
      <c r="E21" s="248"/>
      <c r="F21" s="248"/>
      <c r="G21" s="248"/>
      <c r="H21" s="248"/>
      <c r="I21" s="248"/>
      <c r="J21" s="248"/>
      <c r="K21" s="248"/>
      <c r="L21" s="8" t="s">
        <v>5709</v>
      </c>
      <c r="M21" s="264">
        <v>473</v>
      </c>
      <c r="N21" s="264"/>
      <c r="O21" s="264"/>
      <c r="P21" s="248" t="s">
        <v>190</v>
      </c>
      <c r="Q21" s="248"/>
      <c r="R21" s="248"/>
      <c r="S21" s="2"/>
      <c r="T21" s="2"/>
      <c r="U21" s="252" t="s">
        <v>197</v>
      </c>
      <c r="V21" s="252"/>
      <c r="W21" s="252"/>
      <c r="X21" s="252"/>
      <c r="Y21" s="252"/>
      <c r="Z21" s="252"/>
      <c r="AA21" s="252"/>
      <c r="AB21" s="247" t="s">
        <v>5709</v>
      </c>
      <c r="AC21" s="247"/>
      <c r="AD21" s="248" t="s">
        <v>6545</v>
      </c>
      <c r="AE21" s="248"/>
      <c r="AF21" s="248"/>
      <c r="AG21" s="248"/>
      <c r="AH21" s="248"/>
      <c r="AI21" s="248"/>
      <c r="AJ21" s="248"/>
      <c r="AK21" s="2"/>
      <c r="AL21" s="1"/>
      <c r="AM21" s="2"/>
      <c r="AN21" s="1"/>
      <c r="AO21" s="2"/>
      <c r="AP21" s="7"/>
      <c r="AT21" s="23" t="str">
        <f>D57&amp;AF50</f>
        <v>LF [%]2010</v>
      </c>
      <c r="AU21" s="23" t="str">
        <f>AF57</f>
        <v>76.88</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5063</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3291</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24320</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5064</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26164</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5065</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26335</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5066</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5067</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4856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5068</v>
      </c>
      <c r="G51" s="238"/>
      <c r="H51" s="238"/>
      <c r="I51" s="238"/>
      <c r="J51" s="10" t="s">
        <v>6087</v>
      </c>
      <c r="K51" s="238" t="s">
        <v>5069</v>
      </c>
      <c r="L51" s="238"/>
      <c r="M51" s="238"/>
      <c r="N51" s="238" t="s">
        <v>5070</v>
      </c>
      <c r="O51" s="238"/>
      <c r="P51" s="238"/>
      <c r="Q51" s="238" t="s">
        <v>5071</v>
      </c>
      <c r="R51" s="238"/>
      <c r="S51" s="238"/>
      <c r="T51" s="238"/>
      <c r="U51" s="238"/>
      <c r="V51" s="238"/>
      <c r="W51" s="238" t="s">
        <v>5072</v>
      </c>
      <c r="X51" s="238"/>
      <c r="Y51" s="10" t="s">
        <v>5073</v>
      </c>
      <c r="Z51" s="10" t="s">
        <v>5074</v>
      </c>
      <c r="AA51" s="238" t="s">
        <v>5075</v>
      </c>
      <c r="AB51" s="238"/>
      <c r="AC51" s="238"/>
      <c r="AD51" s="238"/>
      <c r="AE51" s="238"/>
      <c r="AF51" s="10" t="s">
        <v>5076</v>
      </c>
      <c r="AG51" s="237" t="s">
        <v>5077</v>
      </c>
      <c r="AH51" s="237"/>
      <c r="AI51" s="237"/>
      <c r="AJ51" s="237"/>
      <c r="AK51" s="237"/>
      <c r="AL51" s="2"/>
      <c r="AM51" s="2"/>
      <c r="AN51" s="2"/>
      <c r="AO51" s="2"/>
      <c r="AP51" s="7"/>
    </row>
    <row r="52" spans="1:42" ht="13.5" thickBot="1">
      <c r="A52" s="6"/>
      <c r="B52" s="2"/>
      <c r="C52" s="2"/>
      <c r="D52" s="244" t="s">
        <v>261</v>
      </c>
      <c r="E52" s="244"/>
      <c r="F52" s="238" t="s">
        <v>5078</v>
      </c>
      <c r="G52" s="238"/>
      <c r="H52" s="238"/>
      <c r="I52" s="238"/>
      <c r="J52" s="10" t="s">
        <v>6087</v>
      </c>
      <c r="K52" s="238" t="s">
        <v>7088</v>
      </c>
      <c r="L52" s="238"/>
      <c r="M52" s="238"/>
      <c r="N52" s="238" t="s">
        <v>6201</v>
      </c>
      <c r="O52" s="238"/>
      <c r="P52" s="238"/>
      <c r="Q52" s="238" t="s">
        <v>7072</v>
      </c>
      <c r="R52" s="238"/>
      <c r="S52" s="238"/>
      <c r="T52" s="238"/>
      <c r="U52" s="238"/>
      <c r="V52" s="238"/>
      <c r="W52" s="238" t="s">
        <v>5079</v>
      </c>
      <c r="X52" s="238"/>
      <c r="Y52" s="10" t="s">
        <v>5080</v>
      </c>
      <c r="Z52" s="10" t="s">
        <v>5081</v>
      </c>
      <c r="AA52" s="238" t="s">
        <v>5082</v>
      </c>
      <c r="AB52" s="238"/>
      <c r="AC52" s="238"/>
      <c r="AD52" s="238"/>
      <c r="AE52" s="238"/>
      <c r="AF52" s="10" t="s">
        <v>5083</v>
      </c>
      <c r="AG52" s="237" t="s">
        <v>5084</v>
      </c>
      <c r="AH52" s="237"/>
      <c r="AI52" s="237"/>
      <c r="AJ52" s="237"/>
      <c r="AK52" s="237"/>
      <c r="AL52" s="2"/>
      <c r="AM52" s="2"/>
      <c r="AN52" s="2"/>
      <c r="AO52" s="2"/>
      <c r="AP52" s="7"/>
    </row>
    <row r="53" spans="1:42" ht="13.5" thickBot="1">
      <c r="A53" s="6"/>
      <c r="B53" s="2"/>
      <c r="C53" s="2"/>
      <c r="D53" s="244" t="s">
        <v>273</v>
      </c>
      <c r="E53" s="244"/>
      <c r="F53" s="238" t="s">
        <v>1830</v>
      </c>
      <c r="G53" s="238"/>
      <c r="H53" s="238"/>
      <c r="I53" s="238"/>
      <c r="J53" s="10" t="s">
        <v>5085</v>
      </c>
      <c r="K53" s="238" t="s">
        <v>5086</v>
      </c>
      <c r="L53" s="238"/>
      <c r="M53" s="238"/>
      <c r="N53" s="238" t="s">
        <v>5087</v>
      </c>
      <c r="O53" s="238"/>
      <c r="P53" s="238"/>
      <c r="Q53" s="238" t="s">
        <v>5088</v>
      </c>
      <c r="R53" s="238"/>
      <c r="S53" s="238"/>
      <c r="T53" s="238"/>
      <c r="U53" s="238"/>
      <c r="V53" s="238"/>
      <c r="W53" s="238" t="s">
        <v>5089</v>
      </c>
      <c r="X53" s="238"/>
      <c r="Y53" s="10" t="s">
        <v>5090</v>
      </c>
      <c r="Z53" s="10" t="s">
        <v>1886</v>
      </c>
      <c r="AA53" s="238" t="s">
        <v>5091</v>
      </c>
      <c r="AB53" s="238"/>
      <c r="AC53" s="238"/>
      <c r="AD53" s="238"/>
      <c r="AE53" s="238"/>
      <c r="AF53" s="10" t="s">
        <v>5092</v>
      </c>
      <c r="AG53" s="237" t="s">
        <v>5093</v>
      </c>
      <c r="AH53" s="237"/>
      <c r="AI53" s="237"/>
      <c r="AJ53" s="237"/>
      <c r="AK53" s="237"/>
      <c r="AL53" s="2"/>
      <c r="AM53" s="2"/>
      <c r="AN53" s="2"/>
      <c r="AO53" s="2"/>
      <c r="AP53" s="7"/>
    </row>
    <row r="54" spans="1:42" ht="13.5" thickBot="1">
      <c r="A54" s="6"/>
      <c r="B54" s="2"/>
      <c r="C54" s="2"/>
      <c r="D54" s="244" t="s">
        <v>285</v>
      </c>
      <c r="E54" s="244"/>
      <c r="F54" s="238" t="s">
        <v>4181</v>
      </c>
      <c r="G54" s="238"/>
      <c r="H54" s="238"/>
      <c r="I54" s="238"/>
      <c r="J54" s="10" t="s">
        <v>6087</v>
      </c>
      <c r="K54" s="238" t="s">
        <v>5094</v>
      </c>
      <c r="L54" s="238"/>
      <c r="M54" s="238"/>
      <c r="N54" s="238" t="s">
        <v>5095</v>
      </c>
      <c r="O54" s="238"/>
      <c r="P54" s="238"/>
      <c r="Q54" s="238" t="s">
        <v>5096</v>
      </c>
      <c r="R54" s="238"/>
      <c r="S54" s="238"/>
      <c r="T54" s="238"/>
      <c r="U54" s="238"/>
      <c r="V54" s="238"/>
      <c r="W54" s="238" t="s">
        <v>5097</v>
      </c>
      <c r="X54" s="238"/>
      <c r="Y54" s="10" t="s">
        <v>5098</v>
      </c>
      <c r="Z54" s="10" t="s">
        <v>5099</v>
      </c>
      <c r="AA54" s="238" t="s">
        <v>5100</v>
      </c>
      <c r="AB54" s="238"/>
      <c r="AC54" s="238"/>
      <c r="AD54" s="238"/>
      <c r="AE54" s="238"/>
      <c r="AF54" s="10" t="s">
        <v>5009</v>
      </c>
      <c r="AG54" s="237" t="s">
        <v>5101</v>
      </c>
      <c r="AH54" s="237"/>
      <c r="AI54" s="237"/>
      <c r="AJ54" s="237"/>
      <c r="AK54" s="237"/>
      <c r="AL54" s="2"/>
      <c r="AM54" s="2"/>
      <c r="AN54" s="2"/>
      <c r="AO54" s="2"/>
      <c r="AP54" s="7"/>
    </row>
    <row r="55" spans="1:42" ht="13.5" thickBot="1">
      <c r="A55" s="6"/>
      <c r="B55" s="2"/>
      <c r="C55" s="2"/>
      <c r="D55" s="244" t="s">
        <v>295</v>
      </c>
      <c r="E55" s="244"/>
      <c r="F55" s="238" t="s">
        <v>5088</v>
      </c>
      <c r="G55" s="238"/>
      <c r="H55" s="238"/>
      <c r="I55" s="238"/>
      <c r="J55" s="10" t="s">
        <v>6087</v>
      </c>
      <c r="K55" s="238" t="s">
        <v>5102</v>
      </c>
      <c r="L55" s="238"/>
      <c r="M55" s="238"/>
      <c r="N55" s="238" t="s">
        <v>5103</v>
      </c>
      <c r="O55" s="238"/>
      <c r="P55" s="238"/>
      <c r="Q55" s="238" t="s">
        <v>5104</v>
      </c>
      <c r="R55" s="238"/>
      <c r="S55" s="238"/>
      <c r="T55" s="238"/>
      <c r="U55" s="238"/>
      <c r="V55" s="238"/>
      <c r="W55" s="238" t="s">
        <v>5105</v>
      </c>
      <c r="X55" s="238"/>
      <c r="Y55" s="10" t="s">
        <v>5106</v>
      </c>
      <c r="Z55" s="10" t="s">
        <v>5107</v>
      </c>
      <c r="AA55" s="238" t="s">
        <v>5108</v>
      </c>
      <c r="AB55" s="238"/>
      <c r="AC55" s="238"/>
      <c r="AD55" s="238"/>
      <c r="AE55" s="238"/>
      <c r="AF55" s="10" t="s">
        <v>5109</v>
      </c>
      <c r="AG55" s="237" t="s">
        <v>5110</v>
      </c>
      <c r="AH55" s="237"/>
      <c r="AI55" s="237"/>
      <c r="AJ55" s="237"/>
      <c r="AK55" s="237"/>
      <c r="AL55" s="2"/>
      <c r="AM55" s="2"/>
      <c r="AN55" s="2"/>
      <c r="AO55" s="2"/>
      <c r="AP55" s="7"/>
    </row>
    <row r="56" spans="1:42" ht="13.5" thickBot="1">
      <c r="A56" s="6"/>
      <c r="B56" s="2"/>
      <c r="C56" s="2"/>
      <c r="D56" s="244" t="s">
        <v>307</v>
      </c>
      <c r="E56" s="244"/>
      <c r="F56" s="238" t="s">
        <v>6240</v>
      </c>
      <c r="G56" s="238"/>
      <c r="H56" s="238"/>
      <c r="I56" s="238"/>
      <c r="J56" s="10" t="s">
        <v>6087</v>
      </c>
      <c r="K56" s="238" t="s">
        <v>1835</v>
      </c>
      <c r="L56" s="238"/>
      <c r="M56" s="238"/>
      <c r="N56" s="238" t="s">
        <v>6241</v>
      </c>
      <c r="O56" s="238"/>
      <c r="P56" s="238"/>
      <c r="Q56" s="238" t="s">
        <v>1848</v>
      </c>
      <c r="R56" s="238"/>
      <c r="S56" s="238"/>
      <c r="T56" s="238"/>
      <c r="U56" s="238"/>
      <c r="V56" s="238"/>
      <c r="W56" s="238" t="s">
        <v>5111</v>
      </c>
      <c r="X56" s="238"/>
      <c r="Y56" s="10" t="s">
        <v>6630</v>
      </c>
      <c r="Z56" s="10" t="s">
        <v>5112</v>
      </c>
      <c r="AA56" s="238" t="s">
        <v>6669</v>
      </c>
      <c r="AB56" s="238"/>
      <c r="AC56" s="238"/>
      <c r="AD56" s="238"/>
      <c r="AE56" s="238"/>
      <c r="AF56" s="10" t="s">
        <v>5113</v>
      </c>
      <c r="AG56" s="237" t="s">
        <v>5114</v>
      </c>
      <c r="AH56" s="237"/>
      <c r="AI56" s="237"/>
      <c r="AJ56" s="237"/>
      <c r="AK56" s="237"/>
      <c r="AL56" s="2"/>
      <c r="AM56" s="2"/>
      <c r="AN56" s="2"/>
      <c r="AO56" s="2"/>
      <c r="AP56" s="7"/>
    </row>
    <row r="57" spans="1:42" ht="13.5" thickBot="1">
      <c r="A57" s="6"/>
      <c r="B57" s="2"/>
      <c r="C57" s="2"/>
      <c r="D57" s="244" t="s">
        <v>319</v>
      </c>
      <c r="E57" s="244"/>
      <c r="F57" s="237" t="s">
        <v>5115</v>
      </c>
      <c r="G57" s="237"/>
      <c r="H57" s="237"/>
      <c r="I57" s="237"/>
      <c r="J57" s="11" t="s">
        <v>6087</v>
      </c>
      <c r="K57" s="237" t="s">
        <v>6572</v>
      </c>
      <c r="L57" s="237"/>
      <c r="M57" s="237"/>
      <c r="N57" s="237" t="s">
        <v>3279</v>
      </c>
      <c r="O57" s="237"/>
      <c r="P57" s="237"/>
      <c r="Q57" s="237" t="s">
        <v>5096</v>
      </c>
      <c r="R57" s="237"/>
      <c r="S57" s="237"/>
      <c r="T57" s="237"/>
      <c r="U57" s="237"/>
      <c r="V57" s="237"/>
      <c r="W57" s="237" t="s">
        <v>5116</v>
      </c>
      <c r="X57" s="237"/>
      <c r="Y57" s="11" t="s">
        <v>5117</v>
      </c>
      <c r="Z57" s="11" t="s">
        <v>5118</v>
      </c>
      <c r="AA57" s="237" t="s">
        <v>5119</v>
      </c>
      <c r="AB57" s="237"/>
      <c r="AC57" s="237"/>
      <c r="AD57" s="237"/>
      <c r="AE57" s="237"/>
      <c r="AF57" s="11" t="s">
        <v>5120</v>
      </c>
      <c r="AG57" s="237" t="s">
        <v>5121</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6"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5122</v>
      </c>
      <c r="E7" s="269"/>
      <c r="F7" s="269"/>
      <c r="G7" s="269"/>
      <c r="H7" s="269" t="s">
        <v>5123</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OSKARSHAMN-2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5060</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5060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ABB BWR</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1800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661</v>
      </c>
    </row>
    <row r="17" spans="1:47" ht="11.45" customHeight="1" thickBot="1">
      <c r="A17" s="6"/>
      <c r="B17" s="1"/>
      <c r="C17" s="1"/>
      <c r="D17" s="248" t="s">
        <v>5722</v>
      </c>
      <c r="E17" s="248"/>
      <c r="F17" s="248"/>
      <c r="G17" s="247" t="s">
        <v>5709</v>
      </c>
      <c r="H17" s="247"/>
      <c r="I17" s="248" t="s">
        <v>5061</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638</v>
      </c>
    </row>
    <row r="18" spans="1:47" ht="13.5" thickBot="1">
      <c r="A18" s="6"/>
      <c r="B18" s="1"/>
      <c r="C18" s="1"/>
      <c r="D18" s="248" t="s">
        <v>185</v>
      </c>
      <c r="E18" s="248"/>
      <c r="F18" s="248"/>
      <c r="G18" s="248"/>
      <c r="H18" s="248"/>
      <c r="I18" s="248"/>
      <c r="J18" s="248"/>
      <c r="K18" s="248"/>
      <c r="L18" s="8" t="s">
        <v>5709</v>
      </c>
      <c r="M18" s="264">
        <v>1800</v>
      </c>
      <c r="N18" s="264"/>
      <c r="O18" s="264"/>
      <c r="P18" s="248" t="s">
        <v>186</v>
      </c>
      <c r="Q18" s="248"/>
      <c r="R18" s="248"/>
      <c r="S18" s="2"/>
      <c r="T18" s="2"/>
      <c r="U18" s="252" t="s">
        <v>187</v>
      </c>
      <c r="V18" s="252"/>
      <c r="W18" s="252"/>
      <c r="X18" s="252"/>
      <c r="Y18" s="252"/>
      <c r="Z18" s="252"/>
      <c r="AA18" s="252"/>
      <c r="AB18" s="247" t="s">
        <v>5709</v>
      </c>
      <c r="AC18" s="247"/>
      <c r="AD18" s="248" t="s">
        <v>5124</v>
      </c>
      <c r="AE18" s="248"/>
      <c r="AF18" s="248"/>
      <c r="AG18" s="248"/>
      <c r="AH18" s="248"/>
      <c r="AI18" s="248"/>
      <c r="AJ18" s="248"/>
      <c r="AK18" s="2"/>
      <c r="AL18" s="1"/>
      <c r="AM18" s="2"/>
      <c r="AN18" s="1"/>
      <c r="AO18" s="2"/>
      <c r="AP18" s="7"/>
      <c r="AT18" s="25" t="str">
        <f>D26</f>
        <v>Grid Date</v>
      </c>
      <c r="AU18" s="25">
        <f>M26</f>
        <v>27304</v>
      </c>
    </row>
    <row r="19" spans="1:47" ht="13.5" thickBot="1">
      <c r="A19" s="6"/>
      <c r="B19" s="1"/>
      <c r="C19" s="1"/>
      <c r="D19" s="248" t="s">
        <v>189</v>
      </c>
      <c r="E19" s="248"/>
      <c r="F19" s="248"/>
      <c r="G19" s="248"/>
      <c r="H19" s="248"/>
      <c r="I19" s="248"/>
      <c r="J19" s="248"/>
      <c r="K19" s="248"/>
      <c r="L19" s="8" t="s">
        <v>5709</v>
      </c>
      <c r="M19" s="264">
        <v>661</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45000</v>
      </c>
    </row>
    <row r="20" spans="1:47" ht="13.5" thickBot="1">
      <c r="A20" s="6"/>
      <c r="B20" s="1"/>
      <c r="C20" s="1"/>
      <c r="D20" s="248" t="s">
        <v>193</v>
      </c>
      <c r="E20" s="248"/>
      <c r="F20" s="248"/>
      <c r="G20" s="248"/>
      <c r="H20" s="248"/>
      <c r="I20" s="248"/>
      <c r="J20" s="248"/>
      <c r="K20" s="248"/>
      <c r="L20" s="8" t="s">
        <v>5709</v>
      </c>
      <c r="M20" s="264">
        <v>580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89.66</v>
      </c>
    </row>
    <row r="21" spans="1:47" ht="13.5" thickBot="1">
      <c r="A21" s="6"/>
      <c r="B21" s="1"/>
      <c r="C21" s="1"/>
      <c r="D21" s="248" t="s">
        <v>196</v>
      </c>
      <c r="E21" s="248"/>
      <c r="F21" s="248"/>
      <c r="G21" s="248"/>
      <c r="H21" s="248"/>
      <c r="I21" s="248"/>
      <c r="J21" s="248"/>
      <c r="K21" s="248"/>
      <c r="L21" s="8" t="s">
        <v>5709</v>
      </c>
      <c r="M21" s="264">
        <v>638</v>
      </c>
      <c r="N21" s="264"/>
      <c r="O21" s="264"/>
      <c r="P21" s="248" t="s">
        <v>190</v>
      </c>
      <c r="Q21" s="248"/>
      <c r="R21" s="248"/>
      <c r="S21" s="2"/>
      <c r="T21" s="2"/>
      <c r="U21" s="252" t="s">
        <v>197</v>
      </c>
      <c r="V21" s="252"/>
      <c r="W21" s="252"/>
      <c r="X21" s="252"/>
      <c r="Y21" s="252"/>
      <c r="Z21" s="252"/>
      <c r="AA21" s="252"/>
      <c r="AB21" s="247" t="s">
        <v>5709</v>
      </c>
      <c r="AC21" s="247"/>
      <c r="AD21" s="248" t="s">
        <v>6545</v>
      </c>
      <c r="AE21" s="248"/>
      <c r="AF21" s="248"/>
      <c r="AG21" s="248"/>
      <c r="AH21" s="248"/>
      <c r="AI21" s="248"/>
      <c r="AJ21" s="248"/>
      <c r="AK21" s="2"/>
      <c r="AL21" s="1"/>
      <c r="AM21" s="2"/>
      <c r="AN21" s="1"/>
      <c r="AO21" s="2"/>
      <c r="AP21" s="7"/>
      <c r="AT21" s="23" t="str">
        <f>D57&amp;AF50</f>
        <v>LF [%]2010</v>
      </c>
      <c r="AU21" s="23" t="str">
        <f>AF57</f>
        <v>90.05</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6546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5125</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25447</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5126</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27304</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210</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27395</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5127</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5128</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4856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5129</v>
      </c>
      <c r="G51" s="238"/>
      <c r="H51" s="238"/>
      <c r="I51" s="238"/>
      <c r="J51" s="10" t="s">
        <v>5130</v>
      </c>
      <c r="K51" s="238" t="s">
        <v>5131</v>
      </c>
      <c r="L51" s="238"/>
      <c r="M51" s="238"/>
      <c r="N51" s="238" t="s">
        <v>5132</v>
      </c>
      <c r="O51" s="238"/>
      <c r="P51" s="238"/>
      <c r="Q51" s="238" t="s">
        <v>5133</v>
      </c>
      <c r="R51" s="238"/>
      <c r="S51" s="238"/>
      <c r="T51" s="238"/>
      <c r="U51" s="238"/>
      <c r="V51" s="238"/>
      <c r="W51" s="238" t="s">
        <v>5134</v>
      </c>
      <c r="X51" s="238"/>
      <c r="Y51" s="10" t="s">
        <v>5135</v>
      </c>
      <c r="Z51" s="10" t="s">
        <v>5136</v>
      </c>
      <c r="AA51" s="238" t="s">
        <v>5137</v>
      </c>
      <c r="AB51" s="238"/>
      <c r="AC51" s="238"/>
      <c r="AD51" s="238"/>
      <c r="AE51" s="238"/>
      <c r="AF51" s="10" t="s">
        <v>5138</v>
      </c>
      <c r="AG51" s="237" t="s">
        <v>5139</v>
      </c>
      <c r="AH51" s="237"/>
      <c r="AI51" s="237"/>
      <c r="AJ51" s="237"/>
      <c r="AK51" s="237"/>
      <c r="AL51" s="2"/>
      <c r="AM51" s="2"/>
      <c r="AN51" s="2"/>
      <c r="AO51" s="2"/>
      <c r="AP51" s="7"/>
    </row>
    <row r="52" spans="1:42" ht="13.5" thickBot="1">
      <c r="A52" s="6"/>
      <c r="B52" s="2"/>
      <c r="C52" s="2"/>
      <c r="D52" s="244" t="s">
        <v>261</v>
      </c>
      <c r="E52" s="244"/>
      <c r="F52" s="238" t="s">
        <v>1849</v>
      </c>
      <c r="G52" s="238"/>
      <c r="H52" s="238"/>
      <c r="I52" s="238"/>
      <c r="J52" s="10" t="s">
        <v>5140</v>
      </c>
      <c r="K52" s="238" t="s">
        <v>5141</v>
      </c>
      <c r="L52" s="238"/>
      <c r="M52" s="238"/>
      <c r="N52" s="238" t="s">
        <v>6153</v>
      </c>
      <c r="O52" s="238"/>
      <c r="P52" s="238"/>
      <c r="Q52" s="238" t="s">
        <v>4935</v>
      </c>
      <c r="R52" s="238"/>
      <c r="S52" s="238"/>
      <c r="T52" s="238"/>
      <c r="U52" s="238"/>
      <c r="V52" s="238"/>
      <c r="W52" s="238" t="s">
        <v>5142</v>
      </c>
      <c r="X52" s="238"/>
      <c r="Y52" s="10" t="s">
        <v>5143</v>
      </c>
      <c r="Z52" s="10" t="s">
        <v>6668</v>
      </c>
      <c r="AA52" s="238" t="s">
        <v>5144</v>
      </c>
      <c r="AB52" s="238"/>
      <c r="AC52" s="238"/>
      <c r="AD52" s="238"/>
      <c r="AE52" s="238"/>
      <c r="AF52" s="10" t="s">
        <v>6330</v>
      </c>
      <c r="AG52" s="237" t="s">
        <v>5145</v>
      </c>
      <c r="AH52" s="237"/>
      <c r="AI52" s="237"/>
      <c r="AJ52" s="237"/>
      <c r="AK52" s="237"/>
      <c r="AL52" s="2"/>
      <c r="AM52" s="2"/>
      <c r="AN52" s="2"/>
      <c r="AO52" s="2"/>
      <c r="AP52" s="7"/>
    </row>
    <row r="53" spans="1:42" ht="13.5" thickBot="1">
      <c r="A53" s="6"/>
      <c r="B53" s="2"/>
      <c r="C53" s="2"/>
      <c r="D53" s="244" t="s">
        <v>273</v>
      </c>
      <c r="E53" s="244"/>
      <c r="F53" s="238" t="s">
        <v>5146</v>
      </c>
      <c r="G53" s="238"/>
      <c r="H53" s="238"/>
      <c r="I53" s="238"/>
      <c r="J53" s="10" t="s">
        <v>5147</v>
      </c>
      <c r="K53" s="238" t="s">
        <v>5148</v>
      </c>
      <c r="L53" s="238"/>
      <c r="M53" s="238"/>
      <c r="N53" s="238" t="s">
        <v>4874</v>
      </c>
      <c r="O53" s="238"/>
      <c r="P53" s="238"/>
      <c r="Q53" s="238" t="s">
        <v>5149</v>
      </c>
      <c r="R53" s="238"/>
      <c r="S53" s="238"/>
      <c r="T53" s="238"/>
      <c r="U53" s="238"/>
      <c r="V53" s="238"/>
      <c r="W53" s="238" t="s">
        <v>2728</v>
      </c>
      <c r="X53" s="238"/>
      <c r="Y53" s="10" t="s">
        <v>6643</v>
      </c>
      <c r="Z53" s="10" t="s">
        <v>4827</v>
      </c>
      <c r="AA53" s="238" t="s">
        <v>5150</v>
      </c>
      <c r="AB53" s="238"/>
      <c r="AC53" s="238"/>
      <c r="AD53" s="238"/>
      <c r="AE53" s="238"/>
      <c r="AF53" s="10" t="s">
        <v>5151</v>
      </c>
      <c r="AG53" s="237" t="s">
        <v>5152</v>
      </c>
      <c r="AH53" s="237"/>
      <c r="AI53" s="237"/>
      <c r="AJ53" s="237"/>
      <c r="AK53" s="237"/>
      <c r="AL53" s="2"/>
      <c r="AM53" s="2"/>
      <c r="AN53" s="2"/>
      <c r="AO53" s="2"/>
      <c r="AP53" s="7"/>
    </row>
    <row r="54" spans="1:42" ht="13.5" thickBot="1">
      <c r="A54" s="6"/>
      <c r="B54" s="2"/>
      <c r="C54" s="2"/>
      <c r="D54" s="244" t="s">
        <v>285</v>
      </c>
      <c r="E54" s="244"/>
      <c r="F54" s="238" t="s">
        <v>4984</v>
      </c>
      <c r="G54" s="238"/>
      <c r="H54" s="238"/>
      <c r="I54" s="238"/>
      <c r="J54" s="10" t="s">
        <v>6827</v>
      </c>
      <c r="K54" s="238" t="s">
        <v>5153</v>
      </c>
      <c r="L54" s="238"/>
      <c r="M54" s="238"/>
      <c r="N54" s="238" t="s">
        <v>2965</v>
      </c>
      <c r="O54" s="238"/>
      <c r="P54" s="238"/>
      <c r="Q54" s="238" t="s">
        <v>5154</v>
      </c>
      <c r="R54" s="238"/>
      <c r="S54" s="238"/>
      <c r="T54" s="238"/>
      <c r="U54" s="238"/>
      <c r="V54" s="238"/>
      <c r="W54" s="238" t="s">
        <v>5155</v>
      </c>
      <c r="X54" s="238"/>
      <c r="Y54" s="10" t="s">
        <v>3531</v>
      </c>
      <c r="Z54" s="10" t="s">
        <v>5156</v>
      </c>
      <c r="AA54" s="238" t="s">
        <v>5157</v>
      </c>
      <c r="AB54" s="238"/>
      <c r="AC54" s="238"/>
      <c r="AD54" s="238"/>
      <c r="AE54" s="238"/>
      <c r="AF54" s="10" t="s">
        <v>5158</v>
      </c>
      <c r="AG54" s="237" t="s">
        <v>5159</v>
      </c>
      <c r="AH54" s="237"/>
      <c r="AI54" s="237"/>
      <c r="AJ54" s="237"/>
      <c r="AK54" s="237"/>
      <c r="AL54" s="2"/>
      <c r="AM54" s="2"/>
      <c r="AN54" s="2"/>
      <c r="AO54" s="2"/>
      <c r="AP54" s="7"/>
    </row>
    <row r="55" spans="1:42" ht="13.5" thickBot="1">
      <c r="A55" s="6"/>
      <c r="B55" s="2"/>
      <c r="C55" s="2"/>
      <c r="D55" s="244" t="s">
        <v>295</v>
      </c>
      <c r="E55" s="244"/>
      <c r="F55" s="238" t="s">
        <v>6009</v>
      </c>
      <c r="G55" s="238"/>
      <c r="H55" s="238"/>
      <c r="I55" s="238"/>
      <c r="J55" s="10" t="s">
        <v>5160</v>
      </c>
      <c r="K55" s="238" t="s">
        <v>6983</v>
      </c>
      <c r="L55" s="238"/>
      <c r="M55" s="238"/>
      <c r="N55" s="238" t="s">
        <v>5161</v>
      </c>
      <c r="O55" s="238"/>
      <c r="P55" s="238"/>
      <c r="Q55" s="238" t="s">
        <v>5162</v>
      </c>
      <c r="R55" s="238"/>
      <c r="S55" s="238"/>
      <c r="T55" s="238"/>
      <c r="U55" s="238"/>
      <c r="V55" s="238"/>
      <c r="W55" s="238" t="s">
        <v>4992</v>
      </c>
      <c r="X55" s="238"/>
      <c r="Y55" s="10" t="s">
        <v>6788</v>
      </c>
      <c r="Z55" s="10" t="s">
        <v>5163</v>
      </c>
      <c r="AA55" s="238" t="s">
        <v>5164</v>
      </c>
      <c r="AB55" s="238"/>
      <c r="AC55" s="238"/>
      <c r="AD55" s="238"/>
      <c r="AE55" s="238"/>
      <c r="AF55" s="10" t="s">
        <v>6158</v>
      </c>
      <c r="AG55" s="237" t="s">
        <v>5165</v>
      </c>
      <c r="AH55" s="237"/>
      <c r="AI55" s="237"/>
      <c r="AJ55" s="237"/>
      <c r="AK55" s="237"/>
      <c r="AL55" s="2"/>
      <c r="AM55" s="2"/>
      <c r="AN55" s="2"/>
      <c r="AO55" s="2"/>
      <c r="AP55" s="7"/>
    </row>
    <row r="56" spans="1:42" ht="13.5" thickBot="1">
      <c r="A56" s="6"/>
      <c r="B56" s="2"/>
      <c r="C56" s="2"/>
      <c r="D56" s="244" t="s">
        <v>307</v>
      </c>
      <c r="E56" s="244"/>
      <c r="F56" s="238" t="s">
        <v>6896</v>
      </c>
      <c r="G56" s="238"/>
      <c r="H56" s="238"/>
      <c r="I56" s="238"/>
      <c r="J56" s="10" t="s">
        <v>6732</v>
      </c>
      <c r="K56" s="238" t="s">
        <v>5166</v>
      </c>
      <c r="L56" s="238"/>
      <c r="M56" s="238"/>
      <c r="N56" s="238" t="s">
        <v>3228</v>
      </c>
      <c r="O56" s="238"/>
      <c r="P56" s="238"/>
      <c r="Q56" s="238" t="s">
        <v>5167</v>
      </c>
      <c r="R56" s="238"/>
      <c r="S56" s="238"/>
      <c r="T56" s="238"/>
      <c r="U56" s="238"/>
      <c r="V56" s="238"/>
      <c r="W56" s="238" t="s">
        <v>6300</v>
      </c>
      <c r="X56" s="238"/>
      <c r="Y56" s="10" t="s">
        <v>5115</v>
      </c>
      <c r="Z56" s="10" t="s">
        <v>4823</v>
      </c>
      <c r="AA56" s="238" t="s">
        <v>5168</v>
      </c>
      <c r="AB56" s="238"/>
      <c r="AC56" s="238"/>
      <c r="AD56" s="238"/>
      <c r="AE56" s="238"/>
      <c r="AF56" s="10" t="s">
        <v>390</v>
      </c>
      <c r="AG56" s="237" t="s">
        <v>5169</v>
      </c>
      <c r="AH56" s="237"/>
      <c r="AI56" s="237"/>
      <c r="AJ56" s="237"/>
      <c r="AK56" s="237"/>
      <c r="AL56" s="2"/>
      <c r="AM56" s="2"/>
      <c r="AN56" s="2"/>
      <c r="AO56" s="2"/>
      <c r="AP56" s="7"/>
    </row>
    <row r="57" spans="1:42" ht="13.5" thickBot="1">
      <c r="A57" s="6"/>
      <c r="B57" s="2"/>
      <c r="C57" s="2"/>
      <c r="D57" s="244" t="s">
        <v>319</v>
      </c>
      <c r="E57" s="244"/>
      <c r="F57" s="237" t="s">
        <v>6796</v>
      </c>
      <c r="G57" s="237"/>
      <c r="H57" s="237"/>
      <c r="I57" s="237"/>
      <c r="J57" s="11" t="s">
        <v>4217</v>
      </c>
      <c r="K57" s="237" t="s">
        <v>5170</v>
      </c>
      <c r="L57" s="237"/>
      <c r="M57" s="237"/>
      <c r="N57" s="237" t="s">
        <v>5171</v>
      </c>
      <c r="O57" s="237"/>
      <c r="P57" s="237"/>
      <c r="Q57" s="237" t="s">
        <v>6529</v>
      </c>
      <c r="R57" s="237"/>
      <c r="S57" s="237"/>
      <c r="T57" s="237"/>
      <c r="U57" s="237"/>
      <c r="V57" s="237"/>
      <c r="W57" s="237" t="s">
        <v>5172</v>
      </c>
      <c r="X57" s="237"/>
      <c r="Y57" s="11" t="s">
        <v>5173</v>
      </c>
      <c r="Z57" s="11" t="s">
        <v>5112</v>
      </c>
      <c r="AA57" s="237" t="s">
        <v>5174</v>
      </c>
      <c r="AB57" s="237"/>
      <c r="AC57" s="237"/>
      <c r="AD57" s="237"/>
      <c r="AE57" s="237"/>
      <c r="AF57" s="11" t="s">
        <v>5175</v>
      </c>
      <c r="AG57" s="237" t="s">
        <v>5176</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6"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5236</v>
      </c>
      <c r="E7" s="269"/>
      <c r="F7" s="269"/>
      <c r="G7" s="269"/>
      <c r="H7" s="269" t="s">
        <v>5237</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OSKARSHAMN-3</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5060</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5060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 75</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3900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1450</v>
      </c>
    </row>
    <row r="17" spans="1:47" ht="11.45" customHeight="1" thickBot="1">
      <c r="A17" s="6"/>
      <c r="B17" s="1"/>
      <c r="C17" s="1"/>
      <c r="D17" s="248" t="s">
        <v>5722</v>
      </c>
      <c r="E17" s="248"/>
      <c r="F17" s="248"/>
      <c r="G17" s="247" t="s">
        <v>5709</v>
      </c>
      <c r="H17" s="247"/>
      <c r="I17" s="248" t="s">
        <v>4910</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1400</v>
      </c>
    </row>
    <row r="18" spans="1:47" ht="13.5" thickBot="1">
      <c r="A18" s="6"/>
      <c r="B18" s="1"/>
      <c r="C18" s="1"/>
      <c r="D18" s="248" t="s">
        <v>185</v>
      </c>
      <c r="E18" s="248"/>
      <c r="F18" s="248"/>
      <c r="G18" s="248"/>
      <c r="H18" s="248"/>
      <c r="I18" s="248"/>
      <c r="J18" s="248"/>
      <c r="K18" s="248"/>
      <c r="L18" s="8" t="s">
        <v>5709</v>
      </c>
      <c r="M18" s="264">
        <v>3900</v>
      </c>
      <c r="N18" s="264"/>
      <c r="O18" s="264"/>
      <c r="P18" s="248" t="s">
        <v>186</v>
      </c>
      <c r="Q18" s="248"/>
      <c r="R18" s="248"/>
      <c r="S18" s="2"/>
      <c r="T18" s="2"/>
      <c r="U18" s="252" t="s">
        <v>187</v>
      </c>
      <c r="V18" s="252"/>
      <c r="W18" s="252"/>
      <c r="X18" s="252"/>
      <c r="Y18" s="252"/>
      <c r="Z18" s="252"/>
      <c r="AA18" s="252"/>
      <c r="AB18" s="247" t="s">
        <v>5709</v>
      </c>
      <c r="AC18" s="247"/>
      <c r="AD18" s="248" t="s">
        <v>4954</v>
      </c>
      <c r="AE18" s="248"/>
      <c r="AF18" s="248"/>
      <c r="AG18" s="248"/>
      <c r="AH18" s="248"/>
      <c r="AI18" s="248"/>
      <c r="AJ18" s="248"/>
      <c r="AK18" s="2"/>
      <c r="AL18" s="1"/>
      <c r="AM18" s="2"/>
      <c r="AN18" s="1"/>
      <c r="AO18" s="2"/>
      <c r="AP18" s="7"/>
      <c r="AT18" s="25" t="str">
        <f>D26</f>
        <v>Grid Date</v>
      </c>
      <c r="AU18" s="25">
        <f>M26</f>
        <v>31109</v>
      </c>
    </row>
    <row r="19" spans="1:47" ht="13.5" thickBot="1">
      <c r="A19" s="6"/>
      <c r="B19" s="1"/>
      <c r="C19" s="1"/>
      <c r="D19" s="248" t="s">
        <v>189</v>
      </c>
      <c r="E19" s="248"/>
      <c r="F19" s="248"/>
      <c r="G19" s="248"/>
      <c r="H19" s="248"/>
      <c r="I19" s="248"/>
      <c r="J19" s="248"/>
      <c r="K19" s="248"/>
      <c r="L19" s="8" t="s">
        <v>5709</v>
      </c>
      <c r="M19" s="264">
        <v>1450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32000</v>
      </c>
    </row>
    <row r="20" spans="1:47" ht="13.5" thickBot="1">
      <c r="A20" s="6"/>
      <c r="B20" s="1"/>
      <c r="C20" s="1"/>
      <c r="D20" s="248" t="s">
        <v>193</v>
      </c>
      <c r="E20" s="248"/>
      <c r="F20" s="248"/>
      <c r="G20" s="248"/>
      <c r="H20" s="248"/>
      <c r="I20" s="248"/>
      <c r="J20" s="248"/>
      <c r="K20" s="248"/>
      <c r="L20" s="8" t="s">
        <v>5709</v>
      </c>
      <c r="M20" s="264">
        <v>1050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85.18</v>
      </c>
    </row>
    <row r="21" spans="1:47" ht="13.5" thickBot="1">
      <c r="A21" s="6"/>
      <c r="B21" s="1"/>
      <c r="C21" s="1"/>
      <c r="D21" s="248" t="s">
        <v>196</v>
      </c>
      <c r="E21" s="248"/>
      <c r="F21" s="248"/>
      <c r="G21" s="248"/>
      <c r="H21" s="248"/>
      <c r="I21" s="248"/>
      <c r="J21" s="248"/>
      <c r="K21" s="248"/>
      <c r="L21" s="8" t="s">
        <v>5709</v>
      </c>
      <c r="M21" s="264">
        <v>1400</v>
      </c>
      <c r="N21" s="264"/>
      <c r="O21" s="264"/>
      <c r="P21" s="248" t="s">
        <v>190</v>
      </c>
      <c r="Q21" s="248"/>
      <c r="R21" s="248"/>
      <c r="S21" s="2"/>
      <c r="T21" s="2"/>
      <c r="U21" s="252" t="s">
        <v>197</v>
      </c>
      <c r="V21" s="252"/>
      <c r="W21" s="252"/>
      <c r="X21" s="252"/>
      <c r="Y21" s="252"/>
      <c r="Z21" s="252"/>
      <c r="AA21" s="252"/>
      <c r="AB21" s="247" t="s">
        <v>5709</v>
      </c>
      <c r="AC21" s="247"/>
      <c r="AD21" s="248" t="s">
        <v>2879</v>
      </c>
      <c r="AE21" s="248"/>
      <c r="AF21" s="248"/>
      <c r="AG21" s="248"/>
      <c r="AH21" s="248"/>
      <c r="AI21" s="248"/>
      <c r="AJ21" s="248"/>
      <c r="AK21" s="2"/>
      <c r="AL21" s="1"/>
      <c r="AM21" s="2"/>
      <c r="AN21" s="1"/>
      <c r="AO21" s="2"/>
      <c r="AP21" s="7"/>
      <c r="AT21" s="23" t="str">
        <f>D57&amp;AF50</f>
        <v>LF [%]2010</v>
      </c>
      <c r="AU21" s="23" t="str">
        <f>AF57</f>
        <v>31.33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5014</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204</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29342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5015</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31109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5016</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31274</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5017</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4347</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5182</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215</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235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5238</v>
      </c>
      <c r="G51" s="238"/>
      <c r="H51" s="238"/>
      <c r="I51" s="238"/>
      <c r="J51" s="10" t="s">
        <v>5239</v>
      </c>
      <c r="K51" s="238" t="s">
        <v>5240</v>
      </c>
      <c r="L51" s="238"/>
      <c r="M51" s="238"/>
      <c r="N51" s="238" t="s">
        <v>5241</v>
      </c>
      <c r="O51" s="238"/>
      <c r="P51" s="238"/>
      <c r="Q51" s="238" t="s">
        <v>5242</v>
      </c>
      <c r="R51" s="238"/>
      <c r="S51" s="238"/>
      <c r="T51" s="238"/>
      <c r="U51" s="238"/>
      <c r="V51" s="238"/>
      <c r="W51" s="238" t="s">
        <v>5243</v>
      </c>
      <c r="X51" s="238"/>
      <c r="Y51" s="10" t="s">
        <v>5244</v>
      </c>
      <c r="Z51" s="10" t="s">
        <v>5245</v>
      </c>
      <c r="AA51" s="238" t="s">
        <v>5246</v>
      </c>
      <c r="AB51" s="238"/>
      <c r="AC51" s="238"/>
      <c r="AD51" s="238"/>
      <c r="AE51" s="238"/>
      <c r="AF51" s="10" t="s">
        <v>5247</v>
      </c>
      <c r="AG51" s="237" t="s">
        <v>5248</v>
      </c>
      <c r="AH51" s="237"/>
      <c r="AI51" s="237"/>
      <c r="AJ51" s="237"/>
      <c r="AK51" s="237"/>
      <c r="AL51" s="2"/>
      <c r="AM51" s="2"/>
      <c r="AN51" s="2"/>
      <c r="AO51" s="2"/>
      <c r="AP51" s="7"/>
    </row>
    <row r="52" spans="1:42" ht="13.5" thickBot="1">
      <c r="A52" s="6"/>
      <c r="B52" s="2"/>
      <c r="C52" s="2"/>
      <c r="D52" s="244" t="s">
        <v>261</v>
      </c>
      <c r="E52" s="244"/>
      <c r="F52" s="238" t="s">
        <v>6322</v>
      </c>
      <c r="G52" s="238"/>
      <c r="H52" s="238"/>
      <c r="I52" s="238"/>
      <c r="J52" s="10" t="s">
        <v>402</v>
      </c>
      <c r="K52" s="238" t="s">
        <v>5249</v>
      </c>
      <c r="L52" s="238"/>
      <c r="M52" s="238"/>
      <c r="N52" s="238" t="s">
        <v>3414</v>
      </c>
      <c r="O52" s="238"/>
      <c r="P52" s="238"/>
      <c r="Q52" s="238" t="s">
        <v>5035</v>
      </c>
      <c r="R52" s="238"/>
      <c r="S52" s="238"/>
      <c r="T52" s="238"/>
      <c r="U52" s="238"/>
      <c r="V52" s="238"/>
      <c r="W52" s="238" t="s">
        <v>4368</v>
      </c>
      <c r="X52" s="238"/>
      <c r="Y52" s="10" t="s">
        <v>5250</v>
      </c>
      <c r="Z52" s="10" t="s">
        <v>5251</v>
      </c>
      <c r="AA52" s="238" t="s">
        <v>5252</v>
      </c>
      <c r="AB52" s="238"/>
      <c r="AC52" s="238"/>
      <c r="AD52" s="238"/>
      <c r="AE52" s="238"/>
      <c r="AF52" s="10" t="s">
        <v>5253</v>
      </c>
      <c r="AG52" s="237" t="s">
        <v>5254</v>
      </c>
      <c r="AH52" s="237"/>
      <c r="AI52" s="237"/>
      <c r="AJ52" s="237"/>
      <c r="AK52" s="237"/>
      <c r="AL52" s="2"/>
      <c r="AM52" s="2"/>
      <c r="AN52" s="2"/>
      <c r="AO52" s="2"/>
      <c r="AP52" s="7"/>
    </row>
    <row r="53" spans="1:42" ht="13.5" thickBot="1">
      <c r="A53" s="6"/>
      <c r="B53" s="2"/>
      <c r="C53" s="2"/>
      <c r="D53" s="244" t="s">
        <v>273</v>
      </c>
      <c r="E53" s="244"/>
      <c r="F53" s="238" t="s">
        <v>5255</v>
      </c>
      <c r="G53" s="238"/>
      <c r="H53" s="238"/>
      <c r="I53" s="238"/>
      <c r="J53" s="10" t="s">
        <v>5256</v>
      </c>
      <c r="K53" s="238" t="s">
        <v>5257</v>
      </c>
      <c r="L53" s="238"/>
      <c r="M53" s="238"/>
      <c r="N53" s="238" t="s">
        <v>5219</v>
      </c>
      <c r="O53" s="238"/>
      <c r="P53" s="238"/>
      <c r="Q53" s="238" t="s">
        <v>5258</v>
      </c>
      <c r="R53" s="238"/>
      <c r="S53" s="238"/>
      <c r="T53" s="238"/>
      <c r="U53" s="238"/>
      <c r="V53" s="238"/>
      <c r="W53" s="238" t="s">
        <v>5259</v>
      </c>
      <c r="X53" s="238"/>
      <c r="Y53" s="10" t="s">
        <v>6930</v>
      </c>
      <c r="Z53" s="10" t="s">
        <v>6833</v>
      </c>
      <c r="AA53" s="238" t="s">
        <v>5260</v>
      </c>
      <c r="AB53" s="238"/>
      <c r="AC53" s="238"/>
      <c r="AD53" s="238"/>
      <c r="AE53" s="238"/>
      <c r="AF53" s="10" t="s">
        <v>5261</v>
      </c>
      <c r="AG53" s="237" t="s">
        <v>6305</v>
      </c>
      <c r="AH53" s="237"/>
      <c r="AI53" s="237"/>
      <c r="AJ53" s="237"/>
      <c r="AK53" s="237"/>
      <c r="AL53" s="2"/>
      <c r="AM53" s="2"/>
      <c r="AN53" s="2"/>
      <c r="AO53" s="2"/>
      <c r="AP53" s="7"/>
    </row>
    <row r="54" spans="1:42" ht="13.5" thickBot="1">
      <c r="A54" s="6"/>
      <c r="B54" s="2"/>
      <c r="C54" s="2"/>
      <c r="D54" s="244" t="s">
        <v>285</v>
      </c>
      <c r="E54" s="244"/>
      <c r="F54" s="238" t="s">
        <v>3100</v>
      </c>
      <c r="G54" s="238"/>
      <c r="H54" s="238"/>
      <c r="I54" s="238"/>
      <c r="J54" s="10" t="s">
        <v>402</v>
      </c>
      <c r="K54" s="238" t="s">
        <v>5262</v>
      </c>
      <c r="L54" s="238"/>
      <c r="M54" s="238"/>
      <c r="N54" s="238" t="s">
        <v>1981</v>
      </c>
      <c r="O54" s="238"/>
      <c r="P54" s="238"/>
      <c r="Q54" s="238" t="s">
        <v>4187</v>
      </c>
      <c r="R54" s="238"/>
      <c r="S54" s="238"/>
      <c r="T54" s="238"/>
      <c r="U54" s="238"/>
      <c r="V54" s="238"/>
      <c r="W54" s="238" t="s">
        <v>269</v>
      </c>
      <c r="X54" s="238"/>
      <c r="Y54" s="10" t="s">
        <v>6430</v>
      </c>
      <c r="Z54" s="10" t="s">
        <v>5263</v>
      </c>
      <c r="AA54" s="238" t="s">
        <v>5264</v>
      </c>
      <c r="AB54" s="238"/>
      <c r="AC54" s="238"/>
      <c r="AD54" s="238"/>
      <c r="AE54" s="238"/>
      <c r="AF54" s="10" t="s">
        <v>5265</v>
      </c>
      <c r="AG54" s="237" t="s">
        <v>6648</v>
      </c>
      <c r="AH54" s="237"/>
      <c r="AI54" s="237"/>
      <c r="AJ54" s="237"/>
      <c r="AK54" s="237"/>
      <c r="AL54" s="2"/>
      <c r="AM54" s="2"/>
      <c r="AN54" s="2"/>
      <c r="AO54" s="2"/>
      <c r="AP54" s="7"/>
    </row>
    <row r="55" spans="1:42" ht="13.5" thickBot="1">
      <c r="A55" s="6"/>
      <c r="B55" s="2"/>
      <c r="C55" s="2"/>
      <c r="D55" s="244" t="s">
        <v>295</v>
      </c>
      <c r="E55" s="244"/>
      <c r="F55" s="238" t="s">
        <v>5266</v>
      </c>
      <c r="G55" s="238"/>
      <c r="H55" s="238"/>
      <c r="I55" s="238"/>
      <c r="J55" s="10" t="s">
        <v>6981</v>
      </c>
      <c r="K55" s="238" t="s">
        <v>5267</v>
      </c>
      <c r="L55" s="238"/>
      <c r="M55" s="238"/>
      <c r="N55" s="238" t="s">
        <v>5268</v>
      </c>
      <c r="O55" s="238"/>
      <c r="P55" s="238"/>
      <c r="Q55" s="238" t="s">
        <v>5269</v>
      </c>
      <c r="R55" s="238"/>
      <c r="S55" s="238"/>
      <c r="T55" s="238"/>
      <c r="U55" s="238"/>
      <c r="V55" s="238"/>
      <c r="W55" s="238" t="s">
        <v>377</v>
      </c>
      <c r="X55" s="238"/>
      <c r="Y55" s="10" t="s">
        <v>3000</v>
      </c>
      <c r="Z55" s="10" t="s">
        <v>5270</v>
      </c>
      <c r="AA55" s="238" t="s">
        <v>3223</v>
      </c>
      <c r="AB55" s="238"/>
      <c r="AC55" s="238"/>
      <c r="AD55" s="238"/>
      <c r="AE55" s="238"/>
      <c r="AF55" s="10" t="s">
        <v>5271</v>
      </c>
      <c r="AG55" s="237" t="s">
        <v>4940</v>
      </c>
      <c r="AH55" s="237"/>
      <c r="AI55" s="237"/>
      <c r="AJ55" s="237"/>
      <c r="AK55" s="237"/>
      <c r="AL55" s="2"/>
      <c r="AM55" s="2"/>
      <c r="AN55" s="2"/>
      <c r="AO55" s="2"/>
      <c r="AP55" s="7"/>
    </row>
    <row r="56" spans="1:42" ht="13.5" thickBot="1">
      <c r="A56" s="6"/>
      <c r="B56" s="2"/>
      <c r="C56" s="2"/>
      <c r="D56" s="244" t="s">
        <v>307</v>
      </c>
      <c r="E56" s="244"/>
      <c r="F56" s="238" t="s">
        <v>3174</v>
      </c>
      <c r="G56" s="238"/>
      <c r="H56" s="238"/>
      <c r="I56" s="238"/>
      <c r="J56" s="10" t="s">
        <v>3044</v>
      </c>
      <c r="K56" s="238" t="s">
        <v>5272</v>
      </c>
      <c r="L56" s="238"/>
      <c r="M56" s="238"/>
      <c r="N56" s="238" t="s">
        <v>4801</v>
      </c>
      <c r="O56" s="238"/>
      <c r="P56" s="238"/>
      <c r="Q56" s="238" t="s">
        <v>6726</v>
      </c>
      <c r="R56" s="238"/>
      <c r="S56" s="238"/>
      <c r="T56" s="238"/>
      <c r="U56" s="238"/>
      <c r="V56" s="238"/>
      <c r="W56" s="238" t="s">
        <v>5273</v>
      </c>
      <c r="X56" s="238"/>
      <c r="Y56" s="10" t="s">
        <v>5274</v>
      </c>
      <c r="Z56" s="10" t="s">
        <v>5275</v>
      </c>
      <c r="AA56" s="238" t="s">
        <v>5276</v>
      </c>
      <c r="AB56" s="238"/>
      <c r="AC56" s="238"/>
      <c r="AD56" s="238"/>
      <c r="AE56" s="238"/>
      <c r="AF56" s="10" t="s">
        <v>4995</v>
      </c>
      <c r="AG56" s="237" t="s">
        <v>4987</v>
      </c>
      <c r="AH56" s="237"/>
      <c r="AI56" s="237"/>
      <c r="AJ56" s="237"/>
      <c r="AK56" s="237"/>
      <c r="AL56" s="2"/>
      <c r="AM56" s="2"/>
      <c r="AN56" s="2"/>
      <c r="AO56" s="2"/>
      <c r="AP56" s="7"/>
    </row>
    <row r="57" spans="1:42" ht="13.5" thickBot="1">
      <c r="A57" s="6"/>
      <c r="B57" s="2"/>
      <c r="C57" s="2"/>
      <c r="D57" s="244" t="s">
        <v>319</v>
      </c>
      <c r="E57" s="244"/>
      <c r="F57" s="237" t="s">
        <v>4868</v>
      </c>
      <c r="G57" s="237"/>
      <c r="H57" s="237"/>
      <c r="I57" s="237"/>
      <c r="J57" s="11" t="s">
        <v>6853</v>
      </c>
      <c r="K57" s="237" t="s">
        <v>6259</v>
      </c>
      <c r="L57" s="237"/>
      <c r="M57" s="237"/>
      <c r="N57" s="237" t="s">
        <v>2971</v>
      </c>
      <c r="O57" s="237"/>
      <c r="P57" s="237"/>
      <c r="Q57" s="237" t="s">
        <v>1839</v>
      </c>
      <c r="R57" s="237"/>
      <c r="S57" s="237"/>
      <c r="T57" s="237"/>
      <c r="U57" s="237"/>
      <c r="V57" s="237"/>
      <c r="W57" s="237" t="s">
        <v>5277</v>
      </c>
      <c r="X57" s="237"/>
      <c r="Y57" s="11" t="s">
        <v>5278</v>
      </c>
      <c r="Z57" s="11" t="s">
        <v>5279</v>
      </c>
      <c r="AA57" s="237" t="s">
        <v>5280</v>
      </c>
      <c r="AB57" s="237"/>
      <c r="AC57" s="237"/>
      <c r="AD57" s="237"/>
      <c r="AE57" s="237"/>
      <c r="AF57" s="11" t="s">
        <v>5281</v>
      </c>
      <c r="AG57" s="237" t="s">
        <v>5282</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5177</v>
      </c>
      <c r="E7" s="269"/>
      <c r="F7" s="269"/>
      <c r="G7" s="269"/>
      <c r="H7" s="269" t="s">
        <v>5178</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RINGHALS-1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5179</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5179</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v>
      </c>
    </row>
    <row r="13" spans="1:47" ht="12" customHeight="1">
      <c r="A13" s="6"/>
      <c r="B13" s="1"/>
      <c r="C13" s="2"/>
      <c r="D13" s="247" t="s">
        <v>5716</v>
      </c>
      <c r="E13" s="247"/>
      <c r="F13" s="247"/>
      <c r="G13" s="247" t="s">
        <v>5709</v>
      </c>
      <c r="H13" s="247"/>
      <c r="I13" s="247" t="s">
        <v>5180</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2540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893</v>
      </c>
    </row>
    <row r="17" spans="1:47" ht="11.45" customHeight="1" thickBot="1">
      <c r="A17" s="6"/>
      <c r="B17" s="1"/>
      <c r="C17" s="1"/>
      <c r="D17" s="248" t="s">
        <v>5722</v>
      </c>
      <c r="E17" s="248"/>
      <c r="F17" s="248"/>
      <c r="G17" s="247" t="s">
        <v>5709</v>
      </c>
      <c r="H17" s="247"/>
      <c r="I17" s="248" t="s">
        <v>5181</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854</v>
      </c>
    </row>
    <row r="18" spans="1:47" ht="13.5" thickBot="1">
      <c r="A18" s="6"/>
      <c r="B18" s="1"/>
      <c r="C18" s="1"/>
      <c r="D18" s="248" t="s">
        <v>185</v>
      </c>
      <c r="E18" s="248"/>
      <c r="F18" s="248"/>
      <c r="G18" s="248"/>
      <c r="H18" s="248"/>
      <c r="I18" s="248"/>
      <c r="J18" s="248"/>
      <c r="K18" s="248"/>
      <c r="L18" s="8" t="s">
        <v>5709</v>
      </c>
      <c r="M18" s="264">
        <v>2540</v>
      </c>
      <c r="N18" s="264"/>
      <c r="O18" s="264"/>
      <c r="P18" s="248" t="s">
        <v>186</v>
      </c>
      <c r="Q18" s="248"/>
      <c r="R18" s="248"/>
      <c r="S18" s="2"/>
      <c r="T18" s="2"/>
      <c r="U18" s="252" t="s">
        <v>187</v>
      </c>
      <c r="V18" s="252"/>
      <c r="W18" s="252"/>
      <c r="X18" s="252"/>
      <c r="Y18" s="252"/>
      <c r="Z18" s="252"/>
      <c r="AA18" s="252"/>
      <c r="AB18" s="247" t="s">
        <v>5709</v>
      </c>
      <c r="AC18" s="247"/>
      <c r="AD18" s="248" t="s">
        <v>5124</v>
      </c>
      <c r="AE18" s="248"/>
      <c r="AF18" s="248"/>
      <c r="AG18" s="248"/>
      <c r="AH18" s="248"/>
      <c r="AI18" s="248"/>
      <c r="AJ18" s="248"/>
      <c r="AK18" s="2"/>
      <c r="AL18" s="1"/>
      <c r="AM18" s="2"/>
      <c r="AN18" s="1"/>
      <c r="AO18" s="2"/>
      <c r="AP18" s="7"/>
      <c r="AT18" s="25" t="str">
        <f>D26</f>
        <v>Grid Date</v>
      </c>
      <c r="AU18" s="25">
        <f>M26</f>
        <v>27316</v>
      </c>
    </row>
    <row r="19" spans="1:47" ht="13.5" thickBot="1">
      <c r="A19" s="6"/>
      <c r="B19" s="1"/>
      <c r="C19" s="1"/>
      <c r="D19" s="248" t="s">
        <v>189</v>
      </c>
      <c r="E19" s="248"/>
      <c r="F19" s="248"/>
      <c r="G19" s="248"/>
      <c r="H19" s="248"/>
      <c r="I19" s="248"/>
      <c r="J19" s="248"/>
      <c r="K19" s="248"/>
      <c r="L19" s="8" t="s">
        <v>5709</v>
      </c>
      <c r="M19" s="264">
        <v>893</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41000</v>
      </c>
    </row>
    <row r="20" spans="1:47" ht="13.5" thickBot="1">
      <c r="A20" s="6"/>
      <c r="B20" s="1"/>
      <c r="C20" s="1"/>
      <c r="D20" s="248" t="s">
        <v>193</v>
      </c>
      <c r="E20" s="248"/>
      <c r="F20" s="248"/>
      <c r="G20" s="248"/>
      <c r="H20" s="248"/>
      <c r="I20" s="248"/>
      <c r="J20" s="248"/>
      <c r="K20" s="248"/>
      <c r="L20" s="8" t="s">
        <v>5709</v>
      </c>
      <c r="M20" s="264">
        <v>760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83.41</v>
      </c>
    </row>
    <row r="21" spans="1:47" ht="13.5" thickBot="1">
      <c r="A21" s="6"/>
      <c r="B21" s="1"/>
      <c r="C21" s="1"/>
      <c r="D21" s="248" t="s">
        <v>196</v>
      </c>
      <c r="E21" s="248"/>
      <c r="F21" s="248"/>
      <c r="G21" s="248"/>
      <c r="H21" s="248"/>
      <c r="I21" s="248"/>
      <c r="J21" s="248"/>
      <c r="K21" s="248"/>
      <c r="L21" s="8" t="s">
        <v>5709</v>
      </c>
      <c r="M21" s="264">
        <v>854</v>
      </c>
      <c r="N21" s="264"/>
      <c r="O21" s="264"/>
      <c r="P21" s="248" t="s">
        <v>190</v>
      </c>
      <c r="Q21" s="248"/>
      <c r="R21" s="248"/>
      <c r="S21" s="2"/>
      <c r="T21" s="2"/>
      <c r="U21" s="252" t="s">
        <v>197</v>
      </c>
      <c r="V21" s="252"/>
      <c r="W21" s="252"/>
      <c r="X21" s="252"/>
      <c r="Y21" s="252"/>
      <c r="Z21" s="252"/>
      <c r="AA21" s="252"/>
      <c r="AB21" s="247" t="s">
        <v>5709</v>
      </c>
      <c r="AC21" s="247"/>
      <c r="AD21" s="248" t="s">
        <v>5182</v>
      </c>
      <c r="AE21" s="248"/>
      <c r="AF21" s="248"/>
      <c r="AG21" s="248"/>
      <c r="AH21" s="248"/>
      <c r="AI21" s="248"/>
      <c r="AJ21" s="248"/>
      <c r="AK21" s="2"/>
      <c r="AL21" s="1"/>
      <c r="AM21" s="2"/>
      <c r="AN21" s="1"/>
      <c r="AO21" s="2"/>
      <c r="AP21" s="7"/>
      <c r="AT21" s="23" t="str">
        <f>D57&amp;AF50</f>
        <v>LF [%]2010</v>
      </c>
      <c r="AU21" s="23" t="str">
        <f>AF57</f>
        <v>47.90</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274</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204</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25235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5183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27316</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5066</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27760</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3427</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5184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5185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5186</v>
      </c>
      <c r="G51" s="238"/>
      <c r="H51" s="238"/>
      <c r="I51" s="238"/>
      <c r="J51" s="10" t="s">
        <v>5187</v>
      </c>
      <c r="K51" s="238" t="s">
        <v>5188</v>
      </c>
      <c r="L51" s="238"/>
      <c r="M51" s="238"/>
      <c r="N51" s="238" t="s">
        <v>5189</v>
      </c>
      <c r="O51" s="238"/>
      <c r="P51" s="238"/>
      <c r="Q51" s="238" t="s">
        <v>5190</v>
      </c>
      <c r="R51" s="238"/>
      <c r="S51" s="238"/>
      <c r="T51" s="238"/>
      <c r="U51" s="238"/>
      <c r="V51" s="238"/>
      <c r="W51" s="238" t="s">
        <v>5191</v>
      </c>
      <c r="X51" s="238"/>
      <c r="Y51" s="10" t="s">
        <v>5192</v>
      </c>
      <c r="Z51" s="10" t="s">
        <v>5193</v>
      </c>
      <c r="AA51" s="238" t="s">
        <v>5194</v>
      </c>
      <c r="AB51" s="238"/>
      <c r="AC51" s="238"/>
      <c r="AD51" s="238"/>
      <c r="AE51" s="238"/>
      <c r="AF51" s="10" t="s">
        <v>5195</v>
      </c>
      <c r="AG51" s="237" t="s">
        <v>5196</v>
      </c>
      <c r="AH51" s="237"/>
      <c r="AI51" s="237"/>
      <c r="AJ51" s="237"/>
      <c r="AK51" s="237"/>
      <c r="AL51" s="2"/>
      <c r="AM51" s="2"/>
      <c r="AN51" s="2"/>
      <c r="AO51" s="2"/>
      <c r="AP51" s="7"/>
    </row>
    <row r="52" spans="1:42" ht="13.5" thickBot="1">
      <c r="A52" s="6"/>
      <c r="B52" s="2"/>
      <c r="C52" s="2"/>
      <c r="D52" s="244" t="s">
        <v>261</v>
      </c>
      <c r="E52" s="244"/>
      <c r="F52" s="238" t="s">
        <v>2793</v>
      </c>
      <c r="G52" s="238"/>
      <c r="H52" s="238"/>
      <c r="I52" s="238"/>
      <c r="J52" s="10" t="s">
        <v>6171</v>
      </c>
      <c r="K52" s="238" t="s">
        <v>5197</v>
      </c>
      <c r="L52" s="238"/>
      <c r="M52" s="238"/>
      <c r="N52" s="238" t="s">
        <v>5198</v>
      </c>
      <c r="O52" s="238"/>
      <c r="P52" s="238"/>
      <c r="Q52" s="238" t="s">
        <v>5050</v>
      </c>
      <c r="R52" s="238"/>
      <c r="S52" s="238"/>
      <c r="T52" s="238"/>
      <c r="U52" s="238"/>
      <c r="V52" s="238"/>
      <c r="W52" s="238" t="s">
        <v>5199</v>
      </c>
      <c r="X52" s="238"/>
      <c r="Y52" s="10" t="s">
        <v>5200</v>
      </c>
      <c r="Z52" s="10" t="s">
        <v>5201</v>
      </c>
      <c r="AA52" s="238" t="s">
        <v>5202</v>
      </c>
      <c r="AB52" s="238"/>
      <c r="AC52" s="238"/>
      <c r="AD52" s="238"/>
      <c r="AE52" s="238"/>
      <c r="AF52" s="10" t="s">
        <v>5203</v>
      </c>
      <c r="AG52" s="237" t="s">
        <v>5204</v>
      </c>
      <c r="AH52" s="237"/>
      <c r="AI52" s="237"/>
      <c r="AJ52" s="237"/>
      <c r="AK52" s="237"/>
      <c r="AL52" s="2"/>
      <c r="AM52" s="2"/>
      <c r="AN52" s="2"/>
      <c r="AO52" s="2"/>
      <c r="AP52" s="7"/>
    </row>
    <row r="53" spans="1:42" ht="13.5" thickBot="1">
      <c r="A53" s="6"/>
      <c r="B53" s="2"/>
      <c r="C53" s="2"/>
      <c r="D53" s="244" t="s">
        <v>273</v>
      </c>
      <c r="E53" s="244"/>
      <c r="F53" s="238" t="s">
        <v>4261</v>
      </c>
      <c r="G53" s="238"/>
      <c r="H53" s="238"/>
      <c r="I53" s="238"/>
      <c r="J53" s="10" t="s">
        <v>5205</v>
      </c>
      <c r="K53" s="238" t="s">
        <v>5206</v>
      </c>
      <c r="L53" s="238"/>
      <c r="M53" s="238"/>
      <c r="N53" s="238" t="s">
        <v>5089</v>
      </c>
      <c r="O53" s="238"/>
      <c r="P53" s="238"/>
      <c r="Q53" s="238" t="s">
        <v>5207</v>
      </c>
      <c r="R53" s="238"/>
      <c r="S53" s="238"/>
      <c r="T53" s="238"/>
      <c r="U53" s="238"/>
      <c r="V53" s="238"/>
      <c r="W53" s="238" t="s">
        <v>2880</v>
      </c>
      <c r="X53" s="238"/>
      <c r="Y53" s="10" t="s">
        <v>5208</v>
      </c>
      <c r="Z53" s="10" t="s">
        <v>5209</v>
      </c>
      <c r="AA53" s="238" t="s">
        <v>5210</v>
      </c>
      <c r="AB53" s="238"/>
      <c r="AC53" s="238"/>
      <c r="AD53" s="238"/>
      <c r="AE53" s="238"/>
      <c r="AF53" s="10" t="s">
        <v>5211</v>
      </c>
      <c r="AG53" s="237" t="s">
        <v>5212</v>
      </c>
      <c r="AH53" s="237"/>
      <c r="AI53" s="237"/>
      <c r="AJ53" s="237"/>
      <c r="AK53" s="237"/>
      <c r="AL53" s="2"/>
      <c r="AM53" s="2"/>
      <c r="AN53" s="2"/>
      <c r="AO53" s="2"/>
      <c r="AP53" s="7"/>
    </row>
    <row r="54" spans="1:42" ht="13.5" thickBot="1">
      <c r="A54" s="6"/>
      <c r="B54" s="2"/>
      <c r="C54" s="2"/>
      <c r="D54" s="244" t="s">
        <v>285</v>
      </c>
      <c r="E54" s="244"/>
      <c r="F54" s="238" t="s">
        <v>2793</v>
      </c>
      <c r="G54" s="238"/>
      <c r="H54" s="238"/>
      <c r="I54" s="238"/>
      <c r="J54" s="10" t="s">
        <v>6222</v>
      </c>
      <c r="K54" s="238" t="s">
        <v>1914</v>
      </c>
      <c r="L54" s="238"/>
      <c r="M54" s="238"/>
      <c r="N54" s="238" t="s">
        <v>3384</v>
      </c>
      <c r="O54" s="238"/>
      <c r="P54" s="238"/>
      <c r="Q54" s="238" t="s">
        <v>3559</v>
      </c>
      <c r="R54" s="238"/>
      <c r="S54" s="238"/>
      <c r="T54" s="238"/>
      <c r="U54" s="238"/>
      <c r="V54" s="238"/>
      <c r="W54" s="238" t="s">
        <v>3228</v>
      </c>
      <c r="X54" s="238"/>
      <c r="Y54" s="10" t="s">
        <v>5213</v>
      </c>
      <c r="Z54" s="10" t="s">
        <v>5214</v>
      </c>
      <c r="AA54" s="238" t="s">
        <v>5202</v>
      </c>
      <c r="AB54" s="238"/>
      <c r="AC54" s="238"/>
      <c r="AD54" s="238"/>
      <c r="AE54" s="238"/>
      <c r="AF54" s="10" t="s">
        <v>5215</v>
      </c>
      <c r="AG54" s="237" t="s">
        <v>5216</v>
      </c>
      <c r="AH54" s="237"/>
      <c r="AI54" s="237"/>
      <c r="AJ54" s="237"/>
      <c r="AK54" s="237"/>
      <c r="AL54" s="2"/>
      <c r="AM54" s="2"/>
      <c r="AN54" s="2"/>
      <c r="AO54" s="2"/>
      <c r="AP54" s="7"/>
    </row>
    <row r="55" spans="1:42" ht="13.5" thickBot="1">
      <c r="A55" s="6"/>
      <c r="B55" s="2"/>
      <c r="C55" s="2"/>
      <c r="D55" s="244" t="s">
        <v>295</v>
      </c>
      <c r="E55" s="244"/>
      <c r="F55" s="238" t="s">
        <v>4341</v>
      </c>
      <c r="G55" s="238"/>
      <c r="H55" s="238"/>
      <c r="I55" s="238"/>
      <c r="J55" s="10" t="s">
        <v>4342</v>
      </c>
      <c r="K55" s="238" t="s">
        <v>5217</v>
      </c>
      <c r="L55" s="238"/>
      <c r="M55" s="238"/>
      <c r="N55" s="238" t="s">
        <v>6081</v>
      </c>
      <c r="O55" s="238"/>
      <c r="P55" s="238"/>
      <c r="Q55" s="238" t="s">
        <v>6178</v>
      </c>
      <c r="R55" s="238"/>
      <c r="S55" s="238"/>
      <c r="T55" s="238"/>
      <c r="U55" s="238"/>
      <c r="V55" s="238"/>
      <c r="W55" s="238" t="s">
        <v>5218</v>
      </c>
      <c r="X55" s="238"/>
      <c r="Y55" s="10" t="s">
        <v>5219</v>
      </c>
      <c r="Z55" s="10" t="s">
        <v>4780</v>
      </c>
      <c r="AA55" s="238" t="s">
        <v>5220</v>
      </c>
      <c r="AB55" s="238"/>
      <c r="AC55" s="238"/>
      <c r="AD55" s="238"/>
      <c r="AE55" s="238"/>
      <c r="AF55" s="10" t="s">
        <v>6176</v>
      </c>
      <c r="AG55" s="237" t="s">
        <v>5221</v>
      </c>
      <c r="AH55" s="237"/>
      <c r="AI55" s="237"/>
      <c r="AJ55" s="237"/>
      <c r="AK55" s="237"/>
      <c r="AL55" s="2"/>
      <c r="AM55" s="2"/>
      <c r="AN55" s="2"/>
      <c r="AO55" s="2"/>
      <c r="AP55" s="7"/>
    </row>
    <row r="56" spans="1:42" ht="13.5" thickBot="1">
      <c r="A56" s="6"/>
      <c r="B56" s="2"/>
      <c r="C56" s="2"/>
      <c r="D56" s="244" t="s">
        <v>307</v>
      </c>
      <c r="E56" s="244"/>
      <c r="F56" s="238" t="s">
        <v>6365</v>
      </c>
      <c r="G56" s="238"/>
      <c r="H56" s="238"/>
      <c r="I56" s="238"/>
      <c r="J56" s="10" t="s">
        <v>6897</v>
      </c>
      <c r="K56" s="238" t="s">
        <v>7090</v>
      </c>
      <c r="L56" s="238"/>
      <c r="M56" s="238"/>
      <c r="N56" s="238" t="s">
        <v>4313</v>
      </c>
      <c r="O56" s="238"/>
      <c r="P56" s="238"/>
      <c r="Q56" s="238" t="s">
        <v>3564</v>
      </c>
      <c r="R56" s="238"/>
      <c r="S56" s="238"/>
      <c r="T56" s="238"/>
      <c r="U56" s="238"/>
      <c r="V56" s="238"/>
      <c r="W56" s="238" t="s">
        <v>6990</v>
      </c>
      <c r="X56" s="238"/>
      <c r="Y56" s="10" t="s">
        <v>5222</v>
      </c>
      <c r="Z56" s="10" t="s">
        <v>5223</v>
      </c>
      <c r="AA56" s="238" t="s">
        <v>5224</v>
      </c>
      <c r="AB56" s="238"/>
      <c r="AC56" s="238"/>
      <c r="AD56" s="238"/>
      <c r="AE56" s="238"/>
      <c r="AF56" s="10" t="s">
        <v>5225</v>
      </c>
      <c r="AG56" s="237" t="s">
        <v>5226</v>
      </c>
      <c r="AH56" s="237"/>
      <c r="AI56" s="237"/>
      <c r="AJ56" s="237"/>
      <c r="AK56" s="237"/>
      <c r="AL56" s="2"/>
      <c r="AM56" s="2"/>
      <c r="AN56" s="2"/>
      <c r="AO56" s="2"/>
      <c r="AP56" s="7"/>
    </row>
    <row r="57" spans="1:42" ht="13.5" thickBot="1">
      <c r="A57" s="6"/>
      <c r="B57" s="2"/>
      <c r="C57" s="2"/>
      <c r="D57" s="244" t="s">
        <v>319</v>
      </c>
      <c r="E57" s="244"/>
      <c r="F57" s="237" t="s">
        <v>5227</v>
      </c>
      <c r="G57" s="237"/>
      <c r="H57" s="237"/>
      <c r="I57" s="237"/>
      <c r="J57" s="11" t="s">
        <v>3398</v>
      </c>
      <c r="K57" s="237" t="s">
        <v>5228</v>
      </c>
      <c r="L57" s="237"/>
      <c r="M57" s="237"/>
      <c r="N57" s="237" t="s">
        <v>4868</v>
      </c>
      <c r="O57" s="237"/>
      <c r="P57" s="237"/>
      <c r="Q57" s="237" t="s">
        <v>5229</v>
      </c>
      <c r="R57" s="237"/>
      <c r="S57" s="237"/>
      <c r="T57" s="237"/>
      <c r="U57" s="237"/>
      <c r="V57" s="237"/>
      <c r="W57" s="237" t="s">
        <v>5230</v>
      </c>
      <c r="X57" s="237"/>
      <c r="Y57" s="11" t="s">
        <v>5231</v>
      </c>
      <c r="Z57" s="11" t="s">
        <v>5232</v>
      </c>
      <c r="AA57" s="237" t="s">
        <v>5233</v>
      </c>
      <c r="AB57" s="237"/>
      <c r="AC57" s="237"/>
      <c r="AD57" s="237"/>
      <c r="AE57" s="237"/>
      <c r="AF57" s="11" t="s">
        <v>5234</v>
      </c>
      <c r="AG57" s="237" t="s">
        <v>5235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5283</v>
      </c>
      <c r="E7" s="269"/>
      <c r="F7" s="269"/>
      <c r="G7" s="269"/>
      <c r="H7" s="269" t="s">
        <v>5284</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RINGHALS-2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5179</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5179</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f>I17</f>
        <v>0</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2660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917</v>
      </c>
    </row>
    <row r="17" spans="1:47" ht="11.45" customHeight="1" thickBot="1">
      <c r="A17" s="6"/>
      <c r="B17" s="1"/>
      <c r="C17" s="1"/>
      <c r="D17" s="248" t="s">
        <v>5722</v>
      </c>
      <c r="E17" s="248"/>
      <c r="F17" s="248"/>
      <c r="G17" s="247" t="s">
        <v>5709</v>
      </c>
      <c r="H17" s="247"/>
      <c r="I17" s="248"/>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813</v>
      </c>
    </row>
    <row r="18" spans="1:47" ht="13.5" thickBot="1">
      <c r="A18" s="6"/>
      <c r="B18" s="1"/>
      <c r="C18" s="1"/>
      <c r="D18" s="248" t="s">
        <v>185</v>
      </c>
      <c r="E18" s="248"/>
      <c r="F18" s="248"/>
      <c r="G18" s="248"/>
      <c r="H18" s="248"/>
      <c r="I18" s="248"/>
      <c r="J18" s="248"/>
      <c r="K18" s="248"/>
      <c r="L18" s="8" t="s">
        <v>5709</v>
      </c>
      <c r="M18" s="264">
        <v>2660</v>
      </c>
      <c r="N18" s="264"/>
      <c r="O18" s="264"/>
      <c r="P18" s="248" t="s">
        <v>186</v>
      </c>
      <c r="Q18" s="248"/>
      <c r="R18" s="248"/>
      <c r="S18" s="2"/>
      <c r="T18" s="2"/>
      <c r="U18" s="252" t="s">
        <v>187</v>
      </c>
      <c r="V18" s="252"/>
      <c r="W18" s="252"/>
      <c r="X18" s="252"/>
      <c r="Y18" s="252"/>
      <c r="Z18" s="252"/>
      <c r="AA18" s="252"/>
      <c r="AB18" s="247" t="s">
        <v>5709</v>
      </c>
      <c r="AC18" s="247"/>
      <c r="AD18" s="248" t="s">
        <v>5285</v>
      </c>
      <c r="AE18" s="248"/>
      <c r="AF18" s="248"/>
      <c r="AG18" s="248"/>
      <c r="AH18" s="248"/>
      <c r="AI18" s="248"/>
      <c r="AJ18" s="248"/>
      <c r="AK18" s="2"/>
      <c r="AL18" s="1"/>
      <c r="AM18" s="2"/>
      <c r="AN18" s="1"/>
      <c r="AO18" s="2"/>
      <c r="AP18" s="7"/>
      <c r="AT18" s="25" t="str">
        <f>D26</f>
        <v>Grid Date</v>
      </c>
      <c r="AU18" s="25">
        <f>M26</f>
        <v>27258</v>
      </c>
    </row>
    <row r="19" spans="1:47" ht="13.5" thickBot="1">
      <c r="A19" s="6"/>
      <c r="B19" s="1"/>
      <c r="C19" s="1"/>
      <c r="D19" s="248" t="s">
        <v>189</v>
      </c>
      <c r="E19" s="248"/>
      <c r="F19" s="248"/>
      <c r="G19" s="248"/>
      <c r="H19" s="248"/>
      <c r="I19" s="248"/>
      <c r="J19" s="248"/>
      <c r="K19" s="248"/>
      <c r="L19" s="8" t="s">
        <v>5709</v>
      </c>
      <c r="M19" s="264">
        <v>917</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47000</v>
      </c>
    </row>
    <row r="20" spans="1:47" ht="13.5" thickBot="1">
      <c r="A20" s="6"/>
      <c r="B20" s="1"/>
      <c r="C20" s="1"/>
      <c r="D20" s="248" t="s">
        <v>193</v>
      </c>
      <c r="E20" s="248"/>
      <c r="F20" s="248"/>
      <c r="G20" s="248"/>
      <c r="H20" s="248"/>
      <c r="I20" s="248"/>
      <c r="J20" s="248"/>
      <c r="K20" s="248"/>
      <c r="L20" s="8" t="s">
        <v>5709</v>
      </c>
      <c r="M20" s="264">
        <v>820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75.47</v>
      </c>
    </row>
    <row r="21" spans="1:47" ht="13.5" thickBot="1">
      <c r="A21" s="6"/>
      <c r="B21" s="1"/>
      <c r="C21" s="1"/>
      <c r="D21" s="248" t="s">
        <v>196</v>
      </c>
      <c r="E21" s="248"/>
      <c r="F21" s="248"/>
      <c r="G21" s="248"/>
      <c r="H21" s="248"/>
      <c r="I21" s="248"/>
      <c r="J21" s="248"/>
      <c r="K21" s="248"/>
      <c r="L21" s="8" t="s">
        <v>5709</v>
      </c>
      <c r="M21" s="264">
        <v>813</v>
      </c>
      <c r="N21" s="264"/>
      <c r="O21" s="264"/>
      <c r="P21" s="248" t="s">
        <v>190</v>
      </c>
      <c r="Q21" s="248"/>
      <c r="R21" s="248"/>
      <c r="S21" s="2"/>
      <c r="T21" s="2"/>
      <c r="U21" s="252" t="s">
        <v>197</v>
      </c>
      <c r="V21" s="252"/>
      <c r="W21" s="252"/>
      <c r="X21" s="252"/>
      <c r="Y21" s="252"/>
      <c r="Z21" s="252"/>
      <c r="AA21" s="252"/>
      <c r="AB21" s="247" t="s">
        <v>5709</v>
      </c>
      <c r="AC21" s="247"/>
      <c r="AD21" s="248" t="s">
        <v>5286</v>
      </c>
      <c r="AE21" s="248"/>
      <c r="AF21" s="248"/>
      <c r="AG21" s="248"/>
      <c r="AH21" s="248"/>
      <c r="AI21" s="248"/>
      <c r="AJ21" s="248"/>
      <c r="AK21" s="2"/>
      <c r="AL21" s="1"/>
      <c r="AM21" s="2"/>
      <c r="AN21" s="1"/>
      <c r="AO21" s="2"/>
      <c r="AP21" s="7"/>
      <c r="AT21" s="23" t="str">
        <f>D57&amp;AF50</f>
        <v>LF [%]2010</v>
      </c>
      <c r="AU21" s="23" t="str">
        <f>AF57</f>
        <v>78.63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3542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1932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25842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27258</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5287</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27515</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3429</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5288</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5289</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5290</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5291</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5292</v>
      </c>
      <c r="G51" s="238"/>
      <c r="H51" s="238"/>
      <c r="I51" s="238"/>
      <c r="J51" s="10" t="s">
        <v>5293</v>
      </c>
      <c r="K51" s="238" t="s">
        <v>5294</v>
      </c>
      <c r="L51" s="238"/>
      <c r="M51" s="238"/>
      <c r="N51" s="238" t="s">
        <v>5295</v>
      </c>
      <c r="O51" s="238"/>
      <c r="P51" s="238"/>
      <c r="Q51" s="238" t="s">
        <v>5296</v>
      </c>
      <c r="R51" s="238"/>
      <c r="S51" s="238"/>
      <c r="T51" s="238"/>
      <c r="U51" s="238"/>
      <c r="V51" s="238"/>
      <c r="W51" s="238" t="s">
        <v>5297</v>
      </c>
      <c r="X51" s="238"/>
      <c r="Y51" s="10" t="s">
        <v>5298</v>
      </c>
      <c r="Z51" s="10" t="s">
        <v>5299</v>
      </c>
      <c r="AA51" s="238" t="s">
        <v>5300</v>
      </c>
      <c r="AB51" s="238"/>
      <c r="AC51" s="238"/>
      <c r="AD51" s="238"/>
      <c r="AE51" s="238"/>
      <c r="AF51" s="10" t="s">
        <v>5301</v>
      </c>
      <c r="AG51" s="237" t="s">
        <v>5302</v>
      </c>
      <c r="AH51" s="237"/>
      <c r="AI51" s="237"/>
      <c r="AJ51" s="237"/>
      <c r="AK51" s="237"/>
      <c r="AL51" s="2"/>
      <c r="AM51" s="2"/>
      <c r="AN51" s="2"/>
      <c r="AO51" s="2"/>
      <c r="AP51" s="7"/>
    </row>
    <row r="52" spans="1:42" ht="13.5" thickBot="1">
      <c r="A52" s="6"/>
      <c r="B52" s="2"/>
      <c r="C52" s="2"/>
      <c r="D52" s="244" t="s">
        <v>261</v>
      </c>
      <c r="E52" s="244"/>
      <c r="F52" s="238" t="s">
        <v>6034</v>
      </c>
      <c r="G52" s="238"/>
      <c r="H52" s="238"/>
      <c r="I52" s="238"/>
      <c r="J52" s="10" t="s">
        <v>5303</v>
      </c>
      <c r="K52" s="238" t="s">
        <v>1877</v>
      </c>
      <c r="L52" s="238"/>
      <c r="M52" s="238"/>
      <c r="N52" s="238" t="s">
        <v>6724</v>
      </c>
      <c r="O52" s="238"/>
      <c r="P52" s="238"/>
      <c r="Q52" s="238" t="s">
        <v>5304</v>
      </c>
      <c r="R52" s="238"/>
      <c r="S52" s="238"/>
      <c r="T52" s="238"/>
      <c r="U52" s="238"/>
      <c r="V52" s="238"/>
      <c r="W52" s="238" t="s">
        <v>5305</v>
      </c>
      <c r="X52" s="238"/>
      <c r="Y52" s="10" t="s">
        <v>6242</v>
      </c>
      <c r="Z52" s="10" t="s">
        <v>5306</v>
      </c>
      <c r="AA52" s="238" t="s">
        <v>5307</v>
      </c>
      <c r="AB52" s="238"/>
      <c r="AC52" s="238"/>
      <c r="AD52" s="238"/>
      <c r="AE52" s="238"/>
      <c r="AF52" s="10" t="s">
        <v>7070</v>
      </c>
      <c r="AG52" s="237" t="s">
        <v>5308</v>
      </c>
      <c r="AH52" s="237"/>
      <c r="AI52" s="237"/>
      <c r="AJ52" s="237"/>
      <c r="AK52" s="237"/>
      <c r="AL52" s="2"/>
      <c r="AM52" s="2"/>
      <c r="AN52" s="2"/>
      <c r="AO52" s="2"/>
      <c r="AP52" s="7"/>
    </row>
    <row r="53" spans="1:42" ht="13.5" thickBot="1">
      <c r="A53" s="6"/>
      <c r="B53" s="2"/>
      <c r="C53" s="2"/>
      <c r="D53" s="244" t="s">
        <v>273</v>
      </c>
      <c r="E53" s="244"/>
      <c r="F53" s="238" t="s">
        <v>5309</v>
      </c>
      <c r="G53" s="238"/>
      <c r="H53" s="238"/>
      <c r="I53" s="238"/>
      <c r="J53" s="10" t="s">
        <v>3570</v>
      </c>
      <c r="K53" s="238" t="s">
        <v>2930</v>
      </c>
      <c r="L53" s="238"/>
      <c r="M53" s="238"/>
      <c r="N53" s="238" t="s">
        <v>5310</v>
      </c>
      <c r="O53" s="238"/>
      <c r="P53" s="238"/>
      <c r="Q53" s="238" t="s">
        <v>5311</v>
      </c>
      <c r="R53" s="238"/>
      <c r="S53" s="238"/>
      <c r="T53" s="238"/>
      <c r="U53" s="238"/>
      <c r="V53" s="238"/>
      <c r="W53" s="238" t="s">
        <v>5312</v>
      </c>
      <c r="X53" s="238"/>
      <c r="Y53" s="10" t="s">
        <v>5185</v>
      </c>
      <c r="Z53" s="10" t="s">
        <v>6958</v>
      </c>
      <c r="AA53" s="238" t="s">
        <v>5313</v>
      </c>
      <c r="AB53" s="238"/>
      <c r="AC53" s="238"/>
      <c r="AD53" s="238"/>
      <c r="AE53" s="238"/>
      <c r="AF53" s="10" t="s">
        <v>4838</v>
      </c>
      <c r="AG53" s="237" t="s">
        <v>5314</v>
      </c>
      <c r="AH53" s="237"/>
      <c r="AI53" s="237"/>
      <c r="AJ53" s="237"/>
      <c r="AK53" s="237"/>
      <c r="AL53" s="2"/>
      <c r="AM53" s="2"/>
      <c r="AN53" s="2"/>
      <c r="AO53" s="2"/>
      <c r="AP53" s="7"/>
    </row>
    <row r="54" spans="1:42" ht="13.5" thickBot="1">
      <c r="A54" s="6"/>
      <c r="B54" s="2"/>
      <c r="C54" s="2"/>
      <c r="D54" s="244" t="s">
        <v>285</v>
      </c>
      <c r="E54" s="244"/>
      <c r="F54" s="238" t="s">
        <v>3500</v>
      </c>
      <c r="G54" s="238"/>
      <c r="H54" s="238"/>
      <c r="I54" s="238"/>
      <c r="J54" s="10" t="s">
        <v>3329</v>
      </c>
      <c r="K54" s="238" t="s">
        <v>3258</v>
      </c>
      <c r="L54" s="238"/>
      <c r="M54" s="238"/>
      <c r="N54" s="238" t="s">
        <v>3221</v>
      </c>
      <c r="O54" s="238"/>
      <c r="P54" s="238"/>
      <c r="Q54" s="238" t="s">
        <v>5142</v>
      </c>
      <c r="R54" s="238"/>
      <c r="S54" s="238"/>
      <c r="T54" s="238"/>
      <c r="U54" s="238"/>
      <c r="V54" s="238"/>
      <c r="W54" s="238" t="s">
        <v>6540</v>
      </c>
      <c r="X54" s="238"/>
      <c r="Y54" s="10" t="s">
        <v>5315</v>
      </c>
      <c r="Z54" s="10" t="s">
        <v>6765</v>
      </c>
      <c r="AA54" s="238" t="s">
        <v>5316</v>
      </c>
      <c r="AB54" s="238"/>
      <c r="AC54" s="238"/>
      <c r="AD54" s="238"/>
      <c r="AE54" s="238"/>
      <c r="AF54" s="10" t="s">
        <v>5317</v>
      </c>
      <c r="AG54" s="237" t="s">
        <v>5318</v>
      </c>
      <c r="AH54" s="237"/>
      <c r="AI54" s="237"/>
      <c r="AJ54" s="237"/>
      <c r="AK54" s="237"/>
      <c r="AL54" s="2"/>
      <c r="AM54" s="2"/>
      <c r="AN54" s="2"/>
      <c r="AO54" s="2"/>
      <c r="AP54" s="7"/>
    </row>
    <row r="55" spans="1:42" ht="13.5" thickBot="1">
      <c r="A55" s="6"/>
      <c r="B55" s="2"/>
      <c r="C55" s="2"/>
      <c r="D55" s="244" t="s">
        <v>295</v>
      </c>
      <c r="E55" s="244"/>
      <c r="F55" s="238" t="s">
        <v>5319</v>
      </c>
      <c r="G55" s="238"/>
      <c r="H55" s="238"/>
      <c r="I55" s="238"/>
      <c r="J55" s="10" t="s">
        <v>4937</v>
      </c>
      <c r="K55" s="238" t="s">
        <v>1965</v>
      </c>
      <c r="L55" s="238"/>
      <c r="M55" s="238"/>
      <c r="N55" s="238" t="s">
        <v>5320</v>
      </c>
      <c r="O55" s="238"/>
      <c r="P55" s="238"/>
      <c r="Q55" s="238" t="s">
        <v>5321</v>
      </c>
      <c r="R55" s="238"/>
      <c r="S55" s="238"/>
      <c r="T55" s="238"/>
      <c r="U55" s="238"/>
      <c r="V55" s="238"/>
      <c r="W55" s="238" t="s">
        <v>7010</v>
      </c>
      <c r="X55" s="238"/>
      <c r="Y55" s="10" t="s">
        <v>3117</v>
      </c>
      <c r="Z55" s="10" t="s">
        <v>5322</v>
      </c>
      <c r="AA55" s="238" t="s">
        <v>6087</v>
      </c>
      <c r="AB55" s="238"/>
      <c r="AC55" s="238"/>
      <c r="AD55" s="238"/>
      <c r="AE55" s="238"/>
      <c r="AF55" s="10" t="s">
        <v>5323</v>
      </c>
      <c r="AG55" s="237" t="s">
        <v>5324</v>
      </c>
      <c r="AH55" s="237"/>
      <c r="AI55" s="237"/>
      <c r="AJ55" s="237"/>
      <c r="AK55" s="237"/>
      <c r="AL55" s="2"/>
      <c r="AM55" s="2"/>
      <c r="AN55" s="2"/>
      <c r="AO55" s="2"/>
      <c r="AP55" s="7"/>
    </row>
    <row r="56" spans="1:42" ht="13.5" thickBot="1">
      <c r="A56" s="6"/>
      <c r="B56" s="2"/>
      <c r="C56" s="2"/>
      <c r="D56" s="244" t="s">
        <v>307</v>
      </c>
      <c r="E56" s="244"/>
      <c r="F56" s="238" t="s">
        <v>6464</v>
      </c>
      <c r="G56" s="238"/>
      <c r="H56" s="238"/>
      <c r="I56" s="238"/>
      <c r="J56" s="10" t="s">
        <v>5325</v>
      </c>
      <c r="K56" s="238" t="s">
        <v>5032</v>
      </c>
      <c r="L56" s="238"/>
      <c r="M56" s="238"/>
      <c r="N56" s="238" t="s">
        <v>1849</v>
      </c>
      <c r="O56" s="238"/>
      <c r="P56" s="238"/>
      <c r="Q56" s="238" t="s">
        <v>5326</v>
      </c>
      <c r="R56" s="238"/>
      <c r="S56" s="238"/>
      <c r="T56" s="238"/>
      <c r="U56" s="238"/>
      <c r="V56" s="238"/>
      <c r="W56" s="238" t="s">
        <v>3258</v>
      </c>
      <c r="X56" s="238"/>
      <c r="Y56" s="10" t="s">
        <v>5327</v>
      </c>
      <c r="Z56" s="10" t="s">
        <v>5328</v>
      </c>
      <c r="AA56" s="238" t="s">
        <v>5329</v>
      </c>
      <c r="AB56" s="238"/>
      <c r="AC56" s="238"/>
      <c r="AD56" s="238"/>
      <c r="AE56" s="238"/>
      <c r="AF56" s="10" t="s">
        <v>5330</v>
      </c>
      <c r="AG56" s="237" t="s">
        <v>5331</v>
      </c>
      <c r="AH56" s="237"/>
      <c r="AI56" s="237"/>
      <c r="AJ56" s="237"/>
      <c r="AK56" s="237"/>
      <c r="AL56" s="2"/>
      <c r="AM56" s="2"/>
      <c r="AN56" s="2"/>
      <c r="AO56" s="2"/>
      <c r="AP56" s="7"/>
    </row>
    <row r="57" spans="1:42" ht="13.5" thickBot="1">
      <c r="A57" s="6"/>
      <c r="B57" s="2"/>
      <c r="C57" s="2"/>
      <c r="D57" s="244" t="s">
        <v>319</v>
      </c>
      <c r="E57" s="244"/>
      <c r="F57" s="237" t="s">
        <v>2695</v>
      </c>
      <c r="G57" s="237"/>
      <c r="H57" s="237"/>
      <c r="I57" s="237"/>
      <c r="J57" s="11" t="s">
        <v>5332</v>
      </c>
      <c r="K57" s="237" t="s">
        <v>5333</v>
      </c>
      <c r="L57" s="237"/>
      <c r="M57" s="237"/>
      <c r="N57" s="237" t="s">
        <v>6173</v>
      </c>
      <c r="O57" s="237"/>
      <c r="P57" s="237"/>
      <c r="Q57" s="237" t="s">
        <v>4949</v>
      </c>
      <c r="R57" s="237"/>
      <c r="S57" s="237"/>
      <c r="T57" s="237"/>
      <c r="U57" s="237"/>
      <c r="V57" s="237"/>
      <c r="W57" s="237" t="s">
        <v>5175</v>
      </c>
      <c r="X57" s="237"/>
      <c r="Y57" s="11" t="s">
        <v>5334</v>
      </c>
      <c r="Z57" s="11" t="s">
        <v>4902</v>
      </c>
      <c r="AA57" s="237" t="s">
        <v>5316</v>
      </c>
      <c r="AB57" s="237"/>
      <c r="AC57" s="237"/>
      <c r="AD57" s="237"/>
      <c r="AE57" s="237"/>
      <c r="AF57" s="11" t="s">
        <v>5335</v>
      </c>
      <c r="AG57" s="237" t="s">
        <v>5336</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5374</v>
      </c>
      <c r="E7" s="269"/>
      <c r="F7" s="269"/>
      <c r="G7" s="269"/>
      <c r="H7" s="269" t="s">
        <v>5375</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RINGHALS-3</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5179</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5179</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 loops)</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3135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1102</v>
      </c>
    </row>
    <row r="17" spans="1:47" ht="11.45" customHeight="1" thickBot="1">
      <c r="A17" s="6"/>
      <c r="B17" s="1"/>
      <c r="C17" s="1"/>
      <c r="D17" s="248" t="s">
        <v>5722</v>
      </c>
      <c r="E17" s="248"/>
      <c r="F17" s="248"/>
      <c r="G17" s="247" t="s">
        <v>5709</v>
      </c>
      <c r="H17" s="247"/>
      <c r="I17" s="248" t="s">
        <v>5376</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1048</v>
      </c>
    </row>
    <row r="18" spans="1:47" ht="13.5" thickBot="1">
      <c r="A18" s="6"/>
      <c r="B18" s="1"/>
      <c r="C18" s="1"/>
      <c r="D18" s="248" t="s">
        <v>185</v>
      </c>
      <c r="E18" s="248"/>
      <c r="F18" s="248"/>
      <c r="G18" s="248"/>
      <c r="H18" s="248"/>
      <c r="I18" s="248"/>
      <c r="J18" s="248"/>
      <c r="K18" s="248"/>
      <c r="L18" s="8" t="s">
        <v>5709</v>
      </c>
      <c r="M18" s="264">
        <v>3135</v>
      </c>
      <c r="N18" s="264"/>
      <c r="O18" s="264"/>
      <c r="P18" s="248" t="s">
        <v>186</v>
      </c>
      <c r="Q18" s="248"/>
      <c r="R18" s="248"/>
      <c r="S18" s="2"/>
      <c r="T18" s="2"/>
      <c r="U18" s="252" t="s">
        <v>187</v>
      </c>
      <c r="V18" s="252"/>
      <c r="W18" s="252"/>
      <c r="X18" s="252"/>
      <c r="Y18" s="252"/>
      <c r="Z18" s="252"/>
      <c r="AA18" s="252"/>
      <c r="AB18" s="247" t="s">
        <v>5709</v>
      </c>
      <c r="AC18" s="247"/>
      <c r="AD18" s="248" t="s">
        <v>195</v>
      </c>
      <c r="AE18" s="248"/>
      <c r="AF18" s="248"/>
      <c r="AG18" s="248"/>
      <c r="AH18" s="248"/>
      <c r="AI18" s="248"/>
      <c r="AJ18" s="248"/>
      <c r="AK18" s="2"/>
      <c r="AL18" s="1"/>
      <c r="AM18" s="2"/>
      <c r="AN18" s="1"/>
      <c r="AO18" s="2"/>
      <c r="AP18" s="7"/>
      <c r="AT18" s="25" t="str">
        <f>D26</f>
        <v>Grid Date</v>
      </c>
      <c r="AU18" s="25">
        <f>M26</f>
        <v>29471</v>
      </c>
    </row>
    <row r="19" spans="1:47" ht="13.5" thickBot="1">
      <c r="A19" s="6"/>
      <c r="B19" s="1"/>
      <c r="C19" s="1"/>
      <c r="D19" s="248" t="s">
        <v>189</v>
      </c>
      <c r="E19" s="248"/>
      <c r="F19" s="248"/>
      <c r="G19" s="248"/>
      <c r="H19" s="248"/>
      <c r="I19" s="248"/>
      <c r="J19" s="248"/>
      <c r="K19" s="248"/>
      <c r="L19" s="8" t="s">
        <v>5709</v>
      </c>
      <c r="M19" s="264">
        <v>1102</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46000</v>
      </c>
    </row>
    <row r="20" spans="1:47" ht="13.5" thickBot="1">
      <c r="A20" s="6"/>
      <c r="B20" s="1"/>
      <c r="C20" s="1"/>
      <c r="D20" s="248" t="s">
        <v>193</v>
      </c>
      <c r="E20" s="248"/>
      <c r="F20" s="248"/>
      <c r="G20" s="248"/>
      <c r="H20" s="248"/>
      <c r="I20" s="248"/>
      <c r="J20" s="248"/>
      <c r="K20" s="248"/>
      <c r="L20" s="8" t="s">
        <v>5709</v>
      </c>
      <c r="M20" s="264">
        <v>915</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89.60</v>
      </c>
    </row>
    <row r="21" spans="1:47" ht="13.5" thickBot="1">
      <c r="A21" s="6"/>
      <c r="B21" s="1"/>
      <c r="C21" s="1"/>
      <c r="D21" s="248" t="s">
        <v>196</v>
      </c>
      <c r="E21" s="248"/>
      <c r="F21" s="248"/>
      <c r="G21" s="248"/>
      <c r="H21" s="248"/>
      <c r="I21" s="248"/>
      <c r="J21" s="248"/>
      <c r="K21" s="248"/>
      <c r="L21" s="8" t="s">
        <v>5709</v>
      </c>
      <c r="M21" s="264">
        <v>1048</v>
      </c>
      <c r="N21" s="264"/>
      <c r="O21" s="264"/>
      <c r="P21" s="248" t="s">
        <v>190</v>
      </c>
      <c r="Q21" s="248"/>
      <c r="R21" s="248"/>
      <c r="S21" s="2"/>
      <c r="T21" s="2"/>
      <c r="U21" s="252" t="s">
        <v>197</v>
      </c>
      <c r="V21" s="252"/>
      <c r="W21" s="252"/>
      <c r="X21" s="252"/>
      <c r="Y21" s="252"/>
      <c r="Z21" s="252"/>
      <c r="AA21" s="252"/>
      <c r="AB21" s="247" t="s">
        <v>5709</v>
      </c>
      <c r="AC21" s="247"/>
      <c r="AD21" s="248" t="s">
        <v>7031</v>
      </c>
      <c r="AE21" s="248"/>
      <c r="AF21" s="248"/>
      <c r="AG21" s="248"/>
      <c r="AH21" s="248"/>
      <c r="AI21" s="248"/>
      <c r="AJ21" s="248"/>
      <c r="AK21" s="2"/>
      <c r="AL21" s="1"/>
      <c r="AM21" s="2"/>
      <c r="AN21" s="1"/>
      <c r="AO21" s="2"/>
      <c r="AP21" s="7"/>
      <c r="AT21" s="23" t="str">
        <f>D57&amp;AF50</f>
        <v>LF [%]2010</v>
      </c>
      <c r="AU21" s="23" t="str">
        <f>AF57</f>
        <v>82.61</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1932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26543</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29471</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5377</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29838</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4340</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4378</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5341</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5378</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3244</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5379</v>
      </c>
      <c r="G51" s="238"/>
      <c r="H51" s="238"/>
      <c r="I51" s="238"/>
      <c r="J51" s="10" t="s">
        <v>5380</v>
      </c>
      <c r="K51" s="238" t="s">
        <v>5381</v>
      </c>
      <c r="L51" s="238"/>
      <c r="M51" s="238"/>
      <c r="N51" s="238" t="s">
        <v>5382</v>
      </c>
      <c r="O51" s="238"/>
      <c r="P51" s="238"/>
      <c r="Q51" s="238" t="s">
        <v>5383</v>
      </c>
      <c r="R51" s="238"/>
      <c r="S51" s="238"/>
      <c r="T51" s="238"/>
      <c r="U51" s="238"/>
      <c r="V51" s="238"/>
      <c r="W51" s="238" t="s">
        <v>5384</v>
      </c>
      <c r="X51" s="238"/>
      <c r="Y51" s="10" t="s">
        <v>5385</v>
      </c>
      <c r="Z51" s="10" t="s">
        <v>5386</v>
      </c>
      <c r="AA51" s="238" t="s">
        <v>5387</v>
      </c>
      <c r="AB51" s="238"/>
      <c r="AC51" s="238"/>
      <c r="AD51" s="238"/>
      <c r="AE51" s="238"/>
      <c r="AF51" s="10" t="s">
        <v>5388</v>
      </c>
      <c r="AG51" s="237" t="s">
        <v>5389</v>
      </c>
      <c r="AH51" s="237"/>
      <c r="AI51" s="237"/>
      <c r="AJ51" s="237"/>
      <c r="AK51" s="237"/>
      <c r="AL51" s="2"/>
      <c r="AM51" s="2"/>
      <c r="AN51" s="2"/>
      <c r="AO51" s="2"/>
      <c r="AP51" s="7"/>
    </row>
    <row r="52" spans="1:42" ht="13.5" thickBot="1">
      <c r="A52" s="6"/>
      <c r="B52" s="2"/>
      <c r="C52" s="2"/>
      <c r="D52" s="244" t="s">
        <v>261</v>
      </c>
      <c r="E52" s="244"/>
      <c r="F52" s="238" t="s">
        <v>7072</v>
      </c>
      <c r="G52" s="238"/>
      <c r="H52" s="238"/>
      <c r="I52" s="238"/>
      <c r="J52" s="10" t="s">
        <v>6918</v>
      </c>
      <c r="K52" s="238" t="s">
        <v>5390</v>
      </c>
      <c r="L52" s="238"/>
      <c r="M52" s="238"/>
      <c r="N52" s="238" t="s">
        <v>3528</v>
      </c>
      <c r="O52" s="238"/>
      <c r="P52" s="238"/>
      <c r="Q52" s="238" t="s">
        <v>2745</v>
      </c>
      <c r="R52" s="238"/>
      <c r="S52" s="238"/>
      <c r="T52" s="238"/>
      <c r="U52" s="238"/>
      <c r="V52" s="238"/>
      <c r="W52" s="238" t="s">
        <v>5391</v>
      </c>
      <c r="X52" s="238"/>
      <c r="Y52" s="10" t="s">
        <v>5392</v>
      </c>
      <c r="Z52" s="10" t="s">
        <v>6516</v>
      </c>
      <c r="AA52" s="238" t="s">
        <v>6299</v>
      </c>
      <c r="AB52" s="238"/>
      <c r="AC52" s="238"/>
      <c r="AD52" s="238"/>
      <c r="AE52" s="238"/>
      <c r="AF52" s="10" t="s">
        <v>5393</v>
      </c>
      <c r="AG52" s="237" t="s">
        <v>5394</v>
      </c>
      <c r="AH52" s="237"/>
      <c r="AI52" s="237"/>
      <c r="AJ52" s="237"/>
      <c r="AK52" s="237"/>
      <c r="AL52" s="2"/>
      <c r="AM52" s="2"/>
      <c r="AN52" s="2"/>
      <c r="AO52" s="2"/>
      <c r="AP52" s="7"/>
    </row>
    <row r="53" spans="1:42" ht="13.5" thickBot="1">
      <c r="A53" s="6"/>
      <c r="B53" s="2"/>
      <c r="C53" s="2"/>
      <c r="D53" s="244" t="s">
        <v>273</v>
      </c>
      <c r="E53" s="244"/>
      <c r="F53" s="238" t="s">
        <v>6376</v>
      </c>
      <c r="G53" s="238"/>
      <c r="H53" s="238"/>
      <c r="I53" s="238"/>
      <c r="J53" s="10" t="s">
        <v>5395</v>
      </c>
      <c r="K53" s="238" t="s">
        <v>5396</v>
      </c>
      <c r="L53" s="238"/>
      <c r="M53" s="238"/>
      <c r="N53" s="238" t="s">
        <v>5397</v>
      </c>
      <c r="O53" s="238"/>
      <c r="P53" s="238"/>
      <c r="Q53" s="238" t="s">
        <v>6962</v>
      </c>
      <c r="R53" s="238"/>
      <c r="S53" s="238"/>
      <c r="T53" s="238"/>
      <c r="U53" s="238"/>
      <c r="V53" s="238"/>
      <c r="W53" s="238" t="s">
        <v>5398</v>
      </c>
      <c r="X53" s="238"/>
      <c r="Y53" s="10" t="s">
        <v>4318</v>
      </c>
      <c r="Z53" s="10" t="s">
        <v>5257</v>
      </c>
      <c r="AA53" s="238" t="s">
        <v>5256</v>
      </c>
      <c r="AB53" s="238"/>
      <c r="AC53" s="238"/>
      <c r="AD53" s="238"/>
      <c r="AE53" s="238"/>
      <c r="AF53" s="10" t="s">
        <v>5399</v>
      </c>
      <c r="AG53" s="237" t="s">
        <v>5400</v>
      </c>
      <c r="AH53" s="237"/>
      <c r="AI53" s="237"/>
      <c r="AJ53" s="237"/>
      <c r="AK53" s="237"/>
      <c r="AL53" s="2"/>
      <c r="AM53" s="2"/>
      <c r="AN53" s="2"/>
      <c r="AO53" s="2"/>
      <c r="AP53" s="7"/>
    </row>
    <row r="54" spans="1:42" ht="13.5" thickBot="1">
      <c r="A54" s="6"/>
      <c r="B54" s="2"/>
      <c r="C54" s="2"/>
      <c r="D54" s="244" t="s">
        <v>285</v>
      </c>
      <c r="E54" s="244"/>
      <c r="F54" s="238" t="s">
        <v>1834</v>
      </c>
      <c r="G54" s="238"/>
      <c r="H54" s="238"/>
      <c r="I54" s="238"/>
      <c r="J54" s="10" t="s">
        <v>6453</v>
      </c>
      <c r="K54" s="238" t="s">
        <v>3270</v>
      </c>
      <c r="L54" s="238"/>
      <c r="M54" s="238"/>
      <c r="N54" s="238" t="s">
        <v>6017</v>
      </c>
      <c r="O54" s="238"/>
      <c r="P54" s="238"/>
      <c r="Q54" s="238" t="s">
        <v>6530</v>
      </c>
      <c r="R54" s="238"/>
      <c r="S54" s="238"/>
      <c r="T54" s="238"/>
      <c r="U54" s="238"/>
      <c r="V54" s="238"/>
      <c r="W54" s="238" t="s">
        <v>5030</v>
      </c>
      <c r="X54" s="238"/>
      <c r="Y54" s="10" t="s">
        <v>6195</v>
      </c>
      <c r="Z54" s="10" t="s">
        <v>3087</v>
      </c>
      <c r="AA54" s="238" t="s">
        <v>6464</v>
      </c>
      <c r="AB54" s="238"/>
      <c r="AC54" s="238"/>
      <c r="AD54" s="238"/>
      <c r="AE54" s="238"/>
      <c r="AF54" s="10" t="s">
        <v>5401</v>
      </c>
      <c r="AG54" s="237" t="s">
        <v>5402</v>
      </c>
      <c r="AH54" s="237"/>
      <c r="AI54" s="237"/>
      <c r="AJ54" s="237"/>
      <c r="AK54" s="237"/>
      <c r="AL54" s="2"/>
      <c r="AM54" s="2"/>
      <c r="AN54" s="2"/>
      <c r="AO54" s="2"/>
      <c r="AP54" s="7"/>
    </row>
    <row r="55" spans="1:42" ht="13.5" thickBot="1">
      <c r="A55" s="6"/>
      <c r="B55" s="2"/>
      <c r="C55" s="2"/>
      <c r="D55" s="244" t="s">
        <v>295</v>
      </c>
      <c r="E55" s="244"/>
      <c r="F55" s="238" t="s">
        <v>357</v>
      </c>
      <c r="G55" s="238"/>
      <c r="H55" s="238"/>
      <c r="I55" s="238"/>
      <c r="J55" s="10" t="s">
        <v>6457</v>
      </c>
      <c r="K55" s="238" t="s">
        <v>6397</v>
      </c>
      <c r="L55" s="238"/>
      <c r="M55" s="238"/>
      <c r="N55" s="238" t="s">
        <v>7081</v>
      </c>
      <c r="O55" s="238"/>
      <c r="P55" s="238"/>
      <c r="Q55" s="238" t="s">
        <v>5403</v>
      </c>
      <c r="R55" s="238"/>
      <c r="S55" s="238"/>
      <c r="T55" s="238"/>
      <c r="U55" s="238"/>
      <c r="V55" s="238"/>
      <c r="W55" s="238" t="s">
        <v>6504</v>
      </c>
      <c r="X55" s="238"/>
      <c r="Y55" s="10" t="s">
        <v>5404</v>
      </c>
      <c r="Z55" s="10" t="s">
        <v>6181</v>
      </c>
      <c r="AA55" s="238" t="s">
        <v>5405</v>
      </c>
      <c r="AB55" s="238"/>
      <c r="AC55" s="238"/>
      <c r="AD55" s="238"/>
      <c r="AE55" s="238"/>
      <c r="AF55" s="10" t="s">
        <v>2680</v>
      </c>
      <c r="AG55" s="237" t="s">
        <v>5406</v>
      </c>
      <c r="AH55" s="237"/>
      <c r="AI55" s="237"/>
      <c r="AJ55" s="237"/>
      <c r="AK55" s="237"/>
      <c r="AL55" s="2"/>
      <c r="AM55" s="2"/>
      <c r="AN55" s="2"/>
      <c r="AO55" s="2"/>
      <c r="AP55" s="7"/>
    </row>
    <row r="56" spans="1:42" ht="13.5" thickBot="1">
      <c r="A56" s="6"/>
      <c r="B56" s="2"/>
      <c r="C56" s="2"/>
      <c r="D56" s="244" t="s">
        <v>307</v>
      </c>
      <c r="E56" s="244"/>
      <c r="F56" s="238" t="s">
        <v>6493</v>
      </c>
      <c r="G56" s="238"/>
      <c r="H56" s="238"/>
      <c r="I56" s="238"/>
      <c r="J56" s="10" t="s">
        <v>6340</v>
      </c>
      <c r="K56" s="238" t="s">
        <v>5332</v>
      </c>
      <c r="L56" s="238"/>
      <c r="M56" s="238"/>
      <c r="N56" s="238" t="s">
        <v>2896</v>
      </c>
      <c r="O56" s="238"/>
      <c r="P56" s="238"/>
      <c r="Q56" s="238" t="s">
        <v>5407</v>
      </c>
      <c r="R56" s="238"/>
      <c r="S56" s="238"/>
      <c r="T56" s="238"/>
      <c r="U56" s="238"/>
      <c r="V56" s="238"/>
      <c r="W56" s="238" t="s">
        <v>5408</v>
      </c>
      <c r="X56" s="238"/>
      <c r="Y56" s="10" t="s">
        <v>5409</v>
      </c>
      <c r="Z56" s="10" t="s">
        <v>1876</v>
      </c>
      <c r="AA56" s="238" t="s">
        <v>5032</v>
      </c>
      <c r="AB56" s="238"/>
      <c r="AC56" s="238"/>
      <c r="AD56" s="238"/>
      <c r="AE56" s="238"/>
      <c r="AF56" s="10" t="s">
        <v>5410</v>
      </c>
      <c r="AG56" s="237" t="s">
        <v>5411</v>
      </c>
      <c r="AH56" s="237"/>
      <c r="AI56" s="237"/>
      <c r="AJ56" s="237"/>
      <c r="AK56" s="237"/>
      <c r="AL56" s="2"/>
      <c r="AM56" s="2"/>
      <c r="AN56" s="2"/>
      <c r="AO56" s="2"/>
      <c r="AP56" s="7"/>
    </row>
    <row r="57" spans="1:42" ht="13.5" thickBot="1">
      <c r="A57" s="6"/>
      <c r="B57" s="2"/>
      <c r="C57" s="2"/>
      <c r="D57" s="244" t="s">
        <v>319</v>
      </c>
      <c r="E57" s="244"/>
      <c r="F57" s="237" t="s">
        <v>1792</v>
      </c>
      <c r="G57" s="237"/>
      <c r="H57" s="237"/>
      <c r="I57" s="237"/>
      <c r="J57" s="11" t="s">
        <v>2696</v>
      </c>
      <c r="K57" s="237" t="s">
        <v>5412</v>
      </c>
      <c r="L57" s="237"/>
      <c r="M57" s="237"/>
      <c r="N57" s="237" t="s">
        <v>5413</v>
      </c>
      <c r="O57" s="237"/>
      <c r="P57" s="237"/>
      <c r="Q57" s="237" t="s">
        <v>6803</v>
      </c>
      <c r="R57" s="237"/>
      <c r="S57" s="237"/>
      <c r="T57" s="237"/>
      <c r="U57" s="237"/>
      <c r="V57" s="237"/>
      <c r="W57" s="237" t="s">
        <v>5414</v>
      </c>
      <c r="X57" s="237"/>
      <c r="Y57" s="11" t="s">
        <v>5415</v>
      </c>
      <c r="Z57" s="11" t="s">
        <v>5416</v>
      </c>
      <c r="AA57" s="237" t="s">
        <v>6386</v>
      </c>
      <c r="AB57" s="237"/>
      <c r="AC57" s="237"/>
      <c r="AD57" s="237"/>
      <c r="AE57" s="237"/>
      <c r="AF57" s="11" t="s">
        <v>5417</v>
      </c>
      <c r="AG57" s="237" t="s">
        <v>5418</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5337</v>
      </c>
      <c r="E7" s="269"/>
      <c r="F7" s="269"/>
      <c r="G7" s="269"/>
      <c r="H7" s="269" t="s">
        <v>5338</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RINGHALS-4</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5179</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5179</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 3-loop</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2775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981</v>
      </c>
    </row>
    <row r="17" spans="1:47" ht="11.45" customHeight="1" thickBot="1">
      <c r="A17" s="6"/>
      <c r="B17" s="1"/>
      <c r="C17" s="1"/>
      <c r="D17" s="248" t="s">
        <v>5722</v>
      </c>
      <c r="E17" s="248"/>
      <c r="F17" s="248"/>
      <c r="G17" s="247" t="s">
        <v>5709</v>
      </c>
      <c r="H17" s="247"/>
      <c r="I17" s="248" t="s">
        <v>5339</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934</v>
      </c>
    </row>
    <row r="18" spans="1:47" ht="13.5" thickBot="1">
      <c r="A18" s="6"/>
      <c r="B18" s="1"/>
      <c r="C18" s="1"/>
      <c r="D18" s="248" t="s">
        <v>185</v>
      </c>
      <c r="E18" s="248"/>
      <c r="F18" s="248"/>
      <c r="G18" s="248"/>
      <c r="H18" s="248"/>
      <c r="I18" s="248"/>
      <c r="J18" s="248"/>
      <c r="K18" s="248"/>
      <c r="L18" s="8" t="s">
        <v>5709</v>
      </c>
      <c r="M18" s="264">
        <v>2775</v>
      </c>
      <c r="N18" s="264"/>
      <c r="O18" s="264"/>
      <c r="P18" s="248" t="s">
        <v>186</v>
      </c>
      <c r="Q18" s="248"/>
      <c r="R18" s="248"/>
      <c r="S18" s="2"/>
      <c r="T18" s="2"/>
      <c r="U18" s="252" t="s">
        <v>187</v>
      </c>
      <c r="V18" s="252"/>
      <c r="W18" s="252"/>
      <c r="X18" s="252"/>
      <c r="Y18" s="252"/>
      <c r="Z18" s="252"/>
      <c r="AA18" s="252"/>
      <c r="AB18" s="247" t="s">
        <v>5709</v>
      </c>
      <c r="AC18" s="247"/>
      <c r="AD18" s="248" t="s">
        <v>195</v>
      </c>
      <c r="AE18" s="248"/>
      <c r="AF18" s="248"/>
      <c r="AG18" s="248"/>
      <c r="AH18" s="248"/>
      <c r="AI18" s="248"/>
      <c r="AJ18" s="248"/>
      <c r="AK18" s="2"/>
      <c r="AL18" s="1"/>
      <c r="AM18" s="2"/>
      <c r="AN18" s="1"/>
      <c r="AO18" s="2"/>
      <c r="AP18" s="7"/>
      <c r="AT18" s="25" t="str">
        <f>D26</f>
        <v>Grid Date</v>
      </c>
      <c r="AU18" s="25">
        <f>M26</f>
        <v>30125</v>
      </c>
    </row>
    <row r="19" spans="1:47" ht="13.5" thickBot="1">
      <c r="A19" s="6"/>
      <c r="B19" s="1"/>
      <c r="C19" s="1"/>
      <c r="D19" s="248" t="s">
        <v>189</v>
      </c>
      <c r="E19" s="248"/>
      <c r="F19" s="248"/>
      <c r="G19" s="248"/>
      <c r="H19" s="248"/>
      <c r="I19" s="248"/>
      <c r="J19" s="248"/>
      <c r="K19" s="248"/>
      <c r="L19" s="8" t="s">
        <v>5709</v>
      </c>
      <c r="M19" s="264">
        <v>981</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46000</v>
      </c>
    </row>
    <row r="20" spans="1:47" ht="13.5" thickBot="1">
      <c r="A20" s="6"/>
      <c r="B20" s="1"/>
      <c r="C20" s="1"/>
      <c r="D20" s="248" t="s">
        <v>193</v>
      </c>
      <c r="E20" s="248"/>
      <c r="F20" s="248"/>
      <c r="G20" s="248"/>
      <c r="H20" s="248"/>
      <c r="I20" s="248"/>
      <c r="J20" s="248"/>
      <c r="K20" s="248"/>
      <c r="L20" s="8" t="s">
        <v>5709</v>
      </c>
      <c r="M20" s="264">
        <v>915</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88.95</v>
      </c>
    </row>
    <row r="21" spans="1:47" ht="13.5" thickBot="1">
      <c r="A21" s="6"/>
      <c r="B21" s="1"/>
      <c r="C21" s="1"/>
      <c r="D21" s="248" t="s">
        <v>196</v>
      </c>
      <c r="E21" s="248"/>
      <c r="F21" s="248"/>
      <c r="G21" s="248"/>
      <c r="H21" s="248"/>
      <c r="I21" s="248"/>
      <c r="J21" s="248"/>
      <c r="K21" s="248"/>
      <c r="L21" s="8" t="s">
        <v>5709</v>
      </c>
      <c r="M21" s="264">
        <v>934</v>
      </c>
      <c r="N21" s="264"/>
      <c r="O21" s="264"/>
      <c r="P21" s="248" t="s">
        <v>190</v>
      </c>
      <c r="Q21" s="248"/>
      <c r="R21" s="248"/>
      <c r="S21" s="2"/>
      <c r="T21" s="2"/>
      <c r="U21" s="252" t="s">
        <v>197</v>
      </c>
      <c r="V21" s="252"/>
      <c r="W21" s="252"/>
      <c r="X21" s="252"/>
      <c r="Y21" s="252"/>
      <c r="Z21" s="252"/>
      <c r="AA21" s="252"/>
      <c r="AB21" s="247" t="s">
        <v>5709</v>
      </c>
      <c r="AC21" s="247"/>
      <c r="AD21" s="248" t="s">
        <v>7031</v>
      </c>
      <c r="AE21" s="248"/>
      <c r="AF21" s="248"/>
      <c r="AG21" s="248"/>
      <c r="AH21" s="248"/>
      <c r="AI21" s="248"/>
      <c r="AJ21" s="248"/>
      <c r="AK21" s="2"/>
      <c r="AL21" s="1"/>
      <c r="AM21" s="2"/>
      <c r="AN21" s="1"/>
      <c r="AO21" s="2"/>
      <c r="AP21" s="7"/>
      <c r="AT21" s="23" t="str">
        <f>D57&amp;AF50</f>
        <v>LF [%]2010</v>
      </c>
      <c r="AU21" s="23" t="str">
        <f>AF57</f>
        <v>88.27</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1932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26969</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30125</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5340</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30641</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4340</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4378</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5341</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5342</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3244</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5343</v>
      </c>
      <c r="G51" s="238"/>
      <c r="H51" s="238"/>
      <c r="I51" s="238"/>
      <c r="J51" s="10" t="s">
        <v>5344</v>
      </c>
      <c r="K51" s="238" t="s">
        <v>5345</v>
      </c>
      <c r="L51" s="238"/>
      <c r="M51" s="238"/>
      <c r="N51" s="238" t="s">
        <v>5346</v>
      </c>
      <c r="O51" s="238"/>
      <c r="P51" s="238"/>
      <c r="Q51" s="238" t="s">
        <v>5347</v>
      </c>
      <c r="R51" s="238"/>
      <c r="S51" s="238"/>
      <c r="T51" s="238"/>
      <c r="U51" s="238"/>
      <c r="V51" s="238"/>
      <c r="W51" s="238" t="s">
        <v>5348</v>
      </c>
      <c r="X51" s="238"/>
      <c r="Y51" s="10" t="s">
        <v>5349</v>
      </c>
      <c r="Z51" s="10" t="s">
        <v>5350</v>
      </c>
      <c r="AA51" s="238" t="s">
        <v>5351</v>
      </c>
      <c r="AB51" s="238"/>
      <c r="AC51" s="238"/>
      <c r="AD51" s="238"/>
      <c r="AE51" s="238"/>
      <c r="AF51" s="10" t="s">
        <v>5352</v>
      </c>
      <c r="AG51" s="237" t="s">
        <v>5353</v>
      </c>
      <c r="AH51" s="237"/>
      <c r="AI51" s="237"/>
      <c r="AJ51" s="237"/>
      <c r="AK51" s="237"/>
      <c r="AL51" s="2"/>
      <c r="AM51" s="2"/>
      <c r="AN51" s="2"/>
      <c r="AO51" s="2"/>
      <c r="AP51" s="7"/>
    </row>
    <row r="52" spans="1:42" ht="13.5" thickBot="1">
      <c r="A52" s="6"/>
      <c r="B52" s="2"/>
      <c r="C52" s="2"/>
      <c r="D52" s="244" t="s">
        <v>261</v>
      </c>
      <c r="E52" s="244"/>
      <c r="F52" s="238" t="s">
        <v>438</v>
      </c>
      <c r="G52" s="238"/>
      <c r="H52" s="238"/>
      <c r="I52" s="238"/>
      <c r="J52" s="10" t="s">
        <v>5354</v>
      </c>
      <c r="K52" s="238" t="s">
        <v>3259</v>
      </c>
      <c r="L52" s="238"/>
      <c r="M52" s="238"/>
      <c r="N52" s="238" t="s">
        <v>6336</v>
      </c>
      <c r="O52" s="238"/>
      <c r="P52" s="238"/>
      <c r="Q52" s="238" t="s">
        <v>5355</v>
      </c>
      <c r="R52" s="238"/>
      <c r="S52" s="238"/>
      <c r="T52" s="238"/>
      <c r="U52" s="238"/>
      <c r="V52" s="238"/>
      <c r="W52" s="238" t="s">
        <v>3211</v>
      </c>
      <c r="X52" s="238"/>
      <c r="Y52" s="10" t="s">
        <v>2791</v>
      </c>
      <c r="Z52" s="10" t="s">
        <v>2750</v>
      </c>
      <c r="AA52" s="238" t="s">
        <v>6996</v>
      </c>
      <c r="AB52" s="238"/>
      <c r="AC52" s="238"/>
      <c r="AD52" s="238"/>
      <c r="AE52" s="238"/>
      <c r="AF52" s="10" t="s">
        <v>5356</v>
      </c>
      <c r="AG52" s="237" t="s">
        <v>5357</v>
      </c>
      <c r="AH52" s="237"/>
      <c r="AI52" s="237"/>
      <c r="AJ52" s="237"/>
      <c r="AK52" s="237"/>
      <c r="AL52" s="2"/>
      <c r="AM52" s="2"/>
      <c r="AN52" s="2"/>
      <c r="AO52" s="2"/>
      <c r="AP52" s="7"/>
    </row>
    <row r="53" spans="1:42" ht="13.5" thickBot="1">
      <c r="A53" s="6"/>
      <c r="B53" s="2"/>
      <c r="C53" s="2"/>
      <c r="D53" s="244" t="s">
        <v>273</v>
      </c>
      <c r="E53" s="244"/>
      <c r="F53" s="238" t="s">
        <v>4307</v>
      </c>
      <c r="G53" s="238"/>
      <c r="H53" s="238"/>
      <c r="I53" s="238"/>
      <c r="J53" s="10" t="s">
        <v>5358</v>
      </c>
      <c r="K53" s="238" t="s">
        <v>6963</v>
      </c>
      <c r="L53" s="238"/>
      <c r="M53" s="238"/>
      <c r="N53" s="238" t="s">
        <v>4209</v>
      </c>
      <c r="O53" s="238"/>
      <c r="P53" s="238"/>
      <c r="Q53" s="238" t="s">
        <v>5359</v>
      </c>
      <c r="R53" s="238"/>
      <c r="S53" s="238"/>
      <c r="T53" s="238"/>
      <c r="U53" s="238"/>
      <c r="V53" s="238"/>
      <c r="W53" s="238" t="s">
        <v>3214</v>
      </c>
      <c r="X53" s="238"/>
      <c r="Y53" s="10" t="s">
        <v>5089</v>
      </c>
      <c r="Z53" s="10" t="s">
        <v>5360</v>
      </c>
      <c r="AA53" s="238" t="s">
        <v>5361</v>
      </c>
      <c r="AB53" s="238"/>
      <c r="AC53" s="238"/>
      <c r="AD53" s="238"/>
      <c r="AE53" s="238"/>
      <c r="AF53" s="10" t="s">
        <v>3520</v>
      </c>
      <c r="AG53" s="237" t="s">
        <v>4168</v>
      </c>
      <c r="AH53" s="237"/>
      <c r="AI53" s="237"/>
      <c r="AJ53" s="237"/>
      <c r="AK53" s="237"/>
      <c r="AL53" s="2"/>
      <c r="AM53" s="2"/>
      <c r="AN53" s="2"/>
      <c r="AO53" s="2"/>
      <c r="AP53" s="7"/>
    </row>
    <row r="54" spans="1:42" ht="13.5" thickBot="1">
      <c r="A54" s="6"/>
      <c r="B54" s="2"/>
      <c r="C54" s="2"/>
      <c r="D54" s="244" t="s">
        <v>285</v>
      </c>
      <c r="E54" s="244"/>
      <c r="F54" s="238" t="s">
        <v>1784</v>
      </c>
      <c r="G54" s="238"/>
      <c r="H54" s="238"/>
      <c r="I54" s="238"/>
      <c r="J54" s="10" t="s">
        <v>6151</v>
      </c>
      <c r="K54" s="238" t="s">
        <v>3329</v>
      </c>
      <c r="L54" s="238"/>
      <c r="M54" s="238"/>
      <c r="N54" s="238" t="s">
        <v>6336</v>
      </c>
      <c r="O54" s="238"/>
      <c r="P54" s="238"/>
      <c r="Q54" s="238" t="s">
        <v>6704</v>
      </c>
      <c r="R54" s="238"/>
      <c r="S54" s="238"/>
      <c r="T54" s="238"/>
      <c r="U54" s="238"/>
      <c r="V54" s="238"/>
      <c r="W54" s="238" t="s">
        <v>6388</v>
      </c>
      <c r="X54" s="238"/>
      <c r="Y54" s="10" t="s">
        <v>5362</v>
      </c>
      <c r="Z54" s="10" t="s">
        <v>6990</v>
      </c>
      <c r="AA54" s="238" t="s">
        <v>5325</v>
      </c>
      <c r="AB54" s="238"/>
      <c r="AC54" s="238"/>
      <c r="AD54" s="238"/>
      <c r="AE54" s="238"/>
      <c r="AF54" s="10" t="s">
        <v>5363</v>
      </c>
      <c r="AG54" s="237" t="s">
        <v>5364</v>
      </c>
      <c r="AH54" s="237"/>
      <c r="AI54" s="237"/>
      <c r="AJ54" s="237"/>
      <c r="AK54" s="237"/>
      <c r="AL54" s="2"/>
      <c r="AM54" s="2"/>
      <c r="AN54" s="2"/>
      <c r="AO54" s="2"/>
      <c r="AP54" s="7"/>
    </row>
    <row r="55" spans="1:42" ht="13.5" thickBot="1">
      <c r="A55" s="6"/>
      <c r="B55" s="2"/>
      <c r="C55" s="2"/>
      <c r="D55" s="244" t="s">
        <v>295</v>
      </c>
      <c r="E55" s="244"/>
      <c r="F55" s="238" t="s">
        <v>5365</v>
      </c>
      <c r="G55" s="238"/>
      <c r="H55" s="238"/>
      <c r="I55" s="238"/>
      <c r="J55" s="10" t="s">
        <v>5366</v>
      </c>
      <c r="K55" s="238" t="s">
        <v>3403</v>
      </c>
      <c r="L55" s="238"/>
      <c r="M55" s="238"/>
      <c r="N55" s="238" t="s">
        <v>6980</v>
      </c>
      <c r="O55" s="238"/>
      <c r="P55" s="238"/>
      <c r="Q55" s="238" t="s">
        <v>382</v>
      </c>
      <c r="R55" s="238"/>
      <c r="S55" s="238"/>
      <c r="T55" s="238"/>
      <c r="U55" s="238"/>
      <c r="V55" s="238"/>
      <c r="W55" s="238" t="s">
        <v>6657</v>
      </c>
      <c r="X55" s="238"/>
      <c r="Y55" s="10" t="s">
        <v>305</v>
      </c>
      <c r="Z55" s="10" t="s">
        <v>1966</v>
      </c>
      <c r="AA55" s="238" t="s">
        <v>6087</v>
      </c>
      <c r="AB55" s="238"/>
      <c r="AC55" s="238"/>
      <c r="AD55" s="238"/>
      <c r="AE55" s="238"/>
      <c r="AF55" s="10" t="s">
        <v>6977</v>
      </c>
      <c r="AG55" s="237" t="s">
        <v>5367</v>
      </c>
      <c r="AH55" s="237"/>
      <c r="AI55" s="237"/>
      <c r="AJ55" s="237"/>
      <c r="AK55" s="237"/>
      <c r="AL55" s="2"/>
      <c r="AM55" s="2"/>
      <c r="AN55" s="2"/>
      <c r="AO55" s="2"/>
      <c r="AP55" s="7"/>
    </row>
    <row r="56" spans="1:42" ht="13.5" thickBot="1">
      <c r="A56" s="6"/>
      <c r="B56" s="2"/>
      <c r="C56" s="2"/>
      <c r="D56" s="244" t="s">
        <v>307</v>
      </c>
      <c r="E56" s="244"/>
      <c r="F56" s="238" t="s">
        <v>4947</v>
      </c>
      <c r="G56" s="238"/>
      <c r="H56" s="238"/>
      <c r="I56" s="238"/>
      <c r="J56" s="10" t="s">
        <v>5368</v>
      </c>
      <c r="K56" s="238" t="s">
        <v>3016</v>
      </c>
      <c r="L56" s="238"/>
      <c r="M56" s="238"/>
      <c r="N56" s="238" t="s">
        <v>6343</v>
      </c>
      <c r="O56" s="238"/>
      <c r="P56" s="238"/>
      <c r="Q56" s="238" t="s">
        <v>6536</v>
      </c>
      <c r="R56" s="238"/>
      <c r="S56" s="238"/>
      <c r="T56" s="238"/>
      <c r="U56" s="238"/>
      <c r="V56" s="238"/>
      <c r="W56" s="238" t="s">
        <v>3359</v>
      </c>
      <c r="X56" s="238"/>
      <c r="Y56" s="10" t="s">
        <v>3152</v>
      </c>
      <c r="Z56" s="10" t="s">
        <v>1961</v>
      </c>
      <c r="AA56" s="238" t="s">
        <v>268</v>
      </c>
      <c r="AB56" s="238"/>
      <c r="AC56" s="238"/>
      <c r="AD56" s="238"/>
      <c r="AE56" s="238"/>
      <c r="AF56" s="10" t="s">
        <v>6861</v>
      </c>
      <c r="AG56" s="237" t="s">
        <v>5369</v>
      </c>
      <c r="AH56" s="237"/>
      <c r="AI56" s="237"/>
      <c r="AJ56" s="237"/>
      <c r="AK56" s="237"/>
      <c r="AL56" s="2"/>
      <c r="AM56" s="2"/>
      <c r="AN56" s="2"/>
      <c r="AO56" s="2"/>
      <c r="AP56" s="7"/>
    </row>
    <row r="57" spans="1:42" ht="13.5" thickBot="1">
      <c r="A57" s="6"/>
      <c r="B57" s="2"/>
      <c r="C57" s="2"/>
      <c r="D57" s="244" t="s">
        <v>319</v>
      </c>
      <c r="E57" s="244"/>
      <c r="F57" s="237" t="s">
        <v>5370</v>
      </c>
      <c r="G57" s="237"/>
      <c r="H57" s="237"/>
      <c r="I57" s="237"/>
      <c r="J57" s="11" t="s">
        <v>5371</v>
      </c>
      <c r="K57" s="237" t="s">
        <v>1772</v>
      </c>
      <c r="L57" s="237"/>
      <c r="M57" s="237"/>
      <c r="N57" s="237" t="s">
        <v>4188</v>
      </c>
      <c r="O57" s="237"/>
      <c r="P57" s="237"/>
      <c r="Q57" s="237" t="s">
        <v>5372</v>
      </c>
      <c r="R57" s="237"/>
      <c r="S57" s="237"/>
      <c r="T57" s="237"/>
      <c r="U57" s="237"/>
      <c r="V57" s="237"/>
      <c r="W57" s="237" t="s">
        <v>6912</v>
      </c>
      <c r="X57" s="237"/>
      <c r="Y57" s="11" t="s">
        <v>6340</v>
      </c>
      <c r="Z57" s="11" t="s">
        <v>436</v>
      </c>
      <c r="AA57" s="237" t="s">
        <v>6728</v>
      </c>
      <c r="AB57" s="237"/>
      <c r="AC57" s="237"/>
      <c r="AD57" s="237"/>
      <c r="AE57" s="237"/>
      <c r="AF57" s="11" t="s">
        <v>5230</v>
      </c>
      <c r="AG57" s="237" t="s">
        <v>5373</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tabColor indexed="53"/>
  </sheetPr>
  <dimension ref="A1:AU64"/>
  <sheetViews>
    <sheetView topLeftCell="G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0" width="0.140625" customWidth="1"/>
    <col min="41"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5419</v>
      </c>
      <c r="E7" s="269"/>
      <c r="F7" s="269"/>
      <c r="G7" s="269"/>
      <c r="H7" s="269"/>
      <c r="I7" s="269" t="s">
        <v>5420</v>
      </c>
      <c r="J7" s="269"/>
      <c r="K7" s="269"/>
      <c r="L7" s="269"/>
      <c r="M7" s="269"/>
      <c r="N7" s="269"/>
      <c r="O7" s="269"/>
      <c r="P7" s="269"/>
      <c r="Q7" s="269"/>
      <c r="R7" s="269"/>
      <c r="S7" s="269"/>
      <c r="T7" s="269"/>
      <c r="U7" s="269"/>
      <c r="V7" s="269"/>
      <c r="W7" s="269"/>
      <c r="X7" s="269"/>
      <c r="Y7" s="270" t="s">
        <v>5421</v>
      </c>
      <c r="Z7" s="270"/>
      <c r="AA7" s="270"/>
      <c r="AB7" s="270"/>
      <c r="AC7" s="270"/>
      <c r="AD7" s="270"/>
      <c r="AE7" s="270"/>
      <c r="AF7" s="270"/>
      <c r="AG7" s="270"/>
      <c r="AH7" s="270"/>
      <c r="AI7" s="270"/>
      <c r="AJ7" s="270"/>
      <c r="AK7" s="270"/>
      <c r="AL7" s="270"/>
      <c r="AM7" s="270"/>
      <c r="AN7" s="270"/>
      <c r="AO7" s="2"/>
      <c r="AP7" s="2"/>
      <c r="AQ7" s="7"/>
      <c r="AT7" s="22" t="s">
        <v>1518</v>
      </c>
      <c r="AU7" s="35" t="str">
        <f>I7</f>
        <v>BEZNAU-1</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5422</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5422</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1926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WH - 2 loops</v>
      </c>
    </row>
    <row r="13" spans="1:47" ht="11.25" customHeight="1">
      <c r="A13" s="6"/>
      <c r="B13" s="1"/>
      <c r="C13" s="2"/>
      <c r="D13" s="247" t="s">
        <v>5716</v>
      </c>
      <c r="E13" s="247"/>
      <c r="F13" s="247"/>
      <c r="G13" s="247"/>
      <c r="H13" s="247" t="s">
        <v>5709</v>
      </c>
      <c r="I13" s="247"/>
      <c r="J13" s="247" t="s">
        <v>5423</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1130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380</v>
      </c>
    </row>
    <row r="17" spans="1:47" ht="11.45" customHeight="1" thickBot="1">
      <c r="A17" s="6"/>
      <c r="B17" s="1"/>
      <c r="C17" s="1"/>
      <c r="D17" s="248" t="s">
        <v>5722</v>
      </c>
      <c r="E17" s="248"/>
      <c r="F17" s="248"/>
      <c r="G17" s="248"/>
      <c r="H17" s="247" t="s">
        <v>5709</v>
      </c>
      <c r="I17" s="247"/>
      <c r="J17" s="248" t="s">
        <v>5424</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365</v>
      </c>
    </row>
    <row r="18" spans="1:47" ht="13.5" thickBot="1">
      <c r="A18" s="6"/>
      <c r="B18" s="1"/>
      <c r="C18" s="1"/>
      <c r="D18" s="248" t="s">
        <v>185</v>
      </c>
      <c r="E18" s="248"/>
      <c r="F18" s="248"/>
      <c r="G18" s="248"/>
      <c r="H18" s="248"/>
      <c r="I18" s="248"/>
      <c r="J18" s="248"/>
      <c r="K18" s="248"/>
      <c r="L18" s="248"/>
      <c r="M18" s="8" t="s">
        <v>5709</v>
      </c>
      <c r="N18" s="264">
        <v>1130</v>
      </c>
      <c r="O18" s="264"/>
      <c r="P18" s="264"/>
      <c r="Q18" s="248" t="s">
        <v>186</v>
      </c>
      <c r="R18" s="248"/>
      <c r="S18" s="248"/>
      <c r="T18" s="2"/>
      <c r="U18" s="2"/>
      <c r="V18" s="252" t="s">
        <v>187</v>
      </c>
      <c r="W18" s="252"/>
      <c r="X18" s="252"/>
      <c r="Y18" s="252"/>
      <c r="Z18" s="252"/>
      <c r="AA18" s="252"/>
      <c r="AB18" s="252"/>
      <c r="AC18" s="247" t="s">
        <v>5709</v>
      </c>
      <c r="AD18" s="247"/>
      <c r="AE18" s="248" t="s">
        <v>5425</v>
      </c>
      <c r="AF18" s="248"/>
      <c r="AG18" s="248"/>
      <c r="AH18" s="248"/>
      <c r="AI18" s="248"/>
      <c r="AJ18" s="248"/>
      <c r="AK18" s="248"/>
      <c r="AL18" s="2"/>
      <c r="AM18" s="1"/>
      <c r="AN18" s="2"/>
      <c r="AO18" s="1"/>
      <c r="AP18" s="2"/>
      <c r="AQ18" s="7"/>
      <c r="AT18" s="25" t="str">
        <f>D26</f>
        <v>Grid Date</v>
      </c>
      <c r="AU18" s="25">
        <f>N26</f>
        <v>25401</v>
      </c>
    </row>
    <row r="19" spans="1:47" ht="13.5" thickBot="1">
      <c r="A19" s="6"/>
      <c r="B19" s="1"/>
      <c r="C19" s="1"/>
      <c r="D19" s="248" t="s">
        <v>189</v>
      </c>
      <c r="E19" s="248"/>
      <c r="F19" s="248"/>
      <c r="G19" s="248"/>
      <c r="H19" s="248"/>
      <c r="I19" s="248"/>
      <c r="J19" s="248"/>
      <c r="K19" s="248"/>
      <c r="L19" s="248"/>
      <c r="M19" s="8" t="s">
        <v>5709</v>
      </c>
      <c r="N19" s="264">
        <v>380</v>
      </c>
      <c r="O19" s="264"/>
      <c r="P19" s="264"/>
      <c r="Q19" s="248" t="s">
        <v>190</v>
      </c>
      <c r="R19" s="248"/>
      <c r="S19" s="248"/>
      <c r="T19" s="2"/>
      <c r="U19" s="2"/>
      <c r="V19" s="252" t="s">
        <v>191</v>
      </c>
      <c r="W19" s="252"/>
      <c r="X19" s="252"/>
      <c r="Y19" s="252"/>
      <c r="Z19" s="252"/>
      <c r="AA19" s="252"/>
      <c r="AB19" s="252"/>
      <c r="AC19" s="247" t="s">
        <v>5709</v>
      </c>
      <c r="AD19" s="247"/>
      <c r="AE19" s="248" t="s">
        <v>3424</v>
      </c>
      <c r="AF19" s="248"/>
      <c r="AG19" s="248"/>
      <c r="AH19" s="248"/>
      <c r="AI19" s="248"/>
      <c r="AJ19" s="248"/>
      <c r="AK19" s="248"/>
      <c r="AL19" s="2"/>
      <c r="AM19" s="1"/>
      <c r="AN19" s="2"/>
      <c r="AO19" s="1"/>
      <c r="AP19" s="2"/>
      <c r="AQ19" s="7"/>
      <c r="AT19" s="23" t="str">
        <f>V21</f>
        <v>Average discharge burnup  [MWd/t]</v>
      </c>
      <c r="AU19" s="23" t="str">
        <f>AE21</f>
        <v>42000</v>
      </c>
    </row>
    <row r="20" spans="1:47" ht="13.5" thickBot="1">
      <c r="A20" s="6"/>
      <c r="B20" s="1"/>
      <c r="C20" s="1"/>
      <c r="D20" s="248" t="s">
        <v>193</v>
      </c>
      <c r="E20" s="248"/>
      <c r="F20" s="248"/>
      <c r="G20" s="248"/>
      <c r="H20" s="248"/>
      <c r="I20" s="248"/>
      <c r="J20" s="248"/>
      <c r="K20" s="248"/>
      <c r="L20" s="248"/>
      <c r="M20" s="8" t="s">
        <v>5709</v>
      </c>
      <c r="N20" s="264">
        <v>350</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t="str">
        <f>R58</f>
        <v>96.82</v>
      </c>
    </row>
    <row r="21" spans="1:47" ht="13.5" thickBot="1">
      <c r="A21" s="6"/>
      <c r="B21" s="1"/>
      <c r="C21" s="1"/>
      <c r="D21" s="248" t="s">
        <v>196</v>
      </c>
      <c r="E21" s="248"/>
      <c r="F21" s="248"/>
      <c r="G21" s="248"/>
      <c r="H21" s="248"/>
      <c r="I21" s="248"/>
      <c r="J21" s="248"/>
      <c r="K21" s="248"/>
      <c r="L21" s="248"/>
      <c r="M21" s="8" t="s">
        <v>5709</v>
      </c>
      <c r="N21" s="264">
        <v>365</v>
      </c>
      <c r="O21" s="264"/>
      <c r="P21" s="264"/>
      <c r="Q21" s="248" t="s">
        <v>190</v>
      </c>
      <c r="R21" s="248"/>
      <c r="S21" s="248"/>
      <c r="T21" s="2"/>
      <c r="U21" s="2"/>
      <c r="V21" s="252" t="s">
        <v>197</v>
      </c>
      <c r="W21" s="252"/>
      <c r="X21" s="252"/>
      <c r="Y21" s="252"/>
      <c r="Z21" s="252"/>
      <c r="AA21" s="252"/>
      <c r="AB21" s="252"/>
      <c r="AC21" s="247" t="s">
        <v>5709</v>
      </c>
      <c r="AD21" s="247"/>
      <c r="AE21" s="248" t="s">
        <v>7035</v>
      </c>
      <c r="AF21" s="248"/>
      <c r="AG21" s="248"/>
      <c r="AH21" s="248"/>
      <c r="AI21" s="248"/>
      <c r="AJ21" s="248"/>
      <c r="AK21" s="248"/>
      <c r="AL21" s="2"/>
      <c r="AM21" s="1"/>
      <c r="AN21" s="2"/>
      <c r="AO21" s="1"/>
      <c r="AP21" s="2"/>
      <c r="AQ21" s="7"/>
      <c r="AT21" s="23" t="str">
        <f>D58&amp;AG51</f>
        <v>LF [%]2010</v>
      </c>
      <c r="AU21" s="23" t="str">
        <f>AG58</f>
        <v>83.63</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2960</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6656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23986</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213</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25401</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414</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25447</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5426</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422</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5427</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413</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5428</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5725</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1937</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5429</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5430</v>
      </c>
      <c r="G52" s="238"/>
      <c r="H52" s="238"/>
      <c r="I52" s="238"/>
      <c r="J52" s="238"/>
      <c r="K52" s="10" t="s">
        <v>5431</v>
      </c>
      <c r="L52" s="238" t="s">
        <v>5432</v>
      </c>
      <c r="M52" s="238"/>
      <c r="N52" s="238"/>
      <c r="O52" s="238" t="s">
        <v>5433</v>
      </c>
      <c r="P52" s="238"/>
      <c r="Q52" s="238"/>
      <c r="R52" s="238" t="s">
        <v>5434</v>
      </c>
      <c r="S52" s="238"/>
      <c r="T52" s="238"/>
      <c r="U52" s="238"/>
      <c r="V52" s="238"/>
      <c r="W52" s="238"/>
      <c r="X52" s="238" t="s">
        <v>5435</v>
      </c>
      <c r="Y52" s="238"/>
      <c r="Z52" s="10" t="s">
        <v>5436</v>
      </c>
      <c r="AA52" s="10" t="s">
        <v>5437</v>
      </c>
      <c r="AB52" s="238" t="s">
        <v>5438</v>
      </c>
      <c r="AC52" s="238"/>
      <c r="AD52" s="238"/>
      <c r="AE52" s="238"/>
      <c r="AF52" s="238"/>
      <c r="AG52" s="10" t="s">
        <v>5439</v>
      </c>
      <c r="AH52" s="237" t="s">
        <v>5440</v>
      </c>
      <c r="AI52" s="237"/>
      <c r="AJ52" s="237"/>
      <c r="AK52" s="237"/>
      <c r="AL52" s="237"/>
      <c r="AM52" s="2"/>
      <c r="AN52" s="2"/>
      <c r="AO52" s="2"/>
      <c r="AP52" s="2"/>
      <c r="AQ52" s="7"/>
    </row>
    <row r="53" spans="1:43" ht="13.5" thickBot="1">
      <c r="A53" s="6"/>
      <c r="B53" s="2"/>
      <c r="C53" s="2"/>
      <c r="D53" s="244" t="s">
        <v>261</v>
      </c>
      <c r="E53" s="244"/>
      <c r="F53" s="238" t="s">
        <v>5441</v>
      </c>
      <c r="G53" s="238"/>
      <c r="H53" s="238"/>
      <c r="I53" s="238"/>
      <c r="J53" s="238"/>
      <c r="K53" s="10" t="s">
        <v>5362</v>
      </c>
      <c r="L53" s="238" t="s">
        <v>6997</v>
      </c>
      <c r="M53" s="238"/>
      <c r="N53" s="238"/>
      <c r="O53" s="238" t="s">
        <v>2780</v>
      </c>
      <c r="P53" s="238"/>
      <c r="Q53" s="238"/>
      <c r="R53" s="238" t="s">
        <v>5273</v>
      </c>
      <c r="S53" s="238"/>
      <c r="T53" s="238"/>
      <c r="U53" s="238"/>
      <c r="V53" s="238"/>
      <c r="W53" s="238"/>
      <c r="X53" s="238" t="s">
        <v>3406</v>
      </c>
      <c r="Y53" s="238"/>
      <c r="Z53" s="10" t="s">
        <v>3142</v>
      </c>
      <c r="AA53" s="10" t="s">
        <v>2870</v>
      </c>
      <c r="AB53" s="238" t="s">
        <v>2912</v>
      </c>
      <c r="AC53" s="238"/>
      <c r="AD53" s="238"/>
      <c r="AE53" s="238"/>
      <c r="AF53" s="238"/>
      <c r="AG53" s="10" t="s">
        <v>6332</v>
      </c>
      <c r="AH53" s="237" t="s">
        <v>2804</v>
      </c>
      <c r="AI53" s="237"/>
      <c r="AJ53" s="237"/>
      <c r="AK53" s="237"/>
      <c r="AL53" s="237"/>
      <c r="AM53" s="2"/>
      <c r="AN53" s="2"/>
      <c r="AO53" s="2"/>
      <c r="AP53" s="2"/>
      <c r="AQ53" s="7"/>
    </row>
    <row r="54" spans="1:43" ht="13.5" thickBot="1">
      <c r="A54" s="6"/>
      <c r="B54" s="2"/>
      <c r="C54" s="2"/>
      <c r="D54" s="244" t="s">
        <v>273</v>
      </c>
      <c r="E54" s="244"/>
      <c r="F54" s="238" t="s">
        <v>6016</v>
      </c>
      <c r="G54" s="238"/>
      <c r="H54" s="238"/>
      <c r="I54" s="238"/>
      <c r="J54" s="238"/>
      <c r="K54" s="10" t="s">
        <v>5442</v>
      </c>
      <c r="L54" s="238" t="s">
        <v>5443</v>
      </c>
      <c r="M54" s="238"/>
      <c r="N54" s="238"/>
      <c r="O54" s="238" t="s">
        <v>4267</v>
      </c>
      <c r="P54" s="238"/>
      <c r="Q54" s="238"/>
      <c r="R54" s="238" t="s">
        <v>5444</v>
      </c>
      <c r="S54" s="238"/>
      <c r="T54" s="238"/>
      <c r="U54" s="238"/>
      <c r="V54" s="238"/>
      <c r="W54" s="238"/>
      <c r="X54" s="238" t="s">
        <v>5445</v>
      </c>
      <c r="Y54" s="238"/>
      <c r="Z54" s="10" t="s">
        <v>4784</v>
      </c>
      <c r="AA54" s="10" t="s">
        <v>5446</v>
      </c>
      <c r="AB54" s="238" t="s">
        <v>5447</v>
      </c>
      <c r="AC54" s="238"/>
      <c r="AD54" s="238"/>
      <c r="AE54" s="238"/>
      <c r="AF54" s="238"/>
      <c r="AG54" s="10" t="s">
        <v>5448</v>
      </c>
      <c r="AH54" s="237" t="s">
        <v>5449</v>
      </c>
      <c r="AI54" s="237"/>
      <c r="AJ54" s="237"/>
      <c r="AK54" s="237"/>
      <c r="AL54" s="237"/>
      <c r="AM54" s="2"/>
      <c r="AN54" s="2"/>
      <c r="AO54" s="2"/>
      <c r="AP54" s="2"/>
      <c r="AQ54" s="7"/>
    </row>
    <row r="55" spans="1:43" ht="13.5" thickBot="1">
      <c r="A55" s="6"/>
      <c r="B55" s="2"/>
      <c r="C55" s="2"/>
      <c r="D55" s="244" t="s">
        <v>285</v>
      </c>
      <c r="E55" s="244"/>
      <c r="F55" s="238" t="s">
        <v>5441</v>
      </c>
      <c r="G55" s="238"/>
      <c r="H55" s="238"/>
      <c r="I55" s="238"/>
      <c r="J55" s="238"/>
      <c r="K55" s="10" t="s">
        <v>6319</v>
      </c>
      <c r="L55" s="238" t="s">
        <v>7009</v>
      </c>
      <c r="M55" s="238"/>
      <c r="N55" s="238"/>
      <c r="O55" s="238" t="s">
        <v>6828</v>
      </c>
      <c r="P55" s="238"/>
      <c r="Q55" s="238"/>
      <c r="R55" s="238" t="s">
        <v>3142</v>
      </c>
      <c r="S55" s="238"/>
      <c r="T55" s="238"/>
      <c r="U55" s="238"/>
      <c r="V55" s="238"/>
      <c r="W55" s="238"/>
      <c r="X55" s="238" t="s">
        <v>3220</v>
      </c>
      <c r="Y55" s="238"/>
      <c r="Z55" s="10" t="s">
        <v>309</v>
      </c>
      <c r="AA55" s="10" t="s">
        <v>2870</v>
      </c>
      <c r="AB55" s="238" t="s">
        <v>5450</v>
      </c>
      <c r="AC55" s="238"/>
      <c r="AD55" s="238"/>
      <c r="AE55" s="238"/>
      <c r="AF55" s="238"/>
      <c r="AG55" s="10" t="s">
        <v>6332</v>
      </c>
      <c r="AH55" s="237" t="s">
        <v>5451</v>
      </c>
      <c r="AI55" s="237"/>
      <c r="AJ55" s="237"/>
      <c r="AK55" s="237"/>
      <c r="AL55" s="237"/>
      <c r="AM55" s="2"/>
      <c r="AN55" s="2"/>
      <c r="AO55" s="2"/>
      <c r="AP55" s="2"/>
      <c r="AQ55" s="7"/>
    </row>
    <row r="56" spans="1:43" ht="13.5" thickBot="1">
      <c r="A56" s="6"/>
      <c r="B56" s="2"/>
      <c r="C56" s="2"/>
      <c r="D56" s="244" t="s">
        <v>295</v>
      </c>
      <c r="E56" s="244"/>
      <c r="F56" s="238" t="s">
        <v>6087</v>
      </c>
      <c r="G56" s="238"/>
      <c r="H56" s="238"/>
      <c r="I56" s="238"/>
      <c r="J56" s="238"/>
      <c r="K56" s="10" t="s">
        <v>378</v>
      </c>
      <c r="L56" s="238" t="s">
        <v>6087</v>
      </c>
      <c r="M56" s="238"/>
      <c r="N56" s="238"/>
      <c r="O56" s="238" t="s">
        <v>6520</v>
      </c>
      <c r="P56" s="238"/>
      <c r="Q56" s="238"/>
      <c r="R56" s="238" t="s">
        <v>375</v>
      </c>
      <c r="S56" s="238"/>
      <c r="T56" s="238"/>
      <c r="U56" s="238"/>
      <c r="V56" s="238"/>
      <c r="W56" s="238"/>
      <c r="X56" s="238" t="s">
        <v>375</v>
      </c>
      <c r="Y56" s="238"/>
      <c r="Z56" s="10" t="s">
        <v>6087</v>
      </c>
      <c r="AA56" s="10" t="s">
        <v>6966</v>
      </c>
      <c r="AB56" s="238" t="s">
        <v>6979</v>
      </c>
      <c r="AC56" s="238"/>
      <c r="AD56" s="238"/>
      <c r="AE56" s="238"/>
      <c r="AF56" s="238"/>
      <c r="AG56" s="10" t="s">
        <v>380</v>
      </c>
      <c r="AH56" s="237" t="s">
        <v>5452</v>
      </c>
      <c r="AI56" s="237"/>
      <c r="AJ56" s="237"/>
      <c r="AK56" s="237"/>
      <c r="AL56" s="237"/>
      <c r="AM56" s="2"/>
      <c r="AN56" s="2"/>
      <c r="AO56" s="2"/>
      <c r="AP56" s="2"/>
      <c r="AQ56" s="7"/>
    </row>
    <row r="57" spans="1:43" ht="13.5" thickBot="1">
      <c r="A57" s="6"/>
      <c r="B57" s="2"/>
      <c r="C57" s="2"/>
      <c r="D57" s="244" t="s">
        <v>307</v>
      </c>
      <c r="E57" s="244"/>
      <c r="F57" s="238" t="s">
        <v>367</v>
      </c>
      <c r="G57" s="238"/>
      <c r="H57" s="238"/>
      <c r="I57" s="238"/>
      <c r="J57" s="238"/>
      <c r="K57" s="10" t="s">
        <v>7014</v>
      </c>
      <c r="L57" s="238" t="s">
        <v>286</v>
      </c>
      <c r="M57" s="238"/>
      <c r="N57" s="238"/>
      <c r="O57" s="238" t="s">
        <v>1895</v>
      </c>
      <c r="P57" s="238"/>
      <c r="Q57" s="238"/>
      <c r="R57" s="238" t="s">
        <v>7009</v>
      </c>
      <c r="S57" s="238"/>
      <c r="T57" s="238"/>
      <c r="U57" s="238"/>
      <c r="V57" s="238"/>
      <c r="W57" s="238"/>
      <c r="X57" s="238" t="s">
        <v>6002</v>
      </c>
      <c r="Y57" s="238"/>
      <c r="Z57" s="10" t="s">
        <v>5453</v>
      </c>
      <c r="AA57" s="10" t="s">
        <v>5454</v>
      </c>
      <c r="AB57" s="238" t="s">
        <v>5455</v>
      </c>
      <c r="AC57" s="238"/>
      <c r="AD57" s="238"/>
      <c r="AE57" s="238"/>
      <c r="AF57" s="238"/>
      <c r="AG57" s="10" t="s">
        <v>5456</v>
      </c>
      <c r="AH57" s="237" t="s">
        <v>5035</v>
      </c>
      <c r="AI57" s="237"/>
      <c r="AJ57" s="237"/>
      <c r="AK57" s="237"/>
      <c r="AL57" s="237"/>
      <c r="AM57" s="2"/>
      <c r="AN57" s="2"/>
      <c r="AO57" s="2"/>
      <c r="AP57" s="2"/>
      <c r="AQ57" s="7"/>
    </row>
    <row r="58" spans="1:43" ht="13.5" thickBot="1">
      <c r="A58" s="6"/>
      <c r="B58" s="2"/>
      <c r="C58" s="2"/>
      <c r="D58" s="244" t="s">
        <v>319</v>
      </c>
      <c r="E58" s="244"/>
      <c r="F58" s="237" t="s">
        <v>5457</v>
      </c>
      <c r="G58" s="237"/>
      <c r="H58" s="237"/>
      <c r="I58" s="237"/>
      <c r="J58" s="237"/>
      <c r="K58" s="11" t="s">
        <v>4312</v>
      </c>
      <c r="L58" s="237" t="s">
        <v>5458</v>
      </c>
      <c r="M58" s="237"/>
      <c r="N58" s="237"/>
      <c r="O58" s="237" t="s">
        <v>3089</v>
      </c>
      <c r="P58" s="237"/>
      <c r="Q58" s="237"/>
      <c r="R58" s="237" t="s">
        <v>324</v>
      </c>
      <c r="S58" s="237"/>
      <c r="T58" s="237"/>
      <c r="U58" s="237"/>
      <c r="V58" s="237"/>
      <c r="W58" s="237"/>
      <c r="X58" s="237" t="s">
        <v>1971</v>
      </c>
      <c r="Y58" s="237"/>
      <c r="Z58" s="11" t="s">
        <v>267</v>
      </c>
      <c r="AA58" s="11" t="s">
        <v>5459</v>
      </c>
      <c r="AB58" s="237" t="s">
        <v>3130</v>
      </c>
      <c r="AC58" s="237"/>
      <c r="AD58" s="237"/>
      <c r="AE58" s="237"/>
      <c r="AF58" s="237"/>
      <c r="AG58" s="11" t="s">
        <v>5460</v>
      </c>
      <c r="AH58" s="237" t="s">
        <v>5461</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indexed="53"/>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0" width="0.140625" customWidth="1"/>
    <col min="41"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5462</v>
      </c>
      <c r="E7" s="269"/>
      <c r="F7" s="269"/>
      <c r="G7" s="269"/>
      <c r="H7" s="269"/>
      <c r="I7" s="269" t="s">
        <v>5463</v>
      </c>
      <c r="J7" s="269"/>
      <c r="K7" s="269"/>
      <c r="L7" s="269"/>
      <c r="M7" s="269"/>
      <c r="N7" s="269"/>
      <c r="O7" s="269"/>
      <c r="P7" s="269"/>
      <c r="Q7" s="269"/>
      <c r="R7" s="269"/>
      <c r="S7" s="269"/>
      <c r="T7" s="269"/>
      <c r="U7" s="269"/>
      <c r="V7" s="269"/>
      <c r="W7" s="269"/>
      <c r="X7" s="269"/>
      <c r="Y7" s="270" t="s">
        <v>5421</v>
      </c>
      <c r="Z7" s="270"/>
      <c r="AA7" s="270"/>
      <c r="AB7" s="270"/>
      <c r="AC7" s="270"/>
      <c r="AD7" s="270"/>
      <c r="AE7" s="270"/>
      <c r="AF7" s="270"/>
      <c r="AG7" s="270"/>
      <c r="AH7" s="270"/>
      <c r="AI7" s="270"/>
      <c r="AJ7" s="270"/>
      <c r="AK7" s="270"/>
      <c r="AL7" s="270"/>
      <c r="AM7" s="270"/>
      <c r="AN7" s="270"/>
      <c r="AO7" s="2"/>
      <c r="AP7" s="2"/>
      <c r="AQ7" s="7"/>
      <c r="AT7" s="22" t="s">
        <v>1518</v>
      </c>
      <c r="AU7" s="35" t="str">
        <f>I7</f>
        <v>BEZNAU-2</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5422</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5422</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1926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WH - 2 loops</v>
      </c>
    </row>
    <row r="13" spans="1:47" ht="11.25" customHeight="1">
      <c r="A13" s="6"/>
      <c r="B13" s="1"/>
      <c r="C13" s="2"/>
      <c r="D13" s="247" t="s">
        <v>5716</v>
      </c>
      <c r="E13" s="247"/>
      <c r="F13" s="247"/>
      <c r="G13" s="247"/>
      <c r="H13" s="247" t="s">
        <v>5709</v>
      </c>
      <c r="I13" s="247"/>
      <c r="J13" s="247" t="s">
        <v>5423</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1130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380</v>
      </c>
    </row>
    <row r="17" spans="1:47" ht="11.45" customHeight="1" thickBot="1">
      <c r="A17" s="6"/>
      <c r="B17" s="1"/>
      <c r="C17" s="1"/>
      <c r="D17" s="248" t="s">
        <v>5722</v>
      </c>
      <c r="E17" s="248"/>
      <c r="F17" s="248"/>
      <c r="G17" s="248"/>
      <c r="H17" s="247" t="s">
        <v>5709</v>
      </c>
      <c r="I17" s="247"/>
      <c r="J17" s="248" t="s">
        <v>5424</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365</v>
      </c>
    </row>
    <row r="18" spans="1:47" ht="13.5" thickBot="1">
      <c r="A18" s="6"/>
      <c r="B18" s="1"/>
      <c r="C18" s="1"/>
      <c r="D18" s="248" t="s">
        <v>185</v>
      </c>
      <c r="E18" s="248"/>
      <c r="F18" s="248"/>
      <c r="G18" s="248"/>
      <c r="H18" s="248"/>
      <c r="I18" s="248"/>
      <c r="J18" s="248"/>
      <c r="K18" s="248"/>
      <c r="L18" s="248"/>
      <c r="M18" s="8" t="s">
        <v>5709</v>
      </c>
      <c r="N18" s="264">
        <v>1130</v>
      </c>
      <c r="O18" s="264"/>
      <c r="P18" s="264"/>
      <c r="Q18" s="248" t="s">
        <v>186</v>
      </c>
      <c r="R18" s="248"/>
      <c r="S18" s="248"/>
      <c r="T18" s="2"/>
      <c r="U18" s="2"/>
      <c r="V18" s="252" t="s">
        <v>187</v>
      </c>
      <c r="W18" s="252"/>
      <c r="X18" s="252"/>
      <c r="Y18" s="252"/>
      <c r="Z18" s="252"/>
      <c r="AA18" s="252"/>
      <c r="AB18" s="252"/>
      <c r="AC18" s="247" t="s">
        <v>5709</v>
      </c>
      <c r="AD18" s="247"/>
      <c r="AE18" s="248" t="s">
        <v>5425</v>
      </c>
      <c r="AF18" s="248"/>
      <c r="AG18" s="248"/>
      <c r="AH18" s="248"/>
      <c r="AI18" s="248"/>
      <c r="AJ18" s="248"/>
      <c r="AK18" s="248"/>
      <c r="AL18" s="2"/>
      <c r="AM18" s="1"/>
      <c r="AN18" s="2"/>
      <c r="AO18" s="1"/>
      <c r="AP18" s="2"/>
      <c r="AQ18" s="7"/>
      <c r="AT18" s="25" t="str">
        <f>D26</f>
        <v>Grid Date</v>
      </c>
      <c r="AU18" s="25">
        <f>N26</f>
        <v>26229</v>
      </c>
    </row>
    <row r="19" spans="1:47" ht="13.5" thickBot="1">
      <c r="A19" s="6"/>
      <c r="B19" s="1"/>
      <c r="C19" s="1"/>
      <c r="D19" s="248" t="s">
        <v>189</v>
      </c>
      <c r="E19" s="248"/>
      <c r="F19" s="248"/>
      <c r="G19" s="248"/>
      <c r="H19" s="248"/>
      <c r="I19" s="248"/>
      <c r="J19" s="248"/>
      <c r="K19" s="248"/>
      <c r="L19" s="248"/>
      <c r="M19" s="8" t="s">
        <v>5709</v>
      </c>
      <c r="N19" s="264">
        <v>380</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42000</v>
      </c>
    </row>
    <row r="20" spans="1:47" ht="13.5" thickBot="1">
      <c r="A20" s="6"/>
      <c r="B20" s="1"/>
      <c r="C20" s="1"/>
      <c r="D20" s="248" t="s">
        <v>193</v>
      </c>
      <c r="E20" s="248"/>
      <c r="F20" s="248"/>
      <c r="G20" s="248"/>
      <c r="H20" s="248"/>
      <c r="I20" s="248"/>
      <c r="J20" s="248"/>
      <c r="K20" s="248"/>
      <c r="L20" s="248"/>
      <c r="M20" s="8" t="s">
        <v>5709</v>
      </c>
      <c r="N20" s="264">
        <v>350</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t="str">
        <f>R58</f>
        <v>87.60</v>
      </c>
    </row>
    <row r="21" spans="1:47" ht="13.5" thickBot="1">
      <c r="A21" s="6"/>
      <c r="B21" s="1"/>
      <c r="C21" s="1"/>
      <c r="D21" s="248" t="s">
        <v>196</v>
      </c>
      <c r="E21" s="248"/>
      <c r="F21" s="248"/>
      <c r="G21" s="248"/>
      <c r="H21" s="248"/>
      <c r="I21" s="248"/>
      <c r="J21" s="248"/>
      <c r="K21" s="248"/>
      <c r="L21" s="248"/>
      <c r="M21" s="8" t="s">
        <v>5709</v>
      </c>
      <c r="N21" s="264">
        <v>365</v>
      </c>
      <c r="O21" s="264"/>
      <c r="P21" s="264"/>
      <c r="Q21" s="248" t="s">
        <v>190</v>
      </c>
      <c r="R21" s="248"/>
      <c r="S21" s="248"/>
      <c r="T21" s="2"/>
      <c r="U21" s="2"/>
      <c r="V21" s="252" t="s">
        <v>197</v>
      </c>
      <c r="W21" s="252"/>
      <c r="X21" s="252"/>
      <c r="Y21" s="252"/>
      <c r="Z21" s="252"/>
      <c r="AA21" s="252"/>
      <c r="AB21" s="252"/>
      <c r="AC21" s="247" t="s">
        <v>5709</v>
      </c>
      <c r="AD21" s="247"/>
      <c r="AE21" s="248" t="s">
        <v>7035</v>
      </c>
      <c r="AF21" s="248"/>
      <c r="AG21" s="248"/>
      <c r="AH21" s="248"/>
      <c r="AI21" s="248"/>
      <c r="AJ21" s="248"/>
      <c r="AK21" s="248"/>
      <c r="AL21" s="2"/>
      <c r="AM21" s="1"/>
      <c r="AN21" s="2"/>
      <c r="AO21" s="1"/>
      <c r="AP21" s="2"/>
      <c r="AQ21" s="7"/>
      <c r="AT21" s="23" t="str">
        <f>D58&amp;AG51</f>
        <v>LF [%]2010</v>
      </c>
      <c r="AU21" s="23" t="str">
        <f>AG58</f>
        <v>89.34</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2960</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6656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24838</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213</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26229</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414</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26268</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5464</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422</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5465</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413</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5428</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5725</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1937</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5429</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5466</v>
      </c>
      <c r="G52" s="238"/>
      <c r="H52" s="238"/>
      <c r="I52" s="238"/>
      <c r="J52" s="238"/>
      <c r="K52" s="10" t="s">
        <v>5467</v>
      </c>
      <c r="L52" s="238" t="s">
        <v>5468</v>
      </c>
      <c r="M52" s="238"/>
      <c r="N52" s="238"/>
      <c r="O52" s="238" t="s">
        <v>5469</v>
      </c>
      <c r="P52" s="238"/>
      <c r="Q52" s="238"/>
      <c r="R52" s="238" t="s">
        <v>5470</v>
      </c>
      <c r="S52" s="238"/>
      <c r="T52" s="238"/>
      <c r="U52" s="238"/>
      <c r="V52" s="238"/>
      <c r="W52" s="238"/>
      <c r="X52" s="238" t="s">
        <v>5471</v>
      </c>
      <c r="Y52" s="238"/>
      <c r="Z52" s="10" t="s">
        <v>5472</v>
      </c>
      <c r="AA52" s="10" t="s">
        <v>5473</v>
      </c>
      <c r="AB52" s="238" t="s">
        <v>5474</v>
      </c>
      <c r="AC52" s="238"/>
      <c r="AD52" s="238"/>
      <c r="AE52" s="238"/>
      <c r="AF52" s="238"/>
      <c r="AG52" s="10" t="s">
        <v>5475</v>
      </c>
      <c r="AH52" s="237" t="s">
        <v>5476</v>
      </c>
      <c r="AI52" s="237"/>
      <c r="AJ52" s="237"/>
      <c r="AK52" s="237"/>
      <c r="AL52" s="237"/>
      <c r="AM52" s="2"/>
      <c r="AN52" s="2"/>
      <c r="AO52" s="2"/>
      <c r="AP52" s="2"/>
      <c r="AQ52" s="7"/>
    </row>
    <row r="53" spans="1:43" ht="13.5" thickBot="1">
      <c r="A53" s="6"/>
      <c r="B53" s="2"/>
      <c r="C53" s="2"/>
      <c r="D53" s="244" t="s">
        <v>261</v>
      </c>
      <c r="E53" s="244"/>
      <c r="F53" s="238" t="s">
        <v>5477</v>
      </c>
      <c r="G53" s="238"/>
      <c r="H53" s="238"/>
      <c r="I53" s="238"/>
      <c r="J53" s="238"/>
      <c r="K53" s="10" t="s">
        <v>6474</v>
      </c>
      <c r="L53" s="238" t="s">
        <v>6908</v>
      </c>
      <c r="M53" s="238"/>
      <c r="N53" s="238"/>
      <c r="O53" s="238" t="s">
        <v>5478</v>
      </c>
      <c r="P53" s="238"/>
      <c r="Q53" s="238"/>
      <c r="R53" s="238" t="s">
        <v>5416</v>
      </c>
      <c r="S53" s="238"/>
      <c r="T53" s="238"/>
      <c r="U53" s="238"/>
      <c r="V53" s="238"/>
      <c r="W53" s="238"/>
      <c r="X53" s="238" t="s">
        <v>5479</v>
      </c>
      <c r="Y53" s="238"/>
      <c r="Z53" s="10" t="s">
        <v>6704</v>
      </c>
      <c r="AA53" s="10" t="s">
        <v>5480</v>
      </c>
      <c r="AB53" s="238" t="s">
        <v>4228</v>
      </c>
      <c r="AC53" s="238"/>
      <c r="AD53" s="238"/>
      <c r="AE53" s="238"/>
      <c r="AF53" s="238"/>
      <c r="AG53" s="10" t="s">
        <v>3353</v>
      </c>
      <c r="AH53" s="237" t="s">
        <v>2725</v>
      </c>
      <c r="AI53" s="237"/>
      <c r="AJ53" s="237"/>
      <c r="AK53" s="237"/>
      <c r="AL53" s="237"/>
      <c r="AM53" s="2"/>
      <c r="AN53" s="2"/>
      <c r="AO53" s="2"/>
      <c r="AP53" s="2"/>
      <c r="AQ53" s="7"/>
    </row>
    <row r="54" spans="1:43" ht="13.5" thickBot="1">
      <c r="A54" s="6"/>
      <c r="B54" s="2"/>
      <c r="C54" s="2"/>
      <c r="D54" s="244" t="s">
        <v>273</v>
      </c>
      <c r="E54" s="244"/>
      <c r="F54" s="238" t="s">
        <v>5481</v>
      </c>
      <c r="G54" s="238"/>
      <c r="H54" s="238"/>
      <c r="I54" s="238"/>
      <c r="J54" s="238"/>
      <c r="K54" s="10" t="s">
        <v>4275</v>
      </c>
      <c r="L54" s="238" t="s">
        <v>5482</v>
      </c>
      <c r="M54" s="238"/>
      <c r="N54" s="238"/>
      <c r="O54" s="238" t="s">
        <v>6247</v>
      </c>
      <c r="P54" s="238"/>
      <c r="Q54" s="238"/>
      <c r="R54" s="238" t="s">
        <v>5483</v>
      </c>
      <c r="S54" s="238"/>
      <c r="T54" s="238"/>
      <c r="U54" s="238"/>
      <c r="V54" s="238"/>
      <c r="W54" s="238"/>
      <c r="X54" s="238" t="s">
        <v>5484</v>
      </c>
      <c r="Y54" s="238"/>
      <c r="Z54" s="10" t="s">
        <v>5485</v>
      </c>
      <c r="AA54" s="10" t="s">
        <v>3263</v>
      </c>
      <c r="AB54" s="238" t="s">
        <v>5486</v>
      </c>
      <c r="AC54" s="238"/>
      <c r="AD54" s="238"/>
      <c r="AE54" s="238"/>
      <c r="AF54" s="238"/>
      <c r="AG54" s="10" t="s">
        <v>5487</v>
      </c>
      <c r="AH54" s="237" t="s">
        <v>5488</v>
      </c>
      <c r="AI54" s="237"/>
      <c r="AJ54" s="237"/>
      <c r="AK54" s="237"/>
      <c r="AL54" s="237"/>
      <c r="AM54" s="2"/>
      <c r="AN54" s="2"/>
      <c r="AO54" s="2"/>
      <c r="AP54" s="2"/>
      <c r="AQ54" s="7"/>
    </row>
    <row r="55" spans="1:43" ht="13.5" thickBot="1">
      <c r="A55" s="6"/>
      <c r="B55" s="2"/>
      <c r="C55" s="2"/>
      <c r="D55" s="244" t="s">
        <v>285</v>
      </c>
      <c r="E55" s="244"/>
      <c r="F55" s="238" t="s">
        <v>5489</v>
      </c>
      <c r="G55" s="238"/>
      <c r="H55" s="238"/>
      <c r="I55" s="238"/>
      <c r="J55" s="238"/>
      <c r="K55" s="10" t="s">
        <v>5490</v>
      </c>
      <c r="L55" s="238" t="s">
        <v>5491</v>
      </c>
      <c r="M55" s="238"/>
      <c r="N55" s="238"/>
      <c r="O55" s="238" t="s">
        <v>5478</v>
      </c>
      <c r="P55" s="238"/>
      <c r="Q55" s="238"/>
      <c r="R55" s="238" t="s">
        <v>6528</v>
      </c>
      <c r="S55" s="238"/>
      <c r="T55" s="238"/>
      <c r="U55" s="238"/>
      <c r="V55" s="238"/>
      <c r="W55" s="238"/>
      <c r="X55" s="238" t="s">
        <v>5492</v>
      </c>
      <c r="Y55" s="238"/>
      <c r="Z55" s="10" t="s">
        <v>6334</v>
      </c>
      <c r="AA55" s="10" t="s">
        <v>5480</v>
      </c>
      <c r="AB55" s="238" t="s">
        <v>2803</v>
      </c>
      <c r="AC55" s="238"/>
      <c r="AD55" s="238"/>
      <c r="AE55" s="238"/>
      <c r="AF55" s="238"/>
      <c r="AG55" s="10" t="s">
        <v>3353</v>
      </c>
      <c r="AH55" s="237" t="s">
        <v>6828</v>
      </c>
      <c r="AI55" s="237"/>
      <c r="AJ55" s="237"/>
      <c r="AK55" s="237"/>
      <c r="AL55" s="237"/>
      <c r="AM55" s="2"/>
      <c r="AN55" s="2"/>
      <c r="AO55" s="2"/>
      <c r="AP55" s="2"/>
      <c r="AQ55" s="7"/>
    </row>
    <row r="56" spans="1:43" ht="13.5" thickBot="1">
      <c r="A56" s="6"/>
      <c r="B56" s="2"/>
      <c r="C56" s="2"/>
      <c r="D56" s="244" t="s">
        <v>295</v>
      </c>
      <c r="E56" s="244"/>
      <c r="F56" s="238" t="s">
        <v>6902</v>
      </c>
      <c r="G56" s="238"/>
      <c r="H56" s="238"/>
      <c r="I56" s="238"/>
      <c r="J56" s="238"/>
      <c r="K56" s="10" t="s">
        <v>6720</v>
      </c>
      <c r="L56" s="238" t="s">
        <v>5493</v>
      </c>
      <c r="M56" s="238"/>
      <c r="N56" s="238"/>
      <c r="O56" s="238" t="s">
        <v>6087</v>
      </c>
      <c r="P56" s="238"/>
      <c r="Q56" s="238"/>
      <c r="R56" s="238" t="s">
        <v>375</v>
      </c>
      <c r="S56" s="238"/>
      <c r="T56" s="238"/>
      <c r="U56" s="238"/>
      <c r="V56" s="238"/>
      <c r="W56" s="238"/>
      <c r="X56" s="238" t="s">
        <v>6087</v>
      </c>
      <c r="Y56" s="238"/>
      <c r="Z56" s="10" t="s">
        <v>1842</v>
      </c>
      <c r="AA56" s="10" t="s">
        <v>296</v>
      </c>
      <c r="AB56" s="238" t="s">
        <v>296</v>
      </c>
      <c r="AC56" s="238"/>
      <c r="AD56" s="238"/>
      <c r="AE56" s="238"/>
      <c r="AF56" s="238"/>
      <c r="AG56" s="10" t="s">
        <v>6087</v>
      </c>
      <c r="AH56" s="237" t="s">
        <v>2739</v>
      </c>
      <c r="AI56" s="237"/>
      <c r="AJ56" s="237"/>
      <c r="AK56" s="237"/>
      <c r="AL56" s="237"/>
      <c r="AM56" s="2"/>
      <c r="AN56" s="2"/>
      <c r="AO56" s="2"/>
      <c r="AP56" s="2"/>
      <c r="AQ56" s="7"/>
    </row>
    <row r="57" spans="1:43" ht="13.5" thickBot="1">
      <c r="A57" s="6"/>
      <c r="B57" s="2"/>
      <c r="C57" s="2"/>
      <c r="D57" s="244" t="s">
        <v>307</v>
      </c>
      <c r="E57" s="244"/>
      <c r="F57" s="238" t="s">
        <v>5494</v>
      </c>
      <c r="G57" s="238"/>
      <c r="H57" s="238"/>
      <c r="I57" s="238"/>
      <c r="J57" s="238"/>
      <c r="K57" s="10" t="s">
        <v>318</v>
      </c>
      <c r="L57" s="238" t="s">
        <v>6343</v>
      </c>
      <c r="M57" s="238"/>
      <c r="N57" s="238"/>
      <c r="O57" s="238" t="s">
        <v>4942</v>
      </c>
      <c r="P57" s="238"/>
      <c r="Q57" s="238"/>
      <c r="R57" s="238" t="s">
        <v>2968</v>
      </c>
      <c r="S57" s="238"/>
      <c r="T57" s="238"/>
      <c r="U57" s="238"/>
      <c r="V57" s="238"/>
      <c r="W57" s="238"/>
      <c r="X57" s="238" t="s">
        <v>5495</v>
      </c>
      <c r="Y57" s="238"/>
      <c r="Z57" s="10" t="s">
        <v>4786</v>
      </c>
      <c r="AA57" s="10" t="s">
        <v>324</v>
      </c>
      <c r="AB57" s="238" t="s">
        <v>5496</v>
      </c>
      <c r="AC57" s="238"/>
      <c r="AD57" s="238"/>
      <c r="AE57" s="238"/>
      <c r="AF57" s="238"/>
      <c r="AG57" s="10" t="s">
        <v>5497</v>
      </c>
      <c r="AH57" s="237" t="s">
        <v>3259</v>
      </c>
      <c r="AI57" s="237"/>
      <c r="AJ57" s="237"/>
      <c r="AK57" s="237"/>
      <c r="AL57" s="237"/>
      <c r="AM57" s="2"/>
      <c r="AN57" s="2"/>
      <c r="AO57" s="2"/>
      <c r="AP57" s="2"/>
      <c r="AQ57" s="7"/>
    </row>
    <row r="58" spans="1:43" ht="13.5" thickBot="1">
      <c r="A58" s="6"/>
      <c r="B58" s="2"/>
      <c r="C58" s="2"/>
      <c r="D58" s="244" t="s">
        <v>319</v>
      </c>
      <c r="E58" s="244"/>
      <c r="F58" s="237" t="s">
        <v>5498</v>
      </c>
      <c r="G58" s="237"/>
      <c r="H58" s="237"/>
      <c r="I58" s="237"/>
      <c r="J58" s="237"/>
      <c r="K58" s="11" t="s">
        <v>5499</v>
      </c>
      <c r="L58" s="237" t="s">
        <v>4203</v>
      </c>
      <c r="M58" s="237"/>
      <c r="N58" s="237"/>
      <c r="O58" s="237" t="s">
        <v>5500</v>
      </c>
      <c r="P58" s="237"/>
      <c r="Q58" s="237"/>
      <c r="R58" s="237" t="s">
        <v>5501</v>
      </c>
      <c r="S58" s="237"/>
      <c r="T58" s="237"/>
      <c r="U58" s="237"/>
      <c r="V58" s="237"/>
      <c r="W58" s="237"/>
      <c r="X58" s="237" t="s">
        <v>2856</v>
      </c>
      <c r="Y58" s="237"/>
      <c r="Z58" s="11" t="s">
        <v>3512</v>
      </c>
      <c r="AA58" s="11" t="s">
        <v>2843</v>
      </c>
      <c r="AB58" s="237" t="s">
        <v>5502</v>
      </c>
      <c r="AC58" s="237"/>
      <c r="AD58" s="237"/>
      <c r="AE58" s="237"/>
      <c r="AF58" s="237"/>
      <c r="AG58" s="11" t="s">
        <v>4844</v>
      </c>
      <c r="AH58" s="237" t="s">
        <v>4215</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indexed="53"/>
  </sheetPr>
  <dimension ref="A1:AU62"/>
  <sheetViews>
    <sheetView topLeftCell="F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1" width="3.140625" customWidth="1"/>
    <col min="32" max="33" width="7.42578125" customWidth="1"/>
    <col min="34" max="36" width="0.140625" customWidth="1"/>
    <col min="37" max="37" width="0.28515625" customWidth="1"/>
    <col min="38" max="39" width="0.140625" customWidth="1"/>
    <col min="40"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1"/>
      <c r="AO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5"/>
    </row>
    <row r="7" spans="1:47" ht="14.45" customHeight="1" thickBot="1">
      <c r="A7" s="6"/>
      <c r="B7" s="2"/>
      <c r="C7" s="2"/>
      <c r="D7" s="269" t="s">
        <v>5536</v>
      </c>
      <c r="E7" s="269"/>
      <c r="F7" s="269"/>
      <c r="G7" s="269"/>
      <c r="H7" s="269"/>
      <c r="I7" s="269" t="s">
        <v>5537</v>
      </c>
      <c r="J7" s="269"/>
      <c r="K7" s="269"/>
      <c r="L7" s="269"/>
      <c r="M7" s="269"/>
      <c r="N7" s="269"/>
      <c r="O7" s="269"/>
      <c r="P7" s="269"/>
      <c r="Q7" s="269"/>
      <c r="R7" s="269"/>
      <c r="S7" s="269"/>
      <c r="T7" s="269"/>
      <c r="U7" s="269"/>
      <c r="V7" s="269"/>
      <c r="W7" s="269"/>
      <c r="X7" s="269"/>
      <c r="Y7" s="270" t="s">
        <v>5421</v>
      </c>
      <c r="Z7" s="270"/>
      <c r="AA7" s="270"/>
      <c r="AB7" s="270"/>
      <c r="AC7" s="270"/>
      <c r="AD7" s="270"/>
      <c r="AE7" s="270"/>
      <c r="AF7" s="270"/>
      <c r="AG7" s="270"/>
      <c r="AH7" s="270"/>
      <c r="AI7" s="270"/>
      <c r="AJ7" s="270"/>
      <c r="AK7" s="270"/>
      <c r="AL7" s="270"/>
      <c r="AM7" s="2"/>
      <c r="AN7" s="2"/>
      <c r="AO7" s="7"/>
      <c r="AT7" s="22" t="s">
        <v>1518</v>
      </c>
      <c r="AU7" s="35" t="str">
        <f>I7</f>
        <v>GOESGEN</v>
      </c>
    </row>
    <row r="8" spans="1:47" ht="11.4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2"/>
      <c r="AO8" s="7"/>
    </row>
    <row r="9" spans="1:47" ht="11.45" customHeight="1">
      <c r="A9" s="6"/>
      <c r="B9" s="1"/>
      <c r="C9" s="2"/>
      <c r="D9" s="247" t="s">
        <v>5711</v>
      </c>
      <c r="E9" s="247"/>
      <c r="F9" s="247"/>
      <c r="G9" s="247"/>
      <c r="H9" s="247" t="s">
        <v>5709</v>
      </c>
      <c r="I9" s="247"/>
      <c r="J9" s="247" t="s">
        <v>5538</v>
      </c>
      <c r="K9" s="247"/>
      <c r="L9" s="247"/>
      <c r="M9" s="247"/>
      <c r="N9" s="247"/>
      <c r="O9" s="247"/>
      <c r="P9" s="247"/>
      <c r="Q9" s="247"/>
      <c r="R9" s="247"/>
      <c r="S9" s="247"/>
      <c r="T9" s="247"/>
      <c r="U9" s="247"/>
      <c r="V9" s="247"/>
      <c r="W9" s="247"/>
      <c r="X9" s="247"/>
      <c r="Y9" s="247"/>
      <c r="Z9" s="247"/>
      <c r="AA9" s="247"/>
      <c r="AB9" s="247"/>
      <c r="AC9" s="247"/>
      <c r="AD9" s="2"/>
      <c r="AE9" s="2"/>
      <c r="AF9" s="2"/>
      <c r="AG9" s="2"/>
      <c r="AH9" s="2"/>
      <c r="AI9" s="2"/>
      <c r="AJ9" s="2"/>
      <c r="AK9" s="2"/>
      <c r="AL9" s="2"/>
      <c r="AM9" s="1"/>
      <c r="AN9" s="2"/>
      <c r="AO9" s="7"/>
    </row>
    <row r="10" spans="1:47" ht="11.45" customHeight="1">
      <c r="A10" s="6"/>
      <c r="B10" s="1"/>
      <c r="C10" s="2"/>
      <c r="D10" s="247" t="s">
        <v>5713</v>
      </c>
      <c r="E10" s="247"/>
      <c r="F10" s="247"/>
      <c r="G10" s="247"/>
      <c r="H10" s="247" t="s">
        <v>5709</v>
      </c>
      <c r="I10" s="247"/>
      <c r="J10" s="247" t="s">
        <v>5538</v>
      </c>
      <c r="K10" s="247"/>
      <c r="L10" s="247"/>
      <c r="M10" s="247"/>
      <c r="N10" s="247"/>
      <c r="O10" s="247"/>
      <c r="P10" s="247"/>
      <c r="Q10" s="247"/>
      <c r="R10" s="247"/>
      <c r="S10" s="247"/>
      <c r="T10" s="247"/>
      <c r="U10" s="247"/>
      <c r="V10" s="247"/>
      <c r="W10" s="247"/>
      <c r="X10" s="247"/>
      <c r="Y10" s="247"/>
      <c r="Z10" s="247"/>
      <c r="AA10" s="247"/>
      <c r="AB10" s="247"/>
      <c r="AC10" s="247"/>
      <c r="AD10" s="2"/>
      <c r="AE10" s="2"/>
      <c r="AF10" s="2"/>
      <c r="AG10" s="2"/>
      <c r="AH10" s="2"/>
      <c r="AI10" s="2"/>
      <c r="AJ10" s="2"/>
      <c r="AK10" s="2"/>
      <c r="AL10" s="2"/>
      <c r="AM10" s="1"/>
      <c r="AN10" s="2"/>
      <c r="AO10" s="7"/>
    </row>
    <row r="11" spans="1:47" ht="11.45" customHeight="1">
      <c r="A11" s="6"/>
      <c r="B11" s="1"/>
      <c r="C11" s="2"/>
      <c r="D11" s="247" t="s">
        <v>5714</v>
      </c>
      <c r="E11" s="247"/>
      <c r="F11" s="247"/>
      <c r="G11" s="247"/>
      <c r="H11" s="247" t="s">
        <v>5709</v>
      </c>
      <c r="I11" s="247"/>
      <c r="J11" s="247" t="s">
        <v>2819</v>
      </c>
      <c r="K11" s="247"/>
      <c r="L11" s="247"/>
      <c r="M11" s="247"/>
      <c r="N11" s="247"/>
      <c r="O11" s="247"/>
      <c r="P11" s="247"/>
      <c r="Q11" s="247"/>
      <c r="R11" s="247"/>
      <c r="S11" s="247"/>
      <c r="T11" s="247"/>
      <c r="U11" s="247"/>
      <c r="V11" s="247"/>
      <c r="W11" s="247"/>
      <c r="X11" s="247"/>
      <c r="Y11" s="247"/>
      <c r="Z11" s="247"/>
      <c r="AA11" s="247"/>
      <c r="AB11" s="247"/>
      <c r="AC11" s="247"/>
      <c r="AD11" s="2"/>
      <c r="AE11" s="2"/>
      <c r="AF11" s="2"/>
      <c r="AG11" s="2"/>
      <c r="AH11" s="2"/>
      <c r="AI11" s="2"/>
      <c r="AJ11" s="2"/>
      <c r="AK11" s="2"/>
      <c r="AL11" s="2"/>
      <c r="AM11" s="1"/>
      <c r="AN11" s="2"/>
      <c r="AO11" s="7"/>
      <c r="AT11" s="23" t="str">
        <f>D14</f>
        <v>Type</v>
      </c>
      <c r="AU11" s="24" t="str">
        <f>J14</f>
        <v xml:space="preserve">PWR  </v>
      </c>
    </row>
    <row r="12" spans="1:47" ht="11.45" customHeight="1" thickBot="1">
      <c r="A12" s="6"/>
      <c r="B12" s="1"/>
      <c r="C12" s="2"/>
      <c r="D12" s="247" t="s">
        <v>5716</v>
      </c>
      <c r="E12" s="247"/>
      <c r="F12" s="247"/>
      <c r="G12" s="247"/>
      <c r="H12" s="247" t="s">
        <v>5709</v>
      </c>
      <c r="I12" s="247"/>
      <c r="J12" s="247" t="s">
        <v>2819</v>
      </c>
      <c r="K12" s="247"/>
      <c r="L12" s="247"/>
      <c r="M12" s="247"/>
      <c r="N12" s="247"/>
      <c r="O12" s="247"/>
      <c r="P12" s="247"/>
      <c r="Q12" s="247"/>
      <c r="R12" s="247"/>
      <c r="S12" s="247"/>
      <c r="T12" s="247"/>
      <c r="U12" s="247"/>
      <c r="V12" s="247"/>
      <c r="W12" s="247"/>
      <c r="X12" s="247"/>
      <c r="Y12" s="247"/>
      <c r="Z12" s="247"/>
      <c r="AA12" s="247"/>
      <c r="AB12" s="247"/>
      <c r="AC12" s="247"/>
      <c r="AD12" s="2"/>
      <c r="AE12" s="2"/>
      <c r="AF12" s="2"/>
      <c r="AG12" s="2"/>
      <c r="AH12" s="2"/>
      <c r="AI12" s="2"/>
      <c r="AJ12" s="2"/>
      <c r="AK12" s="2"/>
      <c r="AL12" s="2"/>
      <c r="AM12" s="1"/>
      <c r="AN12" s="2"/>
      <c r="AO12" s="7"/>
      <c r="AT12" s="23" t="str">
        <f>D15</f>
        <v>Model</v>
      </c>
      <c r="AU12" s="24" t="str">
        <f>J15</f>
        <v>PWR 3 Loop</v>
      </c>
    </row>
    <row r="13" spans="1:47" ht="11.25" customHeight="1" thickBot="1">
      <c r="A13" s="6"/>
      <c r="B13" s="1"/>
      <c r="C13" s="1"/>
      <c r="D13" s="265" t="s">
        <v>5717</v>
      </c>
      <c r="E13" s="265"/>
      <c r="F13" s="265"/>
      <c r="G13" s="265"/>
      <c r="H13" s="265"/>
      <c r="I13" s="265"/>
      <c r="J13" s="265"/>
      <c r="K13" s="265"/>
      <c r="L13" s="265"/>
      <c r="M13" s="265"/>
      <c r="N13" s="265"/>
      <c r="O13" s="265"/>
      <c r="P13" s="265"/>
      <c r="Q13" s="265"/>
      <c r="R13" s="265"/>
      <c r="S13" s="265"/>
      <c r="T13" s="2"/>
      <c r="U13" s="2"/>
      <c r="V13" s="265" t="s">
        <v>5718</v>
      </c>
      <c r="W13" s="265"/>
      <c r="X13" s="265"/>
      <c r="Y13" s="265"/>
      <c r="Z13" s="265"/>
      <c r="AA13" s="265"/>
      <c r="AB13" s="265"/>
      <c r="AC13" s="265"/>
      <c r="AD13" s="265"/>
      <c r="AE13" s="265"/>
      <c r="AF13" s="265"/>
      <c r="AG13" s="265"/>
      <c r="AH13" s="265"/>
      <c r="AI13" s="265"/>
      <c r="AJ13" s="1"/>
      <c r="AK13" s="1"/>
      <c r="AL13" s="2"/>
      <c r="AM13" s="1"/>
      <c r="AN13" s="2"/>
      <c r="AO13" s="7"/>
      <c r="AT13" s="24" t="str">
        <f>D16 &amp;" [MWth]"</f>
        <v>Latest thermal power [MWth]</v>
      </c>
      <c r="AU13" s="24">
        <f>N16</f>
        <v>3002</v>
      </c>
    </row>
    <row r="14" spans="1:47" ht="11.45" customHeight="1" thickBot="1">
      <c r="A14" s="6"/>
      <c r="B14" s="1"/>
      <c r="C14" s="1"/>
      <c r="D14" s="248" t="s">
        <v>5719</v>
      </c>
      <c r="E14" s="248"/>
      <c r="F14" s="248"/>
      <c r="G14" s="248"/>
      <c r="H14" s="247" t="s">
        <v>5709</v>
      </c>
      <c r="I14" s="247"/>
      <c r="J14" s="248" t="s">
        <v>407</v>
      </c>
      <c r="K14" s="248"/>
      <c r="L14" s="248"/>
      <c r="M14" s="248"/>
      <c r="N14" s="248"/>
      <c r="O14" s="248"/>
      <c r="P14" s="248"/>
      <c r="Q14" s="248"/>
      <c r="R14" s="248"/>
      <c r="S14" s="248"/>
      <c r="T14" s="2"/>
      <c r="U14" s="2"/>
      <c r="V14" s="266" t="s">
        <v>5721</v>
      </c>
      <c r="W14" s="266"/>
      <c r="X14" s="266"/>
      <c r="Y14" s="266"/>
      <c r="Z14" s="266"/>
      <c r="AA14" s="266"/>
      <c r="AB14" s="266"/>
      <c r="AC14" s="247"/>
      <c r="AD14" s="247"/>
      <c r="AE14" s="248"/>
      <c r="AF14" s="248"/>
      <c r="AG14" s="248"/>
      <c r="AH14" s="248"/>
      <c r="AI14" s="248"/>
      <c r="AJ14" s="2"/>
      <c r="AK14" s="1"/>
      <c r="AL14" s="2"/>
      <c r="AM14" s="1"/>
      <c r="AN14" s="2"/>
      <c r="AO14" s="7"/>
    </row>
    <row r="15" spans="1:47" ht="11.45" customHeight="1" thickBot="1">
      <c r="A15" s="6"/>
      <c r="B15" s="1"/>
      <c r="C15" s="1"/>
      <c r="D15" s="248" t="s">
        <v>5722</v>
      </c>
      <c r="E15" s="248"/>
      <c r="F15" s="248"/>
      <c r="G15" s="248"/>
      <c r="H15" s="247" t="s">
        <v>5709</v>
      </c>
      <c r="I15" s="247"/>
      <c r="J15" s="248" t="s">
        <v>5539</v>
      </c>
      <c r="K15" s="248"/>
      <c r="L15" s="248"/>
      <c r="M15" s="248"/>
      <c r="N15" s="248"/>
      <c r="O15" s="248"/>
      <c r="P15" s="248"/>
      <c r="Q15" s="248"/>
      <c r="R15" s="248"/>
      <c r="S15" s="248"/>
      <c r="T15" s="2"/>
      <c r="U15" s="2"/>
      <c r="V15" s="252" t="s">
        <v>5724</v>
      </c>
      <c r="W15" s="252"/>
      <c r="X15" s="252"/>
      <c r="Y15" s="252"/>
      <c r="Z15" s="252"/>
      <c r="AA15" s="252"/>
      <c r="AB15" s="252"/>
      <c r="AC15" s="247" t="s">
        <v>5709</v>
      </c>
      <c r="AD15" s="247"/>
      <c r="AE15" s="248" t="s">
        <v>5725</v>
      </c>
      <c r="AF15" s="248"/>
      <c r="AG15" s="248"/>
      <c r="AH15" s="248"/>
      <c r="AI15" s="248"/>
      <c r="AJ15" s="2"/>
      <c r="AK15" s="1"/>
      <c r="AL15" s="2"/>
      <c r="AM15" s="1"/>
      <c r="AN15" s="2"/>
      <c r="AO15" s="7"/>
    </row>
    <row r="16" spans="1:47" ht="13.5" thickBot="1">
      <c r="A16" s="6"/>
      <c r="B16" s="1"/>
      <c r="C16" s="1"/>
      <c r="D16" s="248" t="s">
        <v>185</v>
      </c>
      <c r="E16" s="248"/>
      <c r="F16" s="248"/>
      <c r="G16" s="248"/>
      <c r="H16" s="248"/>
      <c r="I16" s="248"/>
      <c r="J16" s="248"/>
      <c r="K16" s="248"/>
      <c r="L16" s="248"/>
      <c r="M16" s="8" t="s">
        <v>5709</v>
      </c>
      <c r="N16" s="264">
        <v>3002</v>
      </c>
      <c r="O16" s="264"/>
      <c r="P16" s="264"/>
      <c r="Q16" s="248" t="s">
        <v>186</v>
      </c>
      <c r="R16" s="248"/>
      <c r="S16" s="248"/>
      <c r="T16" s="2"/>
      <c r="U16" s="2"/>
      <c r="V16" s="252" t="s">
        <v>187</v>
      </c>
      <c r="W16" s="252"/>
      <c r="X16" s="252"/>
      <c r="Y16" s="252"/>
      <c r="Z16" s="252"/>
      <c r="AA16" s="252"/>
      <c r="AB16" s="252"/>
      <c r="AC16" s="247" t="s">
        <v>5709</v>
      </c>
      <c r="AD16" s="247"/>
      <c r="AE16" s="248" t="s">
        <v>2927</v>
      </c>
      <c r="AF16" s="248"/>
      <c r="AG16" s="248"/>
      <c r="AH16" s="248"/>
      <c r="AI16" s="248"/>
      <c r="AJ16" s="2"/>
      <c r="AK16" s="1"/>
      <c r="AL16" s="2"/>
      <c r="AM16" s="1"/>
      <c r="AN16" s="2"/>
      <c r="AO16" s="7"/>
      <c r="AT16" s="24" t="str">
        <f>D17 &amp; " [MWe]"</f>
        <v>Latest gross electrical power [MWe]</v>
      </c>
      <c r="AU16" s="24">
        <f>N17</f>
        <v>1035</v>
      </c>
    </row>
    <row r="17" spans="1:47" ht="13.5" thickBot="1">
      <c r="A17" s="6"/>
      <c r="B17" s="1"/>
      <c r="C17" s="1"/>
      <c r="D17" s="248" t="s">
        <v>189</v>
      </c>
      <c r="E17" s="248"/>
      <c r="F17" s="248"/>
      <c r="G17" s="248"/>
      <c r="H17" s="248"/>
      <c r="I17" s="248"/>
      <c r="J17" s="248"/>
      <c r="K17" s="248"/>
      <c r="L17" s="248"/>
      <c r="M17" s="8" t="s">
        <v>5709</v>
      </c>
      <c r="N17" s="264">
        <v>1035</v>
      </c>
      <c r="O17" s="264"/>
      <c r="P17" s="264"/>
      <c r="Q17" s="248" t="s">
        <v>190</v>
      </c>
      <c r="R17" s="248"/>
      <c r="S17" s="248"/>
      <c r="T17" s="2"/>
      <c r="U17" s="2"/>
      <c r="V17" s="252" t="s">
        <v>191</v>
      </c>
      <c r="W17" s="252"/>
      <c r="X17" s="252"/>
      <c r="Y17" s="252"/>
      <c r="Z17" s="252"/>
      <c r="AA17" s="252"/>
      <c r="AB17" s="252"/>
      <c r="AC17" s="247" t="s">
        <v>5709</v>
      </c>
      <c r="AD17" s="247"/>
      <c r="AE17" s="248" t="s">
        <v>192</v>
      </c>
      <c r="AF17" s="248"/>
      <c r="AG17" s="248"/>
      <c r="AH17" s="248"/>
      <c r="AI17" s="248"/>
      <c r="AJ17" s="2"/>
      <c r="AK17" s="1"/>
      <c r="AL17" s="2"/>
      <c r="AM17" s="1"/>
      <c r="AN17" s="2"/>
      <c r="AO17" s="7"/>
      <c r="AT17" s="24" t="str">
        <f>D19 &amp; " [MWe]"</f>
        <v>Latest reference unit power (net) [MWe]</v>
      </c>
      <c r="AU17" s="24">
        <f>N19</f>
        <v>970</v>
      </c>
    </row>
    <row r="18" spans="1:47" ht="13.5" thickBot="1">
      <c r="A18" s="6"/>
      <c r="B18" s="1"/>
      <c r="C18" s="1"/>
      <c r="D18" s="248" t="s">
        <v>193</v>
      </c>
      <c r="E18" s="248"/>
      <c r="F18" s="248"/>
      <c r="G18" s="248"/>
      <c r="H18" s="248"/>
      <c r="I18" s="248"/>
      <c r="J18" s="248"/>
      <c r="K18" s="248"/>
      <c r="L18" s="248"/>
      <c r="M18" s="8" t="s">
        <v>5709</v>
      </c>
      <c r="N18" s="264">
        <v>920</v>
      </c>
      <c r="O18" s="264"/>
      <c r="P18" s="264"/>
      <c r="Q18" s="248" t="s">
        <v>190</v>
      </c>
      <c r="R18" s="248"/>
      <c r="S18" s="248"/>
      <c r="T18" s="2"/>
      <c r="U18" s="2"/>
      <c r="V18" s="252" t="s">
        <v>194</v>
      </c>
      <c r="W18" s="252"/>
      <c r="X18" s="252"/>
      <c r="Y18" s="252"/>
      <c r="Z18" s="252"/>
      <c r="AA18" s="252"/>
      <c r="AB18" s="252"/>
      <c r="AC18" s="247" t="s">
        <v>5709</v>
      </c>
      <c r="AD18" s="247"/>
      <c r="AE18" s="248" t="s">
        <v>195</v>
      </c>
      <c r="AF18" s="248"/>
      <c r="AG18" s="248"/>
      <c r="AH18" s="248"/>
      <c r="AI18" s="248"/>
      <c r="AJ18" s="2"/>
      <c r="AK18" s="1"/>
      <c r="AL18" s="2"/>
      <c r="AM18" s="1"/>
      <c r="AN18" s="2"/>
      <c r="AO18" s="7"/>
      <c r="AT18" s="25" t="str">
        <f>D24</f>
        <v>Grid Date</v>
      </c>
      <c r="AU18" s="25">
        <f>N24</f>
        <v>28888</v>
      </c>
    </row>
    <row r="19" spans="1:47" ht="13.5" thickBot="1">
      <c r="A19" s="6"/>
      <c r="B19" s="1"/>
      <c r="C19" s="1"/>
      <c r="D19" s="248" t="s">
        <v>196</v>
      </c>
      <c r="E19" s="248"/>
      <c r="F19" s="248"/>
      <c r="G19" s="248"/>
      <c r="H19" s="248"/>
      <c r="I19" s="248"/>
      <c r="J19" s="248"/>
      <c r="K19" s="248"/>
      <c r="L19" s="248"/>
      <c r="M19" s="8" t="s">
        <v>5709</v>
      </c>
      <c r="N19" s="264">
        <v>970</v>
      </c>
      <c r="O19" s="264"/>
      <c r="P19" s="264"/>
      <c r="Q19" s="248" t="s">
        <v>190</v>
      </c>
      <c r="R19" s="248"/>
      <c r="S19" s="248"/>
      <c r="T19" s="2"/>
      <c r="U19" s="2"/>
      <c r="V19" s="252" t="s">
        <v>197</v>
      </c>
      <c r="W19" s="252"/>
      <c r="X19" s="252"/>
      <c r="Y19" s="252"/>
      <c r="Z19" s="252"/>
      <c r="AA19" s="252"/>
      <c r="AB19" s="252"/>
      <c r="AC19" s="247" t="s">
        <v>5709</v>
      </c>
      <c r="AD19" s="247"/>
      <c r="AE19" s="248" t="s">
        <v>5540</v>
      </c>
      <c r="AF19" s="248"/>
      <c r="AG19" s="248"/>
      <c r="AH19" s="248"/>
      <c r="AI19" s="248"/>
      <c r="AJ19" s="2"/>
      <c r="AK19" s="1"/>
      <c r="AL19" s="2"/>
      <c r="AM19" s="1"/>
      <c r="AN19" s="2"/>
      <c r="AO19" s="7"/>
      <c r="AT19" s="23" t="str">
        <f>V19</f>
        <v>Average discharge burnup  [MWd/t]</v>
      </c>
      <c r="AU19" s="23" t="str">
        <f>AE19</f>
        <v>52000</v>
      </c>
    </row>
    <row r="20" spans="1:47" ht="11.45" customHeight="1" thickBot="1">
      <c r="A20" s="6"/>
      <c r="B20" s="1"/>
      <c r="C20" s="1"/>
      <c r="D20" s="260" t="s">
        <v>199</v>
      </c>
      <c r="E20" s="247"/>
      <c r="F20" s="247"/>
      <c r="G20" s="247"/>
      <c r="H20" s="247"/>
      <c r="I20" s="247"/>
      <c r="J20" s="247"/>
      <c r="K20" s="247"/>
      <c r="L20" s="247"/>
      <c r="M20" s="261"/>
      <c r="N20" s="262" t="s">
        <v>200</v>
      </c>
      <c r="O20" s="262"/>
      <c r="P20" s="262"/>
      <c r="Q20" s="263"/>
      <c r="R20" s="263"/>
      <c r="S20" s="263"/>
      <c r="T20" s="2"/>
      <c r="U20" s="2"/>
      <c r="V20" s="252" t="s">
        <v>201</v>
      </c>
      <c r="W20" s="252"/>
      <c r="X20" s="252"/>
      <c r="Y20" s="252"/>
      <c r="Z20" s="252"/>
      <c r="AA20" s="252"/>
      <c r="AB20" s="252"/>
      <c r="AC20" s="247" t="s">
        <v>5709</v>
      </c>
      <c r="AD20" s="247"/>
      <c r="AE20" s="248" t="s">
        <v>6016</v>
      </c>
      <c r="AF20" s="248"/>
      <c r="AG20" s="248"/>
      <c r="AH20" s="248"/>
      <c r="AI20" s="248"/>
      <c r="AJ20" s="2"/>
      <c r="AK20" s="1"/>
      <c r="AL20" s="2"/>
      <c r="AM20" s="1"/>
      <c r="AN20" s="2"/>
      <c r="AO20" s="7"/>
      <c r="AT20" s="23" t="str">
        <f>D56 &amp; R49</f>
        <v>LF [%]2005</v>
      </c>
      <c r="AU20" s="23" t="str">
        <f>R56</f>
        <v>89.30</v>
      </c>
    </row>
    <row r="21" spans="1:47" ht="12" customHeight="1" thickBot="1">
      <c r="A21" s="6"/>
      <c r="B21" s="1"/>
      <c r="C21" s="1"/>
      <c r="D21" s="260"/>
      <c r="E21" s="247"/>
      <c r="F21" s="247"/>
      <c r="G21" s="247"/>
      <c r="H21" s="247"/>
      <c r="I21" s="247"/>
      <c r="J21" s="247"/>
      <c r="K21" s="247"/>
      <c r="L21" s="247"/>
      <c r="M21" s="261"/>
      <c r="N21" s="262"/>
      <c r="O21" s="262"/>
      <c r="P21" s="262"/>
      <c r="Q21" s="263"/>
      <c r="R21" s="263"/>
      <c r="S21" s="263"/>
      <c r="T21" s="2"/>
      <c r="U21" s="2"/>
      <c r="V21" s="252" t="s">
        <v>203</v>
      </c>
      <c r="W21" s="252"/>
      <c r="X21" s="252"/>
      <c r="Y21" s="252"/>
      <c r="Z21" s="252"/>
      <c r="AA21" s="252"/>
      <c r="AB21" s="252"/>
      <c r="AC21" s="247" t="s">
        <v>5709</v>
      </c>
      <c r="AD21" s="247"/>
      <c r="AE21" s="248" t="s">
        <v>5541</v>
      </c>
      <c r="AF21" s="248"/>
      <c r="AG21" s="248"/>
      <c r="AH21" s="248"/>
      <c r="AI21" s="248"/>
      <c r="AJ21" s="2"/>
      <c r="AK21" s="1"/>
      <c r="AL21" s="2"/>
      <c r="AM21" s="1"/>
      <c r="AN21" s="2"/>
      <c r="AO21" s="7"/>
      <c r="AT21" s="23" t="str">
        <f>D56&amp;AF49</f>
        <v>LF [%]2010</v>
      </c>
      <c r="AU21" s="23" t="str">
        <f>AF56</f>
        <v>94.49</v>
      </c>
    </row>
    <row r="22" spans="1:47" ht="8.85" customHeight="1" thickBot="1">
      <c r="A22" s="6"/>
      <c r="B22" s="1"/>
      <c r="C22" s="1"/>
      <c r="D22" s="248" t="s">
        <v>205</v>
      </c>
      <c r="E22" s="248"/>
      <c r="F22" s="248"/>
      <c r="G22" s="248"/>
      <c r="H22" s="248"/>
      <c r="I22" s="248"/>
      <c r="J22" s="248"/>
      <c r="K22" s="248"/>
      <c r="L22" s="248"/>
      <c r="M22" s="247" t="s">
        <v>5709</v>
      </c>
      <c r="N22" s="259">
        <v>26999</v>
      </c>
      <c r="O22" s="259"/>
      <c r="P22" s="259"/>
      <c r="Q22" s="248"/>
      <c r="R22" s="248"/>
      <c r="S22" s="248"/>
      <c r="T22" s="2"/>
      <c r="U22" s="2"/>
      <c r="V22" s="252"/>
      <c r="W22" s="252"/>
      <c r="X22" s="252"/>
      <c r="Y22" s="252"/>
      <c r="Z22" s="252"/>
      <c r="AA22" s="252"/>
      <c r="AB22" s="252"/>
      <c r="AC22" s="247"/>
      <c r="AD22" s="247"/>
      <c r="AE22" s="248"/>
      <c r="AF22" s="248"/>
      <c r="AG22" s="248"/>
      <c r="AH22" s="248"/>
      <c r="AI22" s="248"/>
      <c r="AJ22" s="2"/>
      <c r="AK22" s="1"/>
      <c r="AL22" s="2"/>
      <c r="AM22" s="1"/>
      <c r="AN22" s="2"/>
      <c r="AO22" s="7"/>
    </row>
    <row r="23" spans="1:47" ht="2.85" customHeight="1" thickBot="1">
      <c r="A23" s="6"/>
      <c r="B23" s="1"/>
      <c r="C23" s="1"/>
      <c r="D23" s="248"/>
      <c r="E23" s="248"/>
      <c r="F23" s="248"/>
      <c r="G23" s="248"/>
      <c r="H23" s="248"/>
      <c r="I23" s="248"/>
      <c r="J23" s="248"/>
      <c r="K23" s="248"/>
      <c r="L23" s="248"/>
      <c r="M23" s="247"/>
      <c r="N23" s="259"/>
      <c r="O23" s="259"/>
      <c r="P23" s="259"/>
      <c r="Q23" s="248"/>
      <c r="R23" s="248"/>
      <c r="S23" s="248"/>
      <c r="T23" s="2"/>
      <c r="U23" s="2"/>
      <c r="V23" s="252" t="s">
        <v>206</v>
      </c>
      <c r="W23" s="252"/>
      <c r="X23" s="252"/>
      <c r="Y23" s="252"/>
      <c r="Z23" s="252"/>
      <c r="AA23" s="252"/>
      <c r="AB23" s="252"/>
      <c r="AC23" s="247" t="s">
        <v>5709</v>
      </c>
      <c r="AD23" s="247"/>
      <c r="AE23" s="248" t="s">
        <v>4808</v>
      </c>
      <c r="AF23" s="248"/>
      <c r="AG23" s="248"/>
      <c r="AH23" s="248"/>
      <c r="AI23" s="248"/>
      <c r="AJ23" s="2"/>
      <c r="AK23" s="1"/>
      <c r="AL23" s="2"/>
      <c r="AM23" s="1"/>
      <c r="AN23" s="2"/>
      <c r="AO23" s="7"/>
    </row>
    <row r="24" spans="1:47" ht="8.85" customHeight="1" thickBot="1">
      <c r="A24" s="6"/>
      <c r="B24" s="1"/>
      <c r="C24" s="1"/>
      <c r="D24" s="248" t="s">
        <v>208</v>
      </c>
      <c r="E24" s="248"/>
      <c r="F24" s="248"/>
      <c r="G24" s="248"/>
      <c r="H24" s="248"/>
      <c r="I24" s="248"/>
      <c r="J24" s="248"/>
      <c r="K24" s="248"/>
      <c r="L24" s="248"/>
      <c r="M24" s="247" t="s">
        <v>5709</v>
      </c>
      <c r="N24" s="259">
        <v>28888</v>
      </c>
      <c r="O24" s="259"/>
      <c r="P24" s="259"/>
      <c r="Q24" s="248"/>
      <c r="R24" s="248"/>
      <c r="S24" s="248"/>
      <c r="T24" s="2"/>
      <c r="U24" s="2"/>
      <c r="V24" s="252"/>
      <c r="W24" s="252"/>
      <c r="X24" s="252"/>
      <c r="Y24" s="252"/>
      <c r="Z24" s="252"/>
      <c r="AA24" s="252"/>
      <c r="AB24" s="252"/>
      <c r="AC24" s="247"/>
      <c r="AD24" s="247"/>
      <c r="AE24" s="248"/>
      <c r="AF24" s="248"/>
      <c r="AG24" s="248"/>
      <c r="AH24" s="248"/>
      <c r="AI24" s="248"/>
      <c r="AJ24" s="2"/>
      <c r="AK24" s="1"/>
      <c r="AL24" s="2"/>
      <c r="AM24" s="1"/>
      <c r="AN24" s="2"/>
      <c r="AO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209</v>
      </c>
      <c r="W25" s="252"/>
      <c r="X25" s="252"/>
      <c r="Y25" s="252"/>
      <c r="Z25" s="252"/>
      <c r="AA25" s="252"/>
      <c r="AB25" s="252"/>
      <c r="AC25" s="247" t="s">
        <v>5709</v>
      </c>
      <c r="AD25" s="247"/>
      <c r="AE25" s="248" t="s">
        <v>5542</v>
      </c>
      <c r="AF25" s="248"/>
      <c r="AG25" s="248"/>
      <c r="AH25" s="248"/>
      <c r="AI25" s="248"/>
      <c r="AJ25" s="2"/>
      <c r="AK25" s="1"/>
      <c r="AL25" s="2"/>
      <c r="AM25" s="1"/>
      <c r="AN25" s="2"/>
      <c r="AO25" s="7"/>
    </row>
    <row r="26" spans="1:47" ht="8.85" customHeight="1" thickBot="1">
      <c r="A26" s="6"/>
      <c r="B26" s="1"/>
      <c r="C26" s="1"/>
      <c r="D26" s="256" t="s">
        <v>211</v>
      </c>
      <c r="E26" s="256"/>
      <c r="F26" s="256"/>
      <c r="G26" s="256"/>
      <c r="H26" s="256"/>
      <c r="I26" s="256"/>
      <c r="J26" s="256"/>
      <c r="K26" s="256"/>
      <c r="L26" s="256"/>
      <c r="M26" s="256" t="s">
        <v>5709</v>
      </c>
      <c r="N26" s="257">
        <v>29160</v>
      </c>
      <c r="O26" s="257"/>
      <c r="P26" s="257"/>
      <c r="Q26" s="256"/>
      <c r="R26" s="256"/>
      <c r="S26" s="256"/>
      <c r="T26" s="2"/>
      <c r="U26" s="2"/>
      <c r="V26" s="252"/>
      <c r="W26" s="252"/>
      <c r="X26" s="252"/>
      <c r="Y26" s="252"/>
      <c r="Z26" s="252"/>
      <c r="AA26" s="252"/>
      <c r="AB26" s="252"/>
      <c r="AC26" s="247"/>
      <c r="AD26" s="247"/>
      <c r="AE26" s="248"/>
      <c r="AF26" s="248"/>
      <c r="AG26" s="248"/>
      <c r="AH26" s="248"/>
      <c r="AI26" s="248"/>
      <c r="AJ26" s="2"/>
      <c r="AK26" s="1"/>
      <c r="AL26" s="2"/>
      <c r="AM26" s="1"/>
      <c r="AN26" s="2"/>
      <c r="AO26" s="7"/>
    </row>
    <row r="27" spans="1:47" ht="2.85" customHeight="1" thickBot="1">
      <c r="A27" s="6"/>
      <c r="B27" s="1"/>
      <c r="C27" s="1"/>
      <c r="D27" s="256"/>
      <c r="E27" s="256"/>
      <c r="F27" s="256"/>
      <c r="G27" s="256"/>
      <c r="H27" s="256"/>
      <c r="I27" s="256"/>
      <c r="J27" s="256"/>
      <c r="K27" s="256"/>
      <c r="L27" s="256"/>
      <c r="M27" s="256"/>
      <c r="N27" s="257"/>
      <c r="O27" s="257"/>
      <c r="P27" s="257"/>
      <c r="Q27" s="256"/>
      <c r="R27" s="256"/>
      <c r="S27" s="256"/>
      <c r="T27" s="2"/>
      <c r="U27" s="2"/>
      <c r="V27" s="252" t="s">
        <v>212</v>
      </c>
      <c r="W27" s="252"/>
      <c r="X27" s="252"/>
      <c r="Y27" s="252"/>
      <c r="Z27" s="252"/>
      <c r="AA27" s="252"/>
      <c r="AB27" s="252"/>
      <c r="AC27" s="247" t="s">
        <v>5709</v>
      </c>
      <c r="AD27" s="247"/>
      <c r="AE27" s="248" t="s">
        <v>5543</v>
      </c>
      <c r="AF27" s="248"/>
      <c r="AG27" s="248"/>
      <c r="AH27" s="248"/>
      <c r="AI27" s="248"/>
      <c r="AJ27" s="2"/>
      <c r="AK27" s="1"/>
      <c r="AL27" s="2"/>
      <c r="AM27" s="1"/>
      <c r="AN27" s="2"/>
      <c r="AO27" s="7"/>
    </row>
    <row r="28" spans="1:47" ht="2.4500000000000002" customHeight="1" thickBot="1">
      <c r="A28" s="6"/>
      <c r="B28" s="1"/>
      <c r="C28" s="1"/>
      <c r="D28" s="2"/>
      <c r="E28" s="2"/>
      <c r="F28" s="2"/>
      <c r="G28" s="2"/>
      <c r="H28" s="2"/>
      <c r="I28" s="2"/>
      <c r="J28" s="2"/>
      <c r="K28" s="2"/>
      <c r="L28" s="2"/>
      <c r="M28" s="2"/>
      <c r="N28" s="2"/>
      <c r="O28" s="2"/>
      <c r="P28" s="2"/>
      <c r="Q28" s="2"/>
      <c r="R28" s="2"/>
      <c r="S28" s="1"/>
      <c r="T28" s="2"/>
      <c r="U28" s="2"/>
      <c r="V28" s="252"/>
      <c r="W28" s="252"/>
      <c r="X28" s="252"/>
      <c r="Y28" s="252"/>
      <c r="Z28" s="252"/>
      <c r="AA28" s="252"/>
      <c r="AB28" s="252"/>
      <c r="AC28" s="247"/>
      <c r="AD28" s="247"/>
      <c r="AE28" s="248"/>
      <c r="AF28" s="248"/>
      <c r="AG28" s="248"/>
      <c r="AH28" s="248"/>
      <c r="AI28" s="248"/>
      <c r="AJ28" s="2"/>
      <c r="AK28" s="1"/>
      <c r="AL28" s="2"/>
      <c r="AM28" s="1"/>
      <c r="AN28" s="2"/>
      <c r="AO28" s="7"/>
    </row>
    <row r="29" spans="1:47" ht="6.2" customHeight="1" thickBot="1">
      <c r="A29" s="6"/>
      <c r="B29" s="1"/>
      <c r="C29" s="1"/>
      <c r="D29" s="240" t="s">
        <v>6129</v>
      </c>
      <c r="E29" s="240"/>
      <c r="F29" s="240"/>
      <c r="G29" s="240"/>
      <c r="H29" s="240"/>
      <c r="I29" s="240"/>
      <c r="J29" s="240"/>
      <c r="K29" s="240"/>
      <c r="L29" s="240"/>
      <c r="M29" s="240"/>
      <c r="N29" s="240"/>
      <c r="O29" s="240"/>
      <c r="P29" s="240"/>
      <c r="Q29" s="240"/>
      <c r="R29" s="240"/>
      <c r="S29" s="240"/>
      <c r="T29" s="2"/>
      <c r="U29" s="2"/>
      <c r="V29" s="252"/>
      <c r="W29" s="252"/>
      <c r="X29" s="252"/>
      <c r="Y29" s="252"/>
      <c r="Z29" s="252"/>
      <c r="AA29" s="252"/>
      <c r="AB29" s="252"/>
      <c r="AC29" s="247"/>
      <c r="AD29" s="247"/>
      <c r="AE29" s="248"/>
      <c r="AF29" s="248"/>
      <c r="AG29" s="248"/>
      <c r="AH29" s="248"/>
      <c r="AI29" s="248"/>
      <c r="AJ29" s="2"/>
      <c r="AK29" s="1"/>
      <c r="AL29" s="2"/>
      <c r="AM29" s="1"/>
      <c r="AN29" s="2"/>
      <c r="AO29" s="7"/>
    </row>
    <row r="30" spans="1:47" ht="8.25" customHeight="1" thickBot="1">
      <c r="A30" s="6"/>
      <c r="B30" s="1"/>
      <c r="C30" s="1"/>
      <c r="D30" s="240"/>
      <c r="E30" s="240"/>
      <c r="F30" s="240"/>
      <c r="G30" s="240"/>
      <c r="H30" s="240"/>
      <c r="I30" s="240"/>
      <c r="J30" s="240"/>
      <c r="K30" s="240"/>
      <c r="L30" s="240"/>
      <c r="M30" s="240"/>
      <c r="N30" s="240"/>
      <c r="O30" s="240"/>
      <c r="P30" s="240"/>
      <c r="Q30" s="240"/>
      <c r="R30" s="240"/>
      <c r="S30" s="240"/>
      <c r="T30" s="2"/>
      <c r="U30" s="2"/>
      <c r="V30" s="252" t="s">
        <v>214</v>
      </c>
      <c r="W30" s="252"/>
      <c r="X30" s="252"/>
      <c r="Y30" s="252"/>
      <c r="Z30" s="252"/>
      <c r="AA30" s="252"/>
      <c r="AB30" s="252"/>
      <c r="AC30" s="247" t="s">
        <v>5709</v>
      </c>
      <c r="AD30" s="247"/>
      <c r="AE30" s="248" t="s">
        <v>3542</v>
      </c>
      <c r="AF30" s="248"/>
      <c r="AG30" s="248"/>
      <c r="AH30" s="248"/>
      <c r="AI30" s="248"/>
      <c r="AJ30" s="2"/>
      <c r="AK30" s="1"/>
      <c r="AL30" s="2"/>
      <c r="AM30" s="1"/>
      <c r="AN30" s="2"/>
      <c r="AO30" s="7"/>
    </row>
    <row r="31" spans="1:47" ht="3.2" customHeight="1" thickBot="1">
      <c r="A31" s="6"/>
      <c r="B31" s="1"/>
      <c r="C31" s="1"/>
      <c r="D31" s="254" t="s">
        <v>7032</v>
      </c>
      <c r="E31" s="254"/>
      <c r="F31" s="254"/>
      <c r="G31" s="255"/>
      <c r="H31" s="255"/>
      <c r="I31" s="255"/>
      <c r="J31" s="255"/>
      <c r="K31" s="255"/>
      <c r="L31" s="255"/>
      <c r="M31" s="255"/>
      <c r="N31" s="255"/>
      <c r="O31" s="255"/>
      <c r="P31" s="255"/>
      <c r="Q31" s="258"/>
      <c r="R31" s="258"/>
      <c r="S31" s="258"/>
      <c r="T31" s="2"/>
      <c r="U31" s="2"/>
      <c r="V31" s="252"/>
      <c r="W31" s="252"/>
      <c r="X31" s="252"/>
      <c r="Y31" s="252"/>
      <c r="Z31" s="252"/>
      <c r="AA31" s="252"/>
      <c r="AB31" s="252"/>
      <c r="AC31" s="247"/>
      <c r="AD31" s="247"/>
      <c r="AE31" s="248"/>
      <c r="AF31" s="248"/>
      <c r="AG31" s="248"/>
      <c r="AH31" s="248"/>
      <c r="AI31" s="248"/>
      <c r="AJ31" s="2"/>
      <c r="AK31" s="1"/>
      <c r="AL31" s="2"/>
      <c r="AM31" s="1"/>
      <c r="AN31" s="2"/>
      <c r="AO31" s="7"/>
    </row>
    <row r="32" spans="1:47" ht="8.25" customHeight="1" thickBot="1">
      <c r="A32" s="6"/>
      <c r="B32" s="1"/>
      <c r="C32" s="1"/>
      <c r="D32" s="254"/>
      <c r="E32" s="254"/>
      <c r="F32" s="254"/>
      <c r="G32" s="255"/>
      <c r="H32" s="255"/>
      <c r="I32" s="255"/>
      <c r="J32" s="255"/>
      <c r="K32" s="255"/>
      <c r="L32" s="255"/>
      <c r="M32" s="255"/>
      <c r="N32" s="255"/>
      <c r="O32" s="255"/>
      <c r="P32" s="255"/>
      <c r="Q32" s="258"/>
      <c r="R32" s="258"/>
      <c r="S32" s="258"/>
      <c r="T32" s="2"/>
      <c r="U32" s="2"/>
      <c r="V32" s="252" t="s">
        <v>216</v>
      </c>
      <c r="W32" s="252"/>
      <c r="X32" s="252"/>
      <c r="Y32" s="252"/>
      <c r="Z32" s="252"/>
      <c r="AA32" s="252"/>
      <c r="AB32" s="252"/>
      <c r="AC32" s="247" t="s">
        <v>5709</v>
      </c>
      <c r="AD32" s="247"/>
      <c r="AE32" s="248" t="s">
        <v>217</v>
      </c>
      <c r="AF32" s="248"/>
      <c r="AG32" s="248"/>
      <c r="AH32" s="248"/>
      <c r="AI32" s="248"/>
      <c r="AJ32" s="2"/>
      <c r="AK32" s="1"/>
      <c r="AL32" s="2"/>
      <c r="AM32" s="1"/>
      <c r="AN32" s="2"/>
      <c r="AO32" s="7"/>
    </row>
    <row r="33" spans="1:41" ht="2.4500000000000002" customHeight="1" thickBot="1">
      <c r="A33" s="6"/>
      <c r="B33" s="1"/>
      <c r="C33" s="1"/>
      <c r="D33" s="2"/>
      <c r="E33" s="2"/>
      <c r="F33" s="2"/>
      <c r="G33" s="2"/>
      <c r="H33" s="2"/>
      <c r="I33" s="2"/>
      <c r="J33" s="2"/>
      <c r="K33" s="2"/>
      <c r="L33" s="2"/>
      <c r="M33" s="2"/>
      <c r="N33" s="2"/>
      <c r="O33" s="2"/>
      <c r="P33" s="2"/>
      <c r="Q33" s="2"/>
      <c r="R33" s="2"/>
      <c r="S33" s="1"/>
      <c r="T33" s="2"/>
      <c r="U33" s="2"/>
      <c r="V33" s="252"/>
      <c r="W33" s="252"/>
      <c r="X33" s="252"/>
      <c r="Y33" s="252"/>
      <c r="Z33" s="252"/>
      <c r="AA33" s="252"/>
      <c r="AB33" s="252"/>
      <c r="AC33" s="247"/>
      <c r="AD33" s="247"/>
      <c r="AE33" s="248"/>
      <c r="AF33" s="248"/>
      <c r="AG33" s="248"/>
      <c r="AH33" s="248"/>
      <c r="AI33" s="248"/>
      <c r="AJ33" s="2"/>
      <c r="AK33" s="1"/>
      <c r="AL33" s="2"/>
      <c r="AM33" s="1"/>
      <c r="AN33" s="2"/>
      <c r="AO33" s="7"/>
    </row>
    <row r="34" spans="1:41" ht="0.95" customHeight="1" thickBot="1">
      <c r="A34" s="6"/>
      <c r="B34" s="1"/>
      <c r="C34" s="1"/>
      <c r="D34" s="240" t="s">
        <v>218</v>
      </c>
      <c r="E34" s="240"/>
      <c r="F34" s="240"/>
      <c r="G34" s="240"/>
      <c r="H34" s="240"/>
      <c r="I34" s="240"/>
      <c r="J34" s="240"/>
      <c r="K34" s="240"/>
      <c r="L34" s="240"/>
      <c r="M34" s="240"/>
      <c r="N34" s="240"/>
      <c r="O34" s="240"/>
      <c r="P34" s="240"/>
      <c r="Q34" s="240"/>
      <c r="R34" s="240"/>
      <c r="S34" s="1"/>
      <c r="T34" s="2"/>
      <c r="U34" s="2"/>
      <c r="V34" s="252"/>
      <c r="W34" s="252"/>
      <c r="X34" s="252"/>
      <c r="Y34" s="252"/>
      <c r="Z34" s="252"/>
      <c r="AA34" s="252"/>
      <c r="AB34" s="252"/>
      <c r="AC34" s="247"/>
      <c r="AD34" s="247"/>
      <c r="AE34" s="248"/>
      <c r="AF34" s="248"/>
      <c r="AG34" s="248"/>
      <c r="AH34" s="248"/>
      <c r="AI34" s="248"/>
      <c r="AJ34" s="2"/>
      <c r="AK34" s="1"/>
      <c r="AL34" s="2"/>
      <c r="AM34" s="1"/>
      <c r="AN34" s="2"/>
      <c r="AO34" s="7"/>
    </row>
    <row r="35" spans="1:41" ht="11.45" customHeight="1" thickBot="1">
      <c r="A35" s="6"/>
      <c r="B35" s="1"/>
      <c r="C35" s="1"/>
      <c r="D35" s="240"/>
      <c r="E35" s="240"/>
      <c r="F35" s="240"/>
      <c r="G35" s="240"/>
      <c r="H35" s="240"/>
      <c r="I35" s="240"/>
      <c r="J35" s="240"/>
      <c r="K35" s="240"/>
      <c r="L35" s="240"/>
      <c r="M35" s="240"/>
      <c r="N35" s="240"/>
      <c r="O35" s="240"/>
      <c r="P35" s="240"/>
      <c r="Q35" s="240"/>
      <c r="R35" s="240"/>
      <c r="S35" s="1"/>
      <c r="T35" s="2"/>
      <c r="U35" s="2"/>
      <c r="V35" s="252" t="s">
        <v>219</v>
      </c>
      <c r="W35" s="252"/>
      <c r="X35" s="252"/>
      <c r="Y35" s="252"/>
      <c r="Z35" s="252"/>
      <c r="AA35" s="252"/>
      <c r="AB35" s="252"/>
      <c r="AC35" s="247" t="s">
        <v>5709</v>
      </c>
      <c r="AD35" s="247"/>
      <c r="AE35" s="248" t="s">
        <v>5427</v>
      </c>
      <c r="AF35" s="248"/>
      <c r="AG35" s="248"/>
      <c r="AH35" s="248"/>
      <c r="AI35" s="248"/>
      <c r="AJ35" s="2"/>
      <c r="AK35" s="1"/>
      <c r="AL35" s="2"/>
      <c r="AM35" s="1"/>
      <c r="AN35" s="2"/>
      <c r="AO35" s="7"/>
    </row>
    <row r="36" spans="1:41" ht="2.1" customHeight="1" thickBot="1">
      <c r="A36" s="6"/>
      <c r="B36" s="1"/>
      <c r="C36" s="1"/>
      <c r="D36" s="240"/>
      <c r="E36" s="240"/>
      <c r="F36" s="240"/>
      <c r="G36" s="240"/>
      <c r="H36" s="240"/>
      <c r="I36" s="240"/>
      <c r="J36" s="240"/>
      <c r="K36" s="240"/>
      <c r="L36" s="240"/>
      <c r="M36" s="240"/>
      <c r="N36" s="240"/>
      <c r="O36" s="240"/>
      <c r="P36" s="240"/>
      <c r="Q36" s="240"/>
      <c r="R36" s="240"/>
      <c r="S36" s="1"/>
      <c r="T36" s="2"/>
      <c r="U36" s="2"/>
      <c r="V36" s="252" t="s">
        <v>221</v>
      </c>
      <c r="W36" s="252"/>
      <c r="X36" s="252"/>
      <c r="Y36" s="252"/>
      <c r="Z36" s="252"/>
      <c r="AA36" s="252"/>
      <c r="AB36" s="252"/>
      <c r="AC36" s="247" t="s">
        <v>5709</v>
      </c>
      <c r="AD36" s="247"/>
      <c r="AE36" s="248" t="s">
        <v>5544</v>
      </c>
      <c r="AF36" s="248"/>
      <c r="AG36" s="248"/>
      <c r="AH36" s="248"/>
      <c r="AI36" s="248"/>
      <c r="AJ36" s="2"/>
      <c r="AK36" s="1"/>
      <c r="AL36" s="2"/>
      <c r="AM36" s="1"/>
      <c r="AN36" s="2"/>
      <c r="AO36" s="7"/>
    </row>
    <row r="37" spans="1:41" ht="9.6" customHeight="1" thickBot="1">
      <c r="A37" s="6"/>
      <c r="B37" s="1"/>
      <c r="C37" s="1"/>
      <c r="D37" s="241"/>
      <c r="E37" s="241"/>
      <c r="F37" s="241"/>
      <c r="G37" s="241"/>
      <c r="H37" s="241"/>
      <c r="I37" s="241"/>
      <c r="J37" s="241"/>
      <c r="K37" s="241"/>
      <c r="L37" s="241"/>
      <c r="M37" s="241"/>
      <c r="N37" s="241"/>
      <c r="O37" s="241"/>
      <c r="P37" s="241"/>
      <c r="Q37" s="241"/>
      <c r="R37" s="241"/>
      <c r="S37" s="1"/>
      <c r="T37" s="2"/>
      <c r="U37" s="2"/>
      <c r="V37" s="252"/>
      <c r="W37" s="252"/>
      <c r="X37" s="252"/>
      <c r="Y37" s="252"/>
      <c r="Z37" s="252"/>
      <c r="AA37" s="252"/>
      <c r="AB37" s="252"/>
      <c r="AC37" s="247"/>
      <c r="AD37" s="247"/>
      <c r="AE37" s="248"/>
      <c r="AF37" s="248"/>
      <c r="AG37" s="248"/>
      <c r="AH37" s="248"/>
      <c r="AI37" s="248"/>
      <c r="AJ37" s="2"/>
      <c r="AK37" s="1"/>
      <c r="AL37" s="2"/>
      <c r="AM37" s="1"/>
      <c r="AN37" s="2"/>
      <c r="AO37" s="7"/>
    </row>
    <row r="38" spans="1:41" ht="11.45" customHeight="1" thickBot="1">
      <c r="A38" s="6"/>
      <c r="B38" s="1"/>
      <c r="C38" s="1"/>
      <c r="D38" s="241"/>
      <c r="E38" s="241"/>
      <c r="F38" s="241"/>
      <c r="G38" s="241"/>
      <c r="H38" s="241"/>
      <c r="I38" s="241"/>
      <c r="J38" s="241"/>
      <c r="K38" s="241"/>
      <c r="L38" s="241"/>
      <c r="M38" s="241"/>
      <c r="N38" s="241"/>
      <c r="O38" s="241"/>
      <c r="P38" s="241"/>
      <c r="Q38" s="241"/>
      <c r="R38" s="241"/>
      <c r="S38" s="1"/>
      <c r="T38" s="2"/>
      <c r="U38" s="2"/>
      <c r="V38" s="252" t="s">
        <v>223</v>
      </c>
      <c r="W38" s="252"/>
      <c r="X38" s="252"/>
      <c r="Y38" s="252"/>
      <c r="Z38" s="252"/>
      <c r="AA38" s="252"/>
      <c r="AB38" s="252"/>
      <c r="AC38" s="247" t="s">
        <v>5709</v>
      </c>
      <c r="AD38" s="247"/>
      <c r="AE38" s="248" t="s">
        <v>5545</v>
      </c>
      <c r="AF38" s="248"/>
      <c r="AG38" s="248"/>
      <c r="AH38" s="248"/>
      <c r="AI38" s="248"/>
      <c r="AJ38" s="2"/>
      <c r="AK38" s="1"/>
      <c r="AL38" s="2"/>
      <c r="AM38" s="1"/>
      <c r="AN38" s="2"/>
      <c r="AO38" s="7"/>
    </row>
    <row r="39" spans="1:41" ht="11.45" customHeight="1" thickBot="1">
      <c r="A39" s="6"/>
      <c r="B39" s="1"/>
      <c r="C39" s="1"/>
      <c r="D39" s="241"/>
      <c r="E39" s="241"/>
      <c r="F39" s="241"/>
      <c r="G39" s="241"/>
      <c r="H39" s="241"/>
      <c r="I39" s="241"/>
      <c r="J39" s="241"/>
      <c r="K39" s="241"/>
      <c r="L39" s="241"/>
      <c r="M39" s="241"/>
      <c r="N39" s="241"/>
      <c r="O39" s="241"/>
      <c r="P39" s="241"/>
      <c r="Q39" s="241"/>
      <c r="R39" s="241"/>
      <c r="S39" s="1"/>
      <c r="T39" s="2"/>
      <c r="U39" s="2"/>
      <c r="V39" s="252" t="s">
        <v>225</v>
      </c>
      <c r="W39" s="252"/>
      <c r="X39" s="252"/>
      <c r="Y39" s="252"/>
      <c r="Z39" s="252"/>
      <c r="AA39" s="252"/>
      <c r="AB39" s="252"/>
      <c r="AC39" s="247" t="s">
        <v>5709</v>
      </c>
      <c r="AD39" s="247"/>
      <c r="AE39" s="248" t="s">
        <v>5725</v>
      </c>
      <c r="AF39" s="248"/>
      <c r="AG39" s="248"/>
      <c r="AH39" s="248"/>
      <c r="AI39" s="248"/>
      <c r="AJ39" s="2"/>
      <c r="AK39" s="1"/>
      <c r="AL39" s="2"/>
      <c r="AM39" s="1"/>
      <c r="AN39" s="2"/>
      <c r="AO39" s="7"/>
    </row>
    <row r="40" spans="1:41"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226</v>
      </c>
      <c r="W40" s="252"/>
      <c r="X40" s="252"/>
      <c r="Y40" s="252"/>
      <c r="Z40" s="252"/>
      <c r="AA40" s="252"/>
      <c r="AB40" s="252"/>
      <c r="AC40" s="247" t="s">
        <v>5709</v>
      </c>
      <c r="AD40" s="247"/>
      <c r="AE40" s="248" t="s">
        <v>227</v>
      </c>
      <c r="AF40" s="248"/>
      <c r="AG40" s="248"/>
      <c r="AH40" s="248"/>
      <c r="AI40" s="248"/>
      <c r="AJ40" s="2"/>
      <c r="AK40" s="1"/>
      <c r="AL40" s="2"/>
      <c r="AM40" s="1"/>
      <c r="AN40" s="2"/>
      <c r="AO40" s="7"/>
    </row>
    <row r="41" spans="1:41"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228</v>
      </c>
      <c r="W41" s="252"/>
      <c r="X41" s="252"/>
      <c r="Y41" s="252"/>
      <c r="Z41" s="252"/>
      <c r="AA41" s="252"/>
      <c r="AB41" s="252"/>
      <c r="AC41" s="247" t="s">
        <v>5709</v>
      </c>
      <c r="AD41" s="247"/>
      <c r="AE41" s="248" t="s">
        <v>3315</v>
      </c>
      <c r="AF41" s="248"/>
      <c r="AG41" s="248"/>
      <c r="AH41" s="248"/>
      <c r="AI41" s="248"/>
      <c r="AJ41" s="2"/>
      <c r="AK41" s="1"/>
      <c r="AL41" s="2"/>
      <c r="AM41" s="1"/>
      <c r="AN41" s="2"/>
      <c r="AO41" s="7"/>
    </row>
    <row r="42" spans="1:41"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3" t="s">
        <v>230</v>
      </c>
      <c r="W42" s="253"/>
      <c r="X42" s="253"/>
      <c r="Y42" s="253"/>
      <c r="Z42" s="253"/>
      <c r="AA42" s="253"/>
      <c r="AB42" s="253"/>
      <c r="AC42" s="247"/>
      <c r="AD42" s="247"/>
      <c r="AE42" s="248"/>
      <c r="AF42" s="248"/>
      <c r="AG42" s="248"/>
      <c r="AH42" s="248"/>
      <c r="AI42" s="248"/>
      <c r="AJ42" s="2"/>
      <c r="AK42" s="1"/>
      <c r="AL42" s="2"/>
      <c r="AM42" s="1"/>
      <c r="AN42" s="2"/>
      <c r="AO42" s="7"/>
    </row>
    <row r="43" spans="1:41"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231</v>
      </c>
      <c r="W43" s="252"/>
      <c r="X43" s="252"/>
      <c r="Y43" s="252"/>
      <c r="Z43" s="252"/>
      <c r="AA43" s="252"/>
      <c r="AB43" s="252"/>
      <c r="AC43" s="247" t="s">
        <v>5709</v>
      </c>
      <c r="AD43" s="247"/>
      <c r="AE43" s="248" t="s">
        <v>227</v>
      </c>
      <c r="AF43" s="248"/>
      <c r="AG43" s="248"/>
      <c r="AH43" s="248"/>
      <c r="AI43" s="248"/>
      <c r="AJ43" s="2"/>
      <c r="AK43" s="1"/>
      <c r="AL43" s="2"/>
      <c r="AM43" s="1"/>
      <c r="AN43" s="2"/>
      <c r="AO43" s="7"/>
    </row>
    <row r="44" spans="1:41"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2" t="s">
        <v>232</v>
      </c>
      <c r="W44" s="252"/>
      <c r="X44" s="252"/>
      <c r="Y44" s="252"/>
      <c r="Z44" s="252"/>
      <c r="AA44" s="252"/>
      <c r="AB44" s="252"/>
      <c r="AC44" s="247" t="s">
        <v>5709</v>
      </c>
      <c r="AD44" s="247"/>
      <c r="AE44" s="248" t="s">
        <v>233</v>
      </c>
      <c r="AF44" s="248"/>
      <c r="AG44" s="248"/>
      <c r="AH44" s="248"/>
      <c r="AI44" s="248"/>
      <c r="AJ44" s="2"/>
      <c r="AK44" s="1"/>
      <c r="AL44" s="2"/>
      <c r="AM44" s="1"/>
      <c r="AN44" s="2"/>
      <c r="AO44" s="7"/>
    </row>
    <row r="45" spans="1:41"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234</v>
      </c>
      <c r="W45" s="252"/>
      <c r="X45" s="252"/>
      <c r="Y45" s="252"/>
      <c r="Z45" s="252"/>
      <c r="AA45" s="252"/>
      <c r="AB45" s="252"/>
      <c r="AC45" s="248" t="s">
        <v>5709</v>
      </c>
      <c r="AD45" s="248"/>
      <c r="AE45" s="248" t="s">
        <v>6312</v>
      </c>
      <c r="AF45" s="248"/>
      <c r="AG45" s="248"/>
      <c r="AH45" s="248"/>
      <c r="AI45" s="248"/>
      <c r="AJ45" s="1"/>
      <c r="AK45" s="1"/>
      <c r="AL45" s="2"/>
      <c r="AM45" s="1"/>
      <c r="AN45" s="2"/>
      <c r="AO45" s="7"/>
    </row>
    <row r="46" spans="1:41" ht="42.6" customHeight="1" thickBot="1">
      <c r="A46" s="6"/>
      <c r="B46" s="1"/>
      <c r="C46" s="1"/>
      <c r="D46" s="241"/>
      <c r="E46" s="241"/>
      <c r="F46" s="241"/>
      <c r="G46" s="241"/>
      <c r="H46" s="241"/>
      <c r="I46" s="241"/>
      <c r="J46" s="241"/>
      <c r="K46" s="241"/>
      <c r="L46" s="241"/>
      <c r="M46" s="241"/>
      <c r="N46" s="241"/>
      <c r="O46" s="241"/>
      <c r="P46" s="241"/>
      <c r="Q46" s="241"/>
      <c r="R46" s="241"/>
      <c r="S46" s="1"/>
      <c r="T46" s="1"/>
      <c r="U46" s="1"/>
      <c r="V46" s="1"/>
      <c r="W46" s="1"/>
      <c r="X46" s="1"/>
      <c r="Y46" s="1"/>
      <c r="Z46" s="1"/>
      <c r="AA46" s="1"/>
      <c r="AB46" s="1"/>
      <c r="AC46" s="1"/>
      <c r="AD46" s="1"/>
      <c r="AE46" s="1"/>
      <c r="AF46" s="1"/>
      <c r="AG46" s="1"/>
      <c r="AH46" s="1"/>
      <c r="AI46" s="1"/>
      <c r="AJ46" s="1"/>
      <c r="AK46" s="1"/>
      <c r="AL46" s="1"/>
      <c r="AM46" s="1"/>
      <c r="AN46" s="2"/>
      <c r="AO46" s="7"/>
    </row>
    <row r="47" spans="1:41" ht="2.85" customHeight="1">
      <c r="A47" s="6"/>
      <c r="B47" s="1"/>
      <c r="C47" s="1"/>
      <c r="D47" s="249" t="s">
        <v>236</v>
      </c>
      <c r="E47" s="249"/>
      <c r="F47" s="249"/>
      <c r="G47" s="249"/>
      <c r="H47" s="249"/>
      <c r="I47" s="249"/>
      <c r="J47" s="249"/>
      <c r="K47" s="249"/>
      <c r="L47" s="249"/>
      <c r="M47" s="249"/>
      <c r="N47" s="249"/>
      <c r="O47" s="249"/>
      <c r="P47" s="1"/>
      <c r="Q47" s="1"/>
      <c r="R47" s="1"/>
      <c r="S47" s="1"/>
      <c r="T47" s="1"/>
      <c r="U47" s="1"/>
      <c r="V47" s="1"/>
      <c r="W47" s="1"/>
      <c r="X47" s="1"/>
      <c r="Y47" s="1"/>
      <c r="Z47" s="1"/>
      <c r="AA47" s="1"/>
      <c r="AB47" s="1"/>
      <c r="AC47" s="1"/>
      <c r="AD47" s="1"/>
      <c r="AE47" s="1"/>
      <c r="AF47" s="1"/>
      <c r="AG47" s="1"/>
      <c r="AH47" s="1"/>
      <c r="AI47" s="2"/>
      <c r="AJ47" s="2"/>
      <c r="AK47" s="2"/>
      <c r="AL47" s="2"/>
      <c r="AM47" s="2"/>
      <c r="AN47" s="2"/>
      <c r="AO47" s="7"/>
    </row>
    <row r="48" spans="1:41" ht="11.45" customHeight="1" thickBot="1">
      <c r="A48" s="6"/>
      <c r="B48" s="1"/>
      <c r="C48" s="1"/>
      <c r="D48" s="249"/>
      <c r="E48" s="249"/>
      <c r="F48" s="249"/>
      <c r="G48" s="249"/>
      <c r="H48" s="249"/>
      <c r="I48" s="249"/>
      <c r="J48" s="249"/>
      <c r="K48" s="249"/>
      <c r="L48" s="249"/>
      <c r="M48" s="249"/>
      <c r="N48" s="249"/>
      <c r="O48" s="249"/>
      <c r="P48" s="1"/>
      <c r="Q48" s="1"/>
      <c r="R48" s="1"/>
      <c r="S48" s="1"/>
      <c r="T48" s="1"/>
      <c r="U48" s="1"/>
      <c r="V48" s="1"/>
      <c r="W48" s="250" t="s">
        <v>237</v>
      </c>
      <c r="X48" s="250"/>
      <c r="Y48" s="250"/>
      <c r="Z48" s="250"/>
      <c r="AA48" s="250"/>
      <c r="AB48" s="250"/>
      <c r="AC48" s="250"/>
      <c r="AD48" s="250"/>
      <c r="AE48" s="250"/>
      <c r="AF48" s="250"/>
      <c r="AG48" s="250"/>
      <c r="AH48" s="250"/>
      <c r="AI48" s="2"/>
      <c r="AJ48" s="2"/>
      <c r="AK48" s="2"/>
      <c r="AL48" s="2"/>
      <c r="AM48" s="2"/>
      <c r="AN48" s="2"/>
      <c r="AO48" s="7"/>
    </row>
    <row r="49" spans="1:41" ht="13.5" thickBot="1">
      <c r="A49" s="6"/>
      <c r="B49" s="2"/>
      <c r="C49" s="2"/>
      <c r="D49" s="251"/>
      <c r="E49" s="251"/>
      <c r="F49" s="245" t="s">
        <v>238</v>
      </c>
      <c r="G49" s="245"/>
      <c r="H49" s="245"/>
      <c r="I49" s="245"/>
      <c r="J49" s="245"/>
      <c r="K49" s="9" t="s">
        <v>239</v>
      </c>
      <c r="L49" s="245" t="s">
        <v>240</v>
      </c>
      <c r="M49" s="245"/>
      <c r="N49" s="245"/>
      <c r="O49" s="245" t="s">
        <v>241</v>
      </c>
      <c r="P49" s="245"/>
      <c r="Q49" s="245"/>
      <c r="R49" s="245" t="s">
        <v>242</v>
      </c>
      <c r="S49" s="245"/>
      <c r="T49" s="245"/>
      <c r="U49" s="245"/>
      <c r="V49" s="245"/>
      <c r="W49" s="245"/>
      <c r="X49" s="245" t="s">
        <v>243</v>
      </c>
      <c r="Y49" s="245"/>
      <c r="Z49" s="9" t="s">
        <v>244</v>
      </c>
      <c r="AA49" s="9" t="s">
        <v>245</v>
      </c>
      <c r="AB49" s="245" t="s">
        <v>246</v>
      </c>
      <c r="AC49" s="245"/>
      <c r="AD49" s="245"/>
      <c r="AE49" s="245"/>
      <c r="AF49" s="9" t="s">
        <v>247</v>
      </c>
      <c r="AG49" s="246" t="s">
        <v>248</v>
      </c>
      <c r="AH49" s="246"/>
      <c r="AI49" s="246"/>
      <c r="AJ49" s="246"/>
      <c r="AK49" s="2"/>
      <c r="AL49" s="2"/>
      <c r="AM49" s="2"/>
      <c r="AN49" s="2"/>
      <c r="AO49" s="7"/>
    </row>
    <row r="50" spans="1:41" ht="13.5" thickBot="1">
      <c r="A50" s="6"/>
      <c r="B50" s="2"/>
      <c r="C50" s="2"/>
      <c r="D50" s="244" t="s">
        <v>249</v>
      </c>
      <c r="E50" s="244"/>
      <c r="F50" s="238" t="s">
        <v>5546</v>
      </c>
      <c r="G50" s="238"/>
      <c r="H50" s="238"/>
      <c r="I50" s="238"/>
      <c r="J50" s="238"/>
      <c r="K50" s="10" t="s">
        <v>5547</v>
      </c>
      <c r="L50" s="238" t="s">
        <v>5548</v>
      </c>
      <c r="M50" s="238"/>
      <c r="N50" s="238"/>
      <c r="O50" s="238" t="s">
        <v>5549</v>
      </c>
      <c r="P50" s="238"/>
      <c r="Q50" s="238"/>
      <c r="R50" s="238" t="s">
        <v>5550</v>
      </c>
      <c r="S50" s="238"/>
      <c r="T50" s="238"/>
      <c r="U50" s="238"/>
      <c r="V50" s="238"/>
      <c r="W50" s="238"/>
      <c r="X50" s="238" t="s">
        <v>5551</v>
      </c>
      <c r="Y50" s="238"/>
      <c r="Z50" s="10" t="s">
        <v>5552</v>
      </c>
      <c r="AA50" s="10" t="s">
        <v>5553</v>
      </c>
      <c r="AB50" s="238" t="s">
        <v>5554</v>
      </c>
      <c r="AC50" s="238"/>
      <c r="AD50" s="238"/>
      <c r="AE50" s="238"/>
      <c r="AF50" s="10" t="s">
        <v>5555</v>
      </c>
      <c r="AG50" s="237" t="s">
        <v>5556</v>
      </c>
      <c r="AH50" s="237"/>
      <c r="AI50" s="237"/>
      <c r="AJ50" s="237"/>
      <c r="AK50" s="2"/>
      <c r="AL50" s="2"/>
      <c r="AM50" s="2"/>
      <c r="AN50" s="2"/>
      <c r="AO50" s="7"/>
    </row>
    <row r="51" spans="1:41" ht="13.5" thickBot="1">
      <c r="A51" s="6"/>
      <c r="B51" s="2"/>
      <c r="C51" s="2"/>
      <c r="D51" s="244" t="s">
        <v>261</v>
      </c>
      <c r="E51" s="244"/>
      <c r="F51" s="238" t="s">
        <v>349</v>
      </c>
      <c r="G51" s="238"/>
      <c r="H51" s="238"/>
      <c r="I51" s="238"/>
      <c r="J51" s="238"/>
      <c r="K51" s="10" t="s">
        <v>4984</v>
      </c>
      <c r="L51" s="238" t="s">
        <v>2778</v>
      </c>
      <c r="M51" s="238"/>
      <c r="N51" s="238"/>
      <c r="O51" s="238" t="s">
        <v>5557</v>
      </c>
      <c r="P51" s="238"/>
      <c r="Q51" s="238"/>
      <c r="R51" s="238" t="s">
        <v>5558</v>
      </c>
      <c r="S51" s="238"/>
      <c r="T51" s="238"/>
      <c r="U51" s="238"/>
      <c r="V51" s="238"/>
      <c r="W51" s="238"/>
      <c r="X51" s="238" t="s">
        <v>371</v>
      </c>
      <c r="Y51" s="238"/>
      <c r="Z51" s="10" t="s">
        <v>4985</v>
      </c>
      <c r="AA51" s="10" t="s">
        <v>3406</v>
      </c>
      <c r="AB51" s="238" t="s">
        <v>323</v>
      </c>
      <c r="AC51" s="238"/>
      <c r="AD51" s="238"/>
      <c r="AE51" s="238"/>
      <c r="AF51" s="10" t="s">
        <v>6055</v>
      </c>
      <c r="AG51" s="237" t="s">
        <v>1909</v>
      </c>
      <c r="AH51" s="237"/>
      <c r="AI51" s="237"/>
      <c r="AJ51" s="237"/>
      <c r="AK51" s="2"/>
      <c r="AL51" s="2"/>
      <c r="AM51" s="2"/>
      <c r="AN51" s="2"/>
      <c r="AO51" s="7"/>
    </row>
    <row r="52" spans="1:41" ht="13.5" thickBot="1">
      <c r="A52" s="6"/>
      <c r="B52" s="2"/>
      <c r="C52" s="2"/>
      <c r="D52" s="244" t="s">
        <v>273</v>
      </c>
      <c r="E52" s="244"/>
      <c r="F52" s="238" t="s">
        <v>6959</v>
      </c>
      <c r="G52" s="238"/>
      <c r="H52" s="238"/>
      <c r="I52" s="238"/>
      <c r="J52" s="238"/>
      <c r="K52" s="10" t="s">
        <v>5151</v>
      </c>
      <c r="L52" s="238" t="s">
        <v>4932</v>
      </c>
      <c r="M52" s="238"/>
      <c r="N52" s="238"/>
      <c r="O52" s="238" t="s">
        <v>5319</v>
      </c>
      <c r="P52" s="238"/>
      <c r="Q52" s="238"/>
      <c r="R52" s="238" t="s">
        <v>5208</v>
      </c>
      <c r="S52" s="238"/>
      <c r="T52" s="238"/>
      <c r="U52" s="238"/>
      <c r="V52" s="238"/>
      <c r="W52" s="238"/>
      <c r="X52" s="238" t="s">
        <v>5559</v>
      </c>
      <c r="Y52" s="238"/>
      <c r="Z52" s="10" t="s">
        <v>5560</v>
      </c>
      <c r="AA52" s="10" t="s">
        <v>5561</v>
      </c>
      <c r="AB52" s="238" t="s">
        <v>3140</v>
      </c>
      <c r="AC52" s="238"/>
      <c r="AD52" s="238"/>
      <c r="AE52" s="238"/>
      <c r="AF52" s="10" t="s">
        <v>4401</v>
      </c>
      <c r="AG52" s="237" t="s">
        <v>5562</v>
      </c>
      <c r="AH52" s="237"/>
      <c r="AI52" s="237"/>
      <c r="AJ52" s="237"/>
      <c r="AK52" s="2"/>
      <c r="AL52" s="2"/>
      <c r="AM52" s="2"/>
      <c r="AN52" s="2"/>
      <c r="AO52" s="7"/>
    </row>
    <row r="53" spans="1:41" ht="13.5" thickBot="1">
      <c r="A53" s="6"/>
      <c r="B53" s="2"/>
      <c r="C53" s="2"/>
      <c r="D53" s="244" t="s">
        <v>285</v>
      </c>
      <c r="E53" s="244"/>
      <c r="F53" s="238" t="s">
        <v>5563</v>
      </c>
      <c r="G53" s="238"/>
      <c r="H53" s="238"/>
      <c r="I53" s="238"/>
      <c r="J53" s="238"/>
      <c r="K53" s="10" t="s">
        <v>6021</v>
      </c>
      <c r="L53" s="238" t="s">
        <v>2868</v>
      </c>
      <c r="M53" s="238"/>
      <c r="N53" s="238"/>
      <c r="O53" s="238" t="s">
        <v>5564</v>
      </c>
      <c r="P53" s="238"/>
      <c r="Q53" s="238"/>
      <c r="R53" s="238" t="s">
        <v>1784</v>
      </c>
      <c r="S53" s="238"/>
      <c r="T53" s="238"/>
      <c r="U53" s="238"/>
      <c r="V53" s="238"/>
      <c r="W53" s="238"/>
      <c r="X53" s="238" t="s">
        <v>3088</v>
      </c>
      <c r="Y53" s="238"/>
      <c r="Z53" s="10" t="s">
        <v>4934</v>
      </c>
      <c r="AA53" s="10" t="s">
        <v>6002</v>
      </c>
      <c r="AB53" s="238" t="s">
        <v>6407</v>
      </c>
      <c r="AC53" s="238"/>
      <c r="AD53" s="238"/>
      <c r="AE53" s="238"/>
      <c r="AF53" s="10" t="s">
        <v>268</v>
      </c>
      <c r="AG53" s="237" t="s">
        <v>5363</v>
      </c>
      <c r="AH53" s="237"/>
      <c r="AI53" s="237"/>
      <c r="AJ53" s="237"/>
      <c r="AK53" s="2"/>
      <c r="AL53" s="2"/>
      <c r="AM53" s="2"/>
      <c r="AN53" s="2"/>
      <c r="AO53" s="7"/>
    </row>
    <row r="54" spans="1:41" ht="13.5" thickBot="1">
      <c r="A54" s="6"/>
      <c r="B54" s="2"/>
      <c r="C54" s="2"/>
      <c r="D54" s="244" t="s">
        <v>295</v>
      </c>
      <c r="E54" s="244"/>
      <c r="F54" s="238" t="s">
        <v>1779</v>
      </c>
      <c r="G54" s="238"/>
      <c r="H54" s="238"/>
      <c r="I54" s="238"/>
      <c r="J54" s="238"/>
      <c r="K54" s="10" t="s">
        <v>6657</v>
      </c>
      <c r="L54" s="238" t="s">
        <v>375</v>
      </c>
      <c r="M54" s="238"/>
      <c r="N54" s="238"/>
      <c r="O54" s="238" t="s">
        <v>6011</v>
      </c>
      <c r="P54" s="238"/>
      <c r="Q54" s="238"/>
      <c r="R54" s="238" t="s">
        <v>304</v>
      </c>
      <c r="S54" s="238"/>
      <c r="T54" s="238"/>
      <c r="U54" s="238"/>
      <c r="V54" s="238"/>
      <c r="W54" s="238"/>
      <c r="X54" s="238" t="s">
        <v>6177</v>
      </c>
      <c r="Y54" s="238"/>
      <c r="Z54" s="10" t="s">
        <v>6087</v>
      </c>
      <c r="AA54" s="10" t="s">
        <v>6087</v>
      </c>
      <c r="AB54" s="238" t="s">
        <v>375</v>
      </c>
      <c r="AC54" s="238"/>
      <c r="AD54" s="238"/>
      <c r="AE54" s="238"/>
      <c r="AF54" s="10" t="s">
        <v>375</v>
      </c>
      <c r="AG54" s="237" t="s">
        <v>4937</v>
      </c>
      <c r="AH54" s="237"/>
      <c r="AI54" s="237"/>
      <c r="AJ54" s="237"/>
      <c r="AK54" s="2"/>
      <c r="AL54" s="2"/>
      <c r="AM54" s="2"/>
      <c r="AN54" s="2"/>
      <c r="AO54" s="7"/>
    </row>
    <row r="55" spans="1:41" ht="13.5" thickBot="1">
      <c r="A55" s="6"/>
      <c r="B55" s="2"/>
      <c r="C55" s="2"/>
      <c r="D55" s="244" t="s">
        <v>307</v>
      </c>
      <c r="E55" s="244"/>
      <c r="F55" s="238" t="s">
        <v>5565</v>
      </c>
      <c r="G55" s="238"/>
      <c r="H55" s="238"/>
      <c r="I55" s="238"/>
      <c r="J55" s="238"/>
      <c r="K55" s="10" t="s">
        <v>5566</v>
      </c>
      <c r="L55" s="238" t="s">
        <v>2842</v>
      </c>
      <c r="M55" s="238"/>
      <c r="N55" s="238"/>
      <c r="O55" s="238" t="s">
        <v>2995</v>
      </c>
      <c r="P55" s="238"/>
      <c r="Q55" s="238"/>
      <c r="R55" s="238" t="s">
        <v>1874</v>
      </c>
      <c r="S55" s="238"/>
      <c r="T55" s="238"/>
      <c r="U55" s="238"/>
      <c r="V55" s="238"/>
      <c r="W55" s="238"/>
      <c r="X55" s="238" t="s">
        <v>5567</v>
      </c>
      <c r="Y55" s="238"/>
      <c r="Z55" s="10" t="s">
        <v>5568</v>
      </c>
      <c r="AA55" s="10" t="s">
        <v>3152</v>
      </c>
      <c r="AB55" s="238" t="s">
        <v>3013</v>
      </c>
      <c r="AC55" s="238"/>
      <c r="AD55" s="238"/>
      <c r="AE55" s="238"/>
      <c r="AF55" s="10" t="s">
        <v>5569</v>
      </c>
      <c r="AG55" s="237" t="s">
        <v>6735</v>
      </c>
      <c r="AH55" s="237"/>
      <c r="AI55" s="237"/>
      <c r="AJ55" s="237"/>
      <c r="AK55" s="2"/>
      <c r="AL55" s="2"/>
      <c r="AM55" s="2"/>
      <c r="AN55" s="2"/>
      <c r="AO55" s="7"/>
    </row>
    <row r="56" spans="1:41" ht="13.5" thickBot="1">
      <c r="A56" s="6"/>
      <c r="B56" s="2"/>
      <c r="C56" s="2"/>
      <c r="D56" s="244" t="s">
        <v>319</v>
      </c>
      <c r="E56" s="244"/>
      <c r="F56" s="237" t="s">
        <v>5570</v>
      </c>
      <c r="G56" s="237"/>
      <c r="H56" s="237"/>
      <c r="I56" s="237"/>
      <c r="J56" s="237"/>
      <c r="K56" s="11" t="s">
        <v>4302</v>
      </c>
      <c r="L56" s="237" t="s">
        <v>2964</v>
      </c>
      <c r="M56" s="237"/>
      <c r="N56" s="237"/>
      <c r="O56" s="237" t="s">
        <v>6347</v>
      </c>
      <c r="P56" s="237"/>
      <c r="Q56" s="237"/>
      <c r="R56" s="237" t="s">
        <v>5571</v>
      </c>
      <c r="S56" s="237"/>
      <c r="T56" s="237"/>
      <c r="U56" s="237"/>
      <c r="V56" s="237"/>
      <c r="W56" s="237"/>
      <c r="X56" s="237" t="s">
        <v>3257</v>
      </c>
      <c r="Y56" s="237"/>
      <c r="Z56" s="11" t="s">
        <v>5572</v>
      </c>
      <c r="AA56" s="11" t="s">
        <v>6079</v>
      </c>
      <c r="AB56" s="237" t="s">
        <v>2994</v>
      </c>
      <c r="AC56" s="237"/>
      <c r="AD56" s="237"/>
      <c r="AE56" s="237"/>
      <c r="AF56" s="11" t="s">
        <v>2995</v>
      </c>
      <c r="AG56" s="237" t="s">
        <v>5573</v>
      </c>
      <c r="AH56" s="237"/>
      <c r="AI56" s="237"/>
      <c r="AJ56" s="237"/>
      <c r="AK56" s="2"/>
      <c r="AL56" s="2"/>
      <c r="AM56" s="2"/>
      <c r="AN56" s="2"/>
      <c r="AO56" s="7"/>
    </row>
    <row r="57" spans="1:41" ht="2.1" customHeight="1">
      <c r="A57" s="6"/>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7"/>
    </row>
    <row r="58" spans="1:41" ht="2.1" customHeight="1" thickBot="1">
      <c r="A58" s="6"/>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2"/>
      <c r="AJ58" s="2"/>
      <c r="AK58" s="2"/>
      <c r="AL58" s="2"/>
      <c r="AM58" s="2"/>
      <c r="AN58" s="2"/>
      <c r="AO58" s="7"/>
    </row>
    <row r="59" spans="1:41" ht="14.45" customHeight="1" thickBot="1">
      <c r="A59" s="6"/>
      <c r="B59" s="1"/>
      <c r="C59" s="2"/>
      <c r="D59" s="240" t="s">
        <v>328</v>
      </c>
      <c r="E59" s="240"/>
      <c r="F59" s="240"/>
      <c r="G59" s="240"/>
      <c r="H59" s="240"/>
      <c r="I59" s="240"/>
      <c r="J59" s="240"/>
      <c r="K59" s="240"/>
      <c r="L59" s="240"/>
      <c r="M59" s="240"/>
      <c r="N59" s="240"/>
      <c r="O59" s="240"/>
      <c r="P59" s="240"/>
      <c r="Q59" s="240"/>
      <c r="R59" s="240"/>
      <c r="S59" s="2"/>
      <c r="T59" s="2"/>
      <c r="U59" s="240" t="s">
        <v>329</v>
      </c>
      <c r="V59" s="240"/>
      <c r="W59" s="240"/>
      <c r="X59" s="240"/>
      <c r="Y59" s="240"/>
      <c r="Z59" s="240"/>
      <c r="AA59" s="240"/>
      <c r="AB59" s="240"/>
      <c r="AC59" s="240"/>
      <c r="AD59" s="240"/>
      <c r="AE59" s="240"/>
      <c r="AF59" s="240"/>
      <c r="AG59" s="240"/>
      <c r="AH59" s="1"/>
      <c r="AI59" s="2"/>
      <c r="AJ59" s="2"/>
      <c r="AK59" s="2"/>
      <c r="AL59" s="2"/>
      <c r="AM59" s="2"/>
      <c r="AN59" s="2"/>
      <c r="AO59" s="7"/>
    </row>
    <row r="60" spans="1:41" ht="144" customHeight="1" thickBot="1">
      <c r="A60" s="6"/>
      <c r="B60" s="1"/>
      <c r="C60" s="2"/>
      <c r="D60" s="241"/>
      <c r="E60" s="241"/>
      <c r="F60" s="241"/>
      <c r="G60" s="241"/>
      <c r="H60" s="241"/>
      <c r="I60" s="241"/>
      <c r="J60" s="241"/>
      <c r="K60" s="241"/>
      <c r="L60" s="241"/>
      <c r="M60" s="241"/>
      <c r="N60" s="241"/>
      <c r="O60" s="241"/>
      <c r="P60" s="241"/>
      <c r="Q60" s="241"/>
      <c r="R60" s="241"/>
      <c r="S60" s="2"/>
      <c r="T60" s="2"/>
      <c r="U60" s="242"/>
      <c r="V60" s="242"/>
      <c r="W60" s="242"/>
      <c r="X60" s="242"/>
      <c r="Y60" s="242"/>
      <c r="Z60" s="242"/>
      <c r="AA60" s="242"/>
      <c r="AB60" s="242"/>
      <c r="AC60" s="242"/>
      <c r="AD60" s="242"/>
      <c r="AE60" s="242"/>
      <c r="AF60" s="242"/>
      <c r="AG60" s="242"/>
      <c r="AH60" s="1"/>
      <c r="AI60" s="2"/>
      <c r="AJ60" s="2"/>
      <c r="AK60" s="2"/>
      <c r="AL60" s="2"/>
      <c r="AM60" s="2"/>
      <c r="AN60" s="2"/>
      <c r="AO60" s="7"/>
    </row>
    <row r="61" spans="1:41" ht="2.1" customHeight="1" thickBot="1">
      <c r="A61" s="6"/>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2"/>
      <c r="AJ61" s="2"/>
      <c r="AK61" s="2"/>
      <c r="AL61" s="2"/>
      <c r="AM61" s="2"/>
      <c r="AN61" s="2"/>
      <c r="AO61" s="7"/>
    </row>
    <row r="62" spans="1:41" ht="3.6" customHeight="1" thickBot="1">
      <c r="A62" s="12"/>
      <c r="B62" s="13"/>
      <c r="C62" s="13"/>
      <c r="D62" s="239"/>
      <c r="E62" s="239"/>
      <c r="F62" s="239"/>
      <c r="G62" s="239"/>
      <c r="H62" s="239"/>
      <c r="I62" s="239"/>
      <c r="J62" s="239"/>
      <c r="K62" s="239"/>
      <c r="L62" s="239"/>
      <c r="M62" s="239"/>
      <c r="N62" s="239"/>
      <c r="O62" s="239"/>
      <c r="P62" s="239"/>
      <c r="Q62" s="239"/>
      <c r="R62" s="239"/>
      <c r="S62" s="239"/>
      <c r="T62" s="239"/>
      <c r="U62" s="239"/>
      <c r="V62" s="239"/>
      <c r="W62" s="239"/>
      <c r="X62" s="239"/>
      <c r="Y62" s="239"/>
      <c r="Z62" s="239"/>
      <c r="AA62" s="239"/>
      <c r="AB62" s="239"/>
      <c r="AC62" s="239"/>
      <c r="AD62" s="239"/>
      <c r="AE62" s="239"/>
      <c r="AF62" s="239"/>
      <c r="AG62" s="239"/>
      <c r="AH62" s="239"/>
      <c r="AI62" s="13"/>
      <c r="AJ62" s="13"/>
      <c r="AK62" s="13"/>
      <c r="AL62" s="13"/>
      <c r="AM62" s="13"/>
      <c r="AN62" s="13"/>
      <c r="AO62" s="14"/>
    </row>
  </sheetData>
  <mergeCells count="206">
    <mergeCell ref="O56:Q56"/>
    <mergeCell ref="R56:W56"/>
    <mergeCell ref="X56:Y56"/>
    <mergeCell ref="AB56:AE56"/>
    <mergeCell ref="AG56:AJ56"/>
    <mergeCell ref="D62:AH62"/>
    <mergeCell ref="D59:R59"/>
    <mergeCell ref="U59:AG59"/>
    <mergeCell ref="D60:R60"/>
    <mergeCell ref="U60:AG60"/>
    <mergeCell ref="D56:E56"/>
    <mergeCell ref="F56:J56"/>
    <mergeCell ref="L56:N56"/>
    <mergeCell ref="D54:E54"/>
    <mergeCell ref="F54:J54"/>
    <mergeCell ref="L54:N54"/>
    <mergeCell ref="O54:Q54"/>
    <mergeCell ref="R55:W55"/>
    <mergeCell ref="X55:Y55"/>
    <mergeCell ref="AB55:AE55"/>
    <mergeCell ref="AG55:AJ55"/>
    <mergeCell ref="D55:E55"/>
    <mergeCell ref="F55:J55"/>
    <mergeCell ref="L55:N55"/>
    <mergeCell ref="O55:Q55"/>
    <mergeCell ref="AB54:AE54"/>
    <mergeCell ref="AG54:AJ54"/>
    <mergeCell ref="R54:W54"/>
    <mergeCell ref="X54:Y54"/>
    <mergeCell ref="AB53:AE53"/>
    <mergeCell ref="AG53:AJ53"/>
    <mergeCell ref="D52:E52"/>
    <mergeCell ref="F52:J52"/>
    <mergeCell ref="L52:N52"/>
    <mergeCell ref="O52:Q52"/>
    <mergeCell ref="AB52:AE52"/>
    <mergeCell ref="AG52:AJ52"/>
    <mergeCell ref="R52:W52"/>
    <mergeCell ref="X52:Y52"/>
    <mergeCell ref="D53:E53"/>
    <mergeCell ref="F53:J53"/>
    <mergeCell ref="L53:N53"/>
    <mergeCell ref="O53:Q53"/>
    <mergeCell ref="R53:W53"/>
    <mergeCell ref="X53:Y53"/>
    <mergeCell ref="R51:W51"/>
    <mergeCell ref="X51:Y51"/>
    <mergeCell ref="AB51:AE51"/>
    <mergeCell ref="AG51:AJ51"/>
    <mergeCell ref="D51:E51"/>
    <mergeCell ref="F51:J51"/>
    <mergeCell ref="L51:N51"/>
    <mergeCell ref="O51:Q51"/>
    <mergeCell ref="R50:W50"/>
    <mergeCell ref="X50:Y50"/>
    <mergeCell ref="AB50:AE50"/>
    <mergeCell ref="AG50:AJ50"/>
    <mergeCell ref="D50:E50"/>
    <mergeCell ref="F50:J50"/>
    <mergeCell ref="L50:N50"/>
    <mergeCell ref="O50:Q50"/>
    <mergeCell ref="R49:W49"/>
    <mergeCell ref="X49:Y49"/>
    <mergeCell ref="AB49:AE49"/>
    <mergeCell ref="AG49:AJ49"/>
    <mergeCell ref="D49:E49"/>
    <mergeCell ref="F49:J49"/>
    <mergeCell ref="L49:N49"/>
    <mergeCell ref="O49:Q49"/>
    <mergeCell ref="V45:AB45"/>
    <mergeCell ref="AC45:AD45"/>
    <mergeCell ref="AE45:AI45"/>
    <mergeCell ref="D47:O48"/>
    <mergeCell ref="W48:AH48"/>
    <mergeCell ref="V44:AB44"/>
    <mergeCell ref="AC44:AD44"/>
    <mergeCell ref="AE44:AI44"/>
    <mergeCell ref="V41:AB41"/>
    <mergeCell ref="AC41:AD41"/>
    <mergeCell ref="AE41:AI41"/>
    <mergeCell ref="V42:AB42"/>
    <mergeCell ref="AC42:AD42"/>
    <mergeCell ref="AE42:AI42"/>
    <mergeCell ref="AE32:AI34"/>
    <mergeCell ref="V43:AB43"/>
    <mergeCell ref="AC43:AD43"/>
    <mergeCell ref="AE43:AI43"/>
    <mergeCell ref="D37:R46"/>
    <mergeCell ref="V38:AB38"/>
    <mergeCell ref="AC38:AD38"/>
    <mergeCell ref="AE38:AI38"/>
    <mergeCell ref="V39:AB39"/>
    <mergeCell ref="AC39:AD39"/>
    <mergeCell ref="V35:AB35"/>
    <mergeCell ref="AC35:AD35"/>
    <mergeCell ref="AE39:AI39"/>
    <mergeCell ref="V40:AB40"/>
    <mergeCell ref="AC40:AD40"/>
    <mergeCell ref="AE40:AI40"/>
    <mergeCell ref="AE35:AI35"/>
    <mergeCell ref="V36:AB37"/>
    <mergeCell ref="AC36:AD37"/>
    <mergeCell ref="AE36:AI37"/>
    <mergeCell ref="AC25:AD26"/>
    <mergeCell ref="AE25:AI26"/>
    <mergeCell ref="D26:L27"/>
    <mergeCell ref="AC32:AD34"/>
    <mergeCell ref="M26:M27"/>
    <mergeCell ref="N26:P27"/>
    <mergeCell ref="Q26:S27"/>
    <mergeCell ref="V27:AB29"/>
    <mergeCell ref="AC27:AD29"/>
    <mergeCell ref="D34:R36"/>
    <mergeCell ref="M31:P32"/>
    <mergeCell ref="Q31:S32"/>
    <mergeCell ref="V32:AB34"/>
    <mergeCell ref="AC23:AD24"/>
    <mergeCell ref="AE23:AI24"/>
    <mergeCell ref="D24:L25"/>
    <mergeCell ref="M24:M25"/>
    <mergeCell ref="N24:P25"/>
    <mergeCell ref="Q24:S25"/>
    <mergeCell ref="V25:AB26"/>
    <mergeCell ref="D22:L23"/>
    <mergeCell ref="M22:M23"/>
    <mergeCell ref="N22:P23"/>
    <mergeCell ref="AE27:AI29"/>
    <mergeCell ref="D29:S30"/>
    <mergeCell ref="V30:AB31"/>
    <mergeCell ref="AC30:AD31"/>
    <mergeCell ref="AE30:AI31"/>
    <mergeCell ref="D31:F32"/>
    <mergeCell ref="G31:L32"/>
    <mergeCell ref="D20:D21"/>
    <mergeCell ref="E20:L21"/>
    <mergeCell ref="M20:M21"/>
    <mergeCell ref="N20:P21"/>
    <mergeCell ref="Q20:S21"/>
    <mergeCell ref="V20:AB20"/>
    <mergeCell ref="Q22:S23"/>
    <mergeCell ref="AC20:AD20"/>
    <mergeCell ref="AE20:AI20"/>
    <mergeCell ref="V21:AB22"/>
    <mergeCell ref="AC21:AD22"/>
    <mergeCell ref="AE21:AI22"/>
    <mergeCell ref="V23:AB24"/>
    <mergeCell ref="AC19:AD19"/>
    <mergeCell ref="AE19:AI19"/>
    <mergeCell ref="D17:L17"/>
    <mergeCell ref="N17:P17"/>
    <mergeCell ref="D18:L18"/>
    <mergeCell ref="N18:P18"/>
    <mergeCell ref="Q18:S18"/>
    <mergeCell ref="V18:AB18"/>
    <mergeCell ref="Q17:S17"/>
    <mergeCell ref="V17:AB17"/>
    <mergeCell ref="D19:L19"/>
    <mergeCell ref="N19:P19"/>
    <mergeCell ref="Q19:S19"/>
    <mergeCell ref="V19:AB19"/>
    <mergeCell ref="D16:L16"/>
    <mergeCell ref="N16:P16"/>
    <mergeCell ref="Q16:S16"/>
    <mergeCell ref="V16:AB16"/>
    <mergeCell ref="D15:G15"/>
    <mergeCell ref="H15:I15"/>
    <mergeCell ref="J15:S15"/>
    <mergeCell ref="V15:AB15"/>
    <mergeCell ref="AC16:AD16"/>
    <mergeCell ref="AE16:AI16"/>
    <mergeCell ref="AC18:AD18"/>
    <mergeCell ref="AE18:AI18"/>
    <mergeCell ref="AC17:AD17"/>
    <mergeCell ref="AE17:AI17"/>
    <mergeCell ref="AC14:AD14"/>
    <mergeCell ref="AE14:AI14"/>
    <mergeCell ref="AC15:AD15"/>
    <mergeCell ref="AE15:AI15"/>
    <mergeCell ref="H9:I9"/>
    <mergeCell ref="J9:AC9"/>
    <mergeCell ref="D10:G10"/>
    <mergeCell ref="H10:I10"/>
    <mergeCell ref="D14:G14"/>
    <mergeCell ref="H14:I14"/>
    <mergeCell ref="J14:S14"/>
    <mergeCell ref="V14:AB14"/>
    <mergeCell ref="D13:S13"/>
    <mergeCell ref="V13:AB13"/>
    <mergeCell ref="D11:G11"/>
    <mergeCell ref="H11:I11"/>
    <mergeCell ref="J11:AC11"/>
    <mergeCell ref="AC13:AD13"/>
    <mergeCell ref="AE13:AI13"/>
    <mergeCell ref="D12:G12"/>
    <mergeCell ref="H12:I12"/>
    <mergeCell ref="J12:AC12"/>
    <mergeCell ref="A2:AN2"/>
    <mergeCell ref="A4:AN4"/>
    <mergeCell ref="D7:H7"/>
    <mergeCell ref="I7:X7"/>
    <mergeCell ref="Y7:AL7"/>
    <mergeCell ref="J10:AC10"/>
    <mergeCell ref="D8:G8"/>
    <mergeCell ref="H8:I8"/>
    <mergeCell ref="J8:AC8"/>
    <mergeCell ref="D9:G9"/>
  </mergeCells>
  <phoneticPr fontId="13" type="noConversion"/>
  <pageMargins left="0.75" right="0.75" top="1" bottom="1" header="0.5" footer="0.5"/>
  <headerFooter alignWithMargins="0"/>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tabColor indexed="53"/>
  </sheetPr>
  <dimension ref="A1:AU63"/>
  <sheetViews>
    <sheetView topLeftCell="G1" workbookViewId="0">
      <selection activeCell="AV32" sqref="AV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0.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5574</v>
      </c>
      <c r="E7" s="269"/>
      <c r="F7" s="269"/>
      <c r="G7" s="269"/>
      <c r="H7" s="269" t="s">
        <v>5575</v>
      </c>
      <c r="I7" s="269"/>
      <c r="J7" s="269"/>
      <c r="K7" s="269"/>
      <c r="L7" s="269"/>
      <c r="M7" s="269"/>
      <c r="N7" s="269"/>
      <c r="O7" s="269"/>
      <c r="P7" s="269"/>
      <c r="Q7" s="269"/>
      <c r="R7" s="269"/>
      <c r="S7" s="269"/>
      <c r="T7" s="269"/>
      <c r="U7" s="269"/>
      <c r="V7" s="269"/>
      <c r="W7" s="269"/>
      <c r="X7" s="270" t="s">
        <v>5421</v>
      </c>
      <c r="Y7" s="270"/>
      <c r="Z7" s="270"/>
      <c r="AA7" s="270"/>
      <c r="AB7" s="270"/>
      <c r="AC7" s="270"/>
      <c r="AD7" s="270"/>
      <c r="AE7" s="270"/>
      <c r="AF7" s="270"/>
      <c r="AG7" s="270"/>
      <c r="AH7" s="270"/>
      <c r="AI7" s="270"/>
      <c r="AJ7" s="270"/>
      <c r="AK7" s="270"/>
      <c r="AL7" s="270"/>
      <c r="AM7" s="270"/>
      <c r="AN7" s="2"/>
      <c r="AO7" s="2"/>
      <c r="AP7" s="7"/>
      <c r="AT7" s="22" t="s">
        <v>1518</v>
      </c>
      <c r="AU7" s="35" t="str">
        <f>H7</f>
        <v>LEIBSTADT</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5576</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5576</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4" t="str">
        <f>I16</f>
        <v xml:space="preserve">BWR  </v>
      </c>
    </row>
    <row r="12" spans="1:47" ht="11.45" customHeight="1">
      <c r="A12" s="6"/>
      <c r="B12" s="1"/>
      <c r="C12" s="2"/>
      <c r="D12" s="247" t="s">
        <v>5714</v>
      </c>
      <c r="E12" s="247"/>
      <c r="F12" s="247"/>
      <c r="G12" s="247" t="s">
        <v>5709</v>
      </c>
      <c r="H12" s="247"/>
      <c r="I12" s="247" t="s">
        <v>5506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4" t="str">
        <f>I17</f>
        <v>BWR 6</v>
      </c>
    </row>
    <row r="13" spans="1:47" ht="11.25" customHeight="1">
      <c r="A13" s="6"/>
      <c r="B13" s="1"/>
      <c r="C13" s="2"/>
      <c r="D13" s="247" t="s">
        <v>5716</v>
      </c>
      <c r="E13" s="247"/>
      <c r="F13" s="247"/>
      <c r="G13" s="247" t="s">
        <v>5709</v>
      </c>
      <c r="H13" s="247"/>
      <c r="I13" s="247" t="s">
        <v>5423</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3600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1245</v>
      </c>
    </row>
    <row r="17" spans="1:47" ht="11.45" customHeight="1" thickBot="1">
      <c r="A17" s="6"/>
      <c r="B17" s="1"/>
      <c r="C17" s="1"/>
      <c r="D17" s="248" t="s">
        <v>5722</v>
      </c>
      <c r="E17" s="248"/>
      <c r="F17" s="248"/>
      <c r="G17" s="247" t="s">
        <v>5709</v>
      </c>
      <c r="H17" s="247"/>
      <c r="I17" s="248" t="s">
        <v>5577</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1190</v>
      </c>
    </row>
    <row r="18" spans="1:47" ht="13.5" thickBot="1">
      <c r="A18" s="6"/>
      <c r="B18" s="1"/>
      <c r="C18" s="1"/>
      <c r="D18" s="248" t="s">
        <v>185</v>
      </c>
      <c r="E18" s="248"/>
      <c r="F18" s="248"/>
      <c r="G18" s="248"/>
      <c r="H18" s="248"/>
      <c r="I18" s="248"/>
      <c r="J18" s="248"/>
      <c r="K18" s="248"/>
      <c r="L18" s="8" t="s">
        <v>5709</v>
      </c>
      <c r="M18" s="264">
        <v>3600</v>
      </c>
      <c r="N18" s="264"/>
      <c r="O18" s="264"/>
      <c r="P18" s="248" t="s">
        <v>186</v>
      </c>
      <c r="Q18" s="248"/>
      <c r="R18" s="248"/>
      <c r="S18" s="2"/>
      <c r="T18" s="2"/>
      <c r="U18" s="252" t="s">
        <v>187</v>
      </c>
      <c r="V18" s="252"/>
      <c r="W18" s="252"/>
      <c r="X18" s="252"/>
      <c r="Y18" s="252"/>
      <c r="Z18" s="252"/>
      <c r="AA18" s="252"/>
      <c r="AB18" s="247" t="s">
        <v>5709</v>
      </c>
      <c r="AC18" s="247"/>
      <c r="AD18" s="248" t="s">
        <v>5578</v>
      </c>
      <c r="AE18" s="248"/>
      <c r="AF18" s="248"/>
      <c r="AG18" s="248"/>
      <c r="AH18" s="248"/>
      <c r="AI18" s="248"/>
      <c r="AJ18" s="248"/>
      <c r="AK18" s="2"/>
      <c r="AL18" s="1"/>
      <c r="AM18" s="2"/>
      <c r="AN18" s="1"/>
      <c r="AO18" s="2"/>
      <c r="AP18" s="7"/>
      <c r="AT18" s="25" t="str">
        <f>D26</f>
        <v>Grid Date</v>
      </c>
      <c r="AU18" s="25">
        <f>M26</f>
        <v>30826</v>
      </c>
    </row>
    <row r="19" spans="1:47" ht="13.5" thickBot="1">
      <c r="A19" s="6"/>
      <c r="B19" s="1"/>
      <c r="C19" s="1"/>
      <c r="D19" s="248" t="s">
        <v>189</v>
      </c>
      <c r="E19" s="248"/>
      <c r="F19" s="248"/>
      <c r="G19" s="248"/>
      <c r="H19" s="248"/>
      <c r="I19" s="248"/>
      <c r="J19" s="248"/>
      <c r="K19" s="248"/>
      <c r="L19" s="8" t="s">
        <v>5709</v>
      </c>
      <c r="M19" s="264">
        <v>1245</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43000</v>
      </c>
    </row>
    <row r="20" spans="1:47" ht="13.5" thickBot="1">
      <c r="A20" s="6"/>
      <c r="B20" s="1"/>
      <c r="C20" s="1"/>
      <c r="D20" s="248" t="s">
        <v>193</v>
      </c>
      <c r="E20" s="248"/>
      <c r="F20" s="248"/>
      <c r="G20" s="248"/>
      <c r="H20" s="248"/>
      <c r="I20" s="248"/>
      <c r="J20" s="248"/>
      <c r="K20" s="248"/>
      <c r="L20" s="8" t="s">
        <v>5709</v>
      </c>
      <c r="M20" s="264">
        <v>960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56.51</v>
      </c>
    </row>
    <row r="21" spans="1:47" ht="13.5" thickBot="1">
      <c r="A21" s="6"/>
      <c r="B21" s="1"/>
      <c r="C21" s="1"/>
      <c r="D21" s="248" t="s">
        <v>196</v>
      </c>
      <c r="E21" s="248"/>
      <c r="F21" s="248"/>
      <c r="G21" s="248"/>
      <c r="H21" s="248"/>
      <c r="I21" s="248"/>
      <c r="J21" s="248"/>
      <c r="K21" s="248"/>
      <c r="L21" s="8" t="s">
        <v>5709</v>
      </c>
      <c r="M21" s="264">
        <v>1190</v>
      </c>
      <c r="N21" s="264"/>
      <c r="O21" s="264"/>
      <c r="P21" s="248" t="s">
        <v>190</v>
      </c>
      <c r="Q21" s="248"/>
      <c r="R21" s="248"/>
      <c r="S21" s="2"/>
      <c r="T21" s="2"/>
      <c r="U21" s="252" t="s">
        <v>197</v>
      </c>
      <c r="V21" s="252"/>
      <c r="W21" s="252"/>
      <c r="X21" s="252"/>
      <c r="Y21" s="252"/>
      <c r="Z21" s="252"/>
      <c r="AA21" s="252"/>
      <c r="AB21" s="247" t="s">
        <v>5709</v>
      </c>
      <c r="AC21" s="247"/>
      <c r="AD21" s="248" t="s">
        <v>5579</v>
      </c>
      <c r="AE21" s="248"/>
      <c r="AF21" s="248"/>
      <c r="AG21" s="248"/>
      <c r="AH21" s="248"/>
      <c r="AI21" s="248"/>
      <c r="AJ21" s="248"/>
      <c r="AK21" s="2"/>
      <c r="AL21" s="1"/>
      <c r="AM21" s="2"/>
      <c r="AN21" s="1"/>
      <c r="AO21" s="2"/>
      <c r="AP21" s="7"/>
      <c r="AT21" s="23" t="str">
        <f>D57&amp;AF50</f>
        <v>LF [%]2010</v>
      </c>
      <c r="AU21" s="23" t="str">
        <f>AF57</f>
        <v>85.98</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5580</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4342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27030</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5183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30826</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5581</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31031</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5582</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5583</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5584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5585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5586</v>
      </c>
      <c r="G51" s="238"/>
      <c r="H51" s="238"/>
      <c r="I51" s="238"/>
      <c r="J51" s="10" t="s">
        <v>5587</v>
      </c>
      <c r="K51" s="238" t="s">
        <v>5588</v>
      </c>
      <c r="L51" s="238"/>
      <c r="M51" s="238"/>
      <c r="N51" s="238" t="s">
        <v>5589</v>
      </c>
      <c r="O51" s="238"/>
      <c r="P51" s="238"/>
      <c r="Q51" s="238" t="s">
        <v>5590</v>
      </c>
      <c r="R51" s="238"/>
      <c r="S51" s="238"/>
      <c r="T51" s="238"/>
      <c r="U51" s="238"/>
      <c r="V51" s="238"/>
      <c r="W51" s="238" t="s">
        <v>5591</v>
      </c>
      <c r="X51" s="238"/>
      <c r="Y51" s="10" t="s">
        <v>5592</v>
      </c>
      <c r="Z51" s="10" t="s">
        <v>5593</v>
      </c>
      <c r="AA51" s="238" t="s">
        <v>5594</v>
      </c>
      <c r="AB51" s="238"/>
      <c r="AC51" s="238"/>
      <c r="AD51" s="238"/>
      <c r="AE51" s="238"/>
      <c r="AF51" s="10" t="s">
        <v>5595</v>
      </c>
      <c r="AG51" s="237" t="s">
        <v>5596</v>
      </c>
      <c r="AH51" s="237"/>
      <c r="AI51" s="237"/>
      <c r="AJ51" s="237"/>
      <c r="AK51" s="237"/>
      <c r="AL51" s="2"/>
      <c r="AM51" s="2"/>
      <c r="AN51" s="2"/>
      <c r="AO51" s="2"/>
      <c r="AP51" s="7"/>
    </row>
    <row r="52" spans="1:42" ht="13.5" thickBot="1">
      <c r="A52" s="6"/>
      <c r="B52" s="2"/>
      <c r="C52" s="2"/>
      <c r="D52" s="244" t="s">
        <v>261</v>
      </c>
      <c r="E52" s="244"/>
      <c r="F52" s="238" t="s">
        <v>4161</v>
      </c>
      <c r="G52" s="238"/>
      <c r="H52" s="238"/>
      <c r="I52" s="238"/>
      <c r="J52" s="10" t="s">
        <v>6453</v>
      </c>
      <c r="K52" s="238" t="s">
        <v>6698</v>
      </c>
      <c r="L52" s="238"/>
      <c r="M52" s="238"/>
      <c r="N52" s="238" t="s">
        <v>5597</v>
      </c>
      <c r="O52" s="238"/>
      <c r="P52" s="238"/>
      <c r="Q52" s="238" t="s">
        <v>5598</v>
      </c>
      <c r="R52" s="238"/>
      <c r="S52" s="238"/>
      <c r="T52" s="238"/>
      <c r="U52" s="238"/>
      <c r="V52" s="238"/>
      <c r="W52" s="238" t="s">
        <v>5599</v>
      </c>
      <c r="X52" s="238"/>
      <c r="Y52" s="10" t="s">
        <v>5600</v>
      </c>
      <c r="Z52" s="10" t="s">
        <v>1836</v>
      </c>
      <c r="AA52" s="238" t="s">
        <v>5601</v>
      </c>
      <c r="AB52" s="238"/>
      <c r="AC52" s="238"/>
      <c r="AD52" s="238"/>
      <c r="AE52" s="238"/>
      <c r="AF52" s="10" t="s">
        <v>4271</v>
      </c>
      <c r="AG52" s="237" t="s">
        <v>5602</v>
      </c>
      <c r="AH52" s="237"/>
      <c r="AI52" s="237"/>
      <c r="AJ52" s="237"/>
      <c r="AK52" s="237"/>
      <c r="AL52" s="2"/>
      <c r="AM52" s="2"/>
      <c r="AN52" s="2"/>
      <c r="AO52" s="2"/>
      <c r="AP52" s="7"/>
    </row>
    <row r="53" spans="1:42" ht="13.5" thickBot="1">
      <c r="A53" s="6"/>
      <c r="B53" s="2"/>
      <c r="C53" s="2"/>
      <c r="D53" s="244" t="s">
        <v>273</v>
      </c>
      <c r="E53" s="244"/>
      <c r="F53" s="238" t="s">
        <v>6503</v>
      </c>
      <c r="G53" s="238"/>
      <c r="H53" s="238"/>
      <c r="I53" s="238"/>
      <c r="J53" s="10" t="s">
        <v>5603</v>
      </c>
      <c r="K53" s="238" t="s">
        <v>5604</v>
      </c>
      <c r="L53" s="238"/>
      <c r="M53" s="238"/>
      <c r="N53" s="238" t="s">
        <v>5605</v>
      </c>
      <c r="O53" s="238"/>
      <c r="P53" s="238"/>
      <c r="Q53" s="238" t="s">
        <v>202</v>
      </c>
      <c r="R53" s="238"/>
      <c r="S53" s="238"/>
      <c r="T53" s="238"/>
      <c r="U53" s="238"/>
      <c r="V53" s="238"/>
      <c r="W53" s="238" t="s">
        <v>4346</v>
      </c>
      <c r="X53" s="238"/>
      <c r="Y53" s="10" t="s">
        <v>5606</v>
      </c>
      <c r="Z53" s="10" t="s">
        <v>6706</v>
      </c>
      <c r="AA53" s="238" t="s">
        <v>5607</v>
      </c>
      <c r="AB53" s="238"/>
      <c r="AC53" s="238"/>
      <c r="AD53" s="238"/>
      <c r="AE53" s="238"/>
      <c r="AF53" s="10" t="s">
        <v>5608</v>
      </c>
      <c r="AG53" s="237" t="s">
        <v>5609</v>
      </c>
      <c r="AH53" s="237"/>
      <c r="AI53" s="237"/>
      <c r="AJ53" s="237"/>
      <c r="AK53" s="237"/>
      <c r="AL53" s="2"/>
      <c r="AM53" s="2"/>
      <c r="AN53" s="2"/>
      <c r="AO53" s="2"/>
      <c r="AP53" s="7"/>
    </row>
    <row r="54" spans="1:42" ht="13.5" thickBot="1">
      <c r="A54" s="6"/>
      <c r="B54" s="2"/>
      <c r="C54" s="2"/>
      <c r="D54" s="244" t="s">
        <v>285</v>
      </c>
      <c r="E54" s="244"/>
      <c r="F54" s="238" t="s">
        <v>3065</v>
      </c>
      <c r="G54" s="238"/>
      <c r="H54" s="238"/>
      <c r="I54" s="238"/>
      <c r="J54" s="10" t="s">
        <v>3415</v>
      </c>
      <c r="K54" s="238" t="s">
        <v>4327</v>
      </c>
      <c r="L54" s="238"/>
      <c r="M54" s="238"/>
      <c r="N54" s="238" t="s">
        <v>3067</v>
      </c>
      <c r="O54" s="238"/>
      <c r="P54" s="238"/>
      <c r="Q54" s="238" t="s">
        <v>5610</v>
      </c>
      <c r="R54" s="238"/>
      <c r="S54" s="238"/>
      <c r="T54" s="238"/>
      <c r="U54" s="238"/>
      <c r="V54" s="238"/>
      <c r="W54" s="238" t="s">
        <v>5611</v>
      </c>
      <c r="X54" s="238"/>
      <c r="Y54" s="10" t="s">
        <v>2946</v>
      </c>
      <c r="Z54" s="10" t="s">
        <v>5612</v>
      </c>
      <c r="AA54" s="238" t="s">
        <v>5613</v>
      </c>
      <c r="AB54" s="238"/>
      <c r="AC54" s="238"/>
      <c r="AD54" s="238"/>
      <c r="AE54" s="238"/>
      <c r="AF54" s="10" t="s">
        <v>5614</v>
      </c>
      <c r="AG54" s="237" t="s">
        <v>6863</v>
      </c>
      <c r="AH54" s="237"/>
      <c r="AI54" s="237"/>
      <c r="AJ54" s="237"/>
      <c r="AK54" s="237"/>
      <c r="AL54" s="2"/>
      <c r="AM54" s="2"/>
      <c r="AN54" s="2"/>
      <c r="AO54" s="2"/>
      <c r="AP54" s="7"/>
    </row>
    <row r="55" spans="1:42" ht="13.5" thickBot="1">
      <c r="A55" s="6"/>
      <c r="B55" s="2"/>
      <c r="C55" s="2"/>
      <c r="D55" s="244" t="s">
        <v>295</v>
      </c>
      <c r="E55" s="244"/>
      <c r="F55" s="238" t="s">
        <v>7077</v>
      </c>
      <c r="G55" s="238"/>
      <c r="H55" s="238"/>
      <c r="I55" s="238"/>
      <c r="J55" s="10" t="s">
        <v>5615</v>
      </c>
      <c r="K55" s="238" t="s">
        <v>6087</v>
      </c>
      <c r="L55" s="238"/>
      <c r="M55" s="238"/>
      <c r="N55" s="238" t="s">
        <v>4259</v>
      </c>
      <c r="O55" s="238"/>
      <c r="P55" s="238"/>
      <c r="Q55" s="238" t="s">
        <v>5616</v>
      </c>
      <c r="R55" s="238"/>
      <c r="S55" s="238"/>
      <c r="T55" s="238"/>
      <c r="U55" s="238"/>
      <c r="V55" s="238"/>
      <c r="W55" s="238" t="s">
        <v>6086</v>
      </c>
      <c r="X55" s="238"/>
      <c r="Y55" s="10" t="s">
        <v>3349</v>
      </c>
      <c r="Z55" s="10" t="s">
        <v>6718</v>
      </c>
      <c r="AA55" s="238" t="s">
        <v>380</v>
      </c>
      <c r="AB55" s="238"/>
      <c r="AC55" s="238"/>
      <c r="AD55" s="238"/>
      <c r="AE55" s="238"/>
      <c r="AF55" s="10" t="s">
        <v>382</v>
      </c>
      <c r="AG55" s="237" t="s">
        <v>357</v>
      </c>
      <c r="AH55" s="237"/>
      <c r="AI55" s="237"/>
      <c r="AJ55" s="237"/>
      <c r="AK55" s="237"/>
      <c r="AL55" s="2"/>
      <c r="AM55" s="2"/>
      <c r="AN55" s="2"/>
      <c r="AO55" s="2"/>
      <c r="AP55" s="7"/>
    </row>
    <row r="56" spans="1:42" ht="13.5" thickBot="1">
      <c r="A56" s="6"/>
      <c r="B56" s="2"/>
      <c r="C56" s="2"/>
      <c r="D56" s="244" t="s">
        <v>307</v>
      </c>
      <c r="E56" s="244"/>
      <c r="F56" s="238" t="s">
        <v>5167</v>
      </c>
      <c r="G56" s="238"/>
      <c r="H56" s="238"/>
      <c r="I56" s="238"/>
      <c r="J56" s="10" t="s">
        <v>6407</v>
      </c>
      <c r="K56" s="238" t="s">
        <v>398</v>
      </c>
      <c r="L56" s="238"/>
      <c r="M56" s="238"/>
      <c r="N56" s="238" t="s">
        <v>3529</v>
      </c>
      <c r="O56" s="238"/>
      <c r="P56" s="238"/>
      <c r="Q56" s="238" t="s">
        <v>5617</v>
      </c>
      <c r="R56" s="238"/>
      <c r="S56" s="238"/>
      <c r="T56" s="238"/>
      <c r="U56" s="238"/>
      <c r="V56" s="238"/>
      <c r="W56" s="238" t="s">
        <v>388</v>
      </c>
      <c r="X56" s="238"/>
      <c r="Y56" s="10" t="s">
        <v>2868</v>
      </c>
      <c r="Z56" s="10" t="s">
        <v>3351</v>
      </c>
      <c r="AA56" s="238" t="s">
        <v>398</v>
      </c>
      <c r="AB56" s="238"/>
      <c r="AC56" s="238"/>
      <c r="AD56" s="238"/>
      <c r="AE56" s="238"/>
      <c r="AF56" s="10" t="s">
        <v>3085</v>
      </c>
      <c r="AG56" s="237" t="s">
        <v>5618</v>
      </c>
      <c r="AH56" s="237"/>
      <c r="AI56" s="237"/>
      <c r="AJ56" s="237"/>
      <c r="AK56" s="237"/>
      <c r="AL56" s="2"/>
      <c r="AM56" s="2"/>
      <c r="AN56" s="2"/>
      <c r="AO56" s="2"/>
      <c r="AP56" s="7"/>
    </row>
    <row r="57" spans="1:42" ht="13.5" thickBot="1">
      <c r="A57" s="6"/>
      <c r="B57" s="2"/>
      <c r="C57" s="2"/>
      <c r="D57" s="244" t="s">
        <v>319</v>
      </c>
      <c r="E57" s="244"/>
      <c r="F57" s="237" t="s">
        <v>4174</v>
      </c>
      <c r="G57" s="237"/>
      <c r="H57" s="237"/>
      <c r="I57" s="237"/>
      <c r="J57" s="11" t="s">
        <v>2894</v>
      </c>
      <c r="K57" s="237" t="s">
        <v>5619</v>
      </c>
      <c r="L57" s="237"/>
      <c r="M57" s="237"/>
      <c r="N57" s="237" t="s">
        <v>6776</v>
      </c>
      <c r="O57" s="237"/>
      <c r="P57" s="237"/>
      <c r="Q57" s="237" t="s">
        <v>5610</v>
      </c>
      <c r="R57" s="237"/>
      <c r="S57" s="237"/>
      <c r="T57" s="237"/>
      <c r="U57" s="237"/>
      <c r="V57" s="237"/>
      <c r="W57" s="237" t="s">
        <v>5620</v>
      </c>
      <c r="X57" s="237"/>
      <c r="Y57" s="11" t="s">
        <v>4845</v>
      </c>
      <c r="Z57" s="11" t="s">
        <v>5533</v>
      </c>
      <c r="AA57" s="237" t="s">
        <v>6915</v>
      </c>
      <c r="AB57" s="237"/>
      <c r="AC57" s="237"/>
      <c r="AD57" s="237"/>
      <c r="AE57" s="237"/>
      <c r="AF57" s="11" t="s">
        <v>7095</v>
      </c>
      <c r="AG57" s="237" t="s">
        <v>5621</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tabColor indexed="53"/>
  </sheetPr>
  <dimension ref="A1:AU63"/>
  <sheetViews>
    <sheetView topLeftCell="H1" workbookViewId="0">
      <selection activeCell="AV32" sqref="AV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5503</v>
      </c>
      <c r="E7" s="269"/>
      <c r="F7" s="269"/>
      <c r="G7" s="269"/>
      <c r="H7" s="269" t="s">
        <v>5504</v>
      </c>
      <c r="I7" s="269"/>
      <c r="J7" s="269"/>
      <c r="K7" s="269"/>
      <c r="L7" s="269"/>
      <c r="M7" s="269"/>
      <c r="N7" s="269"/>
      <c r="O7" s="269"/>
      <c r="P7" s="269"/>
      <c r="Q7" s="269"/>
      <c r="R7" s="269"/>
      <c r="S7" s="269"/>
      <c r="T7" s="269"/>
      <c r="U7" s="269"/>
      <c r="V7" s="269"/>
      <c r="W7" s="269"/>
      <c r="X7" s="270" t="s">
        <v>5421</v>
      </c>
      <c r="Y7" s="270"/>
      <c r="Z7" s="270"/>
      <c r="AA7" s="270"/>
      <c r="AB7" s="270"/>
      <c r="AC7" s="270"/>
      <c r="AD7" s="270"/>
      <c r="AE7" s="270"/>
      <c r="AF7" s="270"/>
      <c r="AG7" s="270"/>
      <c r="AH7" s="270"/>
      <c r="AI7" s="270"/>
      <c r="AJ7" s="270"/>
      <c r="AK7" s="270"/>
      <c r="AL7" s="270"/>
      <c r="AM7" s="270"/>
      <c r="AN7" s="2"/>
      <c r="AO7" s="2"/>
      <c r="AP7" s="7"/>
      <c r="AT7" s="22" t="s">
        <v>1518</v>
      </c>
      <c r="AU7" s="35" t="str">
        <f>H7</f>
        <v>MUEHLEBERG</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5505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5505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4" t="str">
        <f>I16</f>
        <v xml:space="preserve">BWR  </v>
      </c>
    </row>
    <row r="12" spans="1:47" ht="11.45" customHeight="1">
      <c r="A12" s="6"/>
      <c r="B12" s="1"/>
      <c r="C12" s="2"/>
      <c r="D12" s="247" t="s">
        <v>5714</v>
      </c>
      <c r="E12" s="247"/>
      <c r="F12" s="247"/>
      <c r="G12" s="247" t="s">
        <v>5709</v>
      </c>
      <c r="H12" s="247"/>
      <c r="I12" s="247" t="s">
        <v>5506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4" t="str">
        <f>I17</f>
        <v>BWR 4</v>
      </c>
    </row>
    <row r="13" spans="1:47" ht="11.25" customHeight="1">
      <c r="A13" s="6"/>
      <c r="B13" s="1"/>
      <c r="C13" s="2"/>
      <c r="D13" s="247" t="s">
        <v>5716</v>
      </c>
      <c r="E13" s="247"/>
      <c r="F13" s="247"/>
      <c r="G13" s="247" t="s">
        <v>5709</v>
      </c>
      <c r="H13" s="247"/>
      <c r="I13" s="247" t="s">
        <v>5423</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1097</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390</v>
      </c>
    </row>
    <row r="17" spans="1:47" ht="11.45" customHeight="1" thickBot="1">
      <c r="A17" s="6"/>
      <c r="B17" s="1"/>
      <c r="C17" s="1"/>
      <c r="D17" s="248" t="s">
        <v>5722</v>
      </c>
      <c r="E17" s="248"/>
      <c r="F17" s="248"/>
      <c r="G17" s="247" t="s">
        <v>5709</v>
      </c>
      <c r="H17" s="247"/>
      <c r="I17" s="248" t="s">
        <v>5507</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373</v>
      </c>
    </row>
    <row r="18" spans="1:47" ht="13.5" thickBot="1">
      <c r="A18" s="6"/>
      <c r="B18" s="1"/>
      <c r="C18" s="1"/>
      <c r="D18" s="248" t="s">
        <v>185</v>
      </c>
      <c r="E18" s="248"/>
      <c r="F18" s="248"/>
      <c r="G18" s="248"/>
      <c r="H18" s="248"/>
      <c r="I18" s="248"/>
      <c r="J18" s="248"/>
      <c r="K18" s="248"/>
      <c r="L18" s="8" t="s">
        <v>5709</v>
      </c>
      <c r="M18" s="264">
        <v>1097</v>
      </c>
      <c r="N18" s="264"/>
      <c r="O18" s="264"/>
      <c r="P18" s="248" t="s">
        <v>186</v>
      </c>
      <c r="Q18" s="248"/>
      <c r="R18" s="248"/>
      <c r="S18" s="2"/>
      <c r="T18" s="2"/>
      <c r="U18" s="252" t="s">
        <v>187</v>
      </c>
      <c r="V18" s="252"/>
      <c r="W18" s="252"/>
      <c r="X18" s="252"/>
      <c r="Y18" s="252"/>
      <c r="Z18" s="252"/>
      <c r="AA18" s="252"/>
      <c r="AB18" s="247" t="s">
        <v>5709</v>
      </c>
      <c r="AC18" s="247"/>
      <c r="AD18" s="248" t="s">
        <v>5508</v>
      </c>
      <c r="AE18" s="248"/>
      <c r="AF18" s="248"/>
      <c r="AG18" s="248"/>
      <c r="AH18" s="248"/>
      <c r="AI18" s="248"/>
      <c r="AJ18" s="248"/>
      <c r="AK18" s="2"/>
      <c r="AL18" s="1"/>
      <c r="AM18" s="2"/>
      <c r="AN18" s="1"/>
      <c r="AO18" s="2"/>
      <c r="AP18" s="7"/>
      <c r="AT18" s="25" t="str">
        <f>D26</f>
        <v>Grid Date</v>
      </c>
      <c r="AU18" s="25">
        <f>M26</f>
        <v>26115</v>
      </c>
    </row>
    <row r="19" spans="1:47" ht="13.5" thickBot="1">
      <c r="A19" s="6"/>
      <c r="B19" s="1"/>
      <c r="C19" s="1"/>
      <c r="D19" s="248" t="s">
        <v>189</v>
      </c>
      <c r="E19" s="248"/>
      <c r="F19" s="248"/>
      <c r="G19" s="248"/>
      <c r="H19" s="248"/>
      <c r="I19" s="248"/>
      <c r="J19" s="248"/>
      <c r="K19" s="248"/>
      <c r="L19" s="8" t="s">
        <v>5709</v>
      </c>
      <c r="M19" s="264">
        <v>390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48000</v>
      </c>
    </row>
    <row r="20" spans="1:47" ht="13.5" thickBot="1">
      <c r="A20" s="6"/>
      <c r="B20" s="1"/>
      <c r="C20" s="1"/>
      <c r="D20" s="248" t="s">
        <v>193</v>
      </c>
      <c r="E20" s="248"/>
      <c r="F20" s="248"/>
      <c r="G20" s="248"/>
      <c r="H20" s="248"/>
      <c r="I20" s="248"/>
      <c r="J20" s="248"/>
      <c r="K20" s="248"/>
      <c r="L20" s="8" t="s">
        <v>5709</v>
      </c>
      <c r="M20" s="264">
        <v>306</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91.81</v>
      </c>
    </row>
    <row r="21" spans="1:47" ht="13.5" thickBot="1">
      <c r="A21" s="6"/>
      <c r="B21" s="1"/>
      <c r="C21" s="1"/>
      <c r="D21" s="248" t="s">
        <v>196</v>
      </c>
      <c r="E21" s="248"/>
      <c r="F21" s="248"/>
      <c r="G21" s="248"/>
      <c r="H21" s="248"/>
      <c r="I21" s="248"/>
      <c r="J21" s="248"/>
      <c r="K21" s="248"/>
      <c r="L21" s="8" t="s">
        <v>5709</v>
      </c>
      <c r="M21" s="264">
        <v>373</v>
      </c>
      <c r="N21" s="264"/>
      <c r="O21" s="264"/>
      <c r="P21" s="248" t="s">
        <v>190</v>
      </c>
      <c r="Q21" s="248"/>
      <c r="R21" s="248"/>
      <c r="S21" s="2"/>
      <c r="T21" s="2"/>
      <c r="U21" s="252" t="s">
        <v>197</v>
      </c>
      <c r="V21" s="252"/>
      <c r="W21" s="252"/>
      <c r="X21" s="252"/>
      <c r="Y21" s="252"/>
      <c r="Z21" s="252"/>
      <c r="AA21" s="252"/>
      <c r="AB21" s="247" t="s">
        <v>5709</v>
      </c>
      <c r="AC21" s="247"/>
      <c r="AD21" s="248" t="s">
        <v>5509</v>
      </c>
      <c r="AE21" s="248"/>
      <c r="AF21" s="248"/>
      <c r="AG21" s="248"/>
      <c r="AH21" s="248"/>
      <c r="AI21" s="248"/>
      <c r="AJ21" s="248"/>
      <c r="AK21" s="2"/>
      <c r="AL21" s="1"/>
      <c r="AM21" s="2"/>
      <c r="AN21" s="1"/>
      <c r="AO21" s="2"/>
      <c r="AP21" s="7"/>
      <c r="AT21" s="23" t="str">
        <f>D57&amp;AF50</f>
        <v>LF [%]2010</v>
      </c>
      <c r="AU21" s="23" t="str">
        <f>AF57</f>
        <v>92.08</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277</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4342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24532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5510</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26115</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6278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26609</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5511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2855</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4347</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5512</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5513</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5514</v>
      </c>
      <c r="G51" s="238"/>
      <c r="H51" s="238"/>
      <c r="I51" s="238"/>
      <c r="J51" s="10" t="s">
        <v>5515</v>
      </c>
      <c r="K51" s="238" t="s">
        <v>5516</v>
      </c>
      <c r="L51" s="238"/>
      <c r="M51" s="238"/>
      <c r="N51" s="238" t="s">
        <v>5517</v>
      </c>
      <c r="O51" s="238"/>
      <c r="P51" s="238"/>
      <c r="Q51" s="238" t="s">
        <v>5518</v>
      </c>
      <c r="R51" s="238"/>
      <c r="S51" s="238"/>
      <c r="T51" s="238"/>
      <c r="U51" s="238"/>
      <c r="V51" s="238"/>
      <c r="W51" s="238" t="s">
        <v>5519</v>
      </c>
      <c r="X51" s="238"/>
      <c r="Y51" s="10" t="s">
        <v>5520</v>
      </c>
      <c r="Z51" s="10" t="s">
        <v>5521</v>
      </c>
      <c r="AA51" s="238" t="s">
        <v>5522</v>
      </c>
      <c r="AB51" s="238"/>
      <c r="AC51" s="238"/>
      <c r="AD51" s="238"/>
      <c r="AE51" s="238"/>
      <c r="AF51" s="10" t="s">
        <v>5523</v>
      </c>
      <c r="AG51" s="237" t="s">
        <v>5524</v>
      </c>
      <c r="AH51" s="237"/>
      <c r="AI51" s="237"/>
      <c r="AJ51" s="237"/>
      <c r="AK51" s="237"/>
      <c r="AL51" s="2"/>
      <c r="AM51" s="2"/>
      <c r="AN51" s="2"/>
      <c r="AO51" s="2"/>
      <c r="AP51" s="7"/>
    </row>
    <row r="52" spans="1:42" ht="13.5" thickBot="1">
      <c r="A52" s="6"/>
      <c r="B52" s="2"/>
      <c r="C52" s="2"/>
      <c r="D52" s="244" t="s">
        <v>261</v>
      </c>
      <c r="E52" s="244"/>
      <c r="F52" s="238" t="s">
        <v>5327</v>
      </c>
      <c r="G52" s="238"/>
      <c r="H52" s="238"/>
      <c r="I52" s="238"/>
      <c r="J52" s="10" t="s">
        <v>7119</v>
      </c>
      <c r="K52" s="238" t="s">
        <v>6199</v>
      </c>
      <c r="L52" s="238"/>
      <c r="M52" s="238"/>
      <c r="N52" s="238" t="s">
        <v>6018</v>
      </c>
      <c r="O52" s="238"/>
      <c r="P52" s="238"/>
      <c r="Q52" s="238" t="s">
        <v>6805</v>
      </c>
      <c r="R52" s="238"/>
      <c r="S52" s="238"/>
      <c r="T52" s="238"/>
      <c r="U52" s="238"/>
      <c r="V52" s="238"/>
      <c r="W52" s="238" t="s">
        <v>4842</v>
      </c>
      <c r="X52" s="238"/>
      <c r="Y52" s="10" t="s">
        <v>3328</v>
      </c>
      <c r="Z52" s="10" t="s">
        <v>6330</v>
      </c>
      <c r="AA52" s="238" t="s">
        <v>1836</v>
      </c>
      <c r="AB52" s="238"/>
      <c r="AC52" s="238"/>
      <c r="AD52" s="238"/>
      <c r="AE52" s="238"/>
      <c r="AF52" s="10" t="s">
        <v>1980</v>
      </c>
      <c r="AG52" s="237" t="s">
        <v>5364</v>
      </c>
      <c r="AH52" s="237"/>
      <c r="AI52" s="237"/>
      <c r="AJ52" s="237"/>
      <c r="AK52" s="237"/>
      <c r="AL52" s="2"/>
      <c r="AM52" s="2"/>
      <c r="AN52" s="2"/>
      <c r="AO52" s="2"/>
      <c r="AP52" s="7"/>
    </row>
    <row r="53" spans="1:42" ht="13.5" thickBot="1">
      <c r="A53" s="6"/>
      <c r="B53" s="2"/>
      <c r="C53" s="2"/>
      <c r="D53" s="244" t="s">
        <v>273</v>
      </c>
      <c r="E53" s="244"/>
      <c r="F53" s="238" t="s">
        <v>6063</v>
      </c>
      <c r="G53" s="238"/>
      <c r="H53" s="238"/>
      <c r="I53" s="238"/>
      <c r="J53" s="10" t="s">
        <v>5525</v>
      </c>
      <c r="K53" s="238" t="s">
        <v>4980</v>
      </c>
      <c r="L53" s="238"/>
      <c r="M53" s="238"/>
      <c r="N53" s="238" t="s">
        <v>5526</v>
      </c>
      <c r="O53" s="238"/>
      <c r="P53" s="238"/>
      <c r="Q53" s="238" t="s">
        <v>3450</v>
      </c>
      <c r="R53" s="238"/>
      <c r="S53" s="238"/>
      <c r="T53" s="238"/>
      <c r="U53" s="238"/>
      <c r="V53" s="238"/>
      <c r="W53" s="238" t="s">
        <v>5527</v>
      </c>
      <c r="X53" s="238"/>
      <c r="Y53" s="10" t="s">
        <v>6831</v>
      </c>
      <c r="Z53" s="10" t="s">
        <v>6886</v>
      </c>
      <c r="AA53" s="238" t="s">
        <v>2788</v>
      </c>
      <c r="AB53" s="238"/>
      <c r="AC53" s="238"/>
      <c r="AD53" s="238"/>
      <c r="AE53" s="238"/>
      <c r="AF53" s="10" t="s">
        <v>6968</v>
      </c>
      <c r="AG53" s="237" t="s">
        <v>1887</v>
      </c>
      <c r="AH53" s="237"/>
      <c r="AI53" s="237"/>
      <c r="AJ53" s="237"/>
      <c r="AK53" s="237"/>
      <c r="AL53" s="2"/>
      <c r="AM53" s="2"/>
      <c r="AN53" s="2"/>
      <c r="AO53" s="2"/>
      <c r="AP53" s="7"/>
    </row>
    <row r="54" spans="1:42" ht="13.5" thickBot="1">
      <c r="A54" s="6"/>
      <c r="B54" s="2"/>
      <c r="C54" s="2"/>
      <c r="D54" s="244" t="s">
        <v>285</v>
      </c>
      <c r="E54" s="244"/>
      <c r="F54" s="238" t="s">
        <v>4270</v>
      </c>
      <c r="G54" s="238"/>
      <c r="H54" s="238"/>
      <c r="I54" s="238"/>
      <c r="J54" s="10" t="s">
        <v>5528</v>
      </c>
      <c r="K54" s="238" t="s">
        <v>6495</v>
      </c>
      <c r="L54" s="238"/>
      <c r="M54" s="238"/>
      <c r="N54" s="238" t="s">
        <v>4270</v>
      </c>
      <c r="O54" s="238"/>
      <c r="P54" s="238"/>
      <c r="Q54" s="238" t="s">
        <v>5529</v>
      </c>
      <c r="R54" s="238"/>
      <c r="S54" s="238"/>
      <c r="T54" s="238"/>
      <c r="U54" s="238"/>
      <c r="V54" s="238"/>
      <c r="W54" s="238" t="s">
        <v>1789</v>
      </c>
      <c r="X54" s="238"/>
      <c r="Y54" s="10" t="s">
        <v>5140</v>
      </c>
      <c r="Z54" s="10" t="s">
        <v>6526</v>
      </c>
      <c r="AA54" s="238" t="s">
        <v>3400</v>
      </c>
      <c r="AB54" s="238"/>
      <c r="AC54" s="238"/>
      <c r="AD54" s="238"/>
      <c r="AE54" s="238"/>
      <c r="AF54" s="10" t="s">
        <v>3066</v>
      </c>
      <c r="AG54" s="237" t="s">
        <v>6201</v>
      </c>
      <c r="AH54" s="237"/>
      <c r="AI54" s="237"/>
      <c r="AJ54" s="237"/>
      <c r="AK54" s="237"/>
      <c r="AL54" s="2"/>
      <c r="AM54" s="2"/>
      <c r="AN54" s="2"/>
      <c r="AO54" s="2"/>
      <c r="AP54" s="7"/>
    </row>
    <row r="55" spans="1:42" ht="13.5" thickBot="1">
      <c r="A55" s="6"/>
      <c r="B55" s="2"/>
      <c r="C55" s="2"/>
      <c r="D55" s="244" t="s">
        <v>295</v>
      </c>
      <c r="E55" s="244"/>
      <c r="F55" s="238" t="s">
        <v>6177</v>
      </c>
      <c r="G55" s="238"/>
      <c r="H55" s="238"/>
      <c r="I55" s="238"/>
      <c r="J55" s="10" t="s">
        <v>378</v>
      </c>
      <c r="K55" s="238" t="s">
        <v>6397</v>
      </c>
      <c r="L55" s="238"/>
      <c r="M55" s="238"/>
      <c r="N55" s="238" t="s">
        <v>7010</v>
      </c>
      <c r="O55" s="238"/>
      <c r="P55" s="238"/>
      <c r="Q55" s="238" t="s">
        <v>6087</v>
      </c>
      <c r="R55" s="238"/>
      <c r="S55" s="238"/>
      <c r="T55" s="238"/>
      <c r="U55" s="238"/>
      <c r="V55" s="238"/>
      <c r="W55" s="238" t="s">
        <v>6014</v>
      </c>
      <c r="X55" s="238"/>
      <c r="Y55" s="10" t="s">
        <v>6966</v>
      </c>
      <c r="Z55" s="10" t="s">
        <v>3347</v>
      </c>
      <c r="AA55" s="238" t="s">
        <v>6244</v>
      </c>
      <c r="AB55" s="238"/>
      <c r="AC55" s="238"/>
      <c r="AD55" s="238"/>
      <c r="AE55" s="238"/>
      <c r="AF55" s="10" t="s">
        <v>6176</v>
      </c>
      <c r="AG55" s="237" t="s">
        <v>4838</v>
      </c>
      <c r="AH55" s="237"/>
      <c r="AI55" s="237"/>
      <c r="AJ55" s="237"/>
      <c r="AK55" s="237"/>
      <c r="AL55" s="2"/>
      <c r="AM55" s="2"/>
      <c r="AN55" s="2"/>
      <c r="AO55" s="2"/>
      <c r="AP55" s="7"/>
    </row>
    <row r="56" spans="1:42" ht="13.5" thickBot="1">
      <c r="A56" s="6"/>
      <c r="B56" s="2"/>
      <c r="C56" s="2"/>
      <c r="D56" s="244" t="s">
        <v>307</v>
      </c>
      <c r="E56" s="244"/>
      <c r="F56" s="238" t="s">
        <v>3146</v>
      </c>
      <c r="G56" s="238"/>
      <c r="H56" s="238"/>
      <c r="I56" s="238"/>
      <c r="J56" s="10" t="s">
        <v>5530</v>
      </c>
      <c r="K56" s="238" t="s">
        <v>6535</v>
      </c>
      <c r="L56" s="238"/>
      <c r="M56" s="238"/>
      <c r="N56" s="238" t="s">
        <v>314</v>
      </c>
      <c r="O56" s="238"/>
      <c r="P56" s="238"/>
      <c r="Q56" s="238" t="s">
        <v>5531</v>
      </c>
      <c r="R56" s="238"/>
      <c r="S56" s="238"/>
      <c r="T56" s="238"/>
      <c r="U56" s="238"/>
      <c r="V56" s="238"/>
      <c r="W56" s="238" t="s">
        <v>4270</v>
      </c>
      <c r="X56" s="238"/>
      <c r="Y56" s="10" t="s">
        <v>5532</v>
      </c>
      <c r="Z56" s="10" t="s">
        <v>3068</v>
      </c>
      <c r="AA56" s="238" t="s">
        <v>6697</v>
      </c>
      <c r="AB56" s="238"/>
      <c r="AC56" s="238"/>
      <c r="AD56" s="238"/>
      <c r="AE56" s="238"/>
      <c r="AF56" s="10" t="s">
        <v>1983</v>
      </c>
      <c r="AG56" s="237" t="s">
        <v>4183</v>
      </c>
      <c r="AH56" s="237"/>
      <c r="AI56" s="237"/>
      <c r="AJ56" s="237"/>
      <c r="AK56" s="237"/>
      <c r="AL56" s="2"/>
      <c r="AM56" s="2"/>
      <c r="AN56" s="2"/>
      <c r="AO56" s="2"/>
      <c r="AP56" s="7"/>
    </row>
    <row r="57" spans="1:42" ht="13.5" thickBot="1">
      <c r="A57" s="6"/>
      <c r="B57" s="2"/>
      <c r="C57" s="2"/>
      <c r="D57" s="244" t="s">
        <v>319</v>
      </c>
      <c r="E57" s="244"/>
      <c r="F57" s="237" t="s">
        <v>6026</v>
      </c>
      <c r="G57" s="237"/>
      <c r="H57" s="237"/>
      <c r="I57" s="237"/>
      <c r="J57" s="11" t="s">
        <v>5533</v>
      </c>
      <c r="K57" s="237" t="s">
        <v>6969</v>
      </c>
      <c r="L57" s="237"/>
      <c r="M57" s="237"/>
      <c r="N57" s="237" t="s">
        <v>3064</v>
      </c>
      <c r="O57" s="237"/>
      <c r="P57" s="237"/>
      <c r="Q57" s="237" t="s">
        <v>5534</v>
      </c>
      <c r="R57" s="237"/>
      <c r="S57" s="237"/>
      <c r="T57" s="237"/>
      <c r="U57" s="237"/>
      <c r="V57" s="237"/>
      <c r="W57" s="237" t="s">
        <v>5454</v>
      </c>
      <c r="X57" s="237"/>
      <c r="Y57" s="11" t="s">
        <v>6106</v>
      </c>
      <c r="Z57" s="11" t="s">
        <v>6103</v>
      </c>
      <c r="AA57" s="237" t="s">
        <v>3043</v>
      </c>
      <c r="AB57" s="237"/>
      <c r="AC57" s="237"/>
      <c r="AD57" s="237"/>
      <c r="AE57" s="237"/>
      <c r="AF57" s="11" t="s">
        <v>440</v>
      </c>
      <c r="AG57" s="237" t="s">
        <v>5535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tabColor indexed="8"/>
  </sheetPr>
  <dimension ref="A1:AU61"/>
  <sheetViews>
    <sheetView topLeftCell="N1" workbookViewId="0">
      <selection activeCell="AW32" sqref="AW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5.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5622</v>
      </c>
      <c r="E7" s="269"/>
      <c r="F7" s="269"/>
      <c r="G7" s="269"/>
      <c r="H7" s="269" t="s">
        <v>5623</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DUNGENESS-B1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5626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5627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1500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1500</v>
      </c>
      <c r="N16" s="264"/>
      <c r="O16" s="264"/>
      <c r="P16" s="248" t="s">
        <v>186</v>
      </c>
      <c r="Q16" s="248"/>
      <c r="R16" s="248"/>
      <c r="S16" s="2"/>
      <c r="T16" s="2"/>
      <c r="U16" s="252" t="s">
        <v>187</v>
      </c>
      <c r="V16" s="252"/>
      <c r="W16" s="252"/>
      <c r="X16" s="252"/>
      <c r="Y16" s="252"/>
      <c r="Z16" s="252"/>
      <c r="AA16" s="252"/>
      <c r="AB16" s="247" t="s">
        <v>5709</v>
      </c>
      <c r="AC16" s="247"/>
      <c r="AD16" s="248" t="s">
        <v>5630</v>
      </c>
      <c r="AE16" s="248"/>
      <c r="AF16" s="248"/>
      <c r="AG16" s="248"/>
      <c r="AH16" s="248"/>
      <c r="AI16" s="2"/>
      <c r="AJ16" s="1"/>
      <c r="AK16" s="2"/>
      <c r="AL16" s="1"/>
      <c r="AM16" s="2"/>
      <c r="AN16" s="7"/>
      <c r="AT16" s="24" t="str">
        <f>D17 &amp; " [MWe]"</f>
        <v>Latest gross electrical power [MWe]</v>
      </c>
      <c r="AU16" s="24">
        <f>M17</f>
        <v>615</v>
      </c>
    </row>
    <row r="17" spans="1:47" ht="13.5" thickBot="1">
      <c r="A17" s="6"/>
      <c r="B17" s="1"/>
      <c r="C17" s="1"/>
      <c r="D17" s="248" t="s">
        <v>189</v>
      </c>
      <c r="E17" s="248"/>
      <c r="F17" s="248"/>
      <c r="G17" s="248"/>
      <c r="H17" s="248"/>
      <c r="I17" s="248"/>
      <c r="J17" s="248"/>
      <c r="K17" s="248"/>
      <c r="L17" s="8" t="s">
        <v>5709</v>
      </c>
      <c r="M17" s="264">
        <v>615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520</v>
      </c>
    </row>
    <row r="18" spans="1:47" ht="13.5" thickBot="1">
      <c r="A18" s="6"/>
      <c r="B18" s="1"/>
      <c r="C18" s="1"/>
      <c r="D18" s="248" t="s">
        <v>193</v>
      </c>
      <c r="E18" s="248"/>
      <c r="F18" s="248"/>
      <c r="G18" s="248"/>
      <c r="H18" s="248"/>
      <c r="I18" s="248"/>
      <c r="J18" s="248"/>
      <c r="K18" s="248"/>
      <c r="L18" s="8" t="s">
        <v>5709</v>
      </c>
      <c r="M18" s="264">
        <v>607</v>
      </c>
      <c r="N18" s="264"/>
      <c r="O18" s="264"/>
      <c r="P18" s="248" t="s">
        <v>190</v>
      </c>
      <c r="Q18" s="248"/>
      <c r="R18" s="248"/>
      <c r="S18" s="2"/>
      <c r="T18" s="2"/>
      <c r="U18" s="252" t="s">
        <v>194</v>
      </c>
      <c r="V18" s="252"/>
      <c r="W18" s="252"/>
      <c r="X18" s="252"/>
      <c r="Y18" s="252"/>
      <c r="Z18" s="252"/>
      <c r="AA18" s="252"/>
      <c r="AB18" s="247" t="s">
        <v>5709</v>
      </c>
      <c r="AC18" s="247"/>
      <c r="AD18" s="248" t="s">
        <v>5631</v>
      </c>
      <c r="AE18" s="248"/>
      <c r="AF18" s="248"/>
      <c r="AG18" s="248"/>
      <c r="AH18" s="248"/>
      <c r="AI18" s="2"/>
      <c r="AJ18" s="1"/>
      <c r="AK18" s="2"/>
      <c r="AL18" s="1"/>
      <c r="AM18" s="2"/>
      <c r="AN18" s="7"/>
      <c r="AT18" s="25" t="str">
        <f>D24</f>
        <v>Grid Date</v>
      </c>
      <c r="AU18" s="25">
        <f>M24</f>
        <v>30409</v>
      </c>
    </row>
    <row r="19" spans="1:47" ht="13.5" thickBot="1">
      <c r="A19" s="6"/>
      <c r="B19" s="1"/>
      <c r="C19" s="1"/>
      <c r="D19" s="248" t="s">
        <v>196</v>
      </c>
      <c r="E19" s="248"/>
      <c r="F19" s="248"/>
      <c r="G19" s="248"/>
      <c r="H19" s="248"/>
      <c r="I19" s="248"/>
      <c r="J19" s="248"/>
      <c r="K19" s="248"/>
      <c r="L19" s="8" t="s">
        <v>5709</v>
      </c>
      <c r="M19" s="264">
        <v>520</v>
      </c>
      <c r="N19" s="264"/>
      <c r="O19" s="264"/>
      <c r="P19" s="248" t="s">
        <v>190</v>
      </c>
      <c r="Q19" s="248"/>
      <c r="R19" s="248"/>
      <c r="S19" s="2"/>
      <c r="T19" s="2"/>
      <c r="U19" s="252" t="s">
        <v>197</v>
      </c>
      <c r="V19" s="252"/>
      <c r="W19" s="252"/>
      <c r="X19" s="252"/>
      <c r="Y19" s="252"/>
      <c r="Z19" s="252"/>
      <c r="AA19" s="252"/>
      <c r="AB19" s="247" t="s">
        <v>5709</v>
      </c>
      <c r="AC19" s="247"/>
      <c r="AD19" s="248" t="s">
        <v>5632</v>
      </c>
      <c r="AE19" s="248"/>
      <c r="AF19" s="248"/>
      <c r="AG19" s="248"/>
      <c r="AH19" s="248"/>
      <c r="AI19" s="2"/>
      <c r="AJ19" s="1"/>
      <c r="AK19" s="2"/>
      <c r="AL19" s="1"/>
      <c r="AM19" s="2"/>
      <c r="AN19" s="7"/>
      <c r="AT19" s="23" t="str">
        <f>U19</f>
        <v>Average discharge burnup  [MWd/t]</v>
      </c>
      <c r="AU19" s="23" t="str">
        <f>AD19</f>
        <v>19000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5633</v>
      </c>
      <c r="AE20" s="248"/>
      <c r="AF20" s="248"/>
      <c r="AG20" s="248"/>
      <c r="AH20" s="248"/>
      <c r="AI20" s="2"/>
      <c r="AJ20" s="1"/>
      <c r="AK20" s="2"/>
      <c r="AL20" s="1"/>
      <c r="AM20" s="2"/>
      <c r="AN20" s="7"/>
      <c r="AT20" s="23" t="str">
        <f>D55 &amp; Q48</f>
        <v>LF [%]2005</v>
      </c>
      <c r="AU20" s="23" t="str">
        <f>Q55</f>
        <v>60.78</v>
      </c>
    </row>
    <row r="21" spans="1:47" ht="12"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5634</v>
      </c>
      <c r="AE21" s="248"/>
      <c r="AF21" s="248"/>
      <c r="AG21" s="248"/>
      <c r="AH21" s="248"/>
      <c r="AI21" s="2"/>
      <c r="AJ21" s="1"/>
      <c r="AK21" s="2"/>
      <c r="AL21" s="1"/>
      <c r="AM21" s="2"/>
      <c r="AN21" s="7"/>
      <c r="AT21" s="23" t="str">
        <f>D55&amp;AE48</f>
        <v>LF [%]2010</v>
      </c>
      <c r="AU21" s="23" t="str">
        <f>AE55</f>
        <v>20.83</v>
      </c>
    </row>
    <row r="22" spans="1:47" ht="8.85" customHeight="1" thickBot="1">
      <c r="A22" s="6"/>
      <c r="B22" s="1"/>
      <c r="C22" s="1"/>
      <c r="D22" s="248" t="s">
        <v>205</v>
      </c>
      <c r="E22" s="248"/>
      <c r="F22" s="248"/>
      <c r="G22" s="248"/>
      <c r="H22" s="248"/>
      <c r="I22" s="248"/>
      <c r="J22" s="248"/>
      <c r="K22" s="248"/>
      <c r="L22" s="247" t="s">
        <v>5709</v>
      </c>
      <c r="M22" s="259">
        <v>24016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5635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30409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5636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31138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5543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6719</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5638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5639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5641</v>
      </c>
      <c r="G49" s="238"/>
      <c r="H49" s="238"/>
      <c r="I49" s="238"/>
      <c r="J49" s="10" t="s">
        <v>5642</v>
      </c>
      <c r="K49" s="238" t="s">
        <v>5643</v>
      </c>
      <c r="L49" s="238"/>
      <c r="M49" s="238"/>
      <c r="N49" s="238" t="s">
        <v>5644</v>
      </c>
      <c r="O49" s="238"/>
      <c r="P49" s="238"/>
      <c r="Q49" s="238" t="s">
        <v>5645</v>
      </c>
      <c r="R49" s="238"/>
      <c r="S49" s="238"/>
      <c r="T49" s="238"/>
      <c r="U49" s="238"/>
      <c r="V49" s="238"/>
      <c r="W49" s="238" t="s">
        <v>5646</v>
      </c>
      <c r="X49" s="238"/>
      <c r="Y49" s="10" t="s">
        <v>5647</v>
      </c>
      <c r="Z49" s="10" t="s">
        <v>5648</v>
      </c>
      <c r="AA49" s="238" t="s">
        <v>5649</v>
      </c>
      <c r="AB49" s="238"/>
      <c r="AC49" s="238"/>
      <c r="AD49" s="238"/>
      <c r="AE49" s="10" t="s">
        <v>5650</v>
      </c>
      <c r="AF49" s="237" t="s">
        <v>5651</v>
      </c>
      <c r="AG49" s="237"/>
      <c r="AH49" s="237"/>
      <c r="AI49" s="237"/>
      <c r="AJ49" s="2"/>
      <c r="AK49" s="2"/>
      <c r="AL49" s="2"/>
      <c r="AM49" s="2"/>
      <c r="AN49" s="7"/>
    </row>
    <row r="50" spans="1:40" ht="13.5" thickBot="1">
      <c r="A50" s="6"/>
      <c r="B50" s="2"/>
      <c r="C50" s="2"/>
      <c r="D50" s="244" t="s">
        <v>261</v>
      </c>
      <c r="E50" s="244"/>
      <c r="F50" s="238" t="s">
        <v>5652</v>
      </c>
      <c r="G50" s="238"/>
      <c r="H50" s="238"/>
      <c r="I50" s="238"/>
      <c r="J50" s="10" t="s">
        <v>5653</v>
      </c>
      <c r="K50" s="238" t="s">
        <v>5654</v>
      </c>
      <c r="L50" s="238"/>
      <c r="M50" s="238"/>
      <c r="N50" s="238" t="s">
        <v>5655</v>
      </c>
      <c r="O50" s="238"/>
      <c r="P50" s="238"/>
      <c r="Q50" s="238" t="s">
        <v>5656</v>
      </c>
      <c r="R50" s="238"/>
      <c r="S50" s="238"/>
      <c r="T50" s="238"/>
      <c r="U50" s="238"/>
      <c r="V50" s="238"/>
      <c r="W50" s="238" t="s">
        <v>5657</v>
      </c>
      <c r="X50" s="238"/>
      <c r="Y50" s="10" t="s">
        <v>5658</v>
      </c>
      <c r="Z50" s="10" t="s">
        <v>5659</v>
      </c>
      <c r="AA50" s="238" t="s">
        <v>5660</v>
      </c>
      <c r="AB50" s="238"/>
      <c r="AC50" s="238"/>
      <c r="AD50" s="238"/>
      <c r="AE50" s="10" t="s">
        <v>6578</v>
      </c>
      <c r="AF50" s="237" t="s">
        <v>5661</v>
      </c>
      <c r="AG50" s="237"/>
      <c r="AH50" s="237"/>
      <c r="AI50" s="237"/>
      <c r="AJ50" s="2"/>
      <c r="AK50" s="2"/>
      <c r="AL50" s="2"/>
      <c r="AM50" s="2"/>
      <c r="AN50" s="7"/>
    </row>
    <row r="51" spans="1:40" ht="13.5" thickBot="1">
      <c r="A51" s="6"/>
      <c r="B51" s="2"/>
      <c r="C51" s="2"/>
      <c r="D51" s="244" t="s">
        <v>273</v>
      </c>
      <c r="E51" s="244"/>
      <c r="F51" s="238" t="s">
        <v>5662</v>
      </c>
      <c r="G51" s="238"/>
      <c r="H51" s="238"/>
      <c r="I51" s="238"/>
      <c r="J51" s="10" t="s">
        <v>2784</v>
      </c>
      <c r="K51" s="238" t="s">
        <v>5663</v>
      </c>
      <c r="L51" s="238"/>
      <c r="M51" s="238"/>
      <c r="N51" s="238" t="s">
        <v>6374</v>
      </c>
      <c r="O51" s="238"/>
      <c r="P51" s="238"/>
      <c r="Q51" s="238" t="s">
        <v>5664</v>
      </c>
      <c r="R51" s="238"/>
      <c r="S51" s="238"/>
      <c r="T51" s="238"/>
      <c r="U51" s="238"/>
      <c r="V51" s="238"/>
      <c r="W51" s="238" t="s">
        <v>5665</v>
      </c>
      <c r="X51" s="238"/>
      <c r="Y51" s="10" t="s">
        <v>5666</v>
      </c>
      <c r="Z51" s="10" t="s">
        <v>5667</v>
      </c>
      <c r="AA51" s="238" t="s">
        <v>5668</v>
      </c>
      <c r="AB51" s="238"/>
      <c r="AC51" s="238"/>
      <c r="AD51" s="238"/>
      <c r="AE51" s="10" t="s">
        <v>6087</v>
      </c>
      <c r="AF51" s="237" t="s">
        <v>5669</v>
      </c>
      <c r="AG51" s="237"/>
      <c r="AH51" s="237"/>
      <c r="AI51" s="237"/>
      <c r="AJ51" s="2"/>
      <c r="AK51" s="2"/>
      <c r="AL51" s="2"/>
      <c r="AM51" s="2"/>
      <c r="AN51" s="7"/>
    </row>
    <row r="52" spans="1:40" ht="13.5" thickBot="1">
      <c r="A52" s="6"/>
      <c r="B52" s="2"/>
      <c r="C52" s="2"/>
      <c r="D52" s="244" t="s">
        <v>285</v>
      </c>
      <c r="E52" s="244"/>
      <c r="F52" s="238" t="s">
        <v>5670</v>
      </c>
      <c r="G52" s="238"/>
      <c r="H52" s="238"/>
      <c r="I52" s="238"/>
      <c r="J52" s="10" t="s">
        <v>5671</v>
      </c>
      <c r="K52" s="238" t="s">
        <v>5672</v>
      </c>
      <c r="L52" s="238"/>
      <c r="M52" s="238"/>
      <c r="N52" s="238" t="s">
        <v>5655</v>
      </c>
      <c r="O52" s="238"/>
      <c r="P52" s="238"/>
      <c r="Q52" s="238" t="s">
        <v>5673</v>
      </c>
      <c r="R52" s="238"/>
      <c r="S52" s="238"/>
      <c r="T52" s="238"/>
      <c r="U52" s="238"/>
      <c r="V52" s="238"/>
      <c r="W52" s="238" t="s">
        <v>4881</v>
      </c>
      <c r="X52" s="238"/>
      <c r="Y52" s="10" t="s">
        <v>5658</v>
      </c>
      <c r="Z52" s="10" t="s">
        <v>5659</v>
      </c>
      <c r="AA52" s="238" t="s">
        <v>5660</v>
      </c>
      <c r="AB52" s="238"/>
      <c r="AC52" s="238"/>
      <c r="AD52" s="238"/>
      <c r="AE52" s="10" t="s">
        <v>6578</v>
      </c>
      <c r="AF52" s="237" t="s">
        <v>5674</v>
      </c>
      <c r="AG52" s="237"/>
      <c r="AH52" s="237"/>
      <c r="AI52" s="237"/>
      <c r="AJ52" s="2"/>
      <c r="AK52" s="2"/>
      <c r="AL52" s="2"/>
      <c r="AM52" s="2"/>
      <c r="AN52" s="7"/>
    </row>
    <row r="53" spans="1:40" ht="13.5" thickBot="1">
      <c r="A53" s="6"/>
      <c r="B53" s="2"/>
      <c r="C53" s="2"/>
      <c r="D53" s="244" t="s">
        <v>295</v>
      </c>
      <c r="E53" s="244"/>
      <c r="F53" s="238" t="s">
        <v>5675</v>
      </c>
      <c r="G53" s="238"/>
      <c r="H53" s="238"/>
      <c r="I53" s="238"/>
      <c r="J53" s="10" t="s">
        <v>5676</v>
      </c>
      <c r="K53" s="238" t="s">
        <v>5677</v>
      </c>
      <c r="L53" s="238"/>
      <c r="M53" s="238"/>
      <c r="N53" s="238" t="s">
        <v>5678</v>
      </c>
      <c r="O53" s="238"/>
      <c r="P53" s="238"/>
      <c r="Q53" s="238" t="s">
        <v>5679</v>
      </c>
      <c r="R53" s="238"/>
      <c r="S53" s="238"/>
      <c r="T53" s="238"/>
      <c r="U53" s="238"/>
      <c r="V53" s="238"/>
      <c r="W53" s="238" t="s">
        <v>5680</v>
      </c>
      <c r="X53" s="238"/>
      <c r="Y53" s="10" t="s">
        <v>4832</v>
      </c>
      <c r="Z53" s="10" t="s">
        <v>6963</v>
      </c>
      <c r="AA53" s="238" t="s">
        <v>5681</v>
      </c>
      <c r="AB53" s="238"/>
      <c r="AC53" s="238"/>
      <c r="AD53" s="238"/>
      <c r="AE53" s="10" t="s">
        <v>5682</v>
      </c>
      <c r="AF53" s="237" t="s">
        <v>5683</v>
      </c>
      <c r="AG53" s="237"/>
      <c r="AH53" s="237"/>
      <c r="AI53" s="237"/>
      <c r="AJ53" s="2"/>
      <c r="AK53" s="2"/>
      <c r="AL53" s="2"/>
      <c r="AM53" s="2"/>
      <c r="AN53" s="7"/>
    </row>
    <row r="54" spans="1:40" ht="13.5" thickBot="1">
      <c r="A54" s="6"/>
      <c r="B54" s="2"/>
      <c r="C54" s="2"/>
      <c r="D54" s="244" t="s">
        <v>307</v>
      </c>
      <c r="E54" s="244"/>
      <c r="F54" s="238" t="s">
        <v>6300</v>
      </c>
      <c r="G54" s="238"/>
      <c r="H54" s="238"/>
      <c r="I54" s="238"/>
      <c r="J54" s="10" t="s">
        <v>5684</v>
      </c>
      <c r="K54" s="238" t="s">
        <v>5685</v>
      </c>
      <c r="L54" s="238"/>
      <c r="M54" s="238"/>
      <c r="N54" s="238" t="s">
        <v>5686</v>
      </c>
      <c r="O54" s="238"/>
      <c r="P54" s="238"/>
      <c r="Q54" s="238" t="s">
        <v>5687</v>
      </c>
      <c r="R54" s="238"/>
      <c r="S54" s="238"/>
      <c r="T54" s="238"/>
      <c r="U54" s="238"/>
      <c r="V54" s="238"/>
      <c r="W54" s="238" t="s">
        <v>5688</v>
      </c>
      <c r="X54" s="238"/>
      <c r="Y54" s="10" t="s">
        <v>5689</v>
      </c>
      <c r="Z54" s="10" t="s">
        <v>5690</v>
      </c>
      <c r="AA54" s="238" t="s">
        <v>5691</v>
      </c>
      <c r="AB54" s="238"/>
      <c r="AC54" s="238"/>
      <c r="AD54" s="238"/>
      <c r="AE54" s="10" t="s">
        <v>5692</v>
      </c>
      <c r="AF54" s="237" t="s">
        <v>5693</v>
      </c>
      <c r="AG54" s="237"/>
      <c r="AH54" s="237"/>
      <c r="AI54" s="237"/>
      <c r="AJ54" s="2"/>
      <c r="AK54" s="2"/>
      <c r="AL54" s="2"/>
      <c r="AM54" s="2"/>
      <c r="AN54" s="7"/>
    </row>
    <row r="55" spans="1:40" ht="13.5" thickBot="1">
      <c r="A55" s="6"/>
      <c r="B55" s="2"/>
      <c r="C55" s="2"/>
      <c r="D55" s="244" t="s">
        <v>319</v>
      </c>
      <c r="E55" s="244"/>
      <c r="F55" s="237" t="s">
        <v>5694</v>
      </c>
      <c r="G55" s="237"/>
      <c r="H55" s="237"/>
      <c r="I55" s="237"/>
      <c r="J55" s="11" t="s">
        <v>5695</v>
      </c>
      <c r="K55" s="237" t="s">
        <v>5696</v>
      </c>
      <c r="L55" s="237"/>
      <c r="M55" s="237"/>
      <c r="N55" s="237" t="s">
        <v>5697</v>
      </c>
      <c r="O55" s="237"/>
      <c r="P55" s="237"/>
      <c r="Q55" s="237" t="s">
        <v>5698</v>
      </c>
      <c r="R55" s="237"/>
      <c r="S55" s="237"/>
      <c r="T55" s="237"/>
      <c r="U55" s="237"/>
      <c r="V55" s="237"/>
      <c r="W55" s="237" t="s">
        <v>5699</v>
      </c>
      <c r="X55" s="237"/>
      <c r="Y55" s="11" t="s">
        <v>5700</v>
      </c>
      <c r="Z55" s="11" t="s">
        <v>5701</v>
      </c>
      <c r="AA55" s="237" t="s">
        <v>5702</v>
      </c>
      <c r="AB55" s="237"/>
      <c r="AC55" s="237"/>
      <c r="AD55" s="237"/>
      <c r="AE55" s="11" t="s">
        <v>6578</v>
      </c>
      <c r="AF55" s="237" t="s">
        <v>5703</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tabColor indexed="8"/>
  </sheetPr>
  <dimension ref="A1:AU61"/>
  <sheetViews>
    <sheetView topLeftCell="K1" workbookViewId="0">
      <selection activeCell="AV32" sqref="AV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5.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3579</v>
      </c>
      <c r="E7" s="269"/>
      <c r="F7" s="269"/>
      <c r="G7" s="269"/>
      <c r="H7" s="269" t="s">
        <v>3580</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DUNGENESS-B2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5626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5627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1500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1500</v>
      </c>
      <c r="N16" s="264"/>
      <c r="O16" s="264"/>
      <c r="P16" s="248" t="s">
        <v>186</v>
      </c>
      <c r="Q16" s="248"/>
      <c r="R16" s="248"/>
      <c r="S16" s="2"/>
      <c r="T16" s="2"/>
      <c r="U16" s="252" t="s">
        <v>187</v>
      </c>
      <c r="V16" s="252"/>
      <c r="W16" s="252"/>
      <c r="X16" s="252"/>
      <c r="Y16" s="252"/>
      <c r="Z16" s="252"/>
      <c r="AA16" s="252"/>
      <c r="AB16" s="247" t="s">
        <v>5709</v>
      </c>
      <c r="AC16" s="247"/>
      <c r="AD16" s="248" t="s">
        <v>5630</v>
      </c>
      <c r="AE16" s="248"/>
      <c r="AF16" s="248"/>
      <c r="AG16" s="248"/>
      <c r="AH16" s="248"/>
      <c r="AI16" s="2"/>
      <c r="AJ16" s="1"/>
      <c r="AK16" s="2"/>
      <c r="AL16" s="1"/>
      <c r="AM16" s="2"/>
      <c r="AN16" s="7"/>
      <c r="AT16" s="24" t="str">
        <f>D17 &amp; " [MWe]"</f>
        <v>Latest gross electrical power [MWe]</v>
      </c>
      <c r="AU16" s="24">
        <f>M17</f>
        <v>615</v>
      </c>
    </row>
    <row r="17" spans="1:47" ht="13.5" thickBot="1">
      <c r="A17" s="6"/>
      <c r="B17" s="1"/>
      <c r="C17" s="1"/>
      <c r="D17" s="248" t="s">
        <v>189</v>
      </c>
      <c r="E17" s="248"/>
      <c r="F17" s="248"/>
      <c r="G17" s="248"/>
      <c r="H17" s="248"/>
      <c r="I17" s="248"/>
      <c r="J17" s="248"/>
      <c r="K17" s="248"/>
      <c r="L17" s="8" t="s">
        <v>5709</v>
      </c>
      <c r="M17" s="264">
        <v>615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520</v>
      </c>
    </row>
    <row r="18" spans="1:47" ht="13.5" thickBot="1">
      <c r="A18" s="6"/>
      <c r="B18" s="1"/>
      <c r="C18" s="1"/>
      <c r="D18" s="248" t="s">
        <v>193</v>
      </c>
      <c r="E18" s="248"/>
      <c r="F18" s="248"/>
      <c r="G18" s="248"/>
      <c r="H18" s="248"/>
      <c r="I18" s="248"/>
      <c r="J18" s="248"/>
      <c r="K18" s="248"/>
      <c r="L18" s="8" t="s">
        <v>5709</v>
      </c>
      <c r="M18" s="264">
        <v>607</v>
      </c>
      <c r="N18" s="264"/>
      <c r="O18" s="264"/>
      <c r="P18" s="248" t="s">
        <v>190</v>
      </c>
      <c r="Q18" s="248"/>
      <c r="R18" s="248"/>
      <c r="S18" s="2"/>
      <c r="T18" s="2"/>
      <c r="U18" s="252" t="s">
        <v>194</v>
      </c>
      <c r="V18" s="252"/>
      <c r="W18" s="252"/>
      <c r="X18" s="252"/>
      <c r="Y18" s="252"/>
      <c r="Z18" s="252"/>
      <c r="AA18" s="252"/>
      <c r="AB18" s="247" t="s">
        <v>5709</v>
      </c>
      <c r="AC18" s="247"/>
      <c r="AD18" s="248" t="s">
        <v>5631</v>
      </c>
      <c r="AE18" s="248"/>
      <c r="AF18" s="248"/>
      <c r="AG18" s="248"/>
      <c r="AH18" s="248"/>
      <c r="AI18" s="2"/>
      <c r="AJ18" s="1"/>
      <c r="AK18" s="2"/>
      <c r="AL18" s="1"/>
      <c r="AM18" s="2"/>
      <c r="AN18" s="7"/>
      <c r="AT18" s="25" t="str">
        <f>D24</f>
        <v>Grid Date</v>
      </c>
      <c r="AU18" s="25">
        <f>M24</f>
        <v>31410</v>
      </c>
    </row>
    <row r="19" spans="1:47" ht="13.5" thickBot="1">
      <c r="A19" s="6"/>
      <c r="B19" s="1"/>
      <c r="C19" s="1"/>
      <c r="D19" s="248" t="s">
        <v>196</v>
      </c>
      <c r="E19" s="248"/>
      <c r="F19" s="248"/>
      <c r="G19" s="248"/>
      <c r="H19" s="248"/>
      <c r="I19" s="248"/>
      <c r="J19" s="248"/>
      <c r="K19" s="248"/>
      <c r="L19" s="8" t="s">
        <v>5709</v>
      </c>
      <c r="M19" s="264">
        <v>520</v>
      </c>
      <c r="N19" s="264"/>
      <c r="O19" s="264"/>
      <c r="P19" s="248" t="s">
        <v>190</v>
      </c>
      <c r="Q19" s="248"/>
      <c r="R19" s="248"/>
      <c r="S19" s="2"/>
      <c r="T19" s="2"/>
      <c r="U19" s="252" t="s">
        <v>197</v>
      </c>
      <c r="V19" s="252"/>
      <c r="W19" s="252"/>
      <c r="X19" s="252"/>
      <c r="Y19" s="252"/>
      <c r="Z19" s="252"/>
      <c r="AA19" s="252"/>
      <c r="AB19" s="247" t="s">
        <v>5709</v>
      </c>
      <c r="AC19" s="247"/>
      <c r="AD19" s="248" t="s">
        <v>3581</v>
      </c>
      <c r="AE19" s="248"/>
      <c r="AF19" s="248"/>
      <c r="AG19" s="248"/>
      <c r="AH19" s="248"/>
      <c r="AI19" s="2"/>
      <c r="AJ19" s="1"/>
      <c r="AK19" s="2"/>
      <c r="AL19" s="1"/>
      <c r="AM19" s="2"/>
      <c r="AN19" s="7"/>
      <c r="AT19" s="23" t="str">
        <f>U19</f>
        <v>Average discharge burnup  [MWd/t]</v>
      </c>
      <c r="AU19" s="23" t="str">
        <f>AD19</f>
        <v>18000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5633</v>
      </c>
      <c r="AE20" s="248"/>
      <c r="AF20" s="248"/>
      <c r="AG20" s="248"/>
      <c r="AH20" s="248"/>
      <c r="AI20" s="2"/>
      <c r="AJ20" s="1"/>
      <c r="AK20" s="2"/>
      <c r="AL20" s="1"/>
      <c r="AM20" s="2"/>
      <c r="AN20" s="7"/>
      <c r="AT20" s="23" t="str">
        <f>D55 &amp; Q48</f>
        <v>LF [%]2005</v>
      </c>
      <c r="AU20" s="23" t="str">
        <f>Q55</f>
        <v>56.35</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5634</v>
      </c>
      <c r="AE21" s="248"/>
      <c r="AF21" s="248"/>
      <c r="AG21" s="248"/>
      <c r="AH21" s="248"/>
      <c r="AI21" s="2"/>
      <c r="AJ21" s="1"/>
      <c r="AK21" s="2"/>
      <c r="AL21" s="1"/>
      <c r="AM21" s="2"/>
      <c r="AN21" s="7"/>
      <c r="AT21" s="23" t="str">
        <f>D55&amp;AE48</f>
        <v>LF [%]2010</v>
      </c>
      <c r="AU21" s="23" t="str">
        <f>AE55</f>
        <v>60.72</v>
      </c>
    </row>
    <row r="22" spans="1:47" ht="8.85" customHeight="1" thickBot="1">
      <c r="A22" s="6"/>
      <c r="B22" s="1"/>
      <c r="C22" s="1"/>
      <c r="D22" s="248" t="s">
        <v>205</v>
      </c>
      <c r="E22" s="248"/>
      <c r="F22" s="248"/>
      <c r="G22" s="248"/>
      <c r="H22" s="248"/>
      <c r="I22" s="248"/>
      <c r="J22" s="248"/>
      <c r="K22" s="248"/>
      <c r="L22" s="247" t="s">
        <v>5709</v>
      </c>
      <c r="M22" s="259">
        <v>24016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5635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31410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5636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5543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6719</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5638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5639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3582</v>
      </c>
      <c r="G49" s="238"/>
      <c r="H49" s="238"/>
      <c r="I49" s="238"/>
      <c r="J49" s="10" t="s">
        <v>3583</v>
      </c>
      <c r="K49" s="238" t="s">
        <v>3584</v>
      </c>
      <c r="L49" s="238"/>
      <c r="M49" s="238"/>
      <c r="N49" s="238" t="s">
        <v>3585</v>
      </c>
      <c r="O49" s="238"/>
      <c r="P49" s="238"/>
      <c r="Q49" s="238" t="s">
        <v>3586</v>
      </c>
      <c r="R49" s="238"/>
      <c r="S49" s="238"/>
      <c r="T49" s="238"/>
      <c r="U49" s="238"/>
      <c r="V49" s="238"/>
      <c r="W49" s="238" t="s">
        <v>3587</v>
      </c>
      <c r="X49" s="238"/>
      <c r="Y49" s="10" t="s">
        <v>3588</v>
      </c>
      <c r="Z49" s="10" t="s">
        <v>3589</v>
      </c>
      <c r="AA49" s="238" t="s">
        <v>3590</v>
      </c>
      <c r="AB49" s="238"/>
      <c r="AC49" s="238"/>
      <c r="AD49" s="238"/>
      <c r="AE49" s="10" t="s">
        <v>3591</v>
      </c>
      <c r="AF49" s="237" t="s">
        <v>3592</v>
      </c>
      <c r="AG49" s="237"/>
      <c r="AH49" s="237"/>
      <c r="AI49" s="237"/>
      <c r="AJ49" s="2"/>
      <c r="AK49" s="2"/>
      <c r="AL49" s="2"/>
      <c r="AM49" s="2"/>
      <c r="AN49" s="7"/>
    </row>
    <row r="50" spans="1:40" ht="13.5" thickBot="1">
      <c r="A50" s="6"/>
      <c r="B50" s="2"/>
      <c r="C50" s="2"/>
      <c r="D50" s="244" t="s">
        <v>261</v>
      </c>
      <c r="E50" s="244"/>
      <c r="F50" s="238" t="s">
        <v>3593</v>
      </c>
      <c r="G50" s="238"/>
      <c r="H50" s="238"/>
      <c r="I50" s="238"/>
      <c r="J50" s="10" t="s">
        <v>3594</v>
      </c>
      <c r="K50" s="238" t="s">
        <v>3595</v>
      </c>
      <c r="L50" s="238"/>
      <c r="M50" s="238"/>
      <c r="N50" s="238" t="s">
        <v>3596</v>
      </c>
      <c r="O50" s="238"/>
      <c r="P50" s="238"/>
      <c r="Q50" s="238" t="s">
        <v>3597</v>
      </c>
      <c r="R50" s="238"/>
      <c r="S50" s="238"/>
      <c r="T50" s="238"/>
      <c r="U50" s="238"/>
      <c r="V50" s="238"/>
      <c r="W50" s="238" t="s">
        <v>3598</v>
      </c>
      <c r="X50" s="238"/>
      <c r="Y50" s="10" t="s">
        <v>3599</v>
      </c>
      <c r="Z50" s="10" t="s">
        <v>3600</v>
      </c>
      <c r="AA50" s="238" t="s">
        <v>3601</v>
      </c>
      <c r="AB50" s="238"/>
      <c r="AC50" s="238"/>
      <c r="AD50" s="238"/>
      <c r="AE50" s="10" t="s">
        <v>3602</v>
      </c>
      <c r="AF50" s="237" t="s">
        <v>3603</v>
      </c>
      <c r="AG50" s="237"/>
      <c r="AH50" s="237"/>
      <c r="AI50" s="237"/>
      <c r="AJ50" s="2"/>
      <c r="AK50" s="2"/>
      <c r="AL50" s="2"/>
      <c r="AM50" s="2"/>
      <c r="AN50" s="7"/>
    </row>
    <row r="51" spans="1:40" ht="13.5" thickBot="1">
      <c r="A51" s="6"/>
      <c r="B51" s="2"/>
      <c r="C51" s="2"/>
      <c r="D51" s="244" t="s">
        <v>273</v>
      </c>
      <c r="E51" s="244"/>
      <c r="F51" s="238" t="s">
        <v>3604</v>
      </c>
      <c r="G51" s="238"/>
      <c r="H51" s="238"/>
      <c r="I51" s="238"/>
      <c r="J51" s="10" t="s">
        <v>3605</v>
      </c>
      <c r="K51" s="238" t="s">
        <v>3606</v>
      </c>
      <c r="L51" s="238"/>
      <c r="M51" s="238"/>
      <c r="N51" s="238" t="s">
        <v>4830</v>
      </c>
      <c r="O51" s="238"/>
      <c r="P51" s="238"/>
      <c r="Q51" s="238" t="s">
        <v>3607</v>
      </c>
      <c r="R51" s="238"/>
      <c r="S51" s="238"/>
      <c r="T51" s="238"/>
      <c r="U51" s="238"/>
      <c r="V51" s="238"/>
      <c r="W51" s="238" t="s">
        <v>3608</v>
      </c>
      <c r="X51" s="238"/>
      <c r="Y51" s="10" t="s">
        <v>3609</v>
      </c>
      <c r="Z51" s="10" t="s">
        <v>5661</v>
      </c>
      <c r="AA51" s="238" t="s">
        <v>3610</v>
      </c>
      <c r="AB51" s="238"/>
      <c r="AC51" s="238"/>
      <c r="AD51" s="238"/>
      <c r="AE51" s="10" t="s">
        <v>3611</v>
      </c>
      <c r="AF51" s="237" t="s">
        <v>3612</v>
      </c>
      <c r="AG51" s="237"/>
      <c r="AH51" s="237"/>
      <c r="AI51" s="237"/>
      <c r="AJ51" s="2"/>
      <c r="AK51" s="2"/>
      <c r="AL51" s="2"/>
      <c r="AM51" s="2"/>
      <c r="AN51" s="7"/>
    </row>
    <row r="52" spans="1:40" ht="13.5" thickBot="1">
      <c r="A52" s="6"/>
      <c r="B52" s="2"/>
      <c r="C52" s="2"/>
      <c r="D52" s="244" t="s">
        <v>285</v>
      </c>
      <c r="E52" s="244"/>
      <c r="F52" s="238" t="s">
        <v>3613</v>
      </c>
      <c r="G52" s="238"/>
      <c r="H52" s="238"/>
      <c r="I52" s="238"/>
      <c r="J52" s="10" t="s">
        <v>3594</v>
      </c>
      <c r="K52" s="238" t="s">
        <v>3614</v>
      </c>
      <c r="L52" s="238"/>
      <c r="M52" s="238"/>
      <c r="N52" s="238" t="s">
        <v>3596</v>
      </c>
      <c r="O52" s="238"/>
      <c r="P52" s="238"/>
      <c r="Q52" s="238" t="s">
        <v>3597</v>
      </c>
      <c r="R52" s="238"/>
      <c r="S52" s="238"/>
      <c r="T52" s="238"/>
      <c r="U52" s="238"/>
      <c r="V52" s="238"/>
      <c r="W52" s="238" t="s">
        <v>3615</v>
      </c>
      <c r="X52" s="238"/>
      <c r="Y52" s="10" t="s">
        <v>3599</v>
      </c>
      <c r="Z52" s="10" t="s">
        <v>3600</v>
      </c>
      <c r="AA52" s="238" t="s">
        <v>3601</v>
      </c>
      <c r="AB52" s="238"/>
      <c r="AC52" s="238"/>
      <c r="AD52" s="238"/>
      <c r="AE52" s="10" t="s">
        <v>3602</v>
      </c>
      <c r="AF52" s="237" t="s">
        <v>3616</v>
      </c>
      <c r="AG52" s="237"/>
      <c r="AH52" s="237"/>
      <c r="AI52" s="237"/>
      <c r="AJ52" s="2"/>
      <c r="AK52" s="2"/>
      <c r="AL52" s="2"/>
      <c r="AM52" s="2"/>
      <c r="AN52" s="7"/>
    </row>
    <row r="53" spans="1:40" ht="13.5" thickBot="1">
      <c r="A53" s="6"/>
      <c r="B53" s="2"/>
      <c r="C53" s="2"/>
      <c r="D53" s="244" t="s">
        <v>295</v>
      </c>
      <c r="E53" s="244"/>
      <c r="F53" s="238" t="s">
        <v>3617</v>
      </c>
      <c r="G53" s="238"/>
      <c r="H53" s="238"/>
      <c r="I53" s="238"/>
      <c r="J53" s="10" t="s">
        <v>3618</v>
      </c>
      <c r="K53" s="238" t="s">
        <v>4319</v>
      </c>
      <c r="L53" s="238"/>
      <c r="M53" s="238"/>
      <c r="N53" s="238" t="s">
        <v>3619</v>
      </c>
      <c r="O53" s="238"/>
      <c r="P53" s="238"/>
      <c r="Q53" s="238" t="s">
        <v>2953</v>
      </c>
      <c r="R53" s="238"/>
      <c r="S53" s="238"/>
      <c r="T53" s="238"/>
      <c r="U53" s="238"/>
      <c r="V53" s="238"/>
      <c r="W53" s="238" t="s">
        <v>3620</v>
      </c>
      <c r="X53" s="238"/>
      <c r="Y53" s="10" t="s">
        <v>3621</v>
      </c>
      <c r="Z53" s="10" t="s">
        <v>3622</v>
      </c>
      <c r="AA53" s="238" t="s">
        <v>3623</v>
      </c>
      <c r="AB53" s="238"/>
      <c r="AC53" s="238"/>
      <c r="AD53" s="238"/>
      <c r="AE53" s="10" t="s">
        <v>3624</v>
      </c>
      <c r="AF53" s="237" t="s">
        <v>3625</v>
      </c>
      <c r="AG53" s="237"/>
      <c r="AH53" s="237"/>
      <c r="AI53" s="237"/>
      <c r="AJ53" s="2"/>
      <c r="AK53" s="2"/>
      <c r="AL53" s="2"/>
      <c r="AM53" s="2"/>
      <c r="AN53" s="7"/>
    </row>
    <row r="54" spans="1:40" ht="13.5" thickBot="1">
      <c r="A54" s="6"/>
      <c r="B54" s="2"/>
      <c r="C54" s="2"/>
      <c r="D54" s="244" t="s">
        <v>307</v>
      </c>
      <c r="E54" s="244"/>
      <c r="F54" s="238" t="s">
        <v>3626</v>
      </c>
      <c r="G54" s="238"/>
      <c r="H54" s="238"/>
      <c r="I54" s="238"/>
      <c r="J54" s="10" t="s">
        <v>3627</v>
      </c>
      <c r="K54" s="238" t="s">
        <v>5222</v>
      </c>
      <c r="L54" s="238"/>
      <c r="M54" s="238"/>
      <c r="N54" s="238" t="s">
        <v>3628</v>
      </c>
      <c r="O54" s="238"/>
      <c r="P54" s="238"/>
      <c r="Q54" s="238" t="s">
        <v>3629</v>
      </c>
      <c r="R54" s="238"/>
      <c r="S54" s="238"/>
      <c r="T54" s="238"/>
      <c r="U54" s="238"/>
      <c r="V54" s="238"/>
      <c r="W54" s="238" t="s">
        <v>3630</v>
      </c>
      <c r="X54" s="238"/>
      <c r="Y54" s="10" t="s">
        <v>3631</v>
      </c>
      <c r="Z54" s="10" t="s">
        <v>3632</v>
      </c>
      <c r="AA54" s="238" t="s">
        <v>3633</v>
      </c>
      <c r="AB54" s="238"/>
      <c r="AC54" s="238"/>
      <c r="AD54" s="238"/>
      <c r="AE54" s="10" t="s">
        <v>3634</v>
      </c>
      <c r="AF54" s="237" t="s">
        <v>3635</v>
      </c>
      <c r="AG54" s="237"/>
      <c r="AH54" s="237"/>
      <c r="AI54" s="237"/>
      <c r="AJ54" s="2"/>
      <c r="AK54" s="2"/>
      <c r="AL54" s="2"/>
      <c r="AM54" s="2"/>
      <c r="AN54" s="7"/>
    </row>
    <row r="55" spans="1:40" ht="13.5" thickBot="1">
      <c r="A55" s="6"/>
      <c r="B55" s="2"/>
      <c r="C55" s="2"/>
      <c r="D55" s="244" t="s">
        <v>319</v>
      </c>
      <c r="E55" s="244"/>
      <c r="F55" s="237" t="s">
        <v>3636</v>
      </c>
      <c r="G55" s="237"/>
      <c r="H55" s="237"/>
      <c r="I55" s="237"/>
      <c r="J55" s="11" t="s">
        <v>3637</v>
      </c>
      <c r="K55" s="237" t="s">
        <v>3638</v>
      </c>
      <c r="L55" s="237"/>
      <c r="M55" s="237"/>
      <c r="N55" s="237" t="s">
        <v>3639</v>
      </c>
      <c r="O55" s="237"/>
      <c r="P55" s="237"/>
      <c r="Q55" s="237" t="s">
        <v>3640</v>
      </c>
      <c r="R55" s="237"/>
      <c r="S55" s="237"/>
      <c r="T55" s="237"/>
      <c r="U55" s="237"/>
      <c r="V55" s="237"/>
      <c r="W55" s="237" t="s">
        <v>3641</v>
      </c>
      <c r="X55" s="237"/>
      <c r="Y55" s="11" t="s">
        <v>3642</v>
      </c>
      <c r="Z55" s="11" t="s">
        <v>3643</v>
      </c>
      <c r="AA55" s="237" t="s">
        <v>3644</v>
      </c>
      <c r="AB55" s="237"/>
      <c r="AC55" s="237"/>
      <c r="AD55" s="237"/>
      <c r="AE55" s="11" t="s">
        <v>3645</v>
      </c>
      <c r="AF55" s="237" t="s">
        <v>3646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tabColor indexed="8"/>
  </sheetPr>
  <dimension ref="A1:AU63"/>
  <sheetViews>
    <sheetView topLeftCell="J1" workbookViewId="0">
      <selection activeCell="AV32" sqref="AV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6.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3647</v>
      </c>
      <c r="E7" s="269"/>
      <c r="F7" s="269"/>
      <c r="G7" s="269"/>
      <c r="H7" s="269" t="s">
        <v>3648</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70"/>
      <c r="AM7" s="270"/>
      <c r="AN7" s="2"/>
      <c r="AO7" s="2"/>
      <c r="AP7" s="7"/>
      <c r="AT7" s="22" t="s">
        <v>1518</v>
      </c>
      <c r="AU7" s="35" t="str">
        <f>H7</f>
        <v>HARTLEPOOL-A1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5625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4" t="str">
        <f>I16</f>
        <v xml:space="preserve">GCR  </v>
      </c>
    </row>
    <row r="12" spans="1:47" ht="11.45" customHeight="1">
      <c r="A12" s="6"/>
      <c r="B12" s="1"/>
      <c r="C12" s="2"/>
      <c r="D12" s="247" t="s">
        <v>5714</v>
      </c>
      <c r="E12" s="247"/>
      <c r="F12" s="247"/>
      <c r="G12" s="247" t="s">
        <v>5709</v>
      </c>
      <c r="H12" s="247"/>
      <c r="I12" s="247" t="s">
        <v>3649</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4" t="str">
        <f>I17</f>
        <v>AGR</v>
      </c>
    </row>
    <row r="13" spans="1:47" ht="10.35" customHeight="1">
      <c r="A13" s="6"/>
      <c r="B13" s="1"/>
      <c r="C13" s="2"/>
      <c r="D13" s="247" t="s">
        <v>5716</v>
      </c>
      <c r="E13" s="247"/>
      <c r="F13" s="247"/>
      <c r="G13" s="247" t="s">
        <v>5709</v>
      </c>
      <c r="H13" s="247"/>
      <c r="I13" s="247" t="s">
        <v>5180</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1500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5628</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655</v>
      </c>
    </row>
    <row r="17" spans="1:47" ht="11.45" customHeight="1" thickBot="1">
      <c r="A17" s="6"/>
      <c r="B17" s="1"/>
      <c r="C17" s="1"/>
      <c r="D17" s="248" t="s">
        <v>5722</v>
      </c>
      <c r="E17" s="248"/>
      <c r="F17" s="248"/>
      <c r="G17" s="247" t="s">
        <v>5709</v>
      </c>
      <c r="H17" s="247"/>
      <c r="I17" s="248" t="s">
        <v>5629</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595</v>
      </c>
    </row>
    <row r="18" spans="1:47" ht="13.5" thickBot="1">
      <c r="A18" s="6"/>
      <c r="B18" s="1"/>
      <c r="C18" s="1"/>
      <c r="D18" s="248" t="s">
        <v>185</v>
      </c>
      <c r="E18" s="248"/>
      <c r="F18" s="248"/>
      <c r="G18" s="248"/>
      <c r="H18" s="248"/>
      <c r="I18" s="248"/>
      <c r="J18" s="248"/>
      <c r="K18" s="248"/>
      <c r="L18" s="8" t="s">
        <v>5709</v>
      </c>
      <c r="M18" s="264">
        <v>1500</v>
      </c>
      <c r="N18" s="264"/>
      <c r="O18" s="264"/>
      <c r="P18" s="248" t="s">
        <v>186</v>
      </c>
      <c r="Q18" s="248"/>
      <c r="R18" s="248"/>
      <c r="S18" s="2"/>
      <c r="T18" s="2"/>
      <c r="U18" s="252" t="s">
        <v>187</v>
      </c>
      <c r="V18" s="252"/>
      <c r="W18" s="252"/>
      <c r="X18" s="252"/>
      <c r="Y18" s="252"/>
      <c r="Z18" s="252"/>
      <c r="AA18" s="252"/>
      <c r="AB18" s="247" t="s">
        <v>5709</v>
      </c>
      <c r="AC18" s="247"/>
      <c r="AD18" s="248" t="s">
        <v>3650</v>
      </c>
      <c r="AE18" s="248"/>
      <c r="AF18" s="248"/>
      <c r="AG18" s="248"/>
      <c r="AH18" s="248"/>
      <c r="AI18" s="248"/>
      <c r="AJ18" s="248"/>
      <c r="AK18" s="2"/>
      <c r="AL18" s="1"/>
      <c r="AM18" s="2"/>
      <c r="AN18" s="1"/>
      <c r="AO18" s="2"/>
      <c r="AP18" s="7"/>
      <c r="AT18" s="25" t="str">
        <f>D26</f>
        <v>Grid Date</v>
      </c>
      <c r="AU18" s="25">
        <f>M26</f>
        <v>30529</v>
      </c>
    </row>
    <row r="19" spans="1:47" ht="13.5" thickBot="1">
      <c r="A19" s="6"/>
      <c r="B19" s="1"/>
      <c r="C19" s="1"/>
      <c r="D19" s="248" t="s">
        <v>189</v>
      </c>
      <c r="E19" s="248"/>
      <c r="F19" s="248"/>
      <c r="G19" s="248"/>
      <c r="H19" s="248"/>
      <c r="I19" s="248"/>
      <c r="J19" s="248"/>
      <c r="K19" s="248"/>
      <c r="L19" s="8" t="s">
        <v>5709</v>
      </c>
      <c r="M19" s="264">
        <v>655</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24000</v>
      </c>
    </row>
    <row r="20" spans="1:47" ht="13.5" thickBot="1">
      <c r="A20" s="6"/>
      <c r="B20" s="1"/>
      <c r="C20" s="1"/>
      <c r="D20" s="248" t="s">
        <v>193</v>
      </c>
      <c r="E20" s="248"/>
      <c r="F20" s="248"/>
      <c r="G20" s="248"/>
      <c r="H20" s="248"/>
      <c r="I20" s="248"/>
      <c r="J20" s="248"/>
      <c r="K20" s="248"/>
      <c r="L20" s="8" t="s">
        <v>5709</v>
      </c>
      <c r="M20" s="264">
        <v>625</v>
      </c>
      <c r="N20" s="264"/>
      <c r="O20" s="264"/>
      <c r="P20" s="248" t="s">
        <v>190</v>
      </c>
      <c r="Q20" s="248"/>
      <c r="R20" s="248"/>
      <c r="S20" s="2"/>
      <c r="T20" s="2"/>
      <c r="U20" s="252" t="s">
        <v>194</v>
      </c>
      <c r="V20" s="252"/>
      <c r="W20" s="252"/>
      <c r="X20" s="252"/>
      <c r="Y20" s="252"/>
      <c r="Z20" s="252"/>
      <c r="AA20" s="252"/>
      <c r="AB20" s="247" t="s">
        <v>5709</v>
      </c>
      <c r="AC20" s="247"/>
      <c r="AD20" s="248" t="s">
        <v>6130</v>
      </c>
      <c r="AE20" s="248"/>
      <c r="AF20" s="248"/>
      <c r="AG20" s="248"/>
      <c r="AH20" s="248"/>
      <c r="AI20" s="248"/>
      <c r="AJ20" s="248"/>
      <c r="AK20" s="2"/>
      <c r="AL20" s="1"/>
      <c r="AM20" s="2"/>
      <c r="AN20" s="1"/>
      <c r="AO20" s="2"/>
      <c r="AP20" s="7"/>
      <c r="AT20" s="23" t="str">
        <f>D57 &amp; Q50</f>
        <v>LF [%]2005</v>
      </c>
      <c r="AU20" s="23" t="str">
        <f>Q57</f>
        <v>43.83</v>
      </c>
    </row>
    <row r="21" spans="1:47" ht="13.5" customHeight="1" thickBot="1">
      <c r="A21" s="6"/>
      <c r="B21" s="1"/>
      <c r="C21" s="1"/>
      <c r="D21" s="248" t="s">
        <v>196</v>
      </c>
      <c r="E21" s="248"/>
      <c r="F21" s="248"/>
      <c r="G21" s="248"/>
      <c r="H21" s="248"/>
      <c r="I21" s="248"/>
      <c r="J21" s="248"/>
      <c r="K21" s="248"/>
      <c r="L21" s="8" t="s">
        <v>5709</v>
      </c>
      <c r="M21" s="264">
        <v>595</v>
      </c>
      <c r="N21" s="264"/>
      <c r="O21" s="264"/>
      <c r="P21" s="248" t="s">
        <v>190</v>
      </c>
      <c r="Q21" s="248"/>
      <c r="R21" s="248"/>
      <c r="S21" s="2"/>
      <c r="T21" s="2"/>
      <c r="U21" s="252" t="s">
        <v>197</v>
      </c>
      <c r="V21" s="252"/>
      <c r="W21" s="252"/>
      <c r="X21" s="252"/>
      <c r="Y21" s="252"/>
      <c r="Z21" s="252"/>
      <c r="AA21" s="252"/>
      <c r="AB21" s="247" t="s">
        <v>5709</v>
      </c>
      <c r="AC21" s="247"/>
      <c r="AD21" s="248" t="s">
        <v>3651</v>
      </c>
      <c r="AE21" s="248"/>
      <c r="AF21" s="248"/>
      <c r="AG21" s="248"/>
      <c r="AH21" s="248"/>
      <c r="AI21" s="248"/>
      <c r="AJ21" s="248"/>
      <c r="AK21" s="2"/>
      <c r="AL21" s="1"/>
      <c r="AM21" s="2"/>
      <c r="AN21" s="1"/>
      <c r="AO21" s="2"/>
      <c r="AP21" s="7"/>
      <c r="AT21" s="23" t="str">
        <f>D57&amp;AF50</f>
        <v>LF [%]2010</v>
      </c>
      <c r="AU21" s="23" t="str">
        <f>AF57</f>
        <v>84.56</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3652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3653</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25112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3654</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30529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3655</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32599</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1800</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3656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5637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6596</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3657</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3658</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3315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5640</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3659</v>
      </c>
      <c r="G51" s="238"/>
      <c r="H51" s="238"/>
      <c r="I51" s="238"/>
      <c r="J51" s="10" t="s">
        <v>3660</v>
      </c>
      <c r="K51" s="238" t="s">
        <v>3661</v>
      </c>
      <c r="L51" s="238"/>
      <c r="M51" s="238"/>
      <c r="N51" s="238" t="s">
        <v>3662</v>
      </c>
      <c r="O51" s="238"/>
      <c r="P51" s="238"/>
      <c r="Q51" s="238" t="s">
        <v>3663</v>
      </c>
      <c r="R51" s="238"/>
      <c r="S51" s="238"/>
      <c r="T51" s="238"/>
      <c r="U51" s="238"/>
      <c r="V51" s="238"/>
      <c r="W51" s="238" t="s">
        <v>3664</v>
      </c>
      <c r="X51" s="238"/>
      <c r="Y51" s="10" t="s">
        <v>3665</v>
      </c>
      <c r="Z51" s="10" t="s">
        <v>6087</v>
      </c>
      <c r="AA51" s="238" t="s">
        <v>3666</v>
      </c>
      <c r="AB51" s="238"/>
      <c r="AC51" s="238"/>
      <c r="AD51" s="238"/>
      <c r="AE51" s="238"/>
      <c r="AF51" s="10" t="s">
        <v>3667</v>
      </c>
      <c r="AG51" s="237" t="s">
        <v>3668</v>
      </c>
      <c r="AH51" s="237"/>
      <c r="AI51" s="237"/>
      <c r="AJ51" s="237"/>
      <c r="AK51" s="237"/>
      <c r="AL51" s="2"/>
      <c r="AM51" s="2"/>
      <c r="AN51" s="2"/>
      <c r="AO51" s="2"/>
      <c r="AP51" s="7"/>
    </row>
    <row r="52" spans="1:42" ht="13.5" thickBot="1">
      <c r="A52" s="6"/>
      <c r="B52" s="2"/>
      <c r="C52" s="2"/>
      <c r="D52" s="244" t="s">
        <v>261</v>
      </c>
      <c r="E52" s="244"/>
      <c r="F52" s="238" t="s">
        <v>3669</v>
      </c>
      <c r="G52" s="238"/>
      <c r="H52" s="238"/>
      <c r="I52" s="238"/>
      <c r="J52" s="10" t="s">
        <v>6007</v>
      </c>
      <c r="K52" s="238" t="s">
        <v>2743</v>
      </c>
      <c r="L52" s="238"/>
      <c r="M52" s="238"/>
      <c r="N52" s="238" t="s">
        <v>3670</v>
      </c>
      <c r="O52" s="238"/>
      <c r="P52" s="238"/>
      <c r="Q52" s="238" t="s">
        <v>3671</v>
      </c>
      <c r="R52" s="238"/>
      <c r="S52" s="238"/>
      <c r="T52" s="238"/>
      <c r="U52" s="238"/>
      <c r="V52" s="238"/>
      <c r="W52" s="238" t="s">
        <v>3672</v>
      </c>
      <c r="X52" s="238"/>
      <c r="Y52" s="10" t="s">
        <v>3673</v>
      </c>
      <c r="Z52" s="10" t="s">
        <v>6087</v>
      </c>
      <c r="AA52" s="238" t="s">
        <v>3674</v>
      </c>
      <c r="AB52" s="238"/>
      <c r="AC52" s="238"/>
      <c r="AD52" s="238"/>
      <c r="AE52" s="238"/>
      <c r="AF52" s="10" t="s">
        <v>6998</v>
      </c>
      <c r="AG52" s="237" t="s">
        <v>3675</v>
      </c>
      <c r="AH52" s="237"/>
      <c r="AI52" s="237"/>
      <c r="AJ52" s="237"/>
      <c r="AK52" s="237"/>
      <c r="AL52" s="2"/>
      <c r="AM52" s="2"/>
      <c r="AN52" s="2"/>
      <c r="AO52" s="2"/>
      <c r="AP52" s="7"/>
    </row>
    <row r="53" spans="1:42" ht="13.5" thickBot="1">
      <c r="A53" s="6"/>
      <c r="B53" s="2"/>
      <c r="C53" s="2"/>
      <c r="D53" s="244" t="s">
        <v>273</v>
      </c>
      <c r="E53" s="244"/>
      <c r="F53" s="238" t="s">
        <v>3676</v>
      </c>
      <c r="G53" s="238"/>
      <c r="H53" s="238"/>
      <c r="I53" s="238"/>
      <c r="J53" s="10" t="s">
        <v>3677</v>
      </c>
      <c r="K53" s="238" t="s">
        <v>5585</v>
      </c>
      <c r="L53" s="238"/>
      <c r="M53" s="238"/>
      <c r="N53" s="238" t="s">
        <v>3678</v>
      </c>
      <c r="O53" s="238"/>
      <c r="P53" s="238"/>
      <c r="Q53" s="238" t="s">
        <v>3679</v>
      </c>
      <c r="R53" s="238"/>
      <c r="S53" s="238"/>
      <c r="T53" s="238"/>
      <c r="U53" s="238"/>
      <c r="V53" s="238"/>
      <c r="W53" s="238" t="s">
        <v>3680</v>
      </c>
      <c r="X53" s="238"/>
      <c r="Y53" s="10" t="s">
        <v>3681</v>
      </c>
      <c r="Z53" s="10" t="s">
        <v>3682</v>
      </c>
      <c r="AA53" s="238" t="s">
        <v>5445</v>
      </c>
      <c r="AB53" s="238"/>
      <c r="AC53" s="238"/>
      <c r="AD53" s="238"/>
      <c r="AE53" s="238"/>
      <c r="AF53" s="10" t="s">
        <v>6774</v>
      </c>
      <c r="AG53" s="237" t="s">
        <v>3683</v>
      </c>
      <c r="AH53" s="237"/>
      <c r="AI53" s="237"/>
      <c r="AJ53" s="237"/>
      <c r="AK53" s="237"/>
      <c r="AL53" s="2"/>
      <c r="AM53" s="2"/>
      <c r="AN53" s="2"/>
      <c r="AO53" s="2"/>
      <c r="AP53" s="7"/>
    </row>
    <row r="54" spans="1:42" ht="13.5" thickBot="1">
      <c r="A54" s="6"/>
      <c r="B54" s="2"/>
      <c r="C54" s="2"/>
      <c r="D54" s="244" t="s">
        <v>285</v>
      </c>
      <c r="E54" s="244"/>
      <c r="F54" s="238" t="s">
        <v>3684</v>
      </c>
      <c r="G54" s="238"/>
      <c r="H54" s="238"/>
      <c r="I54" s="238"/>
      <c r="J54" s="10" t="s">
        <v>6007</v>
      </c>
      <c r="K54" s="238" t="s">
        <v>2743</v>
      </c>
      <c r="L54" s="238"/>
      <c r="M54" s="238"/>
      <c r="N54" s="238" t="s">
        <v>3670</v>
      </c>
      <c r="O54" s="238"/>
      <c r="P54" s="238"/>
      <c r="Q54" s="238" t="s">
        <v>3671</v>
      </c>
      <c r="R54" s="238"/>
      <c r="S54" s="238"/>
      <c r="T54" s="238"/>
      <c r="U54" s="238"/>
      <c r="V54" s="238"/>
      <c r="W54" s="238" t="s">
        <v>3672</v>
      </c>
      <c r="X54" s="238"/>
      <c r="Y54" s="10" t="s">
        <v>3673</v>
      </c>
      <c r="Z54" s="10" t="s">
        <v>6087</v>
      </c>
      <c r="AA54" s="238" t="s">
        <v>3674</v>
      </c>
      <c r="AB54" s="238"/>
      <c r="AC54" s="238"/>
      <c r="AD54" s="238"/>
      <c r="AE54" s="238"/>
      <c r="AF54" s="10" t="s">
        <v>6998</v>
      </c>
      <c r="AG54" s="237" t="s">
        <v>3685</v>
      </c>
      <c r="AH54" s="237"/>
      <c r="AI54" s="237"/>
      <c r="AJ54" s="237"/>
      <c r="AK54" s="237"/>
      <c r="AL54" s="2"/>
      <c r="AM54" s="2"/>
      <c r="AN54" s="2"/>
      <c r="AO54" s="2"/>
      <c r="AP54" s="7"/>
    </row>
    <row r="55" spans="1:42" ht="13.5" thickBot="1">
      <c r="A55" s="6"/>
      <c r="B55" s="2"/>
      <c r="C55" s="2"/>
      <c r="D55" s="244" t="s">
        <v>295</v>
      </c>
      <c r="E55" s="244"/>
      <c r="F55" s="238" t="s">
        <v>3686</v>
      </c>
      <c r="G55" s="238"/>
      <c r="H55" s="238"/>
      <c r="I55" s="238"/>
      <c r="J55" s="10" t="s">
        <v>2901</v>
      </c>
      <c r="K55" s="238" t="s">
        <v>4827</v>
      </c>
      <c r="L55" s="238"/>
      <c r="M55" s="238"/>
      <c r="N55" s="238" t="s">
        <v>1901</v>
      </c>
      <c r="O55" s="238"/>
      <c r="P55" s="238"/>
      <c r="Q55" s="238" t="s">
        <v>3687</v>
      </c>
      <c r="R55" s="238"/>
      <c r="S55" s="238"/>
      <c r="T55" s="238"/>
      <c r="U55" s="238"/>
      <c r="V55" s="238"/>
      <c r="W55" s="238" t="s">
        <v>3688</v>
      </c>
      <c r="X55" s="238"/>
      <c r="Y55" s="10" t="s">
        <v>3689</v>
      </c>
      <c r="Z55" s="10" t="s">
        <v>6087</v>
      </c>
      <c r="AA55" s="238" t="s">
        <v>448</v>
      </c>
      <c r="AB55" s="238"/>
      <c r="AC55" s="238"/>
      <c r="AD55" s="238"/>
      <c r="AE55" s="238"/>
      <c r="AF55" s="10" t="s">
        <v>3136</v>
      </c>
      <c r="AG55" s="237" t="s">
        <v>3690</v>
      </c>
      <c r="AH55" s="237"/>
      <c r="AI55" s="237"/>
      <c r="AJ55" s="237"/>
      <c r="AK55" s="237"/>
      <c r="AL55" s="2"/>
      <c r="AM55" s="2"/>
      <c r="AN55" s="2"/>
      <c r="AO55" s="2"/>
      <c r="AP55" s="7"/>
    </row>
    <row r="56" spans="1:42" ht="13.5" thickBot="1">
      <c r="A56" s="6"/>
      <c r="B56" s="2"/>
      <c r="C56" s="2"/>
      <c r="D56" s="244" t="s">
        <v>307</v>
      </c>
      <c r="E56" s="244"/>
      <c r="F56" s="238" t="s">
        <v>4363</v>
      </c>
      <c r="G56" s="238"/>
      <c r="H56" s="238"/>
      <c r="I56" s="238"/>
      <c r="J56" s="10" t="s">
        <v>4327</v>
      </c>
      <c r="K56" s="238" t="s">
        <v>6806</v>
      </c>
      <c r="L56" s="238"/>
      <c r="M56" s="238"/>
      <c r="N56" s="238" t="s">
        <v>3691</v>
      </c>
      <c r="O56" s="238"/>
      <c r="P56" s="238"/>
      <c r="Q56" s="238" t="s">
        <v>3692</v>
      </c>
      <c r="R56" s="238"/>
      <c r="S56" s="238"/>
      <c r="T56" s="238"/>
      <c r="U56" s="238"/>
      <c r="V56" s="238"/>
      <c r="W56" s="238" t="s">
        <v>3693</v>
      </c>
      <c r="X56" s="238"/>
      <c r="Y56" s="10" t="s">
        <v>3694</v>
      </c>
      <c r="Z56" s="10" t="s">
        <v>6087</v>
      </c>
      <c r="AA56" s="238" t="s">
        <v>3695</v>
      </c>
      <c r="AB56" s="238"/>
      <c r="AC56" s="238"/>
      <c r="AD56" s="238"/>
      <c r="AE56" s="238"/>
      <c r="AF56" s="10" t="s">
        <v>3696</v>
      </c>
      <c r="AG56" s="237" t="s">
        <v>3697</v>
      </c>
      <c r="AH56" s="237"/>
      <c r="AI56" s="237"/>
      <c r="AJ56" s="237"/>
      <c r="AK56" s="237"/>
      <c r="AL56" s="2"/>
      <c r="AM56" s="2"/>
      <c r="AN56" s="2"/>
      <c r="AO56" s="2"/>
      <c r="AP56" s="7"/>
    </row>
    <row r="57" spans="1:42" ht="13.5" thickBot="1">
      <c r="A57" s="6"/>
      <c r="B57" s="2"/>
      <c r="C57" s="2"/>
      <c r="D57" s="244" t="s">
        <v>319</v>
      </c>
      <c r="E57" s="244"/>
      <c r="F57" s="237" t="s">
        <v>5231</v>
      </c>
      <c r="G57" s="237"/>
      <c r="H57" s="237"/>
      <c r="I57" s="237"/>
      <c r="J57" s="11" t="s">
        <v>2757</v>
      </c>
      <c r="K57" s="237" t="s">
        <v>6408</v>
      </c>
      <c r="L57" s="237"/>
      <c r="M57" s="237"/>
      <c r="N57" s="237" t="s">
        <v>3698</v>
      </c>
      <c r="O57" s="237"/>
      <c r="P57" s="237"/>
      <c r="Q57" s="237" t="s">
        <v>3699</v>
      </c>
      <c r="R57" s="237"/>
      <c r="S57" s="237"/>
      <c r="T57" s="237"/>
      <c r="U57" s="237"/>
      <c r="V57" s="237"/>
      <c r="W57" s="237" t="s">
        <v>3700</v>
      </c>
      <c r="X57" s="237"/>
      <c r="Y57" s="11" t="s">
        <v>5697</v>
      </c>
      <c r="Z57" s="11" t="s">
        <v>6087</v>
      </c>
      <c r="AA57" s="237" t="s">
        <v>3701</v>
      </c>
      <c r="AB57" s="237"/>
      <c r="AC57" s="237"/>
      <c r="AD57" s="237"/>
      <c r="AE57" s="237"/>
      <c r="AF57" s="11" t="s">
        <v>3702</v>
      </c>
      <c r="AG57" s="237" t="s">
        <v>3703</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G17:H17"/>
    <mergeCell ref="I17:R17"/>
    <mergeCell ref="U17:AA17"/>
    <mergeCell ref="AB15:AC15"/>
    <mergeCell ref="AD15:AJ15"/>
    <mergeCell ref="AB16:AC16"/>
    <mergeCell ref="AD16:AJ16"/>
    <mergeCell ref="I16:R16"/>
    <mergeCell ref="U16:AA16"/>
    <mergeCell ref="D15:R15"/>
    <mergeCell ref="U15:AA15"/>
    <mergeCell ref="D18:K18"/>
    <mergeCell ref="M18:O18"/>
    <mergeCell ref="P18:R18"/>
    <mergeCell ref="U18:AA18"/>
    <mergeCell ref="U21:AA21"/>
    <mergeCell ref="P20:R20"/>
    <mergeCell ref="U20:AA20"/>
    <mergeCell ref="D19:K19"/>
    <mergeCell ref="M19:O19"/>
    <mergeCell ref="P19:R19"/>
    <mergeCell ref="U19:AA19"/>
    <mergeCell ref="D20:K20"/>
    <mergeCell ref="M20:O20"/>
    <mergeCell ref="D21:K21"/>
    <mergeCell ref="M21:O21"/>
    <mergeCell ref="AD18:AJ18"/>
    <mergeCell ref="AB19:AC19"/>
    <mergeCell ref="AD19:AJ19"/>
    <mergeCell ref="AB20:AC20"/>
    <mergeCell ref="AD20:AJ20"/>
    <mergeCell ref="AB18:AC18"/>
    <mergeCell ref="AB21:AC21"/>
    <mergeCell ref="AD21:AJ21"/>
    <mergeCell ref="P22:R23"/>
    <mergeCell ref="U22:AA22"/>
    <mergeCell ref="AB22:AC22"/>
    <mergeCell ref="AD22:AJ22"/>
    <mergeCell ref="U23:AA24"/>
    <mergeCell ref="AB23:AC24"/>
    <mergeCell ref="AD23:AJ24"/>
    <mergeCell ref="P21:R21"/>
    <mergeCell ref="AD29:AJ31"/>
    <mergeCell ref="D22:D23"/>
    <mergeCell ref="E22:K23"/>
    <mergeCell ref="L22:L23"/>
    <mergeCell ref="M22:O23"/>
    <mergeCell ref="P28:R29"/>
    <mergeCell ref="U25:AA26"/>
    <mergeCell ref="AB25:AC26"/>
    <mergeCell ref="M24:O25"/>
    <mergeCell ref="P24:R25"/>
    <mergeCell ref="U29:AA31"/>
    <mergeCell ref="AB29:AC31"/>
    <mergeCell ref="L24:L25"/>
    <mergeCell ref="D28:K29"/>
    <mergeCell ref="L28:L29"/>
    <mergeCell ref="M28:O29"/>
    <mergeCell ref="AD25:AJ26"/>
    <mergeCell ref="D26:K27"/>
    <mergeCell ref="L26:L27"/>
    <mergeCell ref="M26:O27"/>
    <mergeCell ref="P26:R27"/>
    <mergeCell ref="U27:AA28"/>
    <mergeCell ref="AB27:AC28"/>
    <mergeCell ref="AD27:AJ28"/>
    <mergeCell ref="D24:K25"/>
    <mergeCell ref="U39:AA39"/>
    <mergeCell ref="AB39:AC39"/>
    <mergeCell ref="AD39:AJ39"/>
    <mergeCell ref="AG51:AK51"/>
    <mergeCell ref="D35:Q37"/>
    <mergeCell ref="U36:AA36"/>
    <mergeCell ref="AB36:AC36"/>
    <mergeCell ref="AD36:AJ36"/>
    <mergeCell ref="U37:AA38"/>
    <mergeCell ref="AD44:AJ44"/>
    <mergeCell ref="AB37:AC38"/>
    <mergeCell ref="AD37:AJ38"/>
    <mergeCell ref="D38:Q47"/>
    <mergeCell ref="U33:AA35"/>
    <mergeCell ref="AD46:AJ46"/>
    <mergeCell ref="U32:AA32"/>
    <mergeCell ref="AB32:AC32"/>
    <mergeCell ref="AD32:AJ32"/>
    <mergeCell ref="AB33:AC35"/>
    <mergeCell ref="AD33:AJ35"/>
    <mergeCell ref="AD45:AJ45"/>
    <mergeCell ref="U42:AA42"/>
    <mergeCell ref="AB42:AC42"/>
    <mergeCell ref="AD42:AJ42"/>
    <mergeCell ref="U40:AA40"/>
    <mergeCell ref="U45:AA45"/>
    <mergeCell ref="AB45:AC45"/>
    <mergeCell ref="AD43:AJ43"/>
    <mergeCell ref="U46:AA46"/>
    <mergeCell ref="AB46:AC46"/>
    <mergeCell ref="U43:AA43"/>
    <mergeCell ref="AB43:AC43"/>
    <mergeCell ref="U44:AA44"/>
    <mergeCell ref="AB44:AC44"/>
    <mergeCell ref="AG50:AK50"/>
    <mergeCell ref="D50:E50"/>
    <mergeCell ref="F50:I50"/>
    <mergeCell ref="K50:M50"/>
    <mergeCell ref="N50:P50"/>
    <mergeCell ref="N51:P51"/>
    <mergeCell ref="Q50:V50"/>
    <mergeCell ref="W50:X50"/>
    <mergeCell ref="AA50:AE50"/>
    <mergeCell ref="Q51:V51"/>
    <mergeCell ref="W51:X51"/>
    <mergeCell ref="AA51:AE51"/>
    <mergeCell ref="D51:E51"/>
    <mergeCell ref="D48:N49"/>
    <mergeCell ref="V49:AI49"/>
    <mergeCell ref="AB40:AC40"/>
    <mergeCell ref="AD40:AJ40"/>
    <mergeCell ref="U41:AA41"/>
    <mergeCell ref="AB41:AC41"/>
    <mergeCell ref="AD41:AJ41"/>
    <mergeCell ref="F51:I51"/>
    <mergeCell ref="K51:M51"/>
    <mergeCell ref="AG53:AK53"/>
    <mergeCell ref="D53:E53"/>
    <mergeCell ref="AG52:AK52"/>
    <mergeCell ref="D52:E52"/>
    <mergeCell ref="F52:I52"/>
    <mergeCell ref="K52:M52"/>
    <mergeCell ref="N52:P52"/>
    <mergeCell ref="W52:X52"/>
    <mergeCell ref="AG54:AK54"/>
    <mergeCell ref="D54:E54"/>
    <mergeCell ref="F54:I54"/>
    <mergeCell ref="K54:M54"/>
    <mergeCell ref="N54:P54"/>
    <mergeCell ref="Q53:V53"/>
    <mergeCell ref="W53:X53"/>
    <mergeCell ref="AA53:AE53"/>
    <mergeCell ref="F53:I53"/>
    <mergeCell ref="K53:M53"/>
    <mergeCell ref="N53:P53"/>
    <mergeCell ref="Q52:V52"/>
    <mergeCell ref="Q54:V54"/>
    <mergeCell ref="W54:X54"/>
    <mergeCell ref="AA54:AE54"/>
    <mergeCell ref="AA52:AE52"/>
    <mergeCell ref="AG56:AK56"/>
    <mergeCell ref="Q55:V55"/>
    <mergeCell ref="W55:X55"/>
    <mergeCell ref="AA55:AE55"/>
    <mergeCell ref="AG55:AK55"/>
    <mergeCell ref="AG57:AK57"/>
    <mergeCell ref="W56:X56"/>
    <mergeCell ref="AA56:AE56"/>
    <mergeCell ref="Q56:V56"/>
    <mergeCell ref="D57:E57"/>
    <mergeCell ref="F55:I55"/>
    <mergeCell ref="K55:M55"/>
    <mergeCell ref="N55:P55"/>
    <mergeCell ref="D56:E56"/>
    <mergeCell ref="F56:I56"/>
    <mergeCell ref="K56:M56"/>
    <mergeCell ref="N56:P56"/>
    <mergeCell ref="D55:E55"/>
    <mergeCell ref="N57:P57"/>
    <mergeCell ref="D63:AI63"/>
    <mergeCell ref="D60:Q60"/>
    <mergeCell ref="T60:AH60"/>
    <mergeCell ref="D61:Q61"/>
    <mergeCell ref="T61:AH61"/>
    <mergeCell ref="Q57:V57"/>
    <mergeCell ref="W57:X57"/>
    <mergeCell ref="AA57:AE57"/>
    <mergeCell ref="F57:I57"/>
    <mergeCell ref="K57:M57"/>
  </mergeCells>
  <phoneticPr fontId="13" type="noConversion"/>
  <pageMargins left="0.75" right="0.75" top="1" bottom="1" header="0.5" footer="0.5"/>
  <headerFooter alignWithMargins="0"/>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tabColor indexed="8"/>
  </sheetPr>
  <dimension ref="A1:AU63"/>
  <sheetViews>
    <sheetView topLeftCell="J1" workbookViewId="0">
      <selection activeCell="AV32" sqref="AV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6.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3704</v>
      </c>
      <c r="E7" s="269"/>
      <c r="F7" s="269"/>
      <c r="G7" s="269"/>
      <c r="H7" s="269" t="s">
        <v>3705</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70"/>
      <c r="AM7" s="270"/>
      <c r="AN7" s="2"/>
      <c r="AO7" s="2"/>
      <c r="AP7" s="7"/>
      <c r="AT7" s="22" t="s">
        <v>1518</v>
      </c>
      <c r="AU7" s="35" t="str">
        <f>H7</f>
        <v>HARTLEPOOL-A2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5625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4" t="str">
        <f>I16</f>
        <v xml:space="preserve">GCR  </v>
      </c>
    </row>
    <row r="12" spans="1:47" ht="11.45" customHeight="1">
      <c r="A12" s="6"/>
      <c r="B12" s="1"/>
      <c r="C12" s="2"/>
      <c r="D12" s="247" t="s">
        <v>5714</v>
      </c>
      <c r="E12" s="247"/>
      <c r="F12" s="247"/>
      <c r="G12" s="247" t="s">
        <v>5709</v>
      </c>
      <c r="H12" s="247"/>
      <c r="I12" s="247" t="s">
        <v>3649</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4" t="str">
        <f>I17</f>
        <v>AGR</v>
      </c>
    </row>
    <row r="13" spans="1:47" ht="10.35" customHeight="1">
      <c r="A13" s="6"/>
      <c r="B13" s="1"/>
      <c r="C13" s="2"/>
      <c r="D13" s="247" t="s">
        <v>5716</v>
      </c>
      <c r="E13" s="247"/>
      <c r="F13" s="247"/>
      <c r="G13" s="247" t="s">
        <v>5709</v>
      </c>
      <c r="H13" s="247"/>
      <c r="I13" s="247" t="s">
        <v>5180</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1500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5628</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655</v>
      </c>
    </row>
    <row r="17" spans="1:47" ht="11.45" customHeight="1" thickBot="1">
      <c r="A17" s="6"/>
      <c r="B17" s="1"/>
      <c r="C17" s="1"/>
      <c r="D17" s="248" t="s">
        <v>5722</v>
      </c>
      <c r="E17" s="248"/>
      <c r="F17" s="248"/>
      <c r="G17" s="247" t="s">
        <v>5709</v>
      </c>
      <c r="H17" s="247"/>
      <c r="I17" s="248" t="s">
        <v>5629</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595</v>
      </c>
    </row>
    <row r="18" spans="1:47" ht="13.5" thickBot="1">
      <c r="A18" s="6"/>
      <c r="B18" s="1"/>
      <c r="C18" s="1"/>
      <c r="D18" s="248" t="s">
        <v>185</v>
      </c>
      <c r="E18" s="248"/>
      <c r="F18" s="248"/>
      <c r="G18" s="248"/>
      <c r="H18" s="248"/>
      <c r="I18" s="248"/>
      <c r="J18" s="248"/>
      <c r="K18" s="248"/>
      <c r="L18" s="8" t="s">
        <v>5709</v>
      </c>
      <c r="M18" s="264">
        <v>1500</v>
      </c>
      <c r="N18" s="264"/>
      <c r="O18" s="264"/>
      <c r="P18" s="248" t="s">
        <v>186</v>
      </c>
      <c r="Q18" s="248"/>
      <c r="R18" s="248"/>
      <c r="S18" s="2"/>
      <c r="T18" s="2"/>
      <c r="U18" s="252" t="s">
        <v>187</v>
      </c>
      <c r="V18" s="252"/>
      <c r="W18" s="252"/>
      <c r="X18" s="252"/>
      <c r="Y18" s="252"/>
      <c r="Z18" s="252"/>
      <c r="AA18" s="252"/>
      <c r="AB18" s="247" t="s">
        <v>5709</v>
      </c>
      <c r="AC18" s="247"/>
      <c r="AD18" s="248" t="s">
        <v>3650</v>
      </c>
      <c r="AE18" s="248"/>
      <c r="AF18" s="248"/>
      <c r="AG18" s="248"/>
      <c r="AH18" s="248"/>
      <c r="AI18" s="248"/>
      <c r="AJ18" s="248"/>
      <c r="AK18" s="2"/>
      <c r="AL18" s="1"/>
      <c r="AM18" s="2"/>
      <c r="AN18" s="1"/>
      <c r="AO18" s="2"/>
      <c r="AP18" s="7"/>
      <c r="AT18" s="25" t="str">
        <f>D26</f>
        <v>Grid Date</v>
      </c>
      <c r="AU18" s="25">
        <f>M26</f>
        <v>30986</v>
      </c>
    </row>
    <row r="19" spans="1:47" ht="13.5" thickBot="1">
      <c r="A19" s="6"/>
      <c r="B19" s="1"/>
      <c r="C19" s="1"/>
      <c r="D19" s="248" t="s">
        <v>189</v>
      </c>
      <c r="E19" s="248"/>
      <c r="F19" s="248"/>
      <c r="G19" s="248"/>
      <c r="H19" s="248"/>
      <c r="I19" s="248"/>
      <c r="J19" s="248"/>
      <c r="K19" s="248"/>
      <c r="L19" s="8" t="s">
        <v>5709</v>
      </c>
      <c r="M19" s="264">
        <v>655</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24000</v>
      </c>
    </row>
    <row r="20" spans="1:47" ht="13.5" thickBot="1">
      <c r="A20" s="6"/>
      <c r="B20" s="1"/>
      <c r="C20" s="1"/>
      <c r="D20" s="248" t="s">
        <v>193</v>
      </c>
      <c r="E20" s="248"/>
      <c r="F20" s="248"/>
      <c r="G20" s="248"/>
      <c r="H20" s="248"/>
      <c r="I20" s="248"/>
      <c r="J20" s="248"/>
      <c r="K20" s="248"/>
      <c r="L20" s="8" t="s">
        <v>5709</v>
      </c>
      <c r="M20" s="264">
        <v>600</v>
      </c>
      <c r="N20" s="264"/>
      <c r="O20" s="264"/>
      <c r="P20" s="248" t="s">
        <v>190</v>
      </c>
      <c r="Q20" s="248"/>
      <c r="R20" s="248"/>
      <c r="S20" s="2"/>
      <c r="T20" s="2"/>
      <c r="U20" s="252" t="s">
        <v>194</v>
      </c>
      <c r="V20" s="252"/>
      <c r="W20" s="252"/>
      <c r="X20" s="252"/>
      <c r="Y20" s="252"/>
      <c r="Z20" s="252"/>
      <c r="AA20" s="252"/>
      <c r="AB20" s="247" t="s">
        <v>5709</v>
      </c>
      <c r="AC20" s="247"/>
      <c r="AD20" s="248" t="s">
        <v>6130</v>
      </c>
      <c r="AE20" s="248"/>
      <c r="AF20" s="248"/>
      <c r="AG20" s="248"/>
      <c r="AH20" s="248"/>
      <c r="AI20" s="248"/>
      <c r="AJ20" s="248"/>
      <c r="AK20" s="2"/>
      <c r="AL20" s="1"/>
      <c r="AM20" s="2"/>
      <c r="AN20" s="1"/>
      <c r="AO20" s="2"/>
      <c r="AP20" s="7"/>
      <c r="AT20" s="23" t="str">
        <f>D57 &amp; Q50</f>
        <v>LF [%]2005</v>
      </c>
      <c r="AU20" s="23" t="str">
        <f>Q57</f>
        <v>68.90</v>
      </c>
    </row>
    <row r="21" spans="1:47" ht="13.5" customHeight="1" thickBot="1">
      <c r="A21" s="6"/>
      <c r="B21" s="1"/>
      <c r="C21" s="1"/>
      <c r="D21" s="248" t="s">
        <v>196</v>
      </c>
      <c r="E21" s="248"/>
      <c r="F21" s="248"/>
      <c r="G21" s="248"/>
      <c r="H21" s="248"/>
      <c r="I21" s="248"/>
      <c r="J21" s="248"/>
      <c r="K21" s="248"/>
      <c r="L21" s="8" t="s">
        <v>5709</v>
      </c>
      <c r="M21" s="264">
        <v>595</v>
      </c>
      <c r="N21" s="264"/>
      <c r="O21" s="264"/>
      <c r="P21" s="248" t="s">
        <v>190</v>
      </c>
      <c r="Q21" s="248"/>
      <c r="R21" s="248"/>
      <c r="S21" s="2"/>
      <c r="T21" s="2"/>
      <c r="U21" s="252" t="s">
        <v>197</v>
      </c>
      <c r="V21" s="252"/>
      <c r="W21" s="252"/>
      <c r="X21" s="252"/>
      <c r="Y21" s="252"/>
      <c r="Z21" s="252"/>
      <c r="AA21" s="252"/>
      <c r="AB21" s="247" t="s">
        <v>5709</v>
      </c>
      <c r="AC21" s="247"/>
      <c r="AD21" s="248" t="s">
        <v>3651</v>
      </c>
      <c r="AE21" s="248"/>
      <c r="AF21" s="248"/>
      <c r="AG21" s="248"/>
      <c r="AH21" s="248"/>
      <c r="AI21" s="248"/>
      <c r="AJ21" s="248"/>
      <c r="AK21" s="2"/>
      <c r="AL21" s="1"/>
      <c r="AM21" s="2"/>
      <c r="AN21" s="1"/>
      <c r="AO21" s="2"/>
      <c r="AP21" s="7"/>
      <c r="AT21" s="23" t="str">
        <f>D57&amp;AF50</f>
        <v>LF [%]2010</v>
      </c>
      <c r="AU21" s="23" t="str">
        <f>AF57</f>
        <v>71.72</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3652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3653</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25112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3654</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30986</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3655</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32599</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1800</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3656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5637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6596</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3657</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3658</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3315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5640</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3706</v>
      </c>
      <c r="G51" s="238"/>
      <c r="H51" s="238"/>
      <c r="I51" s="238"/>
      <c r="J51" s="10" t="s">
        <v>3707</v>
      </c>
      <c r="K51" s="238" t="s">
        <v>3708</v>
      </c>
      <c r="L51" s="238"/>
      <c r="M51" s="238"/>
      <c r="N51" s="238" t="s">
        <v>3709</v>
      </c>
      <c r="O51" s="238"/>
      <c r="P51" s="238"/>
      <c r="Q51" s="238" t="s">
        <v>3710</v>
      </c>
      <c r="R51" s="238"/>
      <c r="S51" s="238"/>
      <c r="T51" s="238"/>
      <c r="U51" s="238"/>
      <c r="V51" s="238"/>
      <c r="W51" s="238" t="s">
        <v>3711</v>
      </c>
      <c r="X51" s="238"/>
      <c r="Y51" s="10" t="s">
        <v>3712</v>
      </c>
      <c r="Z51" s="10" t="s">
        <v>6087</v>
      </c>
      <c r="AA51" s="238" t="s">
        <v>3713</v>
      </c>
      <c r="AB51" s="238"/>
      <c r="AC51" s="238"/>
      <c r="AD51" s="238"/>
      <c r="AE51" s="238"/>
      <c r="AF51" s="10" t="s">
        <v>3714</v>
      </c>
      <c r="AG51" s="237" t="s">
        <v>3715</v>
      </c>
      <c r="AH51" s="237"/>
      <c r="AI51" s="237"/>
      <c r="AJ51" s="237"/>
      <c r="AK51" s="237"/>
      <c r="AL51" s="2"/>
      <c r="AM51" s="2"/>
      <c r="AN51" s="2"/>
      <c r="AO51" s="2"/>
      <c r="AP51" s="7"/>
    </row>
    <row r="52" spans="1:42" ht="13.5" thickBot="1">
      <c r="A52" s="6"/>
      <c r="B52" s="2"/>
      <c r="C52" s="2"/>
      <c r="D52" s="244" t="s">
        <v>261</v>
      </c>
      <c r="E52" s="244"/>
      <c r="F52" s="238" t="s">
        <v>2725</v>
      </c>
      <c r="G52" s="238"/>
      <c r="H52" s="238"/>
      <c r="I52" s="238"/>
      <c r="J52" s="10" t="s">
        <v>6025</v>
      </c>
      <c r="K52" s="238" t="s">
        <v>3716</v>
      </c>
      <c r="L52" s="238"/>
      <c r="M52" s="238"/>
      <c r="N52" s="238" t="s">
        <v>3717</v>
      </c>
      <c r="O52" s="238"/>
      <c r="P52" s="238"/>
      <c r="Q52" s="238" t="s">
        <v>3718</v>
      </c>
      <c r="R52" s="238"/>
      <c r="S52" s="238"/>
      <c r="T52" s="238"/>
      <c r="U52" s="238"/>
      <c r="V52" s="238"/>
      <c r="W52" s="238" t="s">
        <v>3719</v>
      </c>
      <c r="X52" s="238"/>
      <c r="Y52" s="10" t="s">
        <v>3720</v>
      </c>
      <c r="Z52" s="10" t="s">
        <v>6087</v>
      </c>
      <c r="AA52" s="238" t="s">
        <v>3721</v>
      </c>
      <c r="AB52" s="238"/>
      <c r="AC52" s="238"/>
      <c r="AD52" s="238"/>
      <c r="AE52" s="238"/>
      <c r="AF52" s="10" t="s">
        <v>3722</v>
      </c>
      <c r="AG52" s="237" t="s">
        <v>3723</v>
      </c>
      <c r="AH52" s="237"/>
      <c r="AI52" s="237"/>
      <c r="AJ52" s="237"/>
      <c r="AK52" s="237"/>
      <c r="AL52" s="2"/>
      <c r="AM52" s="2"/>
      <c r="AN52" s="2"/>
      <c r="AO52" s="2"/>
      <c r="AP52" s="7"/>
    </row>
    <row r="53" spans="1:42" ht="13.5" thickBot="1">
      <c r="A53" s="6"/>
      <c r="B53" s="2"/>
      <c r="C53" s="2"/>
      <c r="D53" s="244" t="s">
        <v>273</v>
      </c>
      <c r="E53" s="244"/>
      <c r="F53" s="238" t="s">
        <v>3724</v>
      </c>
      <c r="G53" s="238"/>
      <c r="H53" s="238"/>
      <c r="I53" s="238"/>
      <c r="J53" s="10" t="s">
        <v>2880</v>
      </c>
      <c r="K53" s="238" t="s">
        <v>3725</v>
      </c>
      <c r="L53" s="238"/>
      <c r="M53" s="238"/>
      <c r="N53" s="238" t="s">
        <v>2726</v>
      </c>
      <c r="O53" s="238"/>
      <c r="P53" s="238"/>
      <c r="Q53" s="238" t="s">
        <v>3726</v>
      </c>
      <c r="R53" s="238"/>
      <c r="S53" s="238"/>
      <c r="T53" s="238"/>
      <c r="U53" s="238"/>
      <c r="V53" s="238"/>
      <c r="W53" s="238" t="s">
        <v>3727</v>
      </c>
      <c r="X53" s="238"/>
      <c r="Y53" s="10" t="s">
        <v>3728</v>
      </c>
      <c r="Z53" s="10" t="s">
        <v>5163</v>
      </c>
      <c r="AA53" s="238" t="s">
        <v>3729</v>
      </c>
      <c r="AB53" s="238"/>
      <c r="AC53" s="238"/>
      <c r="AD53" s="238"/>
      <c r="AE53" s="238"/>
      <c r="AF53" s="10" t="s">
        <v>3730</v>
      </c>
      <c r="AG53" s="237" t="s">
        <v>3731</v>
      </c>
      <c r="AH53" s="237"/>
      <c r="AI53" s="237"/>
      <c r="AJ53" s="237"/>
      <c r="AK53" s="237"/>
      <c r="AL53" s="2"/>
      <c r="AM53" s="2"/>
      <c r="AN53" s="2"/>
      <c r="AO53" s="2"/>
      <c r="AP53" s="7"/>
    </row>
    <row r="54" spans="1:42" ht="13.5" thickBot="1">
      <c r="A54" s="6"/>
      <c r="B54" s="2"/>
      <c r="C54" s="2"/>
      <c r="D54" s="244" t="s">
        <v>285</v>
      </c>
      <c r="E54" s="244"/>
      <c r="F54" s="238" t="s">
        <v>2725</v>
      </c>
      <c r="G54" s="238"/>
      <c r="H54" s="238"/>
      <c r="I54" s="238"/>
      <c r="J54" s="10" t="s">
        <v>6025</v>
      </c>
      <c r="K54" s="238" t="s">
        <v>3716</v>
      </c>
      <c r="L54" s="238"/>
      <c r="M54" s="238"/>
      <c r="N54" s="238" t="s">
        <v>3717</v>
      </c>
      <c r="O54" s="238"/>
      <c r="P54" s="238"/>
      <c r="Q54" s="238" t="s">
        <v>3718</v>
      </c>
      <c r="R54" s="238"/>
      <c r="S54" s="238"/>
      <c r="T54" s="238"/>
      <c r="U54" s="238"/>
      <c r="V54" s="238"/>
      <c r="W54" s="238" t="s">
        <v>3719</v>
      </c>
      <c r="X54" s="238"/>
      <c r="Y54" s="10" t="s">
        <v>3720</v>
      </c>
      <c r="Z54" s="10" t="s">
        <v>6087</v>
      </c>
      <c r="AA54" s="238" t="s">
        <v>3721</v>
      </c>
      <c r="AB54" s="238"/>
      <c r="AC54" s="238"/>
      <c r="AD54" s="238"/>
      <c r="AE54" s="238"/>
      <c r="AF54" s="10" t="s">
        <v>3722</v>
      </c>
      <c r="AG54" s="237" t="s">
        <v>3732</v>
      </c>
      <c r="AH54" s="237"/>
      <c r="AI54" s="237"/>
      <c r="AJ54" s="237"/>
      <c r="AK54" s="237"/>
      <c r="AL54" s="2"/>
      <c r="AM54" s="2"/>
      <c r="AN54" s="2"/>
      <c r="AO54" s="2"/>
      <c r="AP54" s="7"/>
    </row>
    <row r="55" spans="1:42" ht="13.5" thickBot="1">
      <c r="A55" s="6"/>
      <c r="B55" s="2"/>
      <c r="C55" s="2"/>
      <c r="D55" s="244" t="s">
        <v>295</v>
      </c>
      <c r="E55" s="244"/>
      <c r="F55" s="238" t="s">
        <v>6657</v>
      </c>
      <c r="G55" s="238"/>
      <c r="H55" s="238"/>
      <c r="I55" s="238"/>
      <c r="J55" s="10" t="s">
        <v>6011</v>
      </c>
      <c r="K55" s="238" t="s">
        <v>3733</v>
      </c>
      <c r="L55" s="238"/>
      <c r="M55" s="238"/>
      <c r="N55" s="238" t="s">
        <v>4341</v>
      </c>
      <c r="O55" s="238"/>
      <c r="P55" s="238"/>
      <c r="Q55" s="238" t="s">
        <v>3734</v>
      </c>
      <c r="R55" s="238"/>
      <c r="S55" s="238"/>
      <c r="T55" s="238"/>
      <c r="U55" s="238"/>
      <c r="V55" s="238"/>
      <c r="W55" s="238" t="s">
        <v>3735</v>
      </c>
      <c r="X55" s="238"/>
      <c r="Y55" s="10" t="s">
        <v>3736</v>
      </c>
      <c r="Z55" s="10" t="s">
        <v>2746</v>
      </c>
      <c r="AA55" s="238" t="s">
        <v>3737</v>
      </c>
      <c r="AB55" s="238"/>
      <c r="AC55" s="238"/>
      <c r="AD55" s="238"/>
      <c r="AE55" s="238"/>
      <c r="AF55" s="10" t="s">
        <v>3680</v>
      </c>
      <c r="AG55" s="237" t="s">
        <v>3738</v>
      </c>
      <c r="AH55" s="237"/>
      <c r="AI55" s="237"/>
      <c r="AJ55" s="237"/>
      <c r="AK55" s="237"/>
      <c r="AL55" s="2"/>
      <c r="AM55" s="2"/>
      <c r="AN55" s="2"/>
      <c r="AO55" s="2"/>
      <c r="AP55" s="7"/>
    </row>
    <row r="56" spans="1:42" ht="13.5" thickBot="1">
      <c r="A56" s="6"/>
      <c r="B56" s="2"/>
      <c r="C56" s="2"/>
      <c r="D56" s="244" t="s">
        <v>307</v>
      </c>
      <c r="E56" s="244"/>
      <c r="F56" s="238" t="s">
        <v>6343</v>
      </c>
      <c r="G56" s="238"/>
      <c r="H56" s="238"/>
      <c r="I56" s="238"/>
      <c r="J56" s="10" t="s">
        <v>6105</v>
      </c>
      <c r="K56" s="238" t="s">
        <v>3739</v>
      </c>
      <c r="L56" s="238"/>
      <c r="M56" s="238"/>
      <c r="N56" s="238" t="s">
        <v>3740</v>
      </c>
      <c r="O56" s="238"/>
      <c r="P56" s="238"/>
      <c r="Q56" s="238" t="s">
        <v>3741</v>
      </c>
      <c r="R56" s="238"/>
      <c r="S56" s="238"/>
      <c r="T56" s="238"/>
      <c r="U56" s="238"/>
      <c r="V56" s="238"/>
      <c r="W56" s="238" t="s">
        <v>3742</v>
      </c>
      <c r="X56" s="238"/>
      <c r="Y56" s="10" t="s">
        <v>3743</v>
      </c>
      <c r="Z56" s="10" t="s">
        <v>6087</v>
      </c>
      <c r="AA56" s="238" t="s">
        <v>3744</v>
      </c>
      <c r="AB56" s="238"/>
      <c r="AC56" s="238"/>
      <c r="AD56" s="238"/>
      <c r="AE56" s="238"/>
      <c r="AF56" s="10" t="s">
        <v>5249</v>
      </c>
      <c r="AG56" s="237" t="s">
        <v>3745</v>
      </c>
      <c r="AH56" s="237"/>
      <c r="AI56" s="237"/>
      <c r="AJ56" s="237"/>
      <c r="AK56" s="237"/>
      <c r="AL56" s="2"/>
      <c r="AM56" s="2"/>
      <c r="AN56" s="2"/>
      <c r="AO56" s="2"/>
      <c r="AP56" s="7"/>
    </row>
    <row r="57" spans="1:42" ht="13.5" thickBot="1">
      <c r="A57" s="6"/>
      <c r="B57" s="2"/>
      <c r="C57" s="2"/>
      <c r="D57" s="244" t="s">
        <v>319</v>
      </c>
      <c r="E57" s="244"/>
      <c r="F57" s="237" t="s">
        <v>6223</v>
      </c>
      <c r="G57" s="237"/>
      <c r="H57" s="237"/>
      <c r="I57" s="237"/>
      <c r="J57" s="11" t="s">
        <v>5529</v>
      </c>
      <c r="K57" s="237" t="s">
        <v>6646</v>
      </c>
      <c r="L57" s="237"/>
      <c r="M57" s="237"/>
      <c r="N57" s="237" t="s">
        <v>3746</v>
      </c>
      <c r="O57" s="237"/>
      <c r="P57" s="237"/>
      <c r="Q57" s="237" t="s">
        <v>3747</v>
      </c>
      <c r="R57" s="237"/>
      <c r="S57" s="237"/>
      <c r="T57" s="237"/>
      <c r="U57" s="237"/>
      <c r="V57" s="237"/>
      <c r="W57" s="237" t="s">
        <v>3748</v>
      </c>
      <c r="X57" s="237"/>
      <c r="Y57" s="11" t="s">
        <v>3749</v>
      </c>
      <c r="Z57" s="11" t="s">
        <v>6087</v>
      </c>
      <c r="AA57" s="237" t="s">
        <v>3750</v>
      </c>
      <c r="AB57" s="237"/>
      <c r="AC57" s="237"/>
      <c r="AD57" s="237"/>
      <c r="AE57" s="237"/>
      <c r="AF57" s="11" t="s">
        <v>3751</v>
      </c>
      <c r="AG57" s="237" t="s">
        <v>3752</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G17:H17"/>
    <mergeCell ref="I17:R17"/>
    <mergeCell ref="U17:AA17"/>
    <mergeCell ref="AB15:AC15"/>
    <mergeCell ref="AD15:AJ15"/>
    <mergeCell ref="AB16:AC16"/>
    <mergeCell ref="AD16:AJ16"/>
    <mergeCell ref="I16:R16"/>
    <mergeCell ref="U16:AA16"/>
    <mergeCell ref="D15:R15"/>
    <mergeCell ref="U15:AA15"/>
    <mergeCell ref="D18:K18"/>
    <mergeCell ref="M18:O18"/>
    <mergeCell ref="P18:R18"/>
    <mergeCell ref="U18:AA18"/>
    <mergeCell ref="U21:AA21"/>
    <mergeCell ref="P20:R20"/>
    <mergeCell ref="U20:AA20"/>
    <mergeCell ref="D19:K19"/>
    <mergeCell ref="M19:O19"/>
    <mergeCell ref="P19:R19"/>
    <mergeCell ref="U19:AA19"/>
    <mergeCell ref="D20:K20"/>
    <mergeCell ref="M20:O20"/>
    <mergeCell ref="D21:K21"/>
    <mergeCell ref="M21:O21"/>
    <mergeCell ref="AD18:AJ18"/>
    <mergeCell ref="AB19:AC19"/>
    <mergeCell ref="AD19:AJ19"/>
    <mergeCell ref="AB20:AC20"/>
    <mergeCell ref="AD20:AJ20"/>
    <mergeCell ref="AB18:AC18"/>
    <mergeCell ref="AB21:AC21"/>
    <mergeCell ref="AD21:AJ21"/>
    <mergeCell ref="P22:R23"/>
    <mergeCell ref="U22:AA22"/>
    <mergeCell ref="AB22:AC22"/>
    <mergeCell ref="AD22:AJ22"/>
    <mergeCell ref="U23:AA24"/>
    <mergeCell ref="AB23:AC24"/>
    <mergeCell ref="AD23:AJ24"/>
    <mergeCell ref="P21:R21"/>
    <mergeCell ref="AD29:AJ31"/>
    <mergeCell ref="D22:D23"/>
    <mergeCell ref="E22:K23"/>
    <mergeCell ref="L22:L23"/>
    <mergeCell ref="M22:O23"/>
    <mergeCell ref="P28:R29"/>
    <mergeCell ref="U25:AA26"/>
    <mergeCell ref="AB25:AC26"/>
    <mergeCell ref="M24:O25"/>
    <mergeCell ref="P24:R25"/>
    <mergeCell ref="U29:AA31"/>
    <mergeCell ref="AB29:AC31"/>
    <mergeCell ref="L24:L25"/>
    <mergeCell ref="D28:K29"/>
    <mergeCell ref="L28:L29"/>
    <mergeCell ref="M28:O29"/>
    <mergeCell ref="AD25:AJ26"/>
    <mergeCell ref="D26:K27"/>
    <mergeCell ref="L26:L27"/>
    <mergeCell ref="M26:O27"/>
    <mergeCell ref="P26:R27"/>
    <mergeCell ref="U27:AA28"/>
    <mergeCell ref="AB27:AC28"/>
    <mergeCell ref="AD27:AJ28"/>
    <mergeCell ref="D24:K25"/>
    <mergeCell ref="U39:AA39"/>
    <mergeCell ref="AB39:AC39"/>
    <mergeCell ref="AD39:AJ39"/>
    <mergeCell ref="AG51:AK51"/>
    <mergeCell ref="D35:Q37"/>
    <mergeCell ref="U36:AA36"/>
    <mergeCell ref="AB36:AC36"/>
    <mergeCell ref="AD36:AJ36"/>
    <mergeCell ref="U37:AA38"/>
    <mergeCell ref="AD44:AJ44"/>
    <mergeCell ref="AB37:AC38"/>
    <mergeCell ref="AD37:AJ38"/>
    <mergeCell ref="D38:Q47"/>
    <mergeCell ref="U33:AA35"/>
    <mergeCell ref="AD46:AJ46"/>
    <mergeCell ref="U32:AA32"/>
    <mergeCell ref="AB32:AC32"/>
    <mergeCell ref="AD32:AJ32"/>
    <mergeCell ref="AB33:AC35"/>
    <mergeCell ref="AD33:AJ35"/>
    <mergeCell ref="AD45:AJ45"/>
    <mergeCell ref="U42:AA42"/>
    <mergeCell ref="AB42:AC42"/>
    <mergeCell ref="AD42:AJ42"/>
    <mergeCell ref="U40:AA40"/>
    <mergeCell ref="U45:AA45"/>
    <mergeCell ref="AB45:AC45"/>
    <mergeCell ref="AD43:AJ43"/>
    <mergeCell ref="U46:AA46"/>
    <mergeCell ref="AB46:AC46"/>
    <mergeCell ref="U43:AA43"/>
    <mergeCell ref="AB43:AC43"/>
    <mergeCell ref="U44:AA44"/>
    <mergeCell ref="AB44:AC44"/>
    <mergeCell ref="AG50:AK50"/>
    <mergeCell ref="D50:E50"/>
    <mergeCell ref="F50:I50"/>
    <mergeCell ref="K50:M50"/>
    <mergeCell ref="N50:P50"/>
    <mergeCell ref="N51:P51"/>
    <mergeCell ref="Q50:V50"/>
    <mergeCell ref="W50:X50"/>
    <mergeCell ref="AA50:AE50"/>
    <mergeCell ref="Q51:V51"/>
    <mergeCell ref="W51:X51"/>
    <mergeCell ref="AA51:AE51"/>
    <mergeCell ref="D51:E51"/>
    <mergeCell ref="D48:N49"/>
    <mergeCell ref="V49:AI49"/>
    <mergeCell ref="AB40:AC40"/>
    <mergeCell ref="AD40:AJ40"/>
    <mergeCell ref="U41:AA41"/>
    <mergeCell ref="AB41:AC41"/>
    <mergeCell ref="AD41:AJ41"/>
    <mergeCell ref="F51:I51"/>
    <mergeCell ref="K51:M51"/>
    <mergeCell ref="AG53:AK53"/>
    <mergeCell ref="D53:E53"/>
    <mergeCell ref="AG52:AK52"/>
    <mergeCell ref="D52:E52"/>
    <mergeCell ref="F52:I52"/>
    <mergeCell ref="K52:M52"/>
    <mergeCell ref="N52:P52"/>
    <mergeCell ref="W52:X52"/>
    <mergeCell ref="AG54:AK54"/>
    <mergeCell ref="D54:E54"/>
    <mergeCell ref="F54:I54"/>
    <mergeCell ref="K54:M54"/>
    <mergeCell ref="N54:P54"/>
    <mergeCell ref="Q53:V53"/>
    <mergeCell ref="W53:X53"/>
    <mergeCell ref="AA53:AE53"/>
    <mergeCell ref="F53:I53"/>
    <mergeCell ref="K53:M53"/>
    <mergeCell ref="N53:P53"/>
    <mergeCell ref="Q52:V52"/>
    <mergeCell ref="Q54:V54"/>
    <mergeCell ref="W54:X54"/>
    <mergeCell ref="AA54:AE54"/>
    <mergeCell ref="AA52:AE52"/>
    <mergeCell ref="AG56:AK56"/>
    <mergeCell ref="Q55:V55"/>
    <mergeCell ref="W55:X55"/>
    <mergeCell ref="AA55:AE55"/>
    <mergeCell ref="AG55:AK55"/>
    <mergeCell ref="AG57:AK57"/>
    <mergeCell ref="W56:X56"/>
    <mergeCell ref="AA56:AE56"/>
    <mergeCell ref="Q56:V56"/>
    <mergeCell ref="D57:E57"/>
    <mergeCell ref="F55:I55"/>
    <mergeCell ref="K55:M55"/>
    <mergeCell ref="N55:P55"/>
    <mergeCell ref="D56:E56"/>
    <mergeCell ref="F56:I56"/>
    <mergeCell ref="K56:M56"/>
    <mergeCell ref="N56:P56"/>
    <mergeCell ref="D55:E55"/>
    <mergeCell ref="N57:P57"/>
    <mergeCell ref="D63:AI63"/>
    <mergeCell ref="D60:Q60"/>
    <mergeCell ref="T60:AH60"/>
    <mergeCell ref="D61:Q61"/>
    <mergeCell ref="T61:AH61"/>
    <mergeCell ref="Q57:V57"/>
    <mergeCell ref="W57:X57"/>
    <mergeCell ref="AA57:AE57"/>
    <mergeCell ref="F57:I57"/>
    <mergeCell ref="K57:M57"/>
  </mergeCells>
  <phoneticPr fontId="13" type="noConversion"/>
  <pageMargins left="0.75" right="0.75" top="1" bottom="1" header="0.5" footer="0.5"/>
  <headerFooter alignWithMargins="0"/>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indexed="8"/>
  </sheetPr>
  <dimension ref="A1:AU61"/>
  <sheetViews>
    <sheetView topLeftCell="E4"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3753</v>
      </c>
      <c r="E7" s="269"/>
      <c r="F7" s="269"/>
      <c r="G7" s="269"/>
      <c r="H7" s="269" t="s">
        <v>3754</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HEYSHAM-A1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3649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1500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1500</v>
      </c>
      <c r="N16" s="264"/>
      <c r="O16" s="264"/>
      <c r="P16" s="248" t="s">
        <v>186</v>
      </c>
      <c r="Q16" s="248"/>
      <c r="R16" s="248"/>
      <c r="S16" s="2"/>
      <c r="T16" s="2"/>
      <c r="U16" s="252" t="s">
        <v>187</v>
      </c>
      <c r="V16" s="252"/>
      <c r="W16" s="252"/>
      <c r="X16" s="252"/>
      <c r="Y16" s="252"/>
      <c r="Z16" s="252"/>
      <c r="AA16" s="252"/>
      <c r="AB16" s="247" t="s">
        <v>5709</v>
      </c>
      <c r="AC16" s="247"/>
      <c r="AD16" s="248" t="s">
        <v>3650</v>
      </c>
      <c r="AE16" s="248"/>
      <c r="AF16" s="248"/>
      <c r="AG16" s="248"/>
      <c r="AH16" s="248"/>
      <c r="AI16" s="2"/>
      <c r="AJ16" s="1"/>
      <c r="AK16" s="2"/>
      <c r="AL16" s="1"/>
      <c r="AM16" s="2"/>
      <c r="AN16" s="7"/>
      <c r="AT16" s="24" t="str">
        <f>D17 &amp; " [MWe]"</f>
        <v>Latest gross electrical power [MWe]</v>
      </c>
      <c r="AU16" s="24">
        <f>M17</f>
        <v>625</v>
      </c>
    </row>
    <row r="17" spans="1:47" ht="13.5" thickBot="1">
      <c r="A17" s="6"/>
      <c r="B17" s="1"/>
      <c r="C17" s="1"/>
      <c r="D17" s="248" t="s">
        <v>189</v>
      </c>
      <c r="E17" s="248"/>
      <c r="F17" s="248"/>
      <c r="G17" s="248"/>
      <c r="H17" s="248"/>
      <c r="I17" s="248"/>
      <c r="J17" s="248"/>
      <c r="K17" s="248"/>
      <c r="L17" s="8" t="s">
        <v>5709</v>
      </c>
      <c r="M17" s="264">
        <v>625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585</v>
      </c>
    </row>
    <row r="18" spans="1:47" ht="13.5" thickBot="1">
      <c r="A18" s="6"/>
      <c r="B18" s="1"/>
      <c r="C18" s="1"/>
      <c r="D18" s="248" t="s">
        <v>193</v>
      </c>
      <c r="E18" s="248"/>
      <c r="F18" s="248"/>
      <c r="G18" s="248"/>
      <c r="H18" s="248"/>
      <c r="I18" s="248"/>
      <c r="J18" s="248"/>
      <c r="K18" s="248"/>
      <c r="L18" s="8" t="s">
        <v>5709</v>
      </c>
      <c r="M18" s="264">
        <v>611</v>
      </c>
      <c r="N18" s="264"/>
      <c r="O18" s="264"/>
      <c r="P18" s="248" t="s">
        <v>190</v>
      </c>
      <c r="Q18" s="248"/>
      <c r="R18" s="248"/>
      <c r="S18" s="2"/>
      <c r="T18" s="2"/>
      <c r="U18" s="252" t="s">
        <v>194</v>
      </c>
      <c r="V18" s="252"/>
      <c r="W18" s="252"/>
      <c r="X18" s="252"/>
      <c r="Y18" s="252"/>
      <c r="Z18" s="252"/>
      <c r="AA18" s="252"/>
      <c r="AB18" s="247" t="s">
        <v>5709</v>
      </c>
      <c r="AC18" s="247"/>
      <c r="AD18" s="248" t="s">
        <v>6130</v>
      </c>
      <c r="AE18" s="248"/>
      <c r="AF18" s="248"/>
      <c r="AG18" s="248"/>
      <c r="AH18" s="248"/>
      <c r="AI18" s="2"/>
      <c r="AJ18" s="1"/>
      <c r="AK18" s="2"/>
      <c r="AL18" s="1"/>
      <c r="AM18" s="2"/>
      <c r="AN18" s="7"/>
      <c r="AT18" s="25" t="str">
        <f>D24</f>
        <v>Grid Date</v>
      </c>
      <c r="AU18" s="25">
        <f>M24</f>
        <v>30506</v>
      </c>
    </row>
    <row r="19" spans="1:47" ht="13.5" thickBot="1">
      <c r="A19" s="6"/>
      <c r="B19" s="1"/>
      <c r="C19" s="1"/>
      <c r="D19" s="248" t="s">
        <v>196</v>
      </c>
      <c r="E19" s="248"/>
      <c r="F19" s="248"/>
      <c r="G19" s="248"/>
      <c r="H19" s="248"/>
      <c r="I19" s="248"/>
      <c r="J19" s="248"/>
      <c r="K19" s="248"/>
      <c r="L19" s="8" t="s">
        <v>5709</v>
      </c>
      <c r="M19" s="264">
        <v>585</v>
      </c>
      <c r="N19" s="264"/>
      <c r="O19" s="264"/>
      <c r="P19" s="248" t="s">
        <v>190</v>
      </c>
      <c r="Q19" s="248"/>
      <c r="R19" s="248"/>
      <c r="S19" s="2"/>
      <c r="T19" s="2"/>
      <c r="U19" s="252" t="s">
        <v>197</v>
      </c>
      <c r="V19" s="252"/>
      <c r="W19" s="252"/>
      <c r="X19" s="252"/>
      <c r="Y19" s="252"/>
      <c r="Z19" s="252"/>
      <c r="AA19" s="252"/>
      <c r="AB19" s="247" t="s">
        <v>5709</v>
      </c>
      <c r="AC19" s="247"/>
      <c r="AD19" s="248" t="s">
        <v>3651</v>
      </c>
      <c r="AE19" s="248"/>
      <c r="AF19" s="248"/>
      <c r="AG19" s="248"/>
      <c r="AH19" s="248"/>
      <c r="AI19" s="2"/>
      <c r="AJ19" s="1"/>
      <c r="AK19" s="2"/>
      <c r="AL19" s="1"/>
      <c r="AM19" s="2"/>
      <c r="AN19" s="7"/>
      <c r="AT19" s="23" t="str">
        <f>U19</f>
        <v>Average discharge burnup  [MWd/t]</v>
      </c>
      <c r="AU19" s="23" t="str">
        <f>AD19</f>
        <v>24000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3755</v>
      </c>
      <c r="AE20" s="248"/>
      <c r="AF20" s="248"/>
      <c r="AG20" s="248"/>
      <c r="AH20" s="248"/>
      <c r="AI20" s="2"/>
      <c r="AJ20" s="1"/>
      <c r="AK20" s="2"/>
      <c r="AL20" s="1"/>
      <c r="AM20" s="2"/>
      <c r="AN20" s="7"/>
      <c r="AT20" s="23" t="str">
        <f>D55 &amp; Q48</f>
        <v>LF [%]2005</v>
      </c>
      <c r="AU20" s="23" t="str">
        <f>Q55</f>
        <v>80.07</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3653</v>
      </c>
      <c r="AE21" s="248"/>
      <c r="AF21" s="248"/>
      <c r="AG21" s="248"/>
      <c r="AH21" s="248"/>
      <c r="AI21" s="2"/>
      <c r="AJ21" s="1"/>
      <c r="AK21" s="2"/>
      <c r="AL21" s="1"/>
      <c r="AM21" s="2"/>
      <c r="AN21" s="7"/>
      <c r="AT21" s="23" t="str">
        <f>D55&amp;AE48</f>
        <v>LF [%]2010</v>
      </c>
      <c r="AU21" s="23" t="str">
        <f>AE55</f>
        <v>55.16</v>
      </c>
    </row>
    <row r="22" spans="1:47" ht="8.85" customHeight="1" thickBot="1">
      <c r="A22" s="6"/>
      <c r="B22" s="1"/>
      <c r="C22" s="1"/>
      <c r="D22" s="248" t="s">
        <v>205</v>
      </c>
      <c r="E22" s="248"/>
      <c r="F22" s="248"/>
      <c r="G22" s="248"/>
      <c r="H22" s="248"/>
      <c r="I22" s="248"/>
      <c r="J22" s="248"/>
      <c r="K22" s="248"/>
      <c r="L22" s="247" t="s">
        <v>5709</v>
      </c>
      <c r="M22" s="259">
        <v>25903</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3654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30506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3655</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3656</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6596</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3756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3658</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3757</v>
      </c>
      <c r="G49" s="238"/>
      <c r="H49" s="238"/>
      <c r="I49" s="238"/>
      <c r="J49" s="10" t="s">
        <v>3758</v>
      </c>
      <c r="K49" s="238" t="s">
        <v>3759</v>
      </c>
      <c r="L49" s="238"/>
      <c r="M49" s="238"/>
      <c r="N49" s="238" t="s">
        <v>3760</v>
      </c>
      <c r="O49" s="238"/>
      <c r="P49" s="238"/>
      <c r="Q49" s="238" t="s">
        <v>3761</v>
      </c>
      <c r="R49" s="238"/>
      <c r="S49" s="238"/>
      <c r="T49" s="238"/>
      <c r="U49" s="238"/>
      <c r="V49" s="238"/>
      <c r="W49" s="238" t="s">
        <v>3762</v>
      </c>
      <c r="X49" s="238"/>
      <c r="Y49" s="10" t="s">
        <v>3763</v>
      </c>
      <c r="Z49" s="10" t="s">
        <v>6087</v>
      </c>
      <c r="AA49" s="238" t="s">
        <v>3764</v>
      </c>
      <c r="AB49" s="238"/>
      <c r="AC49" s="238"/>
      <c r="AD49" s="238"/>
      <c r="AE49" s="10" t="s">
        <v>3765</v>
      </c>
      <c r="AF49" s="237" t="s">
        <v>3766</v>
      </c>
      <c r="AG49" s="237"/>
      <c r="AH49" s="237"/>
      <c r="AI49" s="237"/>
      <c r="AJ49" s="2"/>
      <c r="AK49" s="2"/>
      <c r="AL49" s="2"/>
      <c r="AM49" s="2"/>
      <c r="AN49" s="7"/>
    </row>
    <row r="50" spans="1:40" ht="13.5" thickBot="1">
      <c r="A50" s="6"/>
      <c r="B50" s="2"/>
      <c r="C50" s="2"/>
      <c r="D50" s="244" t="s">
        <v>261</v>
      </c>
      <c r="E50" s="244"/>
      <c r="F50" s="238" t="s">
        <v>3767</v>
      </c>
      <c r="G50" s="238"/>
      <c r="H50" s="238"/>
      <c r="I50" s="238"/>
      <c r="J50" s="10" t="s">
        <v>3768</v>
      </c>
      <c r="K50" s="238" t="s">
        <v>3769</v>
      </c>
      <c r="L50" s="238"/>
      <c r="M50" s="238"/>
      <c r="N50" s="238" t="s">
        <v>3770</v>
      </c>
      <c r="O50" s="238"/>
      <c r="P50" s="238"/>
      <c r="Q50" s="238" t="s">
        <v>3771</v>
      </c>
      <c r="R50" s="238"/>
      <c r="S50" s="238"/>
      <c r="T50" s="238"/>
      <c r="U50" s="238"/>
      <c r="V50" s="238"/>
      <c r="W50" s="238" t="s">
        <v>3772</v>
      </c>
      <c r="X50" s="238"/>
      <c r="Y50" s="10" t="s">
        <v>3773</v>
      </c>
      <c r="Z50" s="10" t="s">
        <v>6087</v>
      </c>
      <c r="AA50" s="238" t="s">
        <v>3774</v>
      </c>
      <c r="AB50" s="238"/>
      <c r="AC50" s="238"/>
      <c r="AD50" s="238"/>
      <c r="AE50" s="10" t="s">
        <v>3775</v>
      </c>
      <c r="AF50" s="237" t="s">
        <v>3776</v>
      </c>
      <c r="AG50" s="237"/>
      <c r="AH50" s="237"/>
      <c r="AI50" s="237"/>
      <c r="AJ50" s="2"/>
      <c r="AK50" s="2"/>
      <c r="AL50" s="2"/>
      <c r="AM50" s="2"/>
      <c r="AN50" s="7"/>
    </row>
    <row r="51" spans="1:40" ht="13.5" thickBot="1">
      <c r="A51" s="6"/>
      <c r="B51" s="2"/>
      <c r="C51" s="2"/>
      <c r="D51" s="244" t="s">
        <v>273</v>
      </c>
      <c r="E51" s="244"/>
      <c r="F51" s="238" t="s">
        <v>3726</v>
      </c>
      <c r="G51" s="238"/>
      <c r="H51" s="238"/>
      <c r="I51" s="238"/>
      <c r="J51" s="10" t="s">
        <v>3777</v>
      </c>
      <c r="K51" s="238" t="s">
        <v>3778</v>
      </c>
      <c r="L51" s="238"/>
      <c r="M51" s="238"/>
      <c r="N51" s="238" t="s">
        <v>3779</v>
      </c>
      <c r="O51" s="238"/>
      <c r="P51" s="238"/>
      <c r="Q51" s="238" t="s">
        <v>5662</v>
      </c>
      <c r="R51" s="238"/>
      <c r="S51" s="238"/>
      <c r="T51" s="238"/>
      <c r="U51" s="238"/>
      <c r="V51" s="238"/>
      <c r="W51" s="238" t="s">
        <v>2730</v>
      </c>
      <c r="X51" s="238"/>
      <c r="Y51" s="10" t="s">
        <v>3780</v>
      </c>
      <c r="Z51" s="10" t="s">
        <v>6980</v>
      </c>
      <c r="AA51" s="238" t="s">
        <v>3781</v>
      </c>
      <c r="AB51" s="238"/>
      <c r="AC51" s="238"/>
      <c r="AD51" s="238"/>
      <c r="AE51" s="10" t="s">
        <v>3782</v>
      </c>
      <c r="AF51" s="237" t="s">
        <v>3783</v>
      </c>
      <c r="AG51" s="237"/>
      <c r="AH51" s="237"/>
      <c r="AI51" s="237"/>
      <c r="AJ51" s="2"/>
      <c r="AK51" s="2"/>
      <c r="AL51" s="2"/>
      <c r="AM51" s="2"/>
      <c r="AN51" s="7"/>
    </row>
    <row r="52" spans="1:40" ht="13.5" thickBot="1">
      <c r="A52" s="6"/>
      <c r="B52" s="2"/>
      <c r="C52" s="2"/>
      <c r="D52" s="244" t="s">
        <v>285</v>
      </c>
      <c r="E52" s="244"/>
      <c r="F52" s="238" t="s">
        <v>3784</v>
      </c>
      <c r="G52" s="238"/>
      <c r="H52" s="238"/>
      <c r="I52" s="238"/>
      <c r="J52" s="10" t="s">
        <v>3785</v>
      </c>
      <c r="K52" s="238" t="s">
        <v>6615</v>
      </c>
      <c r="L52" s="238"/>
      <c r="M52" s="238"/>
      <c r="N52" s="238" t="s">
        <v>3786</v>
      </c>
      <c r="O52" s="238"/>
      <c r="P52" s="238"/>
      <c r="Q52" s="238" t="s">
        <v>3771</v>
      </c>
      <c r="R52" s="238"/>
      <c r="S52" s="238"/>
      <c r="T52" s="238"/>
      <c r="U52" s="238"/>
      <c r="V52" s="238"/>
      <c r="W52" s="238" t="s">
        <v>3772</v>
      </c>
      <c r="X52" s="238"/>
      <c r="Y52" s="10" t="s">
        <v>3773</v>
      </c>
      <c r="Z52" s="10" t="s">
        <v>6087</v>
      </c>
      <c r="AA52" s="238" t="s">
        <v>3774</v>
      </c>
      <c r="AB52" s="238"/>
      <c r="AC52" s="238"/>
      <c r="AD52" s="238"/>
      <c r="AE52" s="10" t="s">
        <v>3775</v>
      </c>
      <c r="AF52" s="237" t="s">
        <v>3787</v>
      </c>
      <c r="AG52" s="237"/>
      <c r="AH52" s="237"/>
      <c r="AI52" s="237"/>
      <c r="AJ52" s="2"/>
      <c r="AK52" s="2"/>
      <c r="AL52" s="2"/>
      <c r="AM52" s="2"/>
      <c r="AN52" s="7"/>
    </row>
    <row r="53" spans="1:40" ht="13.5" thickBot="1">
      <c r="A53" s="6"/>
      <c r="B53" s="2"/>
      <c r="C53" s="2"/>
      <c r="D53" s="244" t="s">
        <v>295</v>
      </c>
      <c r="E53" s="244"/>
      <c r="F53" s="238" t="s">
        <v>3788</v>
      </c>
      <c r="G53" s="238"/>
      <c r="H53" s="238"/>
      <c r="I53" s="238"/>
      <c r="J53" s="10" t="s">
        <v>3789</v>
      </c>
      <c r="K53" s="238" t="s">
        <v>3790</v>
      </c>
      <c r="L53" s="238"/>
      <c r="M53" s="238"/>
      <c r="N53" s="238" t="s">
        <v>3791</v>
      </c>
      <c r="O53" s="238"/>
      <c r="P53" s="238"/>
      <c r="Q53" s="238" t="s">
        <v>3181</v>
      </c>
      <c r="R53" s="238"/>
      <c r="S53" s="238"/>
      <c r="T53" s="238"/>
      <c r="U53" s="238"/>
      <c r="V53" s="238"/>
      <c r="W53" s="238" t="s">
        <v>3792</v>
      </c>
      <c r="X53" s="238"/>
      <c r="Y53" s="10" t="s">
        <v>3793</v>
      </c>
      <c r="Z53" s="10" t="s">
        <v>2746</v>
      </c>
      <c r="AA53" s="238" t="s">
        <v>3794</v>
      </c>
      <c r="AB53" s="238"/>
      <c r="AC53" s="238"/>
      <c r="AD53" s="238"/>
      <c r="AE53" s="10" t="s">
        <v>3619</v>
      </c>
      <c r="AF53" s="237" t="s">
        <v>3795</v>
      </c>
      <c r="AG53" s="237"/>
      <c r="AH53" s="237"/>
      <c r="AI53" s="237"/>
      <c r="AJ53" s="2"/>
      <c r="AK53" s="2"/>
      <c r="AL53" s="2"/>
      <c r="AM53" s="2"/>
      <c r="AN53" s="7"/>
    </row>
    <row r="54" spans="1:40" ht="13.5" thickBot="1">
      <c r="A54" s="6"/>
      <c r="B54" s="2"/>
      <c r="C54" s="2"/>
      <c r="D54" s="244" t="s">
        <v>307</v>
      </c>
      <c r="E54" s="244"/>
      <c r="F54" s="238" t="s">
        <v>3796</v>
      </c>
      <c r="G54" s="238"/>
      <c r="H54" s="238"/>
      <c r="I54" s="238"/>
      <c r="J54" s="10" t="s">
        <v>3797</v>
      </c>
      <c r="K54" s="238" t="s">
        <v>3798</v>
      </c>
      <c r="L54" s="238"/>
      <c r="M54" s="238"/>
      <c r="N54" s="238" t="s">
        <v>3799</v>
      </c>
      <c r="O54" s="238"/>
      <c r="P54" s="238"/>
      <c r="Q54" s="238" t="s">
        <v>4271</v>
      </c>
      <c r="R54" s="238"/>
      <c r="S54" s="238"/>
      <c r="T54" s="238"/>
      <c r="U54" s="238"/>
      <c r="V54" s="238"/>
      <c r="W54" s="238" t="s">
        <v>3558</v>
      </c>
      <c r="X54" s="238"/>
      <c r="Y54" s="10" t="s">
        <v>3800</v>
      </c>
      <c r="Z54" s="10" t="s">
        <v>6087</v>
      </c>
      <c r="AA54" s="238" t="s">
        <v>3596</v>
      </c>
      <c r="AB54" s="238"/>
      <c r="AC54" s="238"/>
      <c r="AD54" s="238"/>
      <c r="AE54" s="10" t="s">
        <v>3801</v>
      </c>
      <c r="AF54" s="237" t="s">
        <v>3802</v>
      </c>
      <c r="AG54" s="237"/>
      <c r="AH54" s="237"/>
      <c r="AI54" s="237"/>
      <c r="AJ54" s="2"/>
      <c r="AK54" s="2"/>
      <c r="AL54" s="2"/>
      <c r="AM54" s="2"/>
      <c r="AN54" s="7"/>
    </row>
    <row r="55" spans="1:40" ht="13.5" thickBot="1">
      <c r="A55" s="6"/>
      <c r="B55" s="2"/>
      <c r="C55" s="2"/>
      <c r="D55" s="244" t="s">
        <v>319</v>
      </c>
      <c r="E55" s="244"/>
      <c r="F55" s="237" t="s">
        <v>6765</v>
      </c>
      <c r="G55" s="237"/>
      <c r="H55" s="237"/>
      <c r="I55" s="237"/>
      <c r="J55" s="11" t="s">
        <v>6256</v>
      </c>
      <c r="K55" s="237" t="s">
        <v>3803</v>
      </c>
      <c r="L55" s="237"/>
      <c r="M55" s="237"/>
      <c r="N55" s="237" t="s">
        <v>3804</v>
      </c>
      <c r="O55" s="237"/>
      <c r="P55" s="237"/>
      <c r="Q55" s="237" t="s">
        <v>3805</v>
      </c>
      <c r="R55" s="237"/>
      <c r="S55" s="237"/>
      <c r="T55" s="237"/>
      <c r="U55" s="237"/>
      <c r="V55" s="237"/>
      <c r="W55" s="237" t="s">
        <v>6149</v>
      </c>
      <c r="X55" s="237"/>
      <c r="Y55" s="11" t="s">
        <v>3806</v>
      </c>
      <c r="Z55" s="11" t="s">
        <v>6087</v>
      </c>
      <c r="AA55" s="237" t="s">
        <v>3807</v>
      </c>
      <c r="AB55" s="237"/>
      <c r="AC55" s="237"/>
      <c r="AD55" s="237"/>
      <c r="AE55" s="11" t="s">
        <v>3808</v>
      </c>
      <c r="AF55" s="237" t="s">
        <v>3809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3810</v>
      </c>
      <c r="E7" s="269"/>
      <c r="F7" s="269"/>
      <c r="G7" s="269"/>
      <c r="H7" s="269" t="s">
        <v>3811</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HEYSHAM-A2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3649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1500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1500</v>
      </c>
      <c r="N16" s="264"/>
      <c r="O16" s="264"/>
      <c r="P16" s="248" t="s">
        <v>186</v>
      </c>
      <c r="Q16" s="248"/>
      <c r="R16" s="248"/>
      <c r="S16" s="2"/>
      <c r="T16" s="2"/>
      <c r="U16" s="252" t="s">
        <v>187</v>
      </c>
      <c r="V16" s="252"/>
      <c r="W16" s="252"/>
      <c r="X16" s="252"/>
      <c r="Y16" s="252"/>
      <c r="Z16" s="252"/>
      <c r="AA16" s="252"/>
      <c r="AB16" s="247" t="s">
        <v>5709</v>
      </c>
      <c r="AC16" s="247"/>
      <c r="AD16" s="248" t="s">
        <v>3650</v>
      </c>
      <c r="AE16" s="248"/>
      <c r="AF16" s="248"/>
      <c r="AG16" s="248"/>
      <c r="AH16" s="248"/>
      <c r="AI16" s="2"/>
      <c r="AJ16" s="1"/>
      <c r="AK16" s="2"/>
      <c r="AL16" s="1"/>
      <c r="AM16" s="2"/>
      <c r="AN16" s="7"/>
      <c r="AT16" s="24" t="str">
        <f>D17 &amp; " [MWe]"</f>
        <v>Latest gross electrical power [MWe]</v>
      </c>
      <c r="AU16" s="24">
        <f>M17</f>
        <v>625</v>
      </c>
    </row>
    <row r="17" spans="1:47" ht="13.5" thickBot="1">
      <c r="A17" s="6"/>
      <c r="B17" s="1"/>
      <c r="C17" s="1"/>
      <c r="D17" s="248" t="s">
        <v>189</v>
      </c>
      <c r="E17" s="248"/>
      <c r="F17" s="248"/>
      <c r="G17" s="248"/>
      <c r="H17" s="248"/>
      <c r="I17" s="248"/>
      <c r="J17" s="248"/>
      <c r="K17" s="248"/>
      <c r="L17" s="8" t="s">
        <v>5709</v>
      </c>
      <c r="M17" s="264">
        <v>625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575</v>
      </c>
    </row>
    <row r="18" spans="1:47" ht="13.5" thickBot="1">
      <c r="A18" s="6"/>
      <c r="B18" s="1"/>
      <c r="C18" s="1"/>
      <c r="D18" s="248" t="s">
        <v>193</v>
      </c>
      <c r="E18" s="248"/>
      <c r="F18" s="248"/>
      <c r="G18" s="248"/>
      <c r="H18" s="248"/>
      <c r="I18" s="248"/>
      <c r="J18" s="248"/>
      <c r="K18" s="248"/>
      <c r="L18" s="8" t="s">
        <v>5709</v>
      </c>
      <c r="M18" s="264">
        <v>611</v>
      </c>
      <c r="N18" s="264"/>
      <c r="O18" s="264"/>
      <c r="P18" s="248" t="s">
        <v>190</v>
      </c>
      <c r="Q18" s="248"/>
      <c r="R18" s="248"/>
      <c r="S18" s="2"/>
      <c r="T18" s="2"/>
      <c r="U18" s="252" t="s">
        <v>194</v>
      </c>
      <c r="V18" s="252"/>
      <c r="W18" s="252"/>
      <c r="X18" s="252"/>
      <c r="Y18" s="252"/>
      <c r="Z18" s="252"/>
      <c r="AA18" s="252"/>
      <c r="AB18" s="247" t="s">
        <v>5709</v>
      </c>
      <c r="AC18" s="247"/>
      <c r="AD18" s="248" t="s">
        <v>6130</v>
      </c>
      <c r="AE18" s="248"/>
      <c r="AF18" s="248"/>
      <c r="AG18" s="248"/>
      <c r="AH18" s="248"/>
      <c r="AI18" s="2"/>
      <c r="AJ18" s="1"/>
      <c r="AK18" s="2"/>
      <c r="AL18" s="1"/>
      <c r="AM18" s="2"/>
      <c r="AN18" s="7"/>
      <c r="AT18" s="25" t="str">
        <f>D24</f>
        <v>Grid Date</v>
      </c>
      <c r="AU18" s="25">
        <f>M24</f>
        <v>30966</v>
      </c>
    </row>
    <row r="19" spans="1:47" ht="13.5" thickBot="1">
      <c r="A19" s="6"/>
      <c r="B19" s="1"/>
      <c r="C19" s="1"/>
      <c r="D19" s="248" t="s">
        <v>196</v>
      </c>
      <c r="E19" s="248"/>
      <c r="F19" s="248"/>
      <c r="G19" s="248"/>
      <c r="H19" s="248"/>
      <c r="I19" s="248"/>
      <c r="J19" s="248"/>
      <c r="K19" s="248"/>
      <c r="L19" s="8" t="s">
        <v>5709</v>
      </c>
      <c r="M19" s="264">
        <v>575</v>
      </c>
      <c r="N19" s="264"/>
      <c r="O19" s="264"/>
      <c r="P19" s="248" t="s">
        <v>190</v>
      </c>
      <c r="Q19" s="248"/>
      <c r="R19" s="248"/>
      <c r="S19" s="2"/>
      <c r="T19" s="2"/>
      <c r="U19" s="252" t="s">
        <v>197</v>
      </c>
      <c r="V19" s="252"/>
      <c r="W19" s="252"/>
      <c r="X19" s="252"/>
      <c r="Y19" s="252"/>
      <c r="Z19" s="252"/>
      <c r="AA19" s="252"/>
      <c r="AB19" s="247" t="s">
        <v>5709</v>
      </c>
      <c r="AC19" s="247"/>
      <c r="AD19" s="248" t="s">
        <v>3651</v>
      </c>
      <c r="AE19" s="248"/>
      <c r="AF19" s="248"/>
      <c r="AG19" s="248"/>
      <c r="AH19" s="248"/>
      <c r="AI19" s="2"/>
      <c r="AJ19" s="1"/>
      <c r="AK19" s="2"/>
      <c r="AL19" s="1"/>
      <c r="AM19" s="2"/>
      <c r="AN19" s="7"/>
      <c r="AT19" s="23" t="str">
        <f>U19</f>
        <v>Average discharge burnup  [MWd/t]</v>
      </c>
      <c r="AU19" s="23" t="str">
        <f>AD19</f>
        <v>24000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3755</v>
      </c>
      <c r="AE20" s="248"/>
      <c r="AF20" s="248"/>
      <c r="AG20" s="248"/>
      <c r="AH20" s="248"/>
      <c r="AI20" s="2"/>
      <c r="AJ20" s="1"/>
      <c r="AK20" s="2"/>
      <c r="AL20" s="1"/>
      <c r="AM20" s="2"/>
      <c r="AN20" s="7"/>
      <c r="AT20" s="23" t="str">
        <f>D55 &amp; Q48</f>
        <v>LF [%]2005</v>
      </c>
      <c r="AU20" s="23" t="str">
        <f>Q55</f>
        <v>41.94</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3653</v>
      </c>
      <c r="AE21" s="248"/>
      <c r="AF21" s="248"/>
      <c r="AG21" s="248"/>
      <c r="AH21" s="248"/>
      <c r="AI21" s="2"/>
      <c r="AJ21" s="1"/>
      <c r="AK21" s="2"/>
      <c r="AL21" s="1"/>
      <c r="AM21" s="2"/>
      <c r="AN21" s="7"/>
      <c r="AT21" s="23" t="str">
        <f>D55&amp;AE48</f>
        <v>LF [%]2010</v>
      </c>
      <c r="AU21" s="23" t="str">
        <f>AE55</f>
        <v>48.08</v>
      </c>
    </row>
    <row r="22" spans="1:47" ht="8.85" customHeight="1" thickBot="1">
      <c r="A22" s="6"/>
      <c r="B22" s="1"/>
      <c r="C22" s="1"/>
      <c r="D22" s="248" t="s">
        <v>205</v>
      </c>
      <c r="E22" s="248"/>
      <c r="F22" s="248"/>
      <c r="G22" s="248"/>
      <c r="H22" s="248"/>
      <c r="I22" s="248"/>
      <c r="J22" s="248"/>
      <c r="K22" s="248"/>
      <c r="L22" s="247" t="s">
        <v>5709</v>
      </c>
      <c r="M22" s="259">
        <v>25903</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3654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30966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3655</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3656</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6596</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3756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3658</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3812</v>
      </c>
      <c r="G49" s="238"/>
      <c r="H49" s="238"/>
      <c r="I49" s="238"/>
      <c r="J49" s="10" t="s">
        <v>3813</v>
      </c>
      <c r="K49" s="238" t="s">
        <v>3814</v>
      </c>
      <c r="L49" s="238"/>
      <c r="M49" s="238"/>
      <c r="N49" s="238" t="s">
        <v>3815</v>
      </c>
      <c r="O49" s="238"/>
      <c r="P49" s="238"/>
      <c r="Q49" s="238" t="s">
        <v>3816</v>
      </c>
      <c r="R49" s="238"/>
      <c r="S49" s="238"/>
      <c r="T49" s="238"/>
      <c r="U49" s="238"/>
      <c r="V49" s="238"/>
      <c r="W49" s="238" t="s">
        <v>3817</v>
      </c>
      <c r="X49" s="238"/>
      <c r="Y49" s="10" t="s">
        <v>3818</v>
      </c>
      <c r="Z49" s="10" t="s">
        <v>6087</v>
      </c>
      <c r="AA49" s="238" t="s">
        <v>3819</v>
      </c>
      <c r="AB49" s="238"/>
      <c r="AC49" s="238"/>
      <c r="AD49" s="238"/>
      <c r="AE49" s="10" t="s">
        <v>3820</v>
      </c>
      <c r="AF49" s="237" t="s">
        <v>3821</v>
      </c>
      <c r="AG49" s="237"/>
      <c r="AH49" s="237"/>
      <c r="AI49" s="237"/>
      <c r="AJ49" s="2"/>
      <c r="AK49" s="2"/>
      <c r="AL49" s="2"/>
      <c r="AM49" s="2"/>
      <c r="AN49" s="7"/>
    </row>
    <row r="50" spans="1:40" ht="13.5" thickBot="1">
      <c r="A50" s="6"/>
      <c r="B50" s="2"/>
      <c r="C50" s="2"/>
      <c r="D50" s="244" t="s">
        <v>261</v>
      </c>
      <c r="E50" s="244"/>
      <c r="F50" s="238" t="s">
        <v>436</v>
      </c>
      <c r="G50" s="238"/>
      <c r="H50" s="238"/>
      <c r="I50" s="238"/>
      <c r="J50" s="10" t="s">
        <v>3822</v>
      </c>
      <c r="K50" s="238" t="s">
        <v>3823</v>
      </c>
      <c r="L50" s="238"/>
      <c r="M50" s="238"/>
      <c r="N50" s="238" t="s">
        <v>3824</v>
      </c>
      <c r="O50" s="238"/>
      <c r="P50" s="238"/>
      <c r="Q50" s="238" t="s">
        <v>3825</v>
      </c>
      <c r="R50" s="238"/>
      <c r="S50" s="238"/>
      <c r="T50" s="238"/>
      <c r="U50" s="238"/>
      <c r="V50" s="238"/>
      <c r="W50" s="238" t="s">
        <v>3826</v>
      </c>
      <c r="X50" s="238"/>
      <c r="Y50" s="10" t="s">
        <v>3827</v>
      </c>
      <c r="Z50" s="10" t="s">
        <v>375</v>
      </c>
      <c r="AA50" s="238" t="s">
        <v>3828</v>
      </c>
      <c r="AB50" s="238"/>
      <c r="AC50" s="238"/>
      <c r="AD50" s="238"/>
      <c r="AE50" s="10" t="s">
        <v>3829</v>
      </c>
      <c r="AF50" s="237" t="s">
        <v>3830</v>
      </c>
      <c r="AG50" s="237"/>
      <c r="AH50" s="237"/>
      <c r="AI50" s="237"/>
      <c r="AJ50" s="2"/>
      <c r="AK50" s="2"/>
      <c r="AL50" s="2"/>
      <c r="AM50" s="2"/>
      <c r="AN50" s="7"/>
    </row>
    <row r="51" spans="1:40" ht="13.5" thickBot="1">
      <c r="A51" s="6"/>
      <c r="B51" s="2"/>
      <c r="C51" s="2"/>
      <c r="D51" s="244" t="s">
        <v>273</v>
      </c>
      <c r="E51" s="244"/>
      <c r="F51" s="238" t="s">
        <v>3831</v>
      </c>
      <c r="G51" s="238"/>
      <c r="H51" s="238"/>
      <c r="I51" s="238"/>
      <c r="J51" s="10" t="s">
        <v>3832</v>
      </c>
      <c r="K51" s="238" t="s">
        <v>3833</v>
      </c>
      <c r="L51" s="238"/>
      <c r="M51" s="238"/>
      <c r="N51" s="238" t="s">
        <v>3834</v>
      </c>
      <c r="O51" s="238"/>
      <c r="P51" s="238"/>
      <c r="Q51" s="238" t="s">
        <v>3835</v>
      </c>
      <c r="R51" s="238"/>
      <c r="S51" s="238"/>
      <c r="T51" s="238"/>
      <c r="U51" s="238"/>
      <c r="V51" s="238"/>
      <c r="W51" s="238" t="s">
        <v>3836</v>
      </c>
      <c r="X51" s="238"/>
      <c r="Y51" s="10" t="s">
        <v>3837</v>
      </c>
      <c r="Z51" s="10" t="s">
        <v>3838</v>
      </c>
      <c r="AA51" s="238" t="s">
        <v>3839</v>
      </c>
      <c r="AB51" s="238"/>
      <c r="AC51" s="238"/>
      <c r="AD51" s="238"/>
      <c r="AE51" s="10" t="s">
        <v>6382</v>
      </c>
      <c r="AF51" s="237" t="s">
        <v>3840</v>
      </c>
      <c r="AG51" s="237"/>
      <c r="AH51" s="237"/>
      <c r="AI51" s="237"/>
      <c r="AJ51" s="2"/>
      <c r="AK51" s="2"/>
      <c r="AL51" s="2"/>
      <c r="AM51" s="2"/>
      <c r="AN51" s="7"/>
    </row>
    <row r="52" spans="1:40" ht="13.5" thickBot="1">
      <c r="A52" s="6"/>
      <c r="B52" s="2"/>
      <c r="C52" s="2"/>
      <c r="D52" s="244" t="s">
        <v>285</v>
      </c>
      <c r="E52" s="244"/>
      <c r="F52" s="238" t="s">
        <v>1849</v>
      </c>
      <c r="G52" s="238"/>
      <c r="H52" s="238"/>
      <c r="I52" s="238"/>
      <c r="J52" s="10" t="s">
        <v>3841</v>
      </c>
      <c r="K52" s="238" t="s">
        <v>3823</v>
      </c>
      <c r="L52" s="238"/>
      <c r="M52" s="238"/>
      <c r="N52" s="238" t="s">
        <v>3842</v>
      </c>
      <c r="O52" s="238"/>
      <c r="P52" s="238"/>
      <c r="Q52" s="238" t="s">
        <v>3825</v>
      </c>
      <c r="R52" s="238"/>
      <c r="S52" s="238"/>
      <c r="T52" s="238"/>
      <c r="U52" s="238"/>
      <c r="V52" s="238"/>
      <c r="W52" s="238" t="s">
        <v>3826</v>
      </c>
      <c r="X52" s="238"/>
      <c r="Y52" s="10" t="s">
        <v>3827</v>
      </c>
      <c r="Z52" s="10" t="s">
        <v>375</v>
      </c>
      <c r="AA52" s="238" t="s">
        <v>3828</v>
      </c>
      <c r="AB52" s="238"/>
      <c r="AC52" s="238"/>
      <c r="AD52" s="238"/>
      <c r="AE52" s="10" t="s">
        <v>3829</v>
      </c>
      <c r="AF52" s="237" t="s">
        <v>3843</v>
      </c>
      <c r="AG52" s="237"/>
      <c r="AH52" s="237"/>
      <c r="AI52" s="237"/>
      <c r="AJ52" s="2"/>
      <c r="AK52" s="2"/>
      <c r="AL52" s="2"/>
      <c r="AM52" s="2"/>
      <c r="AN52" s="7"/>
    </row>
    <row r="53" spans="1:40" ht="13.5" thickBot="1">
      <c r="A53" s="6"/>
      <c r="B53" s="2"/>
      <c r="C53" s="2"/>
      <c r="D53" s="244" t="s">
        <v>295</v>
      </c>
      <c r="E53" s="244"/>
      <c r="F53" s="238" t="s">
        <v>4841</v>
      </c>
      <c r="G53" s="238"/>
      <c r="H53" s="238"/>
      <c r="I53" s="238"/>
      <c r="J53" s="10" t="s">
        <v>3844</v>
      </c>
      <c r="K53" s="238" t="s">
        <v>3845</v>
      </c>
      <c r="L53" s="238"/>
      <c r="M53" s="238"/>
      <c r="N53" s="238" t="s">
        <v>3846</v>
      </c>
      <c r="O53" s="238"/>
      <c r="P53" s="238"/>
      <c r="Q53" s="238" t="s">
        <v>3847</v>
      </c>
      <c r="R53" s="238"/>
      <c r="S53" s="238"/>
      <c r="T53" s="238"/>
      <c r="U53" s="238"/>
      <c r="V53" s="238"/>
      <c r="W53" s="238" t="s">
        <v>3848</v>
      </c>
      <c r="X53" s="238"/>
      <c r="Y53" s="10" t="s">
        <v>3849</v>
      </c>
      <c r="Z53" s="10" t="s">
        <v>6087</v>
      </c>
      <c r="AA53" s="238" t="s">
        <v>3850</v>
      </c>
      <c r="AB53" s="238"/>
      <c r="AC53" s="238"/>
      <c r="AD53" s="238"/>
      <c r="AE53" s="10" t="s">
        <v>3851</v>
      </c>
      <c r="AF53" s="237" t="s">
        <v>3852</v>
      </c>
      <c r="AG53" s="237"/>
      <c r="AH53" s="237"/>
      <c r="AI53" s="237"/>
      <c r="AJ53" s="2"/>
      <c r="AK53" s="2"/>
      <c r="AL53" s="2"/>
      <c r="AM53" s="2"/>
      <c r="AN53" s="7"/>
    </row>
    <row r="54" spans="1:40" ht="13.5" thickBot="1">
      <c r="A54" s="6"/>
      <c r="B54" s="2"/>
      <c r="C54" s="2"/>
      <c r="D54" s="244" t="s">
        <v>307</v>
      </c>
      <c r="E54" s="244"/>
      <c r="F54" s="238" t="s">
        <v>3853</v>
      </c>
      <c r="G54" s="238"/>
      <c r="H54" s="238"/>
      <c r="I54" s="238"/>
      <c r="J54" s="10" t="s">
        <v>3854</v>
      </c>
      <c r="K54" s="238" t="s">
        <v>3855</v>
      </c>
      <c r="L54" s="238"/>
      <c r="M54" s="238"/>
      <c r="N54" s="238" t="s">
        <v>3856</v>
      </c>
      <c r="O54" s="238"/>
      <c r="P54" s="238"/>
      <c r="Q54" s="238" t="s">
        <v>3857</v>
      </c>
      <c r="R54" s="238"/>
      <c r="S54" s="238"/>
      <c r="T54" s="238"/>
      <c r="U54" s="238"/>
      <c r="V54" s="238"/>
      <c r="W54" s="238" t="s">
        <v>6173</v>
      </c>
      <c r="X54" s="238"/>
      <c r="Y54" s="10" t="s">
        <v>3858</v>
      </c>
      <c r="Z54" s="10" t="s">
        <v>6087</v>
      </c>
      <c r="AA54" s="238" t="s">
        <v>3859</v>
      </c>
      <c r="AB54" s="238"/>
      <c r="AC54" s="238"/>
      <c r="AD54" s="238"/>
      <c r="AE54" s="10" t="s">
        <v>3860</v>
      </c>
      <c r="AF54" s="237" t="s">
        <v>5318</v>
      </c>
      <c r="AG54" s="237"/>
      <c r="AH54" s="237"/>
      <c r="AI54" s="237"/>
      <c r="AJ54" s="2"/>
      <c r="AK54" s="2"/>
      <c r="AL54" s="2"/>
      <c r="AM54" s="2"/>
      <c r="AN54" s="7"/>
    </row>
    <row r="55" spans="1:40" ht="13.5" thickBot="1">
      <c r="A55" s="6"/>
      <c r="B55" s="2"/>
      <c r="C55" s="2"/>
      <c r="D55" s="244" t="s">
        <v>319</v>
      </c>
      <c r="E55" s="244"/>
      <c r="F55" s="237" t="s">
        <v>2796</v>
      </c>
      <c r="G55" s="237"/>
      <c r="H55" s="237"/>
      <c r="I55" s="237"/>
      <c r="J55" s="11" t="s">
        <v>3861</v>
      </c>
      <c r="K55" s="237" t="s">
        <v>7091</v>
      </c>
      <c r="L55" s="237"/>
      <c r="M55" s="237"/>
      <c r="N55" s="237" t="s">
        <v>3862</v>
      </c>
      <c r="O55" s="237"/>
      <c r="P55" s="237"/>
      <c r="Q55" s="237" t="s">
        <v>3863</v>
      </c>
      <c r="R55" s="237"/>
      <c r="S55" s="237"/>
      <c r="T55" s="237"/>
      <c r="U55" s="237"/>
      <c r="V55" s="237"/>
      <c r="W55" s="237" t="s">
        <v>7083</v>
      </c>
      <c r="X55" s="237"/>
      <c r="Y55" s="11" t="s">
        <v>3864</v>
      </c>
      <c r="Z55" s="11" t="s">
        <v>6087</v>
      </c>
      <c r="AA55" s="237" t="s">
        <v>3598</v>
      </c>
      <c r="AB55" s="237"/>
      <c r="AC55" s="237"/>
      <c r="AD55" s="237"/>
      <c r="AE55" s="11" t="s">
        <v>3829</v>
      </c>
      <c r="AF55" s="237" t="s">
        <v>3865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3866</v>
      </c>
      <c r="E7" s="269"/>
      <c r="F7" s="269"/>
      <c r="G7" s="269"/>
      <c r="H7" s="269" t="s">
        <v>3867</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HEYSHAM-B1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3649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3868</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1550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1550</v>
      </c>
      <c r="N16" s="264"/>
      <c r="O16" s="264"/>
      <c r="P16" s="248" t="s">
        <v>186</v>
      </c>
      <c r="Q16" s="248"/>
      <c r="R16" s="248"/>
      <c r="S16" s="2"/>
      <c r="T16" s="2"/>
      <c r="U16" s="252" t="s">
        <v>187</v>
      </c>
      <c r="V16" s="252"/>
      <c r="W16" s="252"/>
      <c r="X16" s="252"/>
      <c r="Y16" s="252"/>
      <c r="Z16" s="252"/>
      <c r="AA16" s="252"/>
      <c r="AB16" s="247" t="s">
        <v>5709</v>
      </c>
      <c r="AC16" s="247"/>
      <c r="AD16" s="248" t="s">
        <v>3869</v>
      </c>
      <c r="AE16" s="248"/>
      <c r="AF16" s="248"/>
      <c r="AG16" s="248"/>
      <c r="AH16" s="248"/>
      <c r="AI16" s="2"/>
      <c r="AJ16" s="1"/>
      <c r="AK16" s="2"/>
      <c r="AL16" s="1"/>
      <c r="AM16" s="2"/>
      <c r="AN16" s="7"/>
      <c r="AT16" s="24" t="str">
        <f>D17 &amp; " [MWe]"</f>
        <v>Latest gross electrical power [MWe]</v>
      </c>
      <c r="AU16" s="24">
        <f>M17</f>
        <v>680</v>
      </c>
    </row>
    <row r="17" spans="1:47" ht="13.5" thickBot="1">
      <c r="A17" s="6"/>
      <c r="B17" s="1"/>
      <c r="C17" s="1"/>
      <c r="D17" s="248" t="s">
        <v>189</v>
      </c>
      <c r="E17" s="248"/>
      <c r="F17" s="248"/>
      <c r="G17" s="248"/>
      <c r="H17" s="248"/>
      <c r="I17" s="248"/>
      <c r="J17" s="248"/>
      <c r="K17" s="248"/>
      <c r="L17" s="8" t="s">
        <v>5709</v>
      </c>
      <c r="M17" s="264">
        <v>680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620</v>
      </c>
    </row>
    <row r="18" spans="1:47" ht="13.5" thickBot="1">
      <c r="A18" s="6"/>
      <c r="B18" s="1"/>
      <c r="C18" s="1"/>
      <c r="D18" s="248" t="s">
        <v>193</v>
      </c>
      <c r="E18" s="248"/>
      <c r="F18" s="248"/>
      <c r="G18" s="248"/>
      <c r="H18" s="248"/>
      <c r="I18" s="248"/>
      <c r="J18" s="248"/>
      <c r="K18" s="248"/>
      <c r="L18" s="8" t="s">
        <v>5709</v>
      </c>
      <c r="M18" s="264">
        <v>615</v>
      </c>
      <c r="N18" s="264"/>
      <c r="O18" s="264"/>
      <c r="P18" s="248" t="s">
        <v>190</v>
      </c>
      <c r="Q18" s="248"/>
      <c r="R18" s="248"/>
      <c r="S18" s="2"/>
      <c r="T18" s="2"/>
      <c r="U18" s="252" t="s">
        <v>194</v>
      </c>
      <c r="V18" s="252"/>
      <c r="W18" s="252"/>
      <c r="X18" s="252"/>
      <c r="Y18" s="252"/>
      <c r="Z18" s="252"/>
      <c r="AA18" s="252"/>
      <c r="AB18" s="247" t="s">
        <v>5709</v>
      </c>
      <c r="AC18" s="247"/>
      <c r="AD18" s="248" t="s">
        <v>3542</v>
      </c>
      <c r="AE18" s="248"/>
      <c r="AF18" s="248"/>
      <c r="AG18" s="248"/>
      <c r="AH18" s="248"/>
      <c r="AI18" s="2"/>
      <c r="AJ18" s="1"/>
      <c r="AK18" s="2"/>
      <c r="AL18" s="1"/>
      <c r="AM18" s="2"/>
      <c r="AN18" s="7"/>
      <c r="AT18" s="25" t="str">
        <f>D24</f>
        <v>Grid Date</v>
      </c>
      <c r="AU18" s="25">
        <f>M24</f>
        <v>32336</v>
      </c>
    </row>
    <row r="19" spans="1:47" ht="13.5" thickBot="1">
      <c r="A19" s="6"/>
      <c r="B19" s="1"/>
      <c r="C19" s="1"/>
      <c r="D19" s="248" t="s">
        <v>196</v>
      </c>
      <c r="E19" s="248"/>
      <c r="F19" s="248"/>
      <c r="G19" s="248"/>
      <c r="H19" s="248"/>
      <c r="I19" s="248"/>
      <c r="J19" s="248"/>
      <c r="K19" s="248"/>
      <c r="L19" s="8" t="s">
        <v>5709</v>
      </c>
      <c r="M19" s="264">
        <v>620</v>
      </c>
      <c r="N19" s="264"/>
      <c r="O19" s="264"/>
      <c r="P19" s="248" t="s">
        <v>190</v>
      </c>
      <c r="Q19" s="248"/>
      <c r="R19" s="248"/>
      <c r="S19" s="2"/>
      <c r="T19" s="2"/>
      <c r="U19" s="252" t="s">
        <v>197</v>
      </c>
      <c r="V19" s="252"/>
      <c r="W19" s="252"/>
      <c r="X19" s="252"/>
      <c r="Y19" s="252"/>
      <c r="Z19" s="252"/>
      <c r="AA19" s="252"/>
      <c r="AB19" s="247" t="s">
        <v>5709</v>
      </c>
      <c r="AC19" s="247"/>
      <c r="AD19" s="248" t="s">
        <v>6124</v>
      </c>
      <c r="AE19" s="248"/>
      <c r="AF19" s="248"/>
      <c r="AG19" s="248"/>
      <c r="AH19" s="248"/>
      <c r="AI19" s="2"/>
      <c r="AJ19" s="1"/>
      <c r="AK19" s="2"/>
      <c r="AL19" s="1"/>
      <c r="AM19" s="2"/>
      <c r="AN19" s="7"/>
      <c r="AT19" s="23" t="str">
        <f>U19</f>
        <v>Average discharge burnup  [MWd/t]</v>
      </c>
      <c r="AU19" s="23" t="str">
        <f>AD19</f>
        <v>27000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3870</v>
      </c>
      <c r="AE20" s="248"/>
      <c r="AF20" s="248"/>
      <c r="AG20" s="248"/>
      <c r="AH20" s="248"/>
      <c r="AI20" s="2"/>
      <c r="AJ20" s="1"/>
      <c r="AK20" s="2"/>
      <c r="AL20" s="1"/>
      <c r="AM20" s="2"/>
      <c r="AN20" s="7"/>
      <c r="AT20" s="23" t="str">
        <f>D55 &amp; Q48</f>
        <v>LF [%]2005</v>
      </c>
      <c r="AU20" s="23" t="str">
        <f>Q55</f>
        <v>77.85</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3049</v>
      </c>
      <c r="AE21" s="248"/>
      <c r="AF21" s="248"/>
      <c r="AG21" s="248"/>
      <c r="AH21" s="248"/>
      <c r="AI21" s="2"/>
      <c r="AJ21" s="1"/>
      <c r="AK21" s="2"/>
      <c r="AL21" s="1"/>
      <c r="AM21" s="2"/>
      <c r="AN21" s="7"/>
      <c r="AT21" s="23" t="str">
        <f>D55&amp;AE48</f>
        <v>LF [%]2010</v>
      </c>
      <c r="AU21" s="23" t="str">
        <f>AE55</f>
        <v>92.06</v>
      </c>
    </row>
    <row r="22" spans="1:47" ht="8.85" customHeight="1" thickBot="1">
      <c r="A22" s="6"/>
      <c r="B22" s="1"/>
      <c r="C22" s="1"/>
      <c r="D22" s="248" t="s">
        <v>205</v>
      </c>
      <c r="E22" s="248"/>
      <c r="F22" s="248"/>
      <c r="G22" s="248"/>
      <c r="H22" s="248"/>
      <c r="I22" s="248"/>
      <c r="J22" s="248"/>
      <c r="K22" s="248"/>
      <c r="L22" s="247" t="s">
        <v>5709</v>
      </c>
      <c r="M22" s="259">
        <v>29434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3654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32336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3871</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3656</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362</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3872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3873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3874</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3875</v>
      </c>
      <c r="G49" s="238"/>
      <c r="H49" s="238"/>
      <c r="I49" s="238"/>
      <c r="J49" s="10" t="s">
        <v>3876</v>
      </c>
      <c r="K49" s="238" t="s">
        <v>3877</v>
      </c>
      <c r="L49" s="238"/>
      <c r="M49" s="238"/>
      <c r="N49" s="238" t="s">
        <v>3878</v>
      </c>
      <c r="O49" s="238"/>
      <c r="P49" s="238"/>
      <c r="Q49" s="238" t="s">
        <v>3879</v>
      </c>
      <c r="R49" s="238"/>
      <c r="S49" s="238"/>
      <c r="T49" s="238"/>
      <c r="U49" s="238"/>
      <c r="V49" s="238"/>
      <c r="W49" s="238" t="s">
        <v>3880</v>
      </c>
      <c r="X49" s="238"/>
      <c r="Y49" s="10" t="s">
        <v>3881</v>
      </c>
      <c r="Z49" s="10" t="s">
        <v>3882</v>
      </c>
      <c r="AA49" s="238" t="s">
        <v>3883</v>
      </c>
      <c r="AB49" s="238"/>
      <c r="AC49" s="238"/>
      <c r="AD49" s="238"/>
      <c r="AE49" s="10" t="s">
        <v>3884</v>
      </c>
      <c r="AF49" s="237" t="s">
        <v>3885</v>
      </c>
      <c r="AG49" s="237"/>
      <c r="AH49" s="237"/>
      <c r="AI49" s="237"/>
      <c r="AJ49" s="2"/>
      <c r="AK49" s="2"/>
      <c r="AL49" s="2"/>
      <c r="AM49" s="2"/>
      <c r="AN49" s="7"/>
    </row>
    <row r="50" spans="1:40" ht="13.5" thickBot="1">
      <c r="A50" s="6"/>
      <c r="B50" s="2"/>
      <c r="C50" s="2"/>
      <c r="D50" s="244" t="s">
        <v>261</v>
      </c>
      <c r="E50" s="244"/>
      <c r="F50" s="238" t="s">
        <v>4163</v>
      </c>
      <c r="G50" s="238"/>
      <c r="H50" s="238"/>
      <c r="I50" s="238"/>
      <c r="J50" s="10" t="s">
        <v>2693</v>
      </c>
      <c r="K50" s="238" t="s">
        <v>4786</v>
      </c>
      <c r="L50" s="238"/>
      <c r="M50" s="238"/>
      <c r="N50" s="238" t="s">
        <v>3886</v>
      </c>
      <c r="O50" s="238"/>
      <c r="P50" s="238"/>
      <c r="Q50" s="238" t="s">
        <v>3356</v>
      </c>
      <c r="R50" s="238"/>
      <c r="S50" s="238"/>
      <c r="T50" s="238"/>
      <c r="U50" s="238"/>
      <c r="V50" s="238"/>
      <c r="W50" s="238" t="s">
        <v>1896</v>
      </c>
      <c r="X50" s="238"/>
      <c r="Y50" s="10" t="s">
        <v>3887</v>
      </c>
      <c r="Z50" s="10" t="s">
        <v>3888</v>
      </c>
      <c r="AA50" s="238" t="s">
        <v>6199</v>
      </c>
      <c r="AB50" s="238"/>
      <c r="AC50" s="238"/>
      <c r="AD50" s="238"/>
      <c r="AE50" s="10" t="s">
        <v>5531</v>
      </c>
      <c r="AF50" s="237" t="s">
        <v>3889</v>
      </c>
      <c r="AG50" s="237"/>
      <c r="AH50" s="237"/>
      <c r="AI50" s="237"/>
      <c r="AJ50" s="2"/>
      <c r="AK50" s="2"/>
      <c r="AL50" s="2"/>
      <c r="AM50" s="2"/>
      <c r="AN50" s="7"/>
    </row>
    <row r="51" spans="1:40" ht="13.5" thickBot="1">
      <c r="A51" s="6"/>
      <c r="B51" s="2"/>
      <c r="C51" s="2"/>
      <c r="D51" s="244" t="s">
        <v>273</v>
      </c>
      <c r="E51" s="244"/>
      <c r="F51" s="238" t="s">
        <v>202</v>
      </c>
      <c r="G51" s="238"/>
      <c r="H51" s="238"/>
      <c r="I51" s="238"/>
      <c r="J51" s="10" t="s">
        <v>3890</v>
      </c>
      <c r="K51" s="238" t="s">
        <v>6984</v>
      </c>
      <c r="L51" s="238"/>
      <c r="M51" s="238"/>
      <c r="N51" s="238" t="s">
        <v>5270</v>
      </c>
      <c r="O51" s="238"/>
      <c r="P51" s="238"/>
      <c r="Q51" s="238" t="s">
        <v>3891</v>
      </c>
      <c r="R51" s="238"/>
      <c r="S51" s="238"/>
      <c r="T51" s="238"/>
      <c r="U51" s="238"/>
      <c r="V51" s="238"/>
      <c r="W51" s="238" t="s">
        <v>3892</v>
      </c>
      <c r="X51" s="238"/>
      <c r="Y51" s="10" t="s">
        <v>4395</v>
      </c>
      <c r="Z51" s="10" t="s">
        <v>3893</v>
      </c>
      <c r="AA51" s="238" t="s">
        <v>3894</v>
      </c>
      <c r="AB51" s="238"/>
      <c r="AC51" s="238"/>
      <c r="AD51" s="238"/>
      <c r="AE51" s="10" t="s">
        <v>3895</v>
      </c>
      <c r="AF51" s="237" t="s">
        <v>3896</v>
      </c>
      <c r="AG51" s="237"/>
      <c r="AH51" s="237"/>
      <c r="AI51" s="237"/>
      <c r="AJ51" s="2"/>
      <c r="AK51" s="2"/>
      <c r="AL51" s="2"/>
      <c r="AM51" s="2"/>
      <c r="AN51" s="7"/>
    </row>
    <row r="52" spans="1:40" ht="13.5" thickBot="1">
      <c r="A52" s="6"/>
      <c r="B52" s="2"/>
      <c r="C52" s="2"/>
      <c r="D52" s="244" t="s">
        <v>285</v>
      </c>
      <c r="E52" s="244"/>
      <c r="F52" s="238" t="s">
        <v>4224</v>
      </c>
      <c r="G52" s="238"/>
      <c r="H52" s="238"/>
      <c r="I52" s="238"/>
      <c r="J52" s="10" t="s">
        <v>2693</v>
      </c>
      <c r="K52" s="238" t="s">
        <v>3897</v>
      </c>
      <c r="L52" s="238"/>
      <c r="M52" s="238"/>
      <c r="N52" s="238" t="s">
        <v>6243</v>
      </c>
      <c r="O52" s="238"/>
      <c r="P52" s="238"/>
      <c r="Q52" s="238" t="s">
        <v>3356</v>
      </c>
      <c r="R52" s="238"/>
      <c r="S52" s="238"/>
      <c r="T52" s="238"/>
      <c r="U52" s="238"/>
      <c r="V52" s="238"/>
      <c r="W52" s="238" t="s">
        <v>1896</v>
      </c>
      <c r="X52" s="238"/>
      <c r="Y52" s="10" t="s">
        <v>3887</v>
      </c>
      <c r="Z52" s="10" t="s">
        <v>3888</v>
      </c>
      <c r="AA52" s="238" t="s">
        <v>1979</v>
      </c>
      <c r="AB52" s="238"/>
      <c r="AC52" s="238"/>
      <c r="AD52" s="238"/>
      <c r="AE52" s="10" t="s">
        <v>2896</v>
      </c>
      <c r="AF52" s="237" t="s">
        <v>3898</v>
      </c>
      <c r="AG52" s="237"/>
      <c r="AH52" s="237"/>
      <c r="AI52" s="237"/>
      <c r="AJ52" s="2"/>
      <c r="AK52" s="2"/>
      <c r="AL52" s="2"/>
      <c r="AM52" s="2"/>
      <c r="AN52" s="7"/>
    </row>
    <row r="53" spans="1:40" ht="13.5" thickBot="1">
      <c r="A53" s="6"/>
      <c r="B53" s="2"/>
      <c r="C53" s="2"/>
      <c r="D53" s="244" t="s">
        <v>295</v>
      </c>
      <c r="E53" s="244"/>
      <c r="F53" s="238" t="s">
        <v>3482</v>
      </c>
      <c r="G53" s="238"/>
      <c r="H53" s="238"/>
      <c r="I53" s="238"/>
      <c r="J53" s="10" t="s">
        <v>280</v>
      </c>
      <c r="K53" s="238" t="s">
        <v>448</v>
      </c>
      <c r="L53" s="238"/>
      <c r="M53" s="238"/>
      <c r="N53" s="238" t="s">
        <v>3899</v>
      </c>
      <c r="O53" s="238"/>
      <c r="P53" s="238"/>
      <c r="Q53" s="238" t="s">
        <v>3900</v>
      </c>
      <c r="R53" s="238"/>
      <c r="S53" s="238"/>
      <c r="T53" s="238"/>
      <c r="U53" s="238"/>
      <c r="V53" s="238"/>
      <c r="W53" s="238" t="s">
        <v>1959</v>
      </c>
      <c r="X53" s="238"/>
      <c r="Y53" s="10" t="s">
        <v>3901</v>
      </c>
      <c r="Z53" s="10" t="s">
        <v>3902</v>
      </c>
      <c r="AA53" s="238" t="s">
        <v>282</v>
      </c>
      <c r="AB53" s="238"/>
      <c r="AC53" s="238"/>
      <c r="AD53" s="238"/>
      <c r="AE53" s="10" t="s">
        <v>1844</v>
      </c>
      <c r="AF53" s="237" t="s">
        <v>3892</v>
      </c>
      <c r="AG53" s="237"/>
      <c r="AH53" s="237"/>
      <c r="AI53" s="237"/>
      <c r="AJ53" s="2"/>
      <c r="AK53" s="2"/>
      <c r="AL53" s="2"/>
      <c r="AM53" s="2"/>
      <c r="AN53" s="7"/>
    </row>
    <row r="54" spans="1:40" ht="13.5" thickBot="1">
      <c r="A54" s="6"/>
      <c r="B54" s="2"/>
      <c r="C54" s="2"/>
      <c r="D54" s="244" t="s">
        <v>307</v>
      </c>
      <c r="E54" s="244"/>
      <c r="F54" s="238" t="s">
        <v>2694</v>
      </c>
      <c r="G54" s="238"/>
      <c r="H54" s="238"/>
      <c r="I54" s="238"/>
      <c r="J54" s="10" t="s">
        <v>5602</v>
      </c>
      <c r="K54" s="238" t="s">
        <v>3903</v>
      </c>
      <c r="L54" s="238"/>
      <c r="M54" s="238"/>
      <c r="N54" s="238" t="s">
        <v>2810</v>
      </c>
      <c r="O54" s="238"/>
      <c r="P54" s="238"/>
      <c r="Q54" s="238" t="s">
        <v>5050</v>
      </c>
      <c r="R54" s="238"/>
      <c r="S54" s="238"/>
      <c r="T54" s="238"/>
      <c r="U54" s="238"/>
      <c r="V54" s="238"/>
      <c r="W54" s="238" t="s">
        <v>4846</v>
      </c>
      <c r="X54" s="238"/>
      <c r="Y54" s="10" t="s">
        <v>3396</v>
      </c>
      <c r="Z54" s="10" t="s">
        <v>3904</v>
      </c>
      <c r="AA54" s="238" t="s">
        <v>2910</v>
      </c>
      <c r="AB54" s="238"/>
      <c r="AC54" s="238"/>
      <c r="AD54" s="238"/>
      <c r="AE54" s="10" t="s">
        <v>6147</v>
      </c>
      <c r="AF54" s="237" t="s">
        <v>6914</v>
      </c>
      <c r="AG54" s="237"/>
      <c r="AH54" s="237"/>
      <c r="AI54" s="237"/>
      <c r="AJ54" s="2"/>
      <c r="AK54" s="2"/>
      <c r="AL54" s="2"/>
      <c r="AM54" s="2"/>
      <c r="AN54" s="7"/>
    </row>
    <row r="55" spans="1:40" ht="13.5" thickBot="1">
      <c r="A55" s="6"/>
      <c r="B55" s="2"/>
      <c r="C55" s="2"/>
      <c r="D55" s="244" t="s">
        <v>319</v>
      </c>
      <c r="E55" s="244"/>
      <c r="F55" s="237" t="s">
        <v>3905</v>
      </c>
      <c r="G55" s="237"/>
      <c r="H55" s="237"/>
      <c r="I55" s="237"/>
      <c r="J55" s="11" t="s">
        <v>3906</v>
      </c>
      <c r="K55" s="237" t="s">
        <v>3897</v>
      </c>
      <c r="L55" s="237"/>
      <c r="M55" s="237"/>
      <c r="N55" s="237" t="s">
        <v>5391</v>
      </c>
      <c r="O55" s="237"/>
      <c r="P55" s="237"/>
      <c r="Q55" s="237" t="s">
        <v>3907</v>
      </c>
      <c r="R55" s="237"/>
      <c r="S55" s="237"/>
      <c r="T55" s="237"/>
      <c r="U55" s="237"/>
      <c r="V55" s="237"/>
      <c r="W55" s="237" t="s">
        <v>3908</v>
      </c>
      <c r="X55" s="237"/>
      <c r="Y55" s="11" t="s">
        <v>3909</v>
      </c>
      <c r="Z55" s="11" t="s">
        <v>5318</v>
      </c>
      <c r="AA55" s="237" t="s">
        <v>6825</v>
      </c>
      <c r="AB55" s="237"/>
      <c r="AC55" s="237"/>
      <c r="AD55" s="237"/>
      <c r="AE55" s="11" t="s">
        <v>3910</v>
      </c>
      <c r="AF55" s="237" t="s">
        <v>3911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tabColor indexed="8"/>
  </sheetPr>
  <dimension ref="A1:AU61"/>
  <sheetViews>
    <sheetView topLeftCell="E1" workbookViewId="0">
      <selection activeCell="AT44" sqref="AT44"/>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3912</v>
      </c>
      <c r="E7" s="269"/>
      <c r="F7" s="269"/>
      <c r="G7" s="269"/>
      <c r="H7" s="269" t="s">
        <v>3913</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HEYSHAM-B2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3649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3868</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1550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1550</v>
      </c>
      <c r="N16" s="264"/>
      <c r="O16" s="264"/>
      <c r="P16" s="248" t="s">
        <v>186</v>
      </c>
      <c r="Q16" s="248"/>
      <c r="R16" s="248"/>
      <c r="S16" s="2"/>
      <c r="T16" s="2"/>
      <c r="U16" s="252" t="s">
        <v>187</v>
      </c>
      <c r="V16" s="252"/>
      <c r="W16" s="252"/>
      <c r="X16" s="252"/>
      <c r="Y16" s="252"/>
      <c r="Z16" s="252"/>
      <c r="AA16" s="252"/>
      <c r="AB16" s="247" t="s">
        <v>5709</v>
      </c>
      <c r="AC16" s="247"/>
      <c r="AD16" s="248" t="s">
        <v>3869</v>
      </c>
      <c r="AE16" s="248"/>
      <c r="AF16" s="248"/>
      <c r="AG16" s="248"/>
      <c r="AH16" s="248"/>
      <c r="AI16" s="2"/>
      <c r="AJ16" s="1"/>
      <c r="AK16" s="2"/>
      <c r="AL16" s="1"/>
      <c r="AM16" s="2"/>
      <c r="AN16" s="7"/>
      <c r="AT16" s="24" t="str">
        <f>D17 &amp; " [MWe]"</f>
        <v>Latest gross electrical power [MWe]</v>
      </c>
      <c r="AU16" s="24">
        <f>M17</f>
        <v>680</v>
      </c>
    </row>
    <row r="17" spans="1:47" ht="13.5" thickBot="1">
      <c r="A17" s="6"/>
      <c r="B17" s="1"/>
      <c r="C17" s="1"/>
      <c r="D17" s="248" t="s">
        <v>189</v>
      </c>
      <c r="E17" s="248"/>
      <c r="F17" s="248"/>
      <c r="G17" s="248"/>
      <c r="H17" s="248"/>
      <c r="I17" s="248"/>
      <c r="J17" s="248"/>
      <c r="K17" s="248"/>
      <c r="L17" s="8" t="s">
        <v>5709</v>
      </c>
      <c r="M17" s="264">
        <v>680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620</v>
      </c>
    </row>
    <row r="18" spans="1:47" ht="13.5" thickBot="1">
      <c r="A18" s="6"/>
      <c r="B18" s="1"/>
      <c r="C18" s="1"/>
      <c r="D18" s="248" t="s">
        <v>193</v>
      </c>
      <c r="E18" s="248"/>
      <c r="F18" s="248"/>
      <c r="G18" s="248"/>
      <c r="H18" s="248"/>
      <c r="I18" s="248"/>
      <c r="J18" s="248"/>
      <c r="K18" s="248"/>
      <c r="L18" s="8" t="s">
        <v>5709</v>
      </c>
      <c r="M18" s="264">
        <v>615</v>
      </c>
      <c r="N18" s="264"/>
      <c r="O18" s="264"/>
      <c r="P18" s="248" t="s">
        <v>190</v>
      </c>
      <c r="Q18" s="248"/>
      <c r="R18" s="248"/>
      <c r="S18" s="2"/>
      <c r="T18" s="2"/>
      <c r="U18" s="252" t="s">
        <v>194</v>
      </c>
      <c r="V18" s="252"/>
      <c r="W18" s="252"/>
      <c r="X18" s="252"/>
      <c r="Y18" s="252"/>
      <c r="Z18" s="252"/>
      <c r="AA18" s="252"/>
      <c r="AB18" s="247" t="s">
        <v>5709</v>
      </c>
      <c r="AC18" s="247"/>
      <c r="AD18" s="248" t="s">
        <v>3542</v>
      </c>
      <c r="AE18" s="248"/>
      <c r="AF18" s="248"/>
      <c r="AG18" s="248"/>
      <c r="AH18" s="248"/>
      <c r="AI18" s="2"/>
      <c r="AJ18" s="1"/>
      <c r="AK18" s="2"/>
      <c r="AL18" s="1"/>
      <c r="AM18" s="2"/>
      <c r="AN18" s="7"/>
      <c r="AT18" s="25" t="str">
        <f>D24</f>
        <v>Grid Date</v>
      </c>
      <c r="AU18" s="25">
        <f>M24</f>
        <v>32458</v>
      </c>
    </row>
    <row r="19" spans="1:47" ht="13.5" thickBot="1">
      <c r="A19" s="6"/>
      <c r="B19" s="1"/>
      <c r="C19" s="1"/>
      <c r="D19" s="248" t="s">
        <v>196</v>
      </c>
      <c r="E19" s="248"/>
      <c r="F19" s="248"/>
      <c r="G19" s="248"/>
      <c r="H19" s="248"/>
      <c r="I19" s="248"/>
      <c r="J19" s="248"/>
      <c r="K19" s="248"/>
      <c r="L19" s="8" t="s">
        <v>5709</v>
      </c>
      <c r="M19" s="264">
        <v>620</v>
      </c>
      <c r="N19" s="264"/>
      <c r="O19" s="264"/>
      <c r="P19" s="248" t="s">
        <v>190</v>
      </c>
      <c r="Q19" s="248"/>
      <c r="R19" s="248"/>
      <c r="S19" s="2"/>
      <c r="T19" s="2"/>
      <c r="U19" s="252" t="s">
        <v>197</v>
      </c>
      <c r="V19" s="252"/>
      <c r="W19" s="252"/>
      <c r="X19" s="252"/>
      <c r="Y19" s="252"/>
      <c r="Z19" s="252"/>
      <c r="AA19" s="252"/>
      <c r="AB19" s="247" t="s">
        <v>5709</v>
      </c>
      <c r="AC19" s="247"/>
      <c r="AD19" s="248" t="s">
        <v>6124</v>
      </c>
      <c r="AE19" s="248"/>
      <c r="AF19" s="248"/>
      <c r="AG19" s="248"/>
      <c r="AH19" s="248"/>
      <c r="AI19" s="2"/>
      <c r="AJ19" s="1"/>
      <c r="AK19" s="2"/>
      <c r="AL19" s="1"/>
      <c r="AM19" s="2"/>
      <c r="AN19" s="7"/>
      <c r="AT19" s="23" t="str">
        <f>U19</f>
        <v>Average discharge burnup  [MWd/t]</v>
      </c>
      <c r="AU19" s="23" t="str">
        <f>AD19</f>
        <v>27000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3870</v>
      </c>
      <c r="AE20" s="248"/>
      <c r="AF20" s="248"/>
      <c r="AG20" s="248"/>
      <c r="AH20" s="248"/>
      <c r="AI20" s="2"/>
      <c r="AJ20" s="1"/>
      <c r="AK20" s="2"/>
      <c r="AL20" s="1"/>
      <c r="AM20" s="2"/>
      <c r="AN20" s="7"/>
      <c r="AT20" s="23" t="str">
        <f>D55 &amp; Q48</f>
        <v>LF [%]2005</v>
      </c>
      <c r="AU20" s="23" t="str">
        <f>Q55</f>
        <v>92.36</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3049</v>
      </c>
      <c r="AE21" s="248"/>
      <c r="AF21" s="248"/>
      <c r="AG21" s="248"/>
      <c r="AH21" s="248"/>
      <c r="AI21" s="2"/>
      <c r="AJ21" s="1"/>
      <c r="AK21" s="2"/>
      <c r="AL21" s="1"/>
      <c r="AM21" s="2"/>
      <c r="AN21" s="7"/>
      <c r="AT21" s="23" t="str">
        <f>D55&amp;AE48</f>
        <v>LF [%]2010</v>
      </c>
      <c r="AU21" s="23" t="str">
        <f>AE55</f>
        <v>26.47</v>
      </c>
    </row>
    <row r="22" spans="1:47" ht="8.85" customHeight="1" thickBot="1">
      <c r="A22" s="6"/>
      <c r="B22" s="1"/>
      <c r="C22" s="1"/>
      <c r="D22" s="248" t="s">
        <v>205</v>
      </c>
      <c r="E22" s="248"/>
      <c r="F22" s="248"/>
      <c r="G22" s="248"/>
      <c r="H22" s="248"/>
      <c r="I22" s="248"/>
      <c r="J22" s="248"/>
      <c r="K22" s="248"/>
      <c r="L22" s="247" t="s">
        <v>5709</v>
      </c>
      <c r="M22" s="259">
        <v>29434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3654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32458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3871</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3656</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362</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3872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3873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3914</v>
      </c>
      <c r="G49" s="238"/>
      <c r="H49" s="238"/>
      <c r="I49" s="238"/>
      <c r="J49" s="10" t="s">
        <v>3915</v>
      </c>
      <c r="K49" s="238" t="s">
        <v>3916</v>
      </c>
      <c r="L49" s="238"/>
      <c r="M49" s="238"/>
      <c r="N49" s="238" t="s">
        <v>3917</v>
      </c>
      <c r="O49" s="238"/>
      <c r="P49" s="238"/>
      <c r="Q49" s="238" t="s">
        <v>3918</v>
      </c>
      <c r="R49" s="238"/>
      <c r="S49" s="238"/>
      <c r="T49" s="238"/>
      <c r="U49" s="238"/>
      <c r="V49" s="238"/>
      <c r="W49" s="238" t="s">
        <v>3919</v>
      </c>
      <c r="X49" s="238"/>
      <c r="Y49" s="10" t="s">
        <v>3920</v>
      </c>
      <c r="Z49" s="10" t="s">
        <v>3921</v>
      </c>
      <c r="AA49" s="238" t="s">
        <v>3922</v>
      </c>
      <c r="AB49" s="238"/>
      <c r="AC49" s="238"/>
      <c r="AD49" s="238"/>
      <c r="AE49" s="10" t="s">
        <v>3923</v>
      </c>
      <c r="AF49" s="237" t="s">
        <v>3924</v>
      </c>
      <c r="AG49" s="237"/>
      <c r="AH49" s="237"/>
      <c r="AI49" s="237"/>
      <c r="AJ49" s="2"/>
      <c r="AK49" s="2"/>
      <c r="AL49" s="2"/>
      <c r="AM49" s="2"/>
      <c r="AN49" s="7"/>
    </row>
    <row r="50" spans="1:40" ht="13.5" thickBot="1">
      <c r="A50" s="6"/>
      <c r="B50" s="2"/>
      <c r="C50" s="2"/>
      <c r="D50" s="244" t="s">
        <v>261</v>
      </c>
      <c r="E50" s="244"/>
      <c r="F50" s="238" t="s">
        <v>1849</v>
      </c>
      <c r="G50" s="238"/>
      <c r="H50" s="238"/>
      <c r="I50" s="238"/>
      <c r="J50" s="10" t="s">
        <v>3925</v>
      </c>
      <c r="K50" s="238" t="s">
        <v>3926</v>
      </c>
      <c r="L50" s="238"/>
      <c r="M50" s="238"/>
      <c r="N50" s="238" t="s">
        <v>3927</v>
      </c>
      <c r="O50" s="238"/>
      <c r="P50" s="238"/>
      <c r="Q50" s="238" t="s">
        <v>2971</v>
      </c>
      <c r="R50" s="238"/>
      <c r="S50" s="238"/>
      <c r="T50" s="238"/>
      <c r="U50" s="238"/>
      <c r="V50" s="238"/>
      <c r="W50" s="238" t="s">
        <v>4328</v>
      </c>
      <c r="X50" s="238"/>
      <c r="Y50" s="10" t="s">
        <v>3928</v>
      </c>
      <c r="Z50" s="10" t="s">
        <v>3457</v>
      </c>
      <c r="AA50" s="238" t="s">
        <v>3929</v>
      </c>
      <c r="AB50" s="238"/>
      <c r="AC50" s="238"/>
      <c r="AD50" s="238"/>
      <c r="AE50" s="10" t="s">
        <v>3930</v>
      </c>
      <c r="AF50" s="237" t="s">
        <v>6614</v>
      </c>
      <c r="AG50" s="237"/>
      <c r="AH50" s="237"/>
      <c r="AI50" s="237"/>
      <c r="AJ50" s="2"/>
      <c r="AK50" s="2"/>
      <c r="AL50" s="2"/>
      <c r="AM50" s="2"/>
      <c r="AN50" s="7"/>
    </row>
    <row r="51" spans="1:40" ht="13.5" thickBot="1">
      <c r="A51" s="6"/>
      <c r="B51" s="2"/>
      <c r="C51" s="2"/>
      <c r="D51" s="244" t="s">
        <v>273</v>
      </c>
      <c r="E51" s="244"/>
      <c r="F51" s="238" t="s">
        <v>4341</v>
      </c>
      <c r="G51" s="238"/>
      <c r="H51" s="238"/>
      <c r="I51" s="238"/>
      <c r="J51" s="10" t="s">
        <v>3175</v>
      </c>
      <c r="K51" s="238" t="s">
        <v>6849</v>
      </c>
      <c r="L51" s="238"/>
      <c r="M51" s="238"/>
      <c r="N51" s="238" t="s">
        <v>3931</v>
      </c>
      <c r="O51" s="238"/>
      <c r="P51" s="238"/>
      <c r="Q51" s="238" t="s">
        <v>3178</v>
      </c>
      <c r="R51" s="238"/>
      <c r="S51" s="238"/>
      <c r="T51" s="238"/>
      <c r="U51" s="238"/>
      <c r="V51" s="238"/>
      <c r="W51" s="238" t="s">
        <v>6383</v>
      </c>
      <c r="X51" s="238"/>
      <c r="Y51" s="10" t="s">
        <v>5106</v>
      </c>
      <c r="Z51" s="10" t="s">
        <v>5107</v>
      </c>
      <c r="AA51" s="238" t="s">
        <v>3117</v>
      </c>
      <c r="AB51" s="238"/>
      <c r="AC51" s="238"/>
      <c r="AD51" s="238"/>
      <c r="AE51" s="10" t="s">
        <v>3932</v>
      </c>
      <c r="AF51" s="237" t="s">
        <v>3933</v>
      </c>
      <c r="AG51" s="237"/>
      <c r="AH51" s="237"/>
      <c r="AI51" s="237"/>
      <c r="AJ51" s="2"/>
      <c r="AK51" s="2"/>
      <c r="AL51" s="2"/>
      <c r="AM51" s="2"/>
      <c r="AN51" s="7"/>
    </row>
    <row r="52" spans="1:40" ht="13.5" thickBot="1">
      <c r="A52" s="6"/>
      <c r="B52" s="2"/>
      <c r="C52" s="2"/>
      <c r="D52" s="244" t="s">
        <v>285</v>
      </c>
      <c r="E52" s="244"/>
      <c r="F52" s="238" t="s">
        <v>3416</v>
      </c>
      <c r="G52" s="238"/>
      <c r="H52" s="238"/>
      <c r="I52" s="238"/>
      <c r="J52" s="10" t="s">
        <v>3925</v>
      </c>
      <c r="K52" s="238" t="s">
        <v>3934</v>
      </c>
      <c r="L52" s="238"/>
      <c r="M52" s="238"/>
      <c r="N52" s="238" t="s">
        <v>3927</v>
      </c>
      <c r="O52" s="238"/>
      <c r="P52" s="238"/>
      <c r="Q52" s="238" t="s">
        <v>2971</v>
      </c>
      <c r="R52" s="238"/>
      <c r="S52" s="238"/>
      <c r="T52" s="238"/>
      <c r="U52" s="238"/>
      <c r="V52" s="238"/>
      <c r="W52" s="238" t="s">
        <v>4328</v>
      </c>
      <c r="X52" s="238"/>
      <c r="Y52" s="10" t="s">
        <v>3928</v>
      </c>
      <c r="Z52" s="10" t="s">
        <v>6777</v>
      </c>
      <c r="AA52" s="238" t="s">
        <v>3935</v>
      </c>
      <c r="AB52" s="238"/>
      <c r="AC52" s="238"/>
      <c r="AD52" s="238"/>
      <c r="AE52" s="10" t="s">
        <v>3930</v>
      </c>
      <c r="AF52" s="237" t="s">
        <v>3936</v>
      </c>
      <c r="AG52" s="237"/>
      <c r="AH52" s="237"/>
      <c r="AI52" s="237"/>
      <c r="AJ52" s="2"/>
      <c r="AK52" s="2"/>
      <c r="AL52" s="2"/>
      <c r="AM52" s="2"/>
      <c r="AN52" s="7"/>
    </row>
    <row r="53" spans="1:40" ht="13.5" thickBot="1">
      <c r="A53" s="6"/>
      <c r="B53" s="2"/>
      <c r="C53" s="2"/>
      <c r="D53" s="244" t="s">
        <v>295</v>
      </c>
      <c r="E53" s="244"/>
      <c r="F53" s="238" t="s">
        <v>2676</v>
      </c>
      <c r="G53" s="238"/>
      <c r="H53" s="238"/>
      <c r="I53" s="238"/>
      <c r="J53" s="10" t="s">
        <v>3212</v>
      </c>
      <c r="K53" s="238" t="s">
        <v>3937</v>
      </c>
      <c r="L53" s="238"/>
      <c r="M53" s="238"/>
      <c r="N53" s="238" t="s">
        <v>3938</v>
      </c>
      <c r="O53" s="238"/>
      <c r="P53" s="238"/>
      <c r="Q53" s="238" t="s">
        <v>5367</v>
      </c>
      <c r="R53" s="238"/>
      <c r="S53" s="238"/>
      <c r="T53" s="238"/>
      <c r="U53" s="238"/>
      <c r="V53" s="238"/>
      <c r="W53" s="238" t="s">
        <v>3939</v>
      </c>
      <c r="X53" s="238"/>
      <c r="Y53" s="10" t="s">
        <v>4342</v>
      </c>
      <c r="Z53" s="10" t="s">
        <v>6442</v>
      </c>
      <c r="AA53" s="238" t="s">
        <v>3940</v>
      </c>
      <c r="AB53" s="238"/>
      <c r="AC53" s="238"/>
      <c r="AD53" s="238"/>
      <c r="AE53" s="10" t="s">
        <v>3941</v>
      </c>
      <c r="AF53" s="237" t="s">
        <v>3942</v>
      </c>
      <c r="AG53" s="237"/>
      <c r="AH53" s="237"/>
      <c r="AI53" s="237"/>
      <c r="AJ53" s="2"/>
      <c r="AK53" s="2"/>
      <c r="AL53" s="2"/>
      <c r="AM53" s="2"/>
      <c r="AN53" s="7"/>
    </row>
    <row r="54" spans="1:40" ht="13.5" thickBot="1">
      <c r="A54" s="6"/>
      <c r="B54" s="2"/>
      <c r="C54" s="2"/>
      <c r="D54" s="244" t="s">
        <v>307</v>
      </c>
      <c r="E54" s="244"/>
      <c r="F54" s="238" t="s">
        <v>3943</v>
      </c>
      <c r="G54" s="238"/>
      <c r="H54" s="238"/>
      <c r="I54" s="238"/>
      <c r="J54" s="10" t="s">
        <v>3944</v>
      </c>
      <c r="K54" s="238" t="s">
        <v>6883</v>
      </c>
      <c r="L54" s="238"/>
      <c r="M54" s="238"/>
      <c r="N54" s="238" t="s">
        <v>3945</v>
      </c>
      <c r="O54" s="238"/>
      <c r="P54" s="238"/>
      <c r="Q54" s="238" t="s">
        <v>3946</v>
      </c>
      <c r="R54" s="238"/>
      <c r="S54" s="238"/>
      <c r="T54" s="238"/>
      <c r="U54" s="238"/>
      <c r="V54" s="238"/>
      <c r="W54" s="238" t="s">
        <v>2857</v>
      </c>
      <c r="X54" s="238"/>
      <c r="Y54" s="10" t="s">
        <v>6650</v>
      </c>
      <c r="Z54" s="10" t="s">
        <v>3101</v>
      </c>
      <c r="AA54" s="238" t="s">
        <v>1833</v>
      </c>
      <c r="AB54" s="238"/>
      <c r="AC54" s="238"/>
      <c r="AD54" s="238"/>
      <c r="AE54" s="10" t="s">
        <v>3947</v>
      </c>
      <c r="AF54" s="237" t="s">
        <v>7116</v>
      </c>
      <c r="AG54" s="237"/>
      <c r="AH54" s="237"/>
      <c r="AI54" s="237"/>
      <c r="AJ54" s="2"/>
      <c r="AK54" s="2"/>
      <c r="AL54" s="2"/>
      <c r="AM54" s="2"/>
      <c r="AN54" s="7"/>
    </row>
    <row r="55" spans="1:40" ht="13.5" thickBot="1">
      <c r="A55" s="6"/>
      <c r="B55" s="2"/>
      <c r="C55" s="2"/>
      <c r="D55" s="244" t="s">
        <v>319</v>
      </c>
      <c r="E55" s="244"/>
      <c r="F55" s="237" t="s">
        <v>3948</v>
      </c>
      <c r="G55" s="237"/>
      <c r="H55" s="237"/>
      <c r="I55" s="237"/>
      <c r="J55" s="11" t="s">
        <v>1838</v>
      </c>
      <c r="K55" s="237" t="s">
        <v>6242</v>
      </c>
      <c r="L55" s="237"/>
      <c r="M55" s="237"/>
      <c r="N55" s="237" t="s">
        <v>6253</v>
      </c>
      <c r="O55" s="237"/>
      <c r="P55" s="237"/>
      <c r="Q55" s="237" t="s">
        <v>3949</v>
      </c>
      <c r="R55" s="237"/>
      <c r="S55" s="237"/>
      <c r="T55" s="237"/>
      <c r="U55" s="237"/>
      <c r="V55" s="237"/>
      <c r="W55" s="237" t="s">
        <v>3358</v>
      </c>
      <c r="X55" s="237"/>
      <c r="Y55" s="11" t="s">
        <v>5331</v>
      </c>
      <c r="Z55" s="11" t="s">
        <v>4837</v>
      </c>
      <c r="AA55" s="237" t="s">
        <v>3950</v>
      </c>
      <c r="AB55" s="237"/>
      <c r="AC55" s="237"/>
      <c r="AD55" s="237"/>
      <c r="AE55" s="11" t="s">
        <v>3951</v>
      </c>
      <c r="AF55" s="237" t="s">
        <v>3952</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8"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3953</v>
      </c>
      <c r="E7" s="269"/>
      <c r="F7" s="269"/>
      <c r="G7" s="269"/>
      <c r="H7" s="269" t="s">
        <v>3954</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HINKLEY POINT-B1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3955</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1494</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1494</v>
      </c>
      <c r="N16" s="264"/>
      <c r="O16" s="264"/>
      <c r="P16" s="248" t="s">
        <v>186</v>
      </c>
      <c r="Q16" s="248"/>
      <c r="R16" s="248"/>
      <c r="S16" s="2"/>
      <c r="T16" s="2"/>
      <c r="U16" s="252" t="s">
        <v>187</v>
      </c>
      <c r="V16" s="252"/>
      <c r="W16" s="252"/>
      <c r="X16" s="252"/>
      <c r="Y16" s="252"/>
      <c r="Z16" s="252"/>
      <c r="AA16" s="252"/>
      <c r="AB16" s="247" t="s">
        <v>5709</v>
      </c>
      <c r="AC16" s="247"/>
      <c r="AD16" s="248" t="s">
        <v>3956</v>
      </c>
      <c r="AE16" s="248"/>
      <c r="AF16" s="248"/>
      <c r="AG16" s="248"/>
      <c r="AH16" s="248"/>
      <c r="AI16" s="2"/>
      <c r="AJ16" s="1"/>
      <c r="AK16" s="2"/>
      <c r="AL16" s="1"/>
      <c r="AM16" s="2"/>
      <c r="AN16" s="7"/>
      <c r="AT16" s="24" t="str">
        <f>D17 &amp; " [MWe]"</f>
        <v>Latest gross electrical power [MWe]</v>
      </c>
      <c r="AU16" s="24">
        <f>M17</f>
        <v>655</v>
      </c>
    </row>
    <row r="17" spans="1:47" ht="13.5" thickBot="1">
      <c r="A17" s="6"/>
      <c r="B17" s="1"/>
      <c r="C17" s="1"/>
      <c r="D17" s="248" t="s">
        <v>189</v>
      </c>
      <c r="E17" s="248"/>
      <c r="F17" s="248"/>
      <c r="G17" s="248"/>
      <c r="H17" s="248"/>
      <c r="I17" s="248"/>
      <c r="J17" s="248"/>
      <c r="K17" s="248"/>
      <c r="L17" s="8" t="s">
        <v>5709</v>
      </c>
      <c r="M17" s="264">
        <v>655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410</v>
      </c>
    </row>
    <row r="18" spans="1:47" ht="13.5" thickBot="1">
      <c r="A18" s="6"/>
      <c r="B18" s="1"/>
      <c r="C18" s="1"/>
      <c r="D18" s="248" t="s">
        <v>193</v>
      </c>
      <c r="E18" s="248"/>
      <c r="F18" s="248"/>
      <c r="G18" s="248"/>
      <c r="H18" s="248"/>
      <c r="I18" s="248"/>
      <c r="J18" s="248"/>
      <c r="K18" s="248"/>
      <c r="L18" s="8" t="s">
        <v>5709</v>
      </c>
      <c r="M18" s="264">
        <v>625</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28063</v>
      </c>
    </row>
    <row r="19" spans="1:47" ht="13.5" thickBot="1">
      <c r="A19" s="6"/>
      <c r="B19" s="1"/>
      <c r="C19" s="1"/>
      <c r="D19" s="248" t="s">
        <v>196</v>
      </c>
      <c r="E19" s="248"/>
      <c r="F19" s="248"/>
      <c r="G19" s="248"/>
      <c r="H19" s="248"/>
      <c r="I19" s="248"/>
      <c r="J19" s="248"/>
      <c r="K19" s="248"/>
      <c r="L19" s="8" t="s">
        <v>5709</v>
      </c>
      <c r="M19" s="264">
        <v>410</v>
      </c>
      <c r="N19" s="264"/>
      <c r="O19" s="264"/>
      <c r="P19" s="248" t="s">
        <v>190</v>
      </c>
      <c r="Q19" s="248"/>
      <c r="R19" s="248"/>
      <c r="S19" s="2"/>
      <c r="T19" s="2"/>
      <c r="U19" s="252" t="s">
        <v>197</v>
      </c>
      <c r="V19" s="252"/>
      <c r="W19" s="252"/>
      <c r="X19" s="252"/>
      <c r="Y19" s="252"/>
      <c r="Z19" s="252"/>
      <c r="AA19" s="252"/>
      <c r="AB19" s="247" t="s">
        <v>5709</v>
      </c>
      <c r="AC19" s="247"/>
      <c r="AD19" s="248" t="s">
        <v>6124</v>
      </c>
      <c r="AE19" s="248"/>
      <c r="AF19" s="248"/>
      <c r="AG19" s="248"/>
      <c r="AH19" s="248"/>
      <c r="AI19" s="2"/>
      <c r="AJ19" s="1"/>
      <c r="AK19" s="2"/>
      <c r="AL19" s="1"/>
      <c r="AM19" s="2"/>
      <c r="AN19" s="7"/>
      <c r="AT19" s="23" t="str">
        <f>U19</f>
        <v>Average discharge burnup  [MWd/t]</v>
      </c>
      <c r="AU19" s="23" t="str">
        <f>AD19</f>
        <v>27000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1959</v>
      </c>
      <c r="AE20" s="248"/>
      <c r="AF20" s="248"/>
      <c r="AG20" s="248"/>
      <c r="AH20" s="248"/>
      <c r="AI20" s="2"/>
      <c r="AJ20" s="1"/>
      <c r="AK20" s="2"/>
      <c r="AL20" s="1"/>
      <c r="AM20" s="2"/>
      <c r="AN20" s="7"/>
      <c r="AT20" s="23" t="str">
        <f>D55 &amp; Q48</f>
        <v>LF [%]2005</v>
      </c>
      <c r="AU20" s="23" t="str">
        <f>Q55</f>
        <v>85.72</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3049</v>
      </c>
      <c r="AE21" s="248"/>
      <c r="AF21" s="248"/>
      <c r="AG21" s="248"/>
      <c r="AH21" s="248"/>
      <c r="AI21" s="2"/>
      <c r="AJ21" s="1"/>
      <c r="AK21" s="2"/>
      <c r="AL21" s="1"/>
      <c r="AM21" s="2"/>
      <c r="AN21" s="7"/>
      <c r="AT21" s="23" t="str">
        <f>D55&amp;AE48</f>
        <v>LF [%]2010</v>
      </c>
      <c r="AU21" s="23" t="str">
        <f>AE55</f>
        <v>87.77</v>
      </c>
    </row>
    <row r="22" spans="1:47" ht="8.85" customHeight="1" thickBot="1">
      <c r="A22" s="6"/>
      <c r="B22" s="1"/>
      <c r="C22" s="1"/>
      <c r="D22" s="248" t="s">
        <v>205</v>
      </c>
      <c r="E22" s="248"/>
      <c r="F22" s="248"/>
      <c r="G22" s="248"/>
      <c r="H22" s="248"/>
      <c r="I22" s="248"/>
      <c r="J22" s="248"/>
      <c r="K22" s="248"/>
      <c r="L22" s="247" t="s">
        <v>5709</v>
      </c>
      <c r="M22" s="259">
        <v>24716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3957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28063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3958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28765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227</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3959</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3960</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3658</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3656</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3961</v>
      </c>
      <c r="G49" s="238"/>
      <c r="H49" s="238"/>
      <c r="I49" s="238"/>
      <c r="J49" s="10" t="s">
        <v>3962</v>
      </c>
      <c r="K49" s="238" t="s">
        <v>3963</v>
      </c>
      <c r="L49" s="238"/>
      <c r="M49" s="238"/>
      <c r="N49" s="238" t="s">
        <v>3964</v>
      </c>
      <c r="O49" s="238"/>
      <c r="P49" s="238"/>
      <c r="Q49" s="238" t="s">
        <v>3965</v>
      </c>
      <c r="R49" s="238"/>
      <c r="S49" s="238"/>
      <c r="T49" s="238"/>
      <c r="U49" s="238"/>
      <c r="V49" s="238"/>
      <c r="W49" s="238" t="s">
        <v>3966</v>
      </c>
      <c r="X49" s="238"/>
      <c r="Y49" s="10" t="s">
        <v>3967</v>
      </c>
      <c r="Z49" s="10" t="s">
        <v>3968</v>
      </c>
      <c r="AA49" s="238" t="s">
        <v>3969</v>
      </c>
      <c r="AB49" s="238"/>
      <c r="AC49" s="238"/>
      <c r="AD49" s="238"/>
      <c r="AE49" s="10" t="s">
        <v>3970</v>
      </c>
      <c r="AF49" s="237" t="s">
        <v>3971</v>
      </c>
      <c r="AG49" s="237"/>
      <c r="AH49" s="237"/>
      <c r="AI49" s="237"/>
      <c r="AJ49" s="2"/>
      <c r="AK49" s="2"/>
      <c r="AL49" s="2"/>
      <c r="AM49" s="2"/>
      <c r="AN49" s="7"/>
    </row>
    <row r="50" spans="1:40" ht="13.5" thickBot="1">
      <c r="A50" s="6"/>
      <c r="B50" s="2"/>
      <c r="C50" s="2"/>
      <c r="D50" s="244" t="s">
        <v>261</v>
      </c>
      <c r="E50" s="244"/>
      <c r="F50" s="238" t="s">
        <v>3972</v>
      </c>
      <c r="G50" s="238"/>
      <c r="H50" s="238"/>
      <c r="I50" s="238"/>
      <c r="J50" s="10" t="s">
        <v>3973</v>
      </c>
      <c r="K50" s="238" t="s">
        <v>3974</v>
      </c>
      <c r="L50" s="238"/>
      <c r="M50" s="238"/>
      <c r="N50" s="238" t="s">
        <v>6392</v>
      </c>
      <c r="O50" s="238"/>
      <c r="P50" s="238"/>
      <c r="Q50" s="238" t="s">
        <v>1850</v>
      </c>
      <c r="R50" s="238"/>
      <c r="S50" s="238"/>
      <c r="T50" s="238"/>
      <c r="U50" s="238"/>
      <c r="V50" s="238"/>
      <c r="W50" s="238" t="s">
        <v>3975</v>
      </c>
      <c r="X50" s="238"/>
      <c r="Y50" s="10" t="s">
        <v>3976</v>
      </c>
      <c r="Z50" s="10" t="s">
        <v>3977</v>
      </c>
      <c r="AA50" s="238" t="s">
        <v>3978</v>
      </c>
      <c r="AB50" s="238"/>
      <c r="AC50" s="238"/>
      <c r="AD50" s="238"/>
      <c r="AE50" s="10" t="s">
        <v>5330</v>
      </c>
      <c r="AF50" s="237" t="s">
        <v>5409</v>
      </c>
      <c r="AG50" s="237"/>
      <c r="AH50" s="237"/>
      <c r="AI50" s="237"/>
      <c r="AJ50" s="2"/>
      <c r="AK50" s="2"/>
      <c r="AL50" s="2"/>
      <c r="AM50" s="2"/>
      <c r="AN50" s="7"/>
    </row>
    <row r="51" spans="1:40" ht="13.5" thickBot="1">
      <c r="A51" s="6"/>
      <c r="B51" s="2"/>
      <c r="C51" s="2"/>
      <c r="D51" s="244" t="s">
        <v>273</v>
      </c>
      <c r="E51" s="244"/>
      <c r="F51" s="238" t="s">
        <v>3979</v>
      </c>
      <c r="G51" s="238"/>
      <c r="H51" s="238"/>
      <c r="I51" s="238"/>
      <c r="J51" s="10" t="s">
        <v>3848</v>
      </c>
      <c r="K51" s="238" t="s">
        <v>3980</v>
      </c>
      <c r="L51" s="238"/>
      <c r="M51" s="238"/>
      <c r="N51" s="238" t="s">
        <v>6596</v>
      </c>
      <c r="O51" s="238"/>
      <c r="P51" s="238"/>
      <c r="Q51" s="238" t="s">
        <v>2955</v>
      </c>
      <c r="R51" s="238"/>
      <c r="S51" s="238"/>
      <c r="T51" s="238"/>
      <c r="U51" s="238"/>
      <c r="V51" s="238"/>
      <c r="W51" s="238" t="s">
        <v>3981</v>
      </c>
      <c r="X51" s="238"/>
      <c r="Y51" s="10" t="s">
        <v>4220</v>
      </c>
      <c r="Z51" s="10" t="s">
        <v>3982</v>
      </c>
      <c r="AA51" s="238" t="s">
        <v>3983</v>
      </c>
      <c r="AB51" s="238"/>
      <c r="AC51" s="238"/>
      <c r="AD51" s="238"/>
      <c r="AE51" s="10" t="s">
        <v>2861</v>
      </c>
      <c r="AF51" s="237" t="s">
        <v>3984</v>
      </c>
      <c r="AG51" s="237"/>
      <c r="AH51" s="237"/>
      <c r="AI51" s="237"/>
      <c r="AJ51" s="2"/>
      <c r="AK51" s="2"/>
      <c r="AL51" s="2"/>
      <c r="AM51" s="2"/>
      <c r="AN51" s="7"/>
    </row>
    <row r="52" spans="1:40" ht="13.5" thickBot="1">
      <c r="A52" s="6"/>
      <c r="B52" s="2"/>
      <c r="C52" s="2"/>
      <c r="D52" s="244" t="s">
        <v>285</v>
      </c>
      <c r="E52" s="244"/>
      <c r="F52" s="238" t="s">
        <v>3972</v>
      </c>
      <c r="G52" s="238"/>
      <c r="H52" s="238"/>
      <c r="I52" s="238"/>
      <c r="J52" s="10" t="s">
        <v>3985</v>
      </c>
      <c r="K52" s="238" t="s">
        <v>3974</v>
      </c>
      <c r="L52" s="238"/>
      <c r="M52" s="238"/>
      <c r="N52" s="238" t="s">
        <v>6392</v>
      </c>
      <c r="O52" s="238"/>
      <c r="P52" s="238"/>
      <c r="Q52" s="238" t="s">
        <v>1850</v>
      </c>
      <c r="R52" s="238"/>
      <c r="S52" s="238"/>
      <c r="T52" s="238"/>
      <c r="U52" s="238"/>
      <c r="V52" s="238"/>
      <c r="W52" s="238" t="s">
        <v>3975</v>
      </c>
      <c r="X52" s="238"/>
      <c r="Y52" s="10" t="s">
        <v>3986</v>
      </c>
      <c r="Z52" s="10" t="s">
        <v>3977</v>
      </c>
      <c r="AA52" s="238" t="s">
        <v>3987</v>
      </c>
      <c r="AB52" s="238"/>
      <c r="AC52" s="238"/>
      <c r="AD52" s="238"/>
      <c r="AE52" s="10" t="s">
        <v>3988</v>
      </c>
      <c r="AF52" s="237" t="s">
        <v>3989</v>
      </c>
      <c r="AG52" s="237"/>
      <c r="AH52" s="237"/>
      <c r="AI52" s="237"/>
      <c r="AJ52" s="2"/>
      <c r="AK52" s="2"/>
      <c r="AL52" s="2"/>
      <c r="AM52" s="2"/>
      <c r="AN52" s="7"/>
    </row>
    <row r="53" spans="1:40" ht="13.5" thickBot="1">
      <c r="A53" s="6"/>
      <c r="B53" s="2"/>
      <c r="C53" s="2"/>
      <c r="D53" s="244" t="s">
        <v>295</v>
      </c>
      <c r="E53" s="244"/>
      <c r="F53" s="238" t="s">
        <v>5037</v>
      </c>
      <c r="G53" s="238"/>
      <c r="H53" s="238"/>
      <c r="I53" s="238"/>
      <c r="J53" s="10" t="s">
        <v>7011</v>
      </c>
      <c r="K53" s="238" t="s">
        <v>3990</v>
      </c>
      <c r="L53" s="238"/>
      <c r="M53" s="238"/>
      <c r="N53" s="238" t="s">
        <v>3991</v>
      </c>
      <c r="O53" s="238"/>
      <c r="P53" s="238"/>
      <c r="Q53" s="238" t="s">
        <v>6071</v>
      </c>
      <c r="R53" s="238"/>
      <c r="S53" s="238"/>
      <c r="T53" s="238"/>
      <c r="U53" s="238"/>
      <c r="V53" s="238"/>
      <c r="W53" s="238" t="s">
        <v>3092</v>
      </c>
      <c r="X53" s="238"/>
      <c r="Y53" s="10" t="s">
        <v>3992</v>
      </c>
      <c r="Z53" s="10" t="s">
        <v>3993</v>
      </c>
      <c r="AA53" s="238" t="s">
        <v>3994</v>
      </c>
      <c r="AB53" s="238"/>
      <c r="AC53" s="238"/>
      <c r="AD53" s="238"/>
      <c r="AE53" s="10" t="s">
        <v>6894</v>
      </c>
      <c r="AF53" s="237" t="s">
        <v>5092</v>
      </c>
      <c r="AG53" s="237"/>
      <c r="AH53" s="237"/>
      <c r="AI53" s="237"/>
      <c r="AJ53" s="2"/>
      <c r="AK53" s="2"/>
      <c r="AL53" s="2"/>
      <c r="AM53" s="2"/>
      <c r="AN53" s="7"/>
    </row>
    <row r="54" spans="1:40" ht="13.5" thickBot="1">
      <c r="A54" s="6"/>
      <c r="B54" s="2"/>
      <c r="C54" s="2"/>
      <c r="D54" s="244" t="s">
        <v>307</v>
      </c>
      <c r="E54" s="244"/>
      <c r="F54" s="238" t="s">
        <v>3995</v>
      </c>
      <c r="G54" s="238"/>
      <c r="H54" s="238"/>
      <c r="I54" s="238"/>
      <c r="J54" s="10" t="s">
        <v>5532</v>
      </c>
      <c r="K54" s="238" t="s">
        <v>3996</v>
      </c>
      <c r="L54" s="238"/>
      <c r="M54" s="238"/>
      <c r="N54" s="238" t="s">
        <v>6723</v>
      </c>
      <c r="O54" s="238"/>
      <c r="P54" s="238"/>
      <c r="Q54" s="238" t="s">
        <v>6060</v>
      </c>
      <c r="R54" s="238"/>
      <c r="S54" s="238"/>
      <c r="T54" s="238"/>
      <c r="U54" s="238"/>
      <c r="V54" s="238"/>
      <c r="W54" s="238" t="s">
        <v>3997</v>
      </c>
      <c r="X54" s="238"/>
      <c r="Y54" s="10" t="s">
        <v>3998</v>
      </c>
      <c r="Z54" s="10" t="s">
        <v>3999</v>
      </c>
      <c r="AA54" s="238" t="s">
        <v>4000</v>
      </c>
      <c r="AB54" s="238"/>
      <c r="AC54" s="238"/>
      <c r="AD54" s="238"/>
      <c r="AE54" s="10" t="s">
        <v>4001</v>
      </c>
      <c r="AF54" s="237" t="s">
        <v>4002</v>
      </c>
      <c r="AG54" s="237"/>
      <c r="AH54" s="237"/>
      <c r="AI54" s="237"/>
      <c r="AJ54" s="2"/>
      <c r="AK54" s="2"/>
      <c r="AL54" s="2"/>
      <c r="AM54" s="2"/>
      <c r="AN54" s="7"/>
    </row>
    <row r="55" spans="1:40" ht="13.5" thickBot="1">
      <c r="A55" s="6"/>
      <c r="B55" s="2"/>
      <c r="C55" s="2"/>
      <c r="D55" s="244" t="s">
        <v>319</v>
      </c>
      <c r="E55" s="244"/>
      <c r="F55" s="237" t="s">
        <v>6495</v>
      </c>
      <c r="G55" s="237"/>
      <c r="H55" s="237"/>
      <c r="I55" s="237"/>
      <c r="J55" s="11" t="s">
        <v>4003</v>
      </c>
      <c r="K55" s="237" t="s">
        <v>4004</v>
      </c>
      <c r="L55" s="237"/>
      <c r="M55" s="237"/>
      <c r="N55" s="237" t="s">
        <v>4005</v>
      </c>
      <c r="O55" s="237"/>
      <c r="P55" s="237"/>
      <c r="Q55" s="237" t="s">
        <v>4006</v>
      </c>
      <c r="R55" s="237"/>
      <c r="S55" s="237"/>
      <c r="T55" s="237"/>
      <c r="U55" s="237"/>
      <c r="V55" s="237"/>
      <c r="W55" s="237" t="s">
        <v>4007</v>
      </c>
      <c r="X55" s="237"/>
      <c r="Y55" s="11" t="s">
        <v>4008</v>
      </c>
      <c r="Z55" s="11" t="s">
        <v>4009</v>
      </c>
      <c r="AA55" s="237" t="s">
        <v>4010</v>
      </c>
      <c r="AB55" s="237"/>
      <c r="AC55" s="237"/>
      <c r="AD55" s="237"/>
      <c r="AE55" s="11" t="s">
        <v>4011</v>
      </c>
      <c r="AF55" s="237" t="s">
        <v>6669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8"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4012</v>
      </c>
      <c r="E7" s="269"/>
      <c r="F7" s="269"/>
      <c r="G7" s="269"/>
      <c r="H7" s="269" t="s">
        <v>4013</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HINKLEY POINT-B2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3955</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1494</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1494</v>
      </c>
      <c r="N16" s="264"/>
      <c r="O16" s="264"/>
      <c r="P16" s="248" t="s">
        <v>186</v>
      </c>
      <c r="Q16" s="248"/>
      <c r="R16" s="248"/>
      <c r="S16" s="2"/>
      <c r="T16" s="2"/>
      <c r="U16" s="252" t="s">
        <v>187</v>
      </c>
      <c r="V16" s="252"/>
      <c r="W16" s="252"/>
      <c r="X16" s="252"/>
      <c r="Y16" s="252"/>
      <c r="Z16" s="252"/>
      <c r="AA16" s="252"/>
      <c r="AB16" s="247" t="s">
        <v>5709</v>
      </c>
      <c r="AC16" s="247"/>
      <c r="AD16" s="248" t="s">
        <v>3956</v>
      </c>
      <c r="AE16" s="248"/>
      <c r="AF16" s="248"/>
      <c r="AG16" s="248"/>
      <c r="AH16" s="248"/>
      <c r="AI16" s="2"/>
      <c r="AJ16" s="1"/>
      <c r="AK16" s="2"/>
      <c r="AL16" s="1"/>
      <c r="AM16" s="2"/>
      <c r="AN16" s="7"/>
      <c r="AT16" s="24" t="str">
        <f>D17 &amp; " [MWe]"</f>
        <v>Latest gross electrical power [MWe]</v>
      </c>
      <c r="AU16" s="24">
        <f>M17</f>
        <v>655</v>
      </c>
    </row>
    <row r="17" spans="1:47" ht="13.5" thickBot="1">
      <c r="A17" s="6"/>
      <c r="B17" s="1"/>
      <c r="C17" s="1"/>
      <c r="D17" s="248" t="s">
        <v>189</v>
      </c>
      <c r="E17" s="248"/>
      <c r="F17" s="248"/>
      <c r="G17" s="248"/>
      <c r="H17" s="248"/>
      <c r="I17" s="248"/>
      <c r="J17" s="248"/>
      <c r="K17" s="248"/>
      <c r="L17" s="8" t="s">
        <v>5709</v>
      </c>
      <c r="M17" s="264">
        <v>655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430</v>
      </c>
    </row>
    <row r="18" spans="1:47" ht="13.5" thickBot="1">
      <c r="A18" s="6"/>
      <c r="B18" s="1"/>
      <c r="C18" s="1"/>
      <c r="D18" s="248" t="s">
        <v>193</v>
      </c>
      <c r="E18" s="248"/>
      <c r="F18" s="248"/>
      <c r="G18" s="248"/>
      <c r="H18" s="248"/>
      <c r="I18" s="248"/>
      <c r="J18" s="248"/>
      <c r="K18" s="248"/>
      <c r="L18" s="8" t="s">
        <v>5709</v>
      </c>
      <c r="M18" s="264">
        <v>625</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27795</v>
      </c>
    </row>
    <row r="19" spans="1:47" ht="13.5" thickBot="1">
      <c r="A19" s="6"/>
      <c r="B19" s="1"/>
      <c r="C19" s="1"/>
      <c r="D19" s="248" t="s">
        <v>196</v>
      </c>
      <c r="E19" s="248"/>
      <c r="F19" s="248"/>
      <c r="G19" s="248"/>
      <c r="H19" s="248"/>
      <c r="I19" s="248"/>
      <c r="J19" s="248"/>
      <c r="K19" s="248"/>
      <c r="L19" s="8" t="s">
        <v>5709</v>
      </c>
      <c r="M19" s="264">
        <v>430</v>
      </c>
      <c r="N19" s="264"/>
      <c r="O19" s="264"/>
      <c r="P19" s="248" t="s">
        <v>190</v>
      </c>
      <c r="Q19" s="248"/>
      <c r="R19" s="248"/>
      <c r="S19" s="2"/>
      <c r="T19" s="2"/>
      <c r="U19" s="252" t="s">
        <v>197</v>
      </c>
      <c r="V19" s="252"/>
      <c r="W19" s="252"/>
      <c r="X19" s="252"/>
      <c r="Y19" s="252"/>
      <c r="Z19" s="252"/>
      <c r="AA19" s="252"/>
      <c r="AB19" s="247" t="s">
        <v>5709</v>
      </c>
      <c r="AC19" s="247"/>
      <c r="AD19" s="248" t="s">
        <v>6124</v>
      </c>
      <c r="AE19" s="248"/>
      <c r="AF19" s="248"/>
      <c r="AG19" s="248"/>
      <c r="AH19" s="248"/>
      <c r="AI19" s="2"/>
      <c r="AJ19" s="1"/>
      <c r="AK19" s="2"/>
      <c r="AL19" s="1"/>
      <c r="AM19" s="2"/>
      <c r="AN19" s="7"/>
      <c r="AT19" s="23" t="str">
        <f>U19</f>
        <v>Average discharge burnup  [MWd/t]</v>
      </c>
      <c r="AU19" s="23" t="str">
        <f>AD19</f>
        <v>27000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1959</v>
      </c>
      <c r="AE20" s="248"/>
      <c r="AF20" s="248"/>
      <c r="AG20" s="248"/>
      <c r="AH20" s="248"/>
      <c r="AI20" s="2"/>
      <c r="AJ20" s="1"/>
      <c r="AK20" s="2"/>
      <c r="AL20" s="1"/>
      <c r="AM20" s="2"/>
      <c r="AN20" s="7"/>
      <c r="AT20" s="23" t="str">
        <f>D55 &amp; Q48</f>
        <v>LF [%]2005</v>
      </c>
      <c r="AU20" s="23" t="str">
        <f>Q55</f>
        <v>62.83</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3049</v>
      </c>
      <c r="AE21" s="248"/>
      <c r="AF21" s="248"/>
      <c r="AG21" s="248"/>
      <c r="AH21" s="248"/>
      <c r="AI21" s="2"/>
      <c r="AJ21" s="1"/>
      <c r="AK21" s="2"/>
      <c r="AL21" s="1"/>
      <c r="AM21" s="2"/>
      <c r="AN21" s="7"/>
      <c r="AT21" s="23" t="str">
        <f>D55&amp;AE48</f>
        <v>LF [%]2010</v>
      </c>
      <c r="AU21" s="23" t="str">
        <f>AE55</f>
        <v>86.63</v>
      </c>
    </row>
    <row r="22" spans="1:47" ht="8.85" customHeight="1" thickBot="1">
      <c r="A22" s="6"/>
      <c r="B22" s="1"/>
      <c r="C22" s="1"/>
      <c r="D22" s="248" t="s">
        <v>205</v>
      </c>
      <c r="E22" s="248"/>
      <c r="F22" s="248"/>
      <c r="G22" s="248"/>
      <c r="H22" s="248"/>
      <c r="I22" s="248"/>
      <c r="J22" s="248"/>
      <c r="K22" s="248"/>
      <c r="L22" s="247" t="s">
        <v>5709</v>
      </c>
      <c r="M22" s="259">
        <v>24716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3957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27795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3958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28030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227</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3959</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3960</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3658</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3656</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4014</v>
      </c>
      <c r="G49" s="238"/>
      <c r="H49" s="238"/>
      <c r="I49" s="238"/>
      <c r="J49" s="10" t="s">
        <v>4015</v>
      </c>
      <c r="K49" s="238" t="s">
        <v>4016</v>
      </c>
      <c r="L49" s="238"/>
      <c r="M49" s="238"/>
      <c r="N49" s="238" t="s">
        <v>4017</v>
      </c>
      <c r="O49" s="238"/>
      <c r="P49" s="238"/>
      <c r="Q49" s="238" t="s">
        <v>4018</v>
      </c>
      <c r="R49" s="238"/>
      <c r="S49" s="238"/>
      <c r="T49" s="238"/>
      <c r="U49" s="238"/>
      <c r="V49" s="238"/>
      <c r="W49" s="238" t="s">
        <v>4019</v>
      </c>
      <c r="X49" s="238"/>
      <c r="Y49" s="10" t="s">
        <v>4020</v>
      </c>
      <c r="Z49" s="10" t="s">
        <v>4021</v>
      </c>
      <c r="AA49" s="238" t="s">
        <v>4022</v>
      </c>
      <c r="AB49" s="238"/>
      <c r="AC49" s="238"/>
      <c r="AD49" s="238"/>
      <c r="AE49" s="10" t="s">
        <v>4023</v>
      </c>
      <c r="AF49" s="237" t="s">
        <v>4024</v>
      </c>
      <c r="AG49" s="237"/>
      <c r="AH49" s="237"/>
      <c r="AI49" s="237"/>
      <c r="AJ49" s="2"/>
      <c r="AK49" s="2"/>
      <c r="AL49" s="2"/>
      <c r="AM49" s="2"/>
      <c r="AN49" s="7"/>
    </row>
    <row r="50" spans="1:40" ht="13.5" thickBot="1">
      <c r="A50" s="6"/>
      <c r="B50" s="2"/>
      <c r="C50" s="2"/>
      <c r="D50" s="244" t="s">
        <v>261</v>
      </c>
      <c r="E50" s="244"/>
      <c r="F50" s="238" t="s">
        <v>4025</v>
      </c>
      <c r="G50" s="238"/>
      <c r="H50" s="238"/>
      <c r="I50" s="238"/>
      <c r="J50" s="10" t="s">
        <v>4026</v>
      </c>
      <c r="K50" s="238" t="s">
        <v>6659</v>
      </c>
      <c r="L50" s="238"/>
      <c r="M50" s="238"/>
      <c r="N50" s="238" t="s">
        <v>4027</v>
      </c>
      <c r="O50" s="238"/>
      <c r="P50" s="238"/>
      <c r="Q50" s="238" t="s">
        <v>4028</v>
      </c>
      <c r="R50" s="238"/>
      <c r="S50" s="238"/>
      <c r="T50" s="238"/>
      <c r="U50" s="238"/>
      <c r="V50" s="238"/>
      <c r="W50" s="238" t="s">
        <v>4029</v>
      </c>
      <c r="X50" s="238"/>
      <c r="Y50" s="10" t="s">
        <v>4030</v>
      </c>
      <c r="Z50" s="10" t="s">
        <v>4031</v>
      </c>
      <c r="AA50" s="238" t="s">
        <v>4032</v>
      </c>
      <c r="AB50" s="238"/>
      <c r="AC50" s="238"/>
      <c r="AD50" s="238"/>
      <c r="AE50" s="10" t="s">
        <v>5451</v>
      </c>
      <c r="AF50" s="237" t="s">
        <v>4033</v>
      </c>
      <c r="AG50" s="237"/>
      <c r="AH50" s="237"/>
      <c r="AI50" s="237"/>
      <c r="AJ50" s="2"/>
      <c r="AK50" s="2"/>
      <c r="AL50" s="2"/>
      <c r="AM50" s="2"/>
      <c r="AN50" s="7"/>
    </row>
    <row r="51" spans="1:40" ht="13.5" thickBot="1">
      <c r="A51" s="6"/>
      <c r="B51" s="2"/>
      <c r="C51" s="2"/>
      <c r="D51" s="244" t="s">
        <v>273</v>
      </c>
      <c r="E51" s="244"/>
      <c r="F51" s="238" t="s">
        <v>4034</v>
      </c>
      <c r="G51" s="238"/>
      <c r="H51" s="238"/>
      <c r="I51" s="238"/>
      <c r="J51" s="10" t="s">
        <v>4035</v>
      </c>
      <c r="K51" s="238" t="s">
        <v>2786</v>
      </c>
      <c r="L51" s="238"/>
      <c r="M51" s="238"/>
      <c r="N51" s="238" t="s">
        <v>4036</v>
      </c>
      <c r="O51" s="238"/>
      <c r="P51" s="238"/>
      <c r="Q51" s="238" t="s">
        <v>4037</v>
      </c>
      <c r="R51" s="238"/>
      <c r="S51" s="238"/>
      <c r="T51" s="238"/>
      <c r="U51" s="238"/>
      <c r="V51" s="238"/>
      <c r="W51" s="238" t="s">
        <v>5559</v>
      </c>
      <c r="X51" s="238"/>
      <c r="Y51" s="10" t="s">
        <v>4038</v>
      </c>
      <c r="Z51" s="10" t="s">
        <v>4039</v>
      </c>
      <c r="AA51" s="238" t="s">
        <v>5163</v>
      </c>
      <c r="AB51" s="238"/>
      <c r="AC51" s="238"/>
      <c r="AD51" s="238"/>
      <c r="AE51" s="10" t="s">
        <v>6379</v>
      </c>
      <c r="AF51" s="237" t="s">
        <v>4040</v>
      </c>
      <c r="AG51" s="237"/>
      <c r="AH51" s="237"/>
      <c r="AI51" s="237"/>
      <c r="AJ51" s="2"/>
      <c r="AK51" s="2"/>
      <c r="AL51" s="2"/>
      <c r="AM51" s="2"/>
      <c r="AN51" s="7"/>
    </row>
    <row r="52" spans="1:40" ht="13.5" thickBot="1">
      <c r="A52" s="6"/>
      <c r="B52" s="2"/>
      <c r="C52" s="2"/>
      <c r="D52" s="244" t="s">
        <v>285</v>
      </c>
      <c r="E52" s="244"/>
      <c r="F52" s="238" t="s">
        <v>4025</v>
      </c>
      <c r="G52" s="238"/>
      <c r="H52" s="238"/>
      <c r="I52" s="238"/>
      <c r="J52" s="10" t="s">
        <v>4026</v>
      </c>
      <c r="K52" s="238" t="s">
        <v>6659</v>
      </c>
      <c r="L52" s="238"/>
      <c r="M52" s="238"/>
      <c r="N52" s="238" t="s">
        <v>4027</v>
      </c>
      <c r="O52" s="238"/>
      <c r="P52" s="238"/>
      <c r="Q52" s="238" t="s">
        <v>4028</v>
      </c>
      <c r="R52" s="238"/>
      <c r="S52" s="238"/>
      <c r="T52" s="238"/>
      <c r="U52" s="238"/>
      <c r="V52" s="238"/>
      <c r="W52" s="238" t="s">
        <v>4041</v>
      </c>
      <c r="X52" s="238"/>
      <c r="Y52" s="10" t="s">
        <v>4030</v>
      </c>
      <c r="Z52" s="10" t="s">
        <v>4031</v>
      </c>
      <c r="AA52" s="238" t="s">
        <v>4032</v>
      </c>
      <c r="AB52" s="238"/>
      <c r="AC52" s="238"/>
      <c r="AD52" s="238"/>
      <c r="AE52" s="10" t="s">
        <v>7057</v>
      </c>
      <c r="AF52" s="237" t="s">
        <v>4042</v>
      </c>
      <c r="AG52" s="237"/>
      <c r="AH52" s="237"/>
      <c r="AI52" s="237"/>
      <c r="AJ52" s="2"/>
      <c r="AK52" s="2"/>
      <c r="AL52" s="2"/>
      <c r="AM52" s="2"/>
      <c r="AN52" s="7"/>
    </row>
    <row r="53" spans="1:40" ht="13.5" thickBot="1">
      <c r="A53" s="6"/>
      <c r="B53" s="2"/>
      <c r="C53" s="2"/>
      <c r="D53" s="244" t="s">
        <v>295</v>
      </c>
      <c r="E53" s="244"/>
      <c r="F53" s="238" t="s">
        <v>3485</v>
      </c>
      <c r="G53" s="238"/>
      <c r="H53" s="238"/>
      <c r="I53" s="238"/>
      <c r="J53" s="10" t="s">
        <v>4043</v>
      </c>
      <c r="K53" s="238" t="s">
        <v>6073</v>
      </c>
      <c r="L53" s="238"/>
      <c r="M53" s="238"/>
      <c r="N53" s="238" t="s">
        <v>4044</v>
      </c>
      <c r="O53" s="238"/>
      <c r="P53" s="238"/>
      <c r="Q53" s="238" t="s">
        <v>4045</v>
      </c>
      <c r="R53" s="238"/>
      <c r="S53" s="238"/>
      <c r="T53" s="238"/>
      <c r="U53" s="238"/>
      <c r="V53" s="238"/>
      <c r="W53" s="238" t="s">
        <v>4046</v>
      </c>
      <c r="X53" s="238"/>
      <c r="Y53" s="10" t="s">
        <v>4047</v>
      </c>
      <c r="Z53" s="10" t="s">
        <v>2781</v>
      </c>
      <c r="AA53" s="238" t="s">
        <v>4048</v>
      </c>
      <c r="AB53" s="238"/>
      <c r="AC53" s="238"/>
      <c r="AD53" s="238"/>
      <c r="AE53" s="10" t="s">
        <v>3404</v>
      </c>
      <c r="AF53" s="237" t="s">
        <v>4049</v>
      </c>
      <c r="AG53" s="237"/>
      <c r="AH53" s="237"/>
      <c r="AI53" s="237"/>
      <c r="AJ53" s="2"/>
      <c r="AK53" s="2"/>
      <c r="AL53" s="2"/>
      <c r="AM53" s="2"/>
      <c r="AN53" s="7"/>
    </row>
    <row r="54" spans="1:40" ht="13.5" thickBot="1">
      <c r="A54" s="6"/>
      <c r="B54" s="2"/>
      <c r="C54" s="2"/>
      <c r="D54" s="244" t="s">
        <v>307</v>
      </c>
      <c r="E54" s="244"/>
      <c r="F54" s="238" t="s">
        <v>6105</v>
      </c>
      <c r="G54" s="238"/>
      <c r="H54" s="238"/>
      <c r="I54" s="238"/>
      <c r="J54" s="10" t="s">
        <v>4050</v>
      </c>
      <c r="K54" s="238" t="s">
        <v>4051</v>
      </c>
      <c r="L54" s="238"/>
      <c r="M54" s="238"/>
      <c r="N54" s="238" t="s">
        <v>4052</v>
      </c>
      <c r="O54" s="238"/>
      <c r="P54" s="238"/>
      <c r="Q54" s="238" t="s">
        <v>4053</v>
      </c>
      <c r="R54" s="238"/>
      <c r="S54" s="238"/>
      <c r="T54" s="238"/>
      <c r="U54" s="238"/>
      <c r="V54" s="238"/>
      <c r="W54" s="238" t="s">
        <v>4054</v>
      </c>
      <c r="X54" s="238"/>
      <c r="Y54" s="10" t="s">
        <v>4055</v>
      </c>
      <c r="Z54" s="10" t="s">
        <v>4056</v>
      </c>
      <c r="AA54" s="238" t="s">
        <v>1833</v>
      </c>
      <c r="AB54" s="238"/>
      <c r="AC54" s="238"/>
      <c r="AD54" s="238"/>
      <c r="AE54" s="10" t="s">
        <v>5250</v>
      </c>
      <c r="AF54" s="237" t="s">
        <v>4057</v>
      </c>
      <c r="AG54" s="237"/>
      <c r="AH54" s="237"/>
      <c r="AI54" s="237"/>
      <c r="AJ54" s="2"/>
      <c r="AK54" s="2"/>
      <c r="AL54" s="2"/>
      <c r="AM54" s="2"/>
      <c r="AN54" s="7"/>
    </row>
    <row r="55" spans="1:40" ht="13.5" thickBot="1">
      <c r="A55" s="6"/>
      <c r="B55" s="2"/>
      <c r="C55" s="2"/>
      <c r="D55" s="244" t="s">
        <v>319</v>
      </c>
      <c r="E55" s="244"/>
      <c r="F55" s="237" t="s">
        <v>6730</v>
      </c>
      <c r="G55" s="237"/>
      <c r="H55" s="237"/>
      <c r="I55" s="237"/>
      <c r="J55" s="11" t="s">
        <v>4058</v>
      </c>
      <c r="K55" s="237" t="s">
        <v>4384</v>
      </c>
      <c r="L55" s="237"/>
      <c r="M55" s="237"/>
      <c r="N55" s="237" t="s">
        <v>4059</v>
      </c>
      <c r="O55" s="237"/>
      <c r="P55" s="237"/>
      <c r="Q55" s="237" t="s">
        <v>4060</v>
      </c>
      <c r="R55" s="237"/>
      <c r="S55" s="237"/>
      <c r="T55" s="237"/>
      <c r="U55" s="237"/>
      <c r="V55" s="237"/>
      <c r="W55" s="237" t="s">
        <v>4061</v>
      </c>
      <c r="X55" s="237"/>
      <c r="Y55" s="11" t="s">
        <v>4062</v>
      </c>
      <c r="Z55" s="11" t="s">
        <v>4063</v>
      </c>
      <c r="AA55" s="237" t="s">
        <v>3684</v>
      </c>
      <c r="AB55" s="237"/>
      <c r="AC55" s="237"/>
      <c r="AD55" s="237"/>
      <c r="AE55" s="11" t="s">
        <v>2743</v>
      </c>
      <c r="AF55" s="237" t="s">
        <v>4064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6.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4065</v>
      </c>
      <c r="E7" s="269"/>
      <c r="F7" s="269"/>
      <c r="G7" s="269"/>
      <c r="H7" s="269" t="s">
        <v>4066</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HUNTERSTON-B1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4067</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3955</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5627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1496</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1496</v>
      </c>
      <c r="N16" s="264"/>
      <c r="O16" s="264"/>
      <c r="P16" s="248" t="s">
        <v>186</v>
      </c>
      <c r="Q16" s="248"/>
      <c r="R16" s="248"/>
      <c r="S16" s="2"/>
      <c r="T16" s="2"/>
      <c r="U16" s="252" t="s">
        <v>187</v>
      </c>
      <c r="V16" s="252"/>
      <c r="W16" s="252"/>
      <c r="X16" s="252"/>
      <c r="Y16" s="252"/>
      <c r="Z16" s="252"/>
      <c r="AA16" s="252"/>
      <c r="AB16" s="247" t="s">
        <v>5709</v>
      </c>
      <c r="AC16" s="247"/>
      <c r="AD16" s="248" t="s">
        <v>4068</v>
      </c>
      <c r="AE16" s="248"/>
      <c r="AF16" s="248"/>
      <c r="AG16" s="248"/>
      <c r="AH16" s="248"/>
      <c r="AI16" s="2"/>
      <c r="AJ16" s="1"/>
      <c r="AK16" s="2"/>
      <c r="AL16" s="1"/>
      <c r="AM16" s="2"/>
      <c r="AN16" s="7"/>
      <c r="AT16" s="24" t="str">
        <f>D17 &amp; " [MWe]"</f>
        <v>Latest gross electrical power [MWe]</v>
      </c>
      <c r="AU16" s="24">
        <f>M17</f>
        <v>644</v>
      </c>
    </row>
    <row r="17" spans="1:47" ht="13.5" thickBot="1">
      <c r="A17" s="6"/>
      <c r="B17" s="1"/>
      <c r="C17" s="1"/>
      <c r="D17" s="248" t="s">
        <v>189</v>
      </c>
      <c r="E17" s="248"/>
      <c r="F17" s="248"/>
      <c r="G17" s="248"/>
      <c r="H17" s="248"/>
      <c r="I17" s="248"/>
      <c r="J17" s="248"/>
      <c r="K17" s="248"/>
      <c r="L17" s="8" t="s">
        <v>5709</v>
      </c>
      <c r="M17" s="264">
        <v>644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430</v>
      </c>
    </row>
    <row r="18" spans="1:47" ht="13.5" thickBot="1">
      <c r="A18" s="6"/>
      <c r="B18" s="1"/>
      <c r="C18" s="1"/>
      <c r="D18" s="248" t="s">
        <v>193</v>
      </c>
      <c r="E18" s="248"/>
      <c r="F18" s="248"/>
      <c r="G18" s="248"/>
      <c r="H18" s="248"/>
      <c r="I18" s="248"/>
      <c r="J18" s="248"/>
      <c r="K18" s="248"/>
      <c r="L18" s="8" t="s">
        <v>5709</v>
      </c>
      <c r="M18" s="264">
        <v>624</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27796</v>
      </c>
    </row>
    <row r="19" spans="1:47" ht="13.5" thickBot="1">
      <c r="A19" s="6"/>
      <c r="B19" s="1"/>
      <c r="C19" s="1"/>
      <c r="D19" s="248" t="s">
        <v>196</v>
      </c>
      <c r="E19" s="248"/>
      <c r="F19" s="248"/>
      <c r="G19" s="248"/>
      <c r="H19" s="248"/>
      <c r="I19" s="248"/>
      <c r="J19" s="248"/>
      <c r="K19" s="248"/>
      <c r="L19" s="8" t="s">
        <v>5709</v>
      </c>
      <c r="M19" s="264">
        <v>430</v>
      </c>
      <c r="N19" s="264"/>
      <c r="O19" s="264"/>
      <c r="P19" s="248" t="s">
        <v>190</v>
      </c>
      <c r="Q19" s="248"/>
      <c r="R19" s="248"/>
      <c r="S19" s="2"/>
      <c r="T19" s="2"/>
      <c r="U19" s="252" t="s">
        <v>197</v>
      </c>
      <c r="V19" s="252"/>
      <c r="W19" s="252"/>
      <c r="X19" s="252"/>
      <c r="Y19" s="252"/>
      <c r="Z19" s="252"/>
      <c r="AA19" s="252"/>
      <c r="AB19" s="247" t="s">
        <v>5709</v>
      </c>
      <c r="AC19" s="247"/>
      <c r="AD19" s="248" t="s">
        <v>4069</v>
      </c>
      <c r="AE19" s="248"/>
      <c r="AF19" s="248"/>
      <c r="AG19" s="248"/>
      <c r="AH19" s="248"/>
      <c r="AI19" s="2"/>
      <c r="AJ19" s="1"/>
      <c r="AK19" s="2"/>
      <c r="AL19" s="1"/>
      <c r="AM19" s="2"/>
      <c r="AN19" s="7"/>
      <c r="AT19" s="23" t="str">
        <f>U19</f>
        <v>Average discharge burnup  [MWd/t]</v>
      </c>
      <c r="AU19" s="23" t="str">
        <f>AD19</f>
        <v>21000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1959</v>
      </c>
      <c r="AE20" s="248"/>
      <c r="AF20" s="248"/>
      <c r="AG20" s="248"/>
      <c r="AH20" s="248"/>
      <c r="AI20" s="2"/>
      <c r="AJ20" s="1"/>
      <c r="AK20" s="2"/>
      <c r="AL20" s="1"/>
      <c r="AM20" s="2"/>
      <c r="AN20" s="7"/>
      <c r="AT20" s="23" t="str">
        <f>D55 &amp; Q48</f>
        <v>LF [%]2005</v>
      </c>
      <c r="AU20" s="23" t="str">
        <f>Q55</f>
        <v>78.59</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4070</v>
      </c>
      <c r="AE21" s="248"/>
      <c r="AF21" s="248"/>
      <c r="AG21" s="248"/>
      <c r="AH21" s="248"/>
      <c r="AI21" s="2"/>
      <c r="AJ21" s="1"/>
      <c r="AK21" s="2"/>
      <c r="AL21" s="1"/>
      <c r="AM21" s="2"/>
      <c r="AN21" s="7"/>
      <c r="AT21" s="23" t="str">
        <f>D55&amp;AE48</f>
        <v>LF [%]2010</v>
      </c>
      <c r="AU21" s="23" t="str">
        <f>AE55</f>
        <v>96.51</v>
      </c>
    </row>
    <row r="22" spans="1:47" ht="8.85" customHeight="1" thickBot="1">
      <c r="A22" s="6"/>
      <c r="B22" s="1"/>
      <c r="C22" s="1"/>
      <c r="D22" s="248" t="s">
        <v>205</v>
      </c>
      <c r="E22" s="248"/>
      <c r="F22" s="248"/>
      <c r="G22" s="248"/>
      <c r="H22" s="248"/>
      <c r="I22" s="248"/>
      <c r="J22" s="248"/>
      <c r="K22" s="248"/>
      <c r="L22" s="247" t="s">
        <v>5709</v>
      </c>
      <c r="M22" s="259">
        <v>24777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3957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27796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4071</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27796</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4072</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4073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4074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422</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4075</v>
      </c>
      <c r="G49" s="238"/>
      <c r="H49" s="238"/>
      <c r="I49" s="238"/>
      <c r="J49" s="10" t="s">
        <v>4076</v>
      </c>
      <c r="K49" s="238" t="s">
        <v>4077</v>
      </c>
      <c r="L49" s="238"/>
      <c r="M49" s="238"/>
      <c r="N49" s="238" t="s">
        <v>4078</v>
      </c>
      <c r="O49" s="238"/>
      <c r="P49" s="238"/>
      <c r="Q49" s="238" t="s">
        <v>4079</v>
      </c>
      <c r="R49" s="238"/>
      <c r="S49" s="238"/>
      <c r="T49" s="238"/>
      <c r="U49" s="238"/>
      <c r="V49" s="238"/>
      <c r="W49" s="238" t="s">
        <v>4080</v>
      </c>
      <c r="X49" s="238"/>
      <c r="Y49" s="10" t="s">
        <v>4081</v>
      </c>
      <c r="Z49" s="10" t="s">
        <v>4082</v>
      </c>
      <c r="AA49" s="238" t="s">
        <v>4083</v>
      </c>
      <c r="AB49" s="238"/>
      <c r="AC49" s="238"/>
      <c r="AD49" s="238"/>
      <c r="AE49" s="10" t="s">
        <v>4084</v>
      </c>
      <c r="AF49" s="237" t="s">
        <v>4085</v>
      </c>
      <c r="AG49" s="237"/>
      <c r="AH49" s="237"/>
      <c r="AI49" s="237"/>
      <c r="AJ49" s="2"/>
      <c r="AK49" s="2"/>
      <c r="AL49" s="2"/>
      <c r="AM49" s="2"/>
      <c r="AN49" s="7"/>
    </row>
    <row r="50" spans="1:40" ht="13.5" thickBot="1">
      <c r="A50" s="6"/>
      <c r="B50" s="2"/>
      <c r="C50" s="2"/>
      <c r="D50" s="244" t="s">
        <v>261</v>
      </c>
      <c r="E50" s="244"/>
      <c r="F50" s="238" t="s">
        <v>5410</v>
      </c>
      <c r="G50" s="238"/>
      <c r="H50" s="238"/>
      <c r="I50" s="238"/>
      <c r="J50" s="10" t="s">
        <v>4328</v>
      </c>
      <c r="K50" s="238" t="s">
        <v>4086</v>
      </c>
      <c r="L50" s="238"/>
      <c r="M50" s="238"/>
      <c r="N50" s="238" t="s">
        <v>2719</v>
      </c>
      <c r="O50" s="238"/>
      <c r="P50" s="238"/>
      <c r="Q50" s="238" t="s">
        <v>4087</v>
      </c>
      <c r="R50" s="238"/>
      <c r="S50" s="238"/>
      <c r="T50" s="238"/>
      <c r="U50" s="238"/>
      <c r="V50" s="238"/>
      <c r="W50" s="238" t="s">
        <v>4088</v>
      </c>
      <c r="X50" s="238"/>
      <c r="Y50" s="10" t="s">
        <v>4089</v>
      </c>
      <c r="Z50" s="10" t="s">
        <v>4090</v>
      </c>
      <c r="AA50" s="238" t="s">
        <v>4091</v>
      </c>
      <c r="AB50" s="238"/>
      <c r="AC50" s="238"/>
      <c r="AD50" s="238"/>
      <c r="AE50" s="10" t="s">
        <v>6537</v>
      </c>
      <c r="AF50" s="237" t="s">
        <v>4092</v>
      </c>
      <c r="AG50" s="237"/>
      <c r="AH50" s="237"/>
      <c r="AI50" s="237"/>
      <c r="AJ50" s="2"/>
      <c r="AK50" s="2"/>
      <c r="AL50" s="2"/>
      <c r="AM50" s="2"/>
      <c r="AN50" s="7"/>
    </row>
    <row r="51" spans="1:40" ht="13.5" thickBot="1">
      <c r="A51" s="6"/>
      <c r="B51" s="2"/>
      <c r="C51" s="2"/>
      <c r="D51" s="244" t="s">
        <v>273</v>
      </c>
      <c r="E51" s="244"/>
      <c r="F51" s="238" t="s">
        <v>4093</v>
      </c>
      <c r="G51" s="238"/>
      <c r="H51" s="238"/>
      <c r="I51" s="238"/>
      <c r="J51" s="10" t="s">
        <v>4094</v>
      </c>
      <c r="K51" s="238" t="s">
        <v>4095</v>
      </c>
      <c r="L51" s="238"/>
      <c r="M51" s="238"/>
      <c r="N51" s="238" t="s">
        <v>6596</v>
      </c>
      <c r="O51" s="238"/>
      <c r="P51" s="238"/>
      <c r="Q51" s="238" t="s">
        <v>6833</v>
      </c>
      <c r="R51" s="238"/>
      <c r="S51" s="238"/>
      <c r="T51" s="238"/>
      <c r="U51" s="238"/>
      <c r="V51" s="238"/>
      <c r="W51" s="238" t="s">
        <v>4096</v>
      </c>
      <c r="X51" s="238"/>
      <c r="Y51" s="10" t="s">
        <v>6248</v>
      </c>
      <c r="Z51" s="10" t="s">
        <v>4097</v>
      </c>
      <c r="AA51" s="238" t="s">
        <v>4098</v>
      </c>
      <c r="AB51" s="238"/>
      <c r="AC51" s="238"/>
      <c r="AD51" s="238"/>
      <c r="AE51" s="10" t="s">
        <v>5443</v>
      </c>
      <c r="AF51" s="237" t="s">
        <v>4099</v>
      </c>
      <c r="AG51" s="237"/>
      <c r="AH51" s="237"/>
      <c r="AI51" s="237"/>
      <c r="AJ51" s="2"/>
      <c r="AK51" s="2"/>
      <c r="AL51" s="2"/>
      <c r="AM51" s="2"/>
      <c r="AN51" s="7"/>
    </row>
    <row r="52" spans="1:40" ht="13.5" thickBot="1">
      <c r="A52" s="6"/>
      <c r="B52" s="2"/>
      <c r="C52" s="2"/>
      <c r="D52" s="244" t="s">
        <v>285</v>
      </c>
      <c r="E52" s="244"/>
      <c r="F52" s="238" t="s">
        <v>5410</v>
      </c>
      <c r="G52" s="238"/>
      <c r="H52" s="238"/>
      <c r="I52" s="238"/>
      <c r="J52" s="10" t="s">
        <v>4100</v>
      </c>
      <c r="K52" s="238" t="s">
        <v>4101</v>
      </c>
      <c r="L52" s="238"/>
      <c r="M52" s="238"/>
      <c r="N52" s="238" t="s">
        <v>3524</v>
      </c>
      <c r="O52" s="238"/>
      <c r="P52" s="238"/>
      <c r="Q52" s="238" t="s">
        <v>4102</v>
      </c>
      <c r="R52" s="238"/>
      <c r="S52" s="238"/>
      <c r="T52" s="238"/>
      <c r="U52" s="238"/>
      <c r="V52" s="238"/>
      <c r="W52" s="238" t="s">
        <v>4088</v>
      </c>
      <c r="X52" s="238"/>
      <c r="Y52" s="10" t="s">
        <v>4089</v>
      </c>
      <c r="Z52" s="10" t="s">
        <v>4090</v>
      </c>
      <c r="AA52" s="238" t="s">
        <v>4103</v>
      </c>
      <c r="AB52" s="238"/>
      <c r="AC52" s="238"/>
      <c r="AD52" s="238"/>
      <c r="AE52" s="10" t="s">
        <v>6340</v>
      </c>
      <c r="AF52" s="237" t="s">
        <v>4104</v>
      </c>
      <c r="AG52" s="237"/>
      <c r="AH52" s="237"/>
      <c r="AI52" s="237"/>
      <c r="AJ52" s="2"/>
      <c r="AK52" s="2"/>
      <c r="AL52" s="2"/>
      <c r="AM52" s="2"/>
      <c r="AN52" s="7"/>
    </row>
    <row r="53" spans="1:40" ht="13.5" thickBot="1">
      <c r="A53" s="6"/>
      <c r="B53" s="2"/>
      <c r="C53" s="2"/>
      <c r="D53" s="244" t="s">
        <v>295</v>
      </c>
      <c r="E53" s="244"/>
      <c r="F53" s="238" t="s">
        <v>4783</v>
      </c>
      <c r="G53" s="238"/>
      <c r="H53" s="238"/>
      <c r="I53" s="238"/>
      <c r="J53" s="10" t="s">
        <v>4105</v>
      </c>
      <c r="K53" s="238" t="s">
        <v>7121</v>
      </c>
      <c r="L53" s="238"/>
      <c r="M53" s="238"/>
      <c r="N53" s="238" t="s">
        <v>2782</v>
      </c>
      <c r="O53" s="238"/>
      <c r="P53" s="238"/>
      <c r="Q53" s="238" t="s">
        <v>4106</v>
      </c>
      <c r="R53" s="238"/>
      <c r="S53" s="238"/>
      <c r="T53" s="238"/>
      <c r="U53" s="238"/>
      <c r="V53" s="238"/>
      <c r="W53" s="238" t="s">
        <v>4107</v>
      </c>
      <c r="X53" s="238"/>
      <c r="Y53" s="10" t="s">
        <v>4108</v>
      </c>
      <c r="Z53" s="10" t="s">
        <v>4109</v>
      </c>
      <c r="AA53" s="238" t="s">
        <v>4110</v>
      </c>
      <c r="AB53" s="238"/>
      <c r="AC53" s="238"/>
      <c r="AD53" s="238"/>
      <c r="AE53" s="10" t="s">
        <v>4111</v>
      </c>
      <c r="AF53" s="237" t="s">
        <v>4853</v>
      </c>
      <c r="AG53" s="237"/>
      <c r="AH53" s="237"/>
      <c r="AI53" s="237"/>
      <c r="AJ53" s="2"/>
      <c r="AK53" s="2"/>
      <c r="AL53" s="2"/>
      <c r="AM53" s="2"/>
      <c r="AN53" s="7"/>
    </row>
    <row r="54" spans="1:40" ht="13.5" thickBot="1">
      <c r="A54" s="6"/>
      <c r="B54" s="2"/>
      <c r="C54" s="2"/>
      <c r="D54" s="244" t="s">
        <v>307</v>
      </c>
      <c r="E54" s="244"/>
      <c r="F54" s="238" t="s">
        <v>4112</v>
      </c>
      <c r="G54" s="238"/>
      <c r="H54" s="238"/>
      <c r="I54" s="238"/>
      <c r="J54" s="10" t="s">
        <v>3131</v>
      </c>
      <c r="K54" s="238" t="s">
        <v>4835</v>
      </c>
      <c r="L54" s="238"/>
      <c r="M54" s="238"/>
      <c r="N54" s="238" t="s">
        <v>312</v>
      </c>
      <c r="O54" s="238"/>
      <c r="P54" s="238"/>
      <c r="Q54" s="238" t="s">
        <v>4113</v>
      </c>
      <c r="R54" s="238"/>
      <c r="S54" s="238"/>
      <c r="T54" s="238"/>
      <c r="U54" s="238"/>
      <c r="V54" s="238"/>
      <c r="W54" s="238" t="s">
        <v>4114</v>
      </c>
      <c r="X54" s="238"/>
      <c r="Y54" s="10" t="s">
        <v>4115</v>
      </c>
      <c r="Z54" s="10" t="s">
        <v>4116</v>
      </c>
      <c r="AA54" s="238" t="s">
        <v>6433</v>
      </c>
      <c r="AB54" s="238"/>
      <c r="AC54" s="238"/>
      <c r="AD54" s="238"/>
      <c r="AE54" s="10" t="s">
        <v>3219</v>
      </c>
      <c r="AF54" s="237" t="s">
        <v>4117</v>
      </c>
      <c r="AG54" s="237"/>
      <c r="AH54" s="237"/>
      <c r="AI54" s="237"/>
      <c r="AJ54" s="2"/>
      <c r="AK54" s="2"/>
      <c r="AL54" s="2"/>
      <c r="AM54" s="2"/>
      <c r="AN54" s="7"/>
    </row>
    <row r="55" spans="1:40" ht="13.5" thickBot="1">
      <c r="A55" s="6"/>
      <c r="B55" s="2"/>
      <c r="C55" s="2"/>
      <c r="D55" s="244" t="s">
        <v>319</v>
      </c>
      <c r="E55" s="244"/>
      <c r="F55" s="237" t="s">
        <v>5480</v>
      </c>
      <c r="G55" s="237"/>
      <c r="H55" s="237"/>
      <c r="I55" s="237"/>
      <c r="J55" s="11" t="s">
        <v>6093</v>
      </c>
      <c r="K55" s="237" t="s">
        <v>4118</v>
      </c>
      <c r="L55" s="237"/>
      <c r="M55" s="237"/>
      <c r="N55" s="237" t="s">
        <v>3515</v>
      </c>
      <c r="O55" s="237"/>
      <c r="P55" s="237"/>
      <c r="Q55" s="237" t="s">
        <v>4119</v>
      </c>
      <c r="R55" s="237"/>
      <c r="S55" s="237"/>
      <c r="T55" s="237"/>
      <c r="U55" s="237"/>
      <c r="V55" s="237"/>
      <c r="W55" s="237" t="s">
        <v>4120</v>
      </c>
      <c r="X55" s="237"/>
      <c r="Y55" s="11" t="s">
        <v>4121</v>
      </c>
      <c r="Z55" s="11" t="s">
        <v>4122</v>
      </c>
      <c r="AA55" s="237" t="s">
        <v>4123</v>
      </c>
      <c r="AB55" s="237"/>
      <c r="AC55" s="237"/>
      <c r="AD55" s="237"/>
      <c r="AE55" s="11" t="s">
        <v>6953</v>
      </c>
      <c r="AF55" s="237" t="s">
        <v>4124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6.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4125</v>
      </c>
      <c r="E7" s="269"/>
      <c r="F7" s="269"/>
      <c r="G7" s="269"/>
      <c r="H7" s="269" t="s">
        <v>4126</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HUNTERSTON-B2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4067</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3955</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5627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1496</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1496</v>
      </c>
      <c r="N16" s="264"/>
      <c r="O16" s="264"/>
      <c r="P16" s="248" t="s">
        <v>186</v>
      </c>
      <c r="Q16" s="248"/>
      <c r="R16" s="248"/>
      <c r="S16" s="2"/>
      <c r="T16" s="2"/>
      <c r="U16" s="252" t="s">
        <v>187</v>
      </c>
      <c r="V16" s="252"/>
      <c r="W16" s="252"/>
      <c r="X16" s="252"/>
      <c r="Y16" s="252"/>
      <c r="Z16" s="252"/>
      <c r="AA16" s="252"/>
      <c r="AB16" s="247" t="s">
        <v>5709</v>
      </c>
      <c r="AC16" s="247"/>
      <c r="AD16" s="248" t="s">
        <v>4068</v>
      </c>
      <c r="AE16" s="248"/>
      <c r="AF16" s="248"/>
      <c r="AG16" s="248"/>
      <c r="AH16" s="248"/>
      <c r="AI16" s="2"/>
      <c r="AJ16" s="1"/>
      <c r="AK16" s="2"/>
      <c r="AL16" s="1"/>
      <c r="AM16" s="2"/>
      <c r="AN16" s="7"/>
      <c r="AT16" s="24" t="str">
        <f>D17 &amp; " [MWe]"</f>
        <v>Latest gross electrical power [MWe]</v>
      </c>
      <c r="AU16" s="24">
        <f>M17</f>
        <v>644</v>
      </c>
    </row>
    <row r="17" spans="1:47" ht="13.5" thickBot="1">
      <c r="A17" s="6"/>
      <c r="B17" s="1"/>
      <c r="C17" s="1"/>
      <c r="D17" s="248" t="s">
        <v>189</v>
      </c>
      <c r="E17" s="248"/>
      <c r="F17" s="248"/>
      <c r="G17" s="248"/>
      <c r="H17" s="248"/>
      <c r="I17" s="248"/>
      <c r="J17" s="248"/>
      <c r="K17" s="248"/>
      <c r="L17" s="8" t="s">
        <v>5709</v>
      </c>
      <c r="M17" s="264">
        <v>644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430</v>
      </c>
    </row>
    <row r="18" spans="1:47" ht="13.5" thickBot="1">
      <c r="A18" s="6"/>
      <c r="B18" s="1"/>
      <c r="C18" s="1"/>
      <c r="D18" s="248" t="s">
        <v>193</v>
      </c>
      <c r="E18" s="248"/>
      <c r="F18" s="248"/>
      <c r="G18" s="248"/>
      <c r="H18" s="248"/>
      <c r="I18" s="248"/>
      <c r="J18" s="248"/>
      <c r="K18" s="248"/>
      <c r="L18" s="8" t="s">
        <v>5709</v>
      </c>
      <c r="M18" s="264">
        <v>624</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28215</v>
      </c>
    </row>
    <row r="19" spans="1:47" ht="13.5" thickBot="1">
      <c r="A19" s="6"/>
      <c r="B19" s="1"/>
      <c r="C19" s="1"/>
      <c r="D19" s="248" t="s">
        <v>196</v>
      </c>
      <c r="E19" s="248"/>
      <c r="F19" s="248"/>
      <c r="G19" s="248"/>
      <c r="H19" s="248"/>
      <c r="I19" s="248"/>
      <c r="J19" s="248"/>
      <c r="K19" s="248"/>
      <c r="L19" s="8" t="s">
        <v>5709</v>
      </c>
      <c r="M19" s="264">
        <v>430</v>
      </c>
      <c r="N19" s="264"/>
      <c r="O19" s="264"/>
      <c r="P19" s="248" t="s">
        <v>190</v>
      </c>
      <c r="Q19" s="248"/>
      <c r="R19" s="248"/>
      <c r="S19" s="2"/>
      <c r="T19" s="2"/>
      <c r="U19" s="252" t="s">
        <v>197</v>
      </c>
      <c r="V19" s="252"/>
      <c r="W19" s="252"/>
      <c r="X19" s="252"/>
      <c r="Y19" s="252"/>
      <c r="Z19" s="252"/>
      <c r="AA19" s="252"/>
      <c r="AB19" s="247" t="s">
        <v>5709</v>
      </c>
      <c r="AC19" s="247"/>
      <c r="AD19" s="248" t="s">
        <v>4069</v>
      </c>
      <c r="AE19" s="248"/>
      <c r="AF19" s="248"/>
      <c r="AG19" s="248"/>
      <c r="AH19" s="248"/>
      <c r="AI19" s="2"/>
      <c r="AJ19" s="1"/>
      <c r="AK19" s="2"/>
      <c r="AL19" s="1"/>
      <c r="AM19" s="2"/>
      <c r="AN19" s="7"/>
      <c r="AT19" s="23" t="str">
        <f>U19</f>
        <v>Average discharge burnup  [MWd/t]</v>
      </c>
      <c r="AU19" s="23" t="str">
        <f>AD19</f>
        <v>21000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1959</v>
      </c>
      <c r="AE20" s="248"/>
      <c r="AF20" s="248"/>
      <c r="AG20" s="248"/>
      <c r="AH20" s="248"/>
      <c r="AI20" s="2"/>
      <c r="AJ20" s="1"/>
      <c r="AK20" s="2"/>
      <c r="AL20" s="1"/>
      <c r="AM20" s="2"/>
      <c r="AN20" s="7"/>
      <c r="AT20" s="23" t="str">
        <f>D55 &amp; Q48</f>
        <v>LF [%]2005</v>
      </c>
      <c r="AU20" s="23" t="str">
        <f>Q55</f>
        <v>69.71</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4070</v>
      </c>
      <c r="AE21" s="248"/>
      <c r="AF21" s="248"/>
      <c r="AG21" s="248"/>
      <c r="AH21" s="248"/>
      <c r="AI21" s="2"/>
      <c r="AJ21" s="1"/>
      <c r="AK21" s="2"/>
      <c r="AL21" s="1"/>
      <c r="AM21" s="2"/>
      <c r="AN21" s="7"/>
      <c r="AT21" s="23" t="str">
        <f>D55&amp;AE48</f>
        <v>LF [%]2010</v>
      </c>
      <c r="AU21" s="23" t="str">
        <f>AE55</f>
        <v>85.45</v>
      </c>
    </row>
    <row r="22" spans="1:47" ht="8.85" customHeight="1" thickBot="1">
      <c r="A22" s="6"/>
      <c r="B22" s="1"/>
      <c r="C22" s="1"/>
      <c r="D22" s="248" t="s">
        <v>205</v>
      </c>
      <c r="E22" s="248"/>
      <c r="F22" s="248"/>
      <c r="G22" s="248"/>
      <c r="H22" s="248"/>
      <c r="I22" s="248"/>
      <c r="J22" s="248"/>
      <c r="K22" s="248"/>
      <c r="L22" s="247" t="s">
        <v>5709</v>
      </c>
      <c r="M22" s="259">
        <v>24777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3957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28215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4071</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28215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4072</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4073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4074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422</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4127</v>
      </c>
      <c r="G49" s="238"/>
      <c r="H49" s="238"/>
      <c r="I49" s="238"/>
      <c r="J49" s="10" t="s">
        <v>4128</v>
      </c>
      <c r="K49" s="238" t="s">
        <v>4129</v>
      </c>
      <c r="L49" s="238"/>
      <c r="M49" s="238"/>
      <c r="N49" s="238" t="s">
        <v>4130</v>
      </c>
      <c r="O49" s="238"/>
      <c r="P49" s="238"/>
      <c r="Q49" s="238" t="s">
        <v>4131</v>
      </c>
      <c r="R49" s="238"/>
      <c r="S49" s="238"/>
      <c r="T49" s="238"/>
      <c r="U49" s="238"/>
      <c r="V49" s="238"/>
      <c r="W49" s="238" t="s">
        <v>4132</v>
      </c>
      <c r="X49" s="238"/>
      <c r="Y49" s="10" t="s">
        <v>4133</v>
      </c>
      <c r="Z49" s="10" t="s">
        <v>4134</v>
      </c>
      <c r="AA49" s="238" t="s">
        <v>4135</v>
      </c>
      <c r="AB49" s="238"/>
      <c r="AC49" s="238"/>
      <c r="AD49" s="238"/>
      <c r="AE49" s="10" t="s">
        <v>4136</v>
      </c>
      <c r="AF49" s="237" t="s">
        <v>4137</v>
      </c>
      <c r="AG49" s="237"/>
      <c r="AH49" s="237"/>
      <c r="AI49" s="237"/>
      <c r="AJ49" s="2"/>
      <c r="AK49" s="2"/>
      <c r="AL49" s="2"/>
      <c r="AM49" s="2"/>
      <c r="AN49" s="7"/>
    </row>
    <row r="50" spans="1:40" ht="13.5" thickBot="1">
      <c r="A50" s="6"/>
      <c r="B50" s="2"/>
      <c r="C50" s="2"/>
      <c r="D50" s="244" t="s">
        <v>261</v>
      </c>
      <c r="E50" s="244"/>
      <c r="F50" s="238" t="s">
        <v>4138</v>
      </c>
      <c r="G50" s="238"/>
      <c r="H50" s="238"/>
      <c r="I50" s="238"/>
      <c r="J50" s="10" t="s">
        <v>4139</v>
      </c>
      <c r="K50" s="238" t="s">
        <v>6007</v>
      </c>
      <c r="L50" s="238"/>
      <c r="M50" s="238"/>
      <c r="N50" s="238" t="s">
        <v>4140</v>
      </c>
      <c r="O50" s="238"/>
      <c r="P50" s="238"/>
      <c r="Q50" s="238" t="s">
        <v>4141</v>
      </c>
      <c r="R50" s="238"/>
      <c r="S50" s="238"/>
      <c r="T50" s="238"/>
      <c r="U50" s="238"/>
      <c r="V50" s="238"/>
      <c r="W50" s="238" t="s">
        <v>4142</v>
      </c>
      <c r="X50" s="238"/>
      <c r="Y50" s="10" t="s">
        <v>4143</v>
      </c>
      <c r="Z50" s="10" t="s">
        <v>4144</v>
      </c>
      <c r="AA50" s="238" t="s">
        <v>2806</v>
      </c>
      <c r="AB50" s="238"/>
      <c r="AC50" s="238"/>
      <c r="AD50" s="238"/>
      <c r="AE50" s="10" t="s">
        <v>3564</v>
      </c>
      <c r="AF50" s="237" t="s">
        <v>5263</v>
      </c>
      <c r="AG50" s="237"/>
      <c r="AH50" s="237"/>
      <c r="AI50" s="237"/>
      <c r="AJ50" s="2"/>
      <c r="AK50" s="2"/>
      <c r="AL50" s="2"/>
      <c r="AM50" s="2"/>
      <c r="AN50" s="7"/>
    </row>
    <row r="51" spans="1:40" ht="13.5" thickBot="1">
      <c r="A51" s="6"/>
      <c r="B51" s="2"/>
      <c r="C51" s="2"/>
      <c r="D51" s="244" t="s">
        <v>273</v>
      </c>
      <c r="E51" s="244"/>
      <c r="F51" s="238" t="s">
        <v>4145</v>
      </c>
      <c r="G51" s="238"/>
      <c r="H51" s="238"/>
      <c r="I51" s="238"/>
      <c r="J51" s="10" t="s">
        <v>4146</v>
      </c>
      <c r="K51" s="238" t="s">
        <v>3451</v>
      </c>
      <c r="L51" s="238"/>
      <c r="M51" s="238"/>
      <c r="N51" s="238" t="s">
        <v>4147</v>
      </c>
      <c r="O51" s="238"/>
      <c r="P51" s="238"/>
      <c r="Q51" s="238" t="s">
        <v>4148</v>
      </c>
      <c r="R51" s="238"/>
      <c r="S51" s="238"/>
      <c r="T51" s="238"/>
      <c r="U51" s="238"/>
      <c r="V51" s="238"/>
      <c r="W51" s="238" t="s">
        <v>3267</v>
      </c>
      <c r="X51" s="238"/>
      <c r="Y51" s="10" t="s">
        <v>4149</v>
      </c>
      <c r="Z51" s="10" t="s">
        <v>4150</v>
      </c>
      <c r="AA51" s="238" t="s">
        <v>357</v>
      </c>
      <c r="AB51" s="238"/>
      <c r="AC51" s="238"/>
      <c r="AD51" s="238"/>
      <c r="AE51" s="10" t="s">
        <v>4151</v>
      </c>
      <c r="AF51" s="237" t="s">
        <v>4152</v>
      </c>
      <c r="AG51" s="237"/>
      <c r="AH51" s="237"/>
      <c r="AI51" s="237"/>
      <c r="AJ51" s="2"/>
      <c r="AK51" s="2"/>
      <c r="AL51" s="2"/>
      <c r="AM51" s="2"/>
      <c r="AN51" s="7"/>
    </row>
    <row r="52" spans="1:40" ht="13.5" thickBot="1">
      <c r="A52" s="6"/>
      <c r="B52" s="2"/>
      <c r="C52" s="2"/>
      <c r="D52" s="244" t="s">
        <v>285</v>
      </c>
      <c r="E52" s="244"/>
      <c r="F52" s="238" t="s">
        <v>4138</v>
      </c>
      <c r="G52" s="238"/>
      <c r="H52" s="238"/>
      <c r="I52" s="238"/>
      <c r="J52" s="10" t="s">
        <v>4139</v>
      </c>
      <c r="K52" s="238" t="s">
        <v>4011</v>
      </c>
      <c r="L52" s="238"/>
      <c r="M52" s="238"/>
      <c r="N52" s="238" t="s">
        <v>4138</v>
      </c>
      <c r="O52" s="238"/>
      <c r="P52" s="238"/>
      <c r="Q52" s="238" t="s">
        <v>0</v>
      </c>
      <c r="R52" s="238"/>
      <c r="S52" s="238"/>
      <c r="T52" s="238"/>
      <c r="U52" s="238"/>
      <c r="V52" s="238"/>
      <c r="W52" s="238" t="s">
        <v>4142</v>
      </c>
      <c r="X52" s="238"/>
      <c r="Y52" s="10" t="s">
        <v>4143</v>
      </c>
      <c r="Z52" s="10" t="s">
        <v>4144</v>
      </c>
      <c r="AA52" s="238" t="s">
        <v>2806</v>
      </c>
      <c r="AB52" s="238"/>
      <c r="AC52" s="238"/>
      <c r="AD52" s="238"/>
      <c r="AE52" s="10" t="s">
        <v>4948</v>
      </c>
      <c r="AF52" s="237" t="s">
        <v>3739</v>
      </c>
      <c r="AG52" s="237"/>
      <c r="AH52" s="237"/>
      <c r="AI52" s="237"/>
      <c r="AJ52" s="2"/>
      <c r="AK52" s="2"/>
      <c r="AL52" s="2"/>
      <c r="AM52" s="2"/>
      <c r="AN52" s="7"/>
    </row>
    <row r="53" spans="1:40" ht="13.5" thickBot="1">
      <c r="A53" s="6"/>
      <c r="B53" s="2"/>
      <c r="C53" s="2"/>
      <c r="D53" s="244" t="s">
        <v>295</v>
      </c>
      <c r="E53" s="244"/>
      <c r="F53" s="238" t="s">
        <v>5164</v>
      </c>
      <c r="G53" s="238"/>
      <c r="H53" s="238"/>
      <c r="I53" s="238"/>
      <c r="J53" s="10" t="s">
        <v>2798</v>
      </c>
      <c r="K53" s="238" t="s">
        <v>6313</v>
      </c>
      <c r="L53" s="238"/>
      <c r="M53" s="238"/>
      <c r="N53" s="238" t="s">
        <v>1</v>
      </c>
      <c r="O53" s="238"/>
      <c r="P53" s="238"/>
      <c r="Q53" s="238" t="s">
        <v>1</v>
      </c>
      <c r="R53" s="238"/>
      <c r="S53" s="238"/>
      <c r="T53" s="238"/>
      <c r="U53" s="238"/>
      <c r="V53" s="238"/>
      <c r="W53" s="238" t="s">
        <v>2</v>
      </c>
      <c r="X53" s="238"/>
      <c r="Y53" s="10" t="s">
        <v>3</v>
      </c>
      <c r="Z53" s="10" t="s">
        <v>6595</v>
      </c>
      <c r="AA53" s="238" t="s">
        <v>4</v>
      </c>
      <c r="AB53" s="238"/>
      <c r="AC53" s="238"/>
      <c r="AD53" s="238"/>
      <c r="AE53" s="10" t="s">
        <v>5</v>
      </c>
      <c r="AF53" s="237" t="s">
        <v>6</v>
      </c>
      <c r="AG53" s="237"/>
      <c r="AH53" s="237"/>
      <c r="AI53" s="237"/>
      <c r="AJ53" s="2"/>
      <c r="AK53" s="2"/>
      <c r="AL53" s="2"/>
      <c r="AM53" s="2"/>
      <c r="AN53" s="7"/>
    </row>
    <row r="54" spans="1:40" ht="13.5" thickBot="1">
      <c r="A54" s="6"/>
      <c r="B54" s="2"/>
      <c r="C54" s="2"/>
      <c r="D54" s="244" t="s">
        <v>307</v>
      </c>
      <c r="E54" s="244"/>
      <c r="F54" s="238" t="s">
        <v>7</v>
      </c>
      <c r="G54" s="238"/>
      <c r="H54" s="238"/>
      <c r="I54" s="238"/>
      <c r="J54" s="10" t="s">
        <v>6241</v>
      </c>
      <c r="K54" s="238" t="s">
        <v>8</v>
      </c>
      <c r="L54" s="238"/>
      <c r="M54" s="238"/>
      <c r="N54" s="238" t="s">
        <v>9</v>
      </c>
      <c r="O54" s="238"/>
      <c r="P54" s="238"/>
      <c r="Q54" s="238" t="s">
        <v>6826</v>
      </c>
      <c r="R54" s="238"/>
      <c r="S54" s="238"/>
      <c r="T54" s="238"/>
      <c r="U54" s="238"/>
      <c r="V54" s="238"/>
      <c r="W54" s="238" t="s">
        <v>10</v>
      </c>
      <c r="X54" s="238"/>
      <c r="Y54" s="10" t="s">
        <v>11</v>
      </c>
      <c r="Z54" s="10" t="s">
        <v>12</v>
      </c>
      <c r="AA54" s="238" t="s">
        <v>13</v>
      </c>
      <c r="AB54" s="238"/>
      <c r="AC54" s="238"/>
      <c r="AD54" s="238"/>
      <c r="AE54" s="10" t="s">
        <v>1975</v>
      </c>
      <c r="AF54" s="237" t="s">
        <v>14</v>
      </c>
      <c r="AG54" s="237"/>
      <c r="AH54" s="237"/>
      <c r="AI54" s="237"/>
      <c r="AJ54" s="2"/>
      <c r="AK54" s="2"/>
      <c r="AL54" s="2"/>
      <c r="AM54" s="2"/>
      <c r="AN54" s="7"/>
    </row>
    <row r="55" spans="1:40" ht="13.5" thickBot="1">
      <c r="A55" s="6"/>
      <c r="B55" s="2"/>
      <c r="C55" s="2"/>
      <c r="D55" s="244" t="s">
        <v>319</v>
      </c>
      <c r="E55" s="244"/>
      <c r="F55" s="237" t="s">
        <v>15</v>
      </c>
      <c r="G55" s="237"/>
      <c r="H55" s="237"/>
      <c r="I55" s="237"/>
      <c r="J55" s="11" t="s">
        <v>16</v>
      </c>
      <c r="K55" s="237" t="s">
        <v>3188</v>
      </c>
      <c r="L55" s="237"/>
      <c r="M55" s="237"/>
      <c r="N55" s="237" t="s">
        <v>6650</v>
      </c>
      <c r="O55" s="237"/>
      <c r="P55" s="237"/>
      <c r="Q55" s="237" t="s">
        <v>5041</v>
      </c>
      <c r="R55" s="237"/>
      <c r="S55" s="237"/>
      <c r="T55" s="237"/>
      <c r="U55" s="237"/>
      <c r="V55" s="237"/>
      <c r="W55" s="237" t="s">
        <v>17</v>
      </c>
      <c r="X55" s="237"/>
      <c r="Y55" s="11" t="s">
        <v>18</v>
      </c>
      <c r="Z55" s="11" t="s">
        <v>19</v>
      </c>
      <c r="AA55" s="237" t="s">
        <v>6174</v>
      </c>
      <c r="AB55" s="237"/>
      <c r="AC55" s="237"/>
      <c r="AD55" s="237"/>
      <c r="AE55" s="11" t="s">
        <v>4005</v>
      </c>
      <c r="AF55" s="237" t="s">
        <v>20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21</v>
      </c>
      <c r="E7" s="269"/>
      <c r="F7" s="269"/>
      <c r="G7" s="269"/>
      <c r="H7" s="269" t="s">
        <v>22</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OLDBURY-A1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23</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24</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3955</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5627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MAGNOX</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730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730</v>
      </c>
      <c r="N16" s="264"/>
      <c r="O16" s="264"/>
      <c r="P16" s="248" t="s">
        <v>186</v>
      </c>
      <c r="Q16" s="248"/>
      <c r="R16" s="248"/>
      <c r="S16" s="2"/>
      <c r="T16" s="2"/>
      <c r="U16" s="252" t="s">
        <v>187</v>
      </c>
      <c r="V16" s="252"/>
      <c r="W16" s="252"/>
      <c r="X16" s="252"/>
      <c r="Y16" s="252"/>
      <c r="Z16" s="252"/>
      <c r="AA16" s="252"/>
      <c r="AB16" s="247" t="s">
        <v>5709</v>
      </c>
      <c r="AC16" s="247"/>
      <c r="AD16" s="248" t="s">
        <v>3650</v>
      </c>
      <c r="AE16" s="248"/>
      <c r="AF16" s="248"/>
      <c r="AG16" s="248"/>
      <c r="AH16" s="248"/>
      <c r="AI16" s="2"/>
      <c r="AJ16" s="1"/>
      <c r="AK16" s="2"/>
      <c r="AL16" s="1"/>
      <c r="AM16" s="2"/>
      <c r="AN16" s="7"/>
      <c r="AT16" s="24" t="str">
        <f>D17 &amp; " [MWe]"</f>
        <v>Latest gross electrical power [MWe]</v>
      </c>
      <c r="AU16" s="24">
        <f>M17</f>
        <v>230</v>
      </c>
    </row>
    <row r="17" spans="1:47" ht="13.5" thickBot="1">
      <c r="A17" s="6"/>
      <c r="B17" s="1"/>
      <c r="C17" s="1"/>
      <c r="D17" s="248" t="s">
        <v>189</v>
      </c>
      <c r="E17" s="248"/>
      <c r="F17" s="248"/>
      <c r="G17" s="248"/>
      <c r="H17" s="248"/>
      <c r="I17" s="248"/>
      <c r="J17" s="248"/>
      <c r="K17" s="248"/>
      <c r="L17" s="8" t="s">
        <v>5709</v>
      </c>
      <c r="M17" s="264">
        <v>230</v>
      </c>
      <c r="N17" s="264"/>
      <c r="O17" s="264"/>
      <c r="P17" s="248" t="s">
        <v>190</v>
      </c>
      <c r="Q17" s="248"/>
      <c r="R17" s="248"/>
      <c r="S17" s="2"/>
      <c r="T17" s="2"/>
      <c r="U17" s="252" t="s">
        <v>191</v>
      </c>
      <c r="V17" s="252"/>
      <c r="W17" s="252"/>
      <c r="X17" s="252"/>
      <c r="Y17" s="252"/>
      <c r="Z17" s="252"/>
      <c r="AA17" s="252"/>
      <c r="AB17" s="247" t="s">
        <v>5709</v>
      </c>
      <c r="AC17" s="247"/>
      <c r="AD17" s="248" t="s">
        <v>26</v>
      </c>
      <c r="AE17" s="248"/>
      <c r="AF17" s="248"/>
      <c r="AG17" s="248"/>
      <c r="AH17" s="248"/>
      <c r="AI17" s="2"/>
      <c r="AJ17" s="1"/>
      <c r="AK17" s="2"/>
      <c r="AL17" s="1"/>
      <c r="AM17" s="2"/>
      <c r="AN17" s="7"/>
      <c r="AT17" s="24" t="str">
        <f>D19 &amp; " [MWe]"</f>
        <v>Latest reference unit power (net) [MWe]</v>
      </c>
      <c r="AU17" s="24">
        <f>M19</f>
        <v>217</v>
      </c>
    </row>
    <row r="18" spans="1:47" ht="13.5" thickBot="1">
      <c r="A18" s="6"/>
      <c r="B18" s="1"/>
      <c r="C18" s="1"/>
      <c r="D18" s="248" t="s">
        <v>193</v>
      </c>
      <c r="E18" s="248"/>
      <c r="F18" s="248"/>
      <c r="G18" s="248"/>
      <c r="H18" s="248"/>
      <c r="I18" s="248"/>
      <c r="J18" s="248"/>
      <c r="K18" s="248"/>
      <c r="L18" s="8" t="s">
        <v>5709</v>
      </c>
      <c r="M18" s="264">
        <v>300</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24783</v>
      </c>
    </row>
    <row r="19" spans="1:47" ht="13.5" thickBot="1">
      <c r="A19" s="6"/>
      <c r="B19" s="1"/>
      <c r="C19" s="1"/>
      <c r="D19" s="248" t="s">
        <v>196</v>
      </c>
      <c r="E19" s="248"/>
      <c r="F19" s="248"/>
      <c r="G19" s="248"/>
      <c r="H19" s="248"/>
      <c r="I19" s="248"/>
      <c r="J19" s="248"/>
      <c r="K19" s="248"/>
      <c r="L19" s="8" t="s">
        <v>5709</v>
      </c>
      <c r="M19" s="264">
        <v>217</v>
      </c>
      <c r="N19" s="264"/>
      <c r="O19" s="264"/>
      <c r="P19" s="248" t="s">
        <v>190</v>
      </c>
      <c r="Q19" s="248"/>
      <c r="R19" s="248"/>
      <c r="S19" s="2"/>
      <c r="T19" s="2"/>
      <c r="U19" s="252" t="s">
        <v>197</v>
      </c>
      <c r="V19" s="252"/>
      <c r="W19" s="252"/>
      <c r="X19" s="252"/>
      <c r="Y19" s="252"/>
      <c r="Z19" s="252"/>
      <c r="AA19" s="252"/>
      <c r="AB19" s="247" t="s">
        <v>5709</v>
      </c>
      <c r="AC19" s="247"/>
      <c r="AD19" s="248" t="s">
        <v>27</v>
      </c>
      <c r="AE19" s="248"/>
      <c r="AF19" s="248"/>
      <c r="AG19" s="248"/>
      <c r="AH19" s="248"/>
      <c r="AI19" s="2"/>
      <c r="AJ19" s="1"/>
      <c r="AK19" s="2"/>
      <c r="AL19" s="1"/>
      <c r="AM19" s="2"/>
      <c r="AN19" s="7"/>
      <c r="AT19" s="23" t="str">
        <f>U19</f>
        <v>Average discharge burnup  [MWd/t]</v>
      </c>
      <c r="AU19" s="23" t="str">
        <f>AD19</f>
        <v>5430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2926</v>
      </c>
      <c r="AE20" s="248"/>
      <c r="AF20" s="248"/>
      <c r="AG20" s="248"/>
      <c r="AH20" s="248"/>
      <c r="AI20" s="2"/>
      <c r="AJ20" s="1"/>
      <c r="AK20" s="2"/>
      <c r="AL20" s="1"/>
      <c r="AM20" s="2"/>
      <c r="AN20" s="7"/>
      <c r="AT20" s="23" t="str">
        <f>D55 &amp; Q48</f>
        <v>LF [%]2005</v>
      </c>
      <c r="AU20" s="23" t="str">
        <f>Q55</f>
        <v>39.17</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v>
      </c>
      <c r="AE21" s="248"/>
      <c r="AF21" s="248"/>
      <c r="AG21" s="248"/>
      <c r="AH21" s="248"/>
      <c r="AI21" s="2"/>
      <c r="AJ21" s="1"/>
      <c r="AK21" s="2"/>
      <c r="AL21" s="1"/>
      <c r="AM21" s="2"/>
      <c r="AN21" s="7"/>
      <c r="AT21" s="23" t="str">
        <f>D55&amp;AE48</f>
        <v>LF [%]2010</v>
      </c>
      <c r="AU21" s="23" t="str">
        <f>AE55</f>
        <v>90.92</v>
      </c>
    </row>
    <row r="22" spans="1:47" ht="8.85" customHeight="1" thickBot="1">
      <c r="A22" s="6"/>
      <c r="B22" s="1"/>
      <c r="C22" s="1"/>
      <c r="D22" s="248" t="s">
        <v>205</v>
      </c>
      <c r="E22" s="248"/>
      <c r="F22" s="248"/>
      <c r="G22" s="248"/>
      <c r="H22" s="248"/>
      <c r="I22" s="248"/>
      <c r="J22" s="248"/>
      <c r="K22" s="248"/>
      <c r="L22" s="247" t="s">
        <v>5709</v>
      </c>
      <c r="M22" s="259">
        <v>22767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29</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24783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30</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24837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6932</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31</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34</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35</v>
      </c>
      <c r="G49" s="238"/>
      <c r="H49" s="238"/>
      <c r="I49" s="238"/>
      <c r="J49" s="10" t="s">
        <v>36</v>
      </c>
      <c r="K49" s="238" t="s">
        <v>37</v>
      </c>
      <c r="L49" s="238"/>
      <c r="M49" s="238"/>
      <c r="N49" s="238" t="s">
        <v>38</v>
      </c>
      <c r="O49" s="238"/>
      <c r="P49" s="238"/>
      <c r="Q49" s="238" t="s">
        <v>39</v>
      </c>
      <c r="R49" s="238"/>
      <c r="S49" s="238"/>
      <c r="T49" s="238"/>
      <c r="U49" s="238"/>
      <c r="V49" s="238"/>
      <c r="W49" s="238" t="s">
        <v>40</v>
      </c>
      <c r="X49" s="238"/>
      <c r="Y49" s="10" t="s">
        <v>6087</v>
      </c>
      <c r="Z49" s="10" t="s">
        <v>6087</v>
      </c>
      <c r="AA49" s="238" t="s">
        <v>41</v>
      </c>
      <c r="AB49" s="238"/>
      <c r="AC49" s="238"/>
      <c r="AD49" s="238"/>
      <c r="AE49" s="10" t="s">
        <v>42</v>
      </c>
      <c r="AF49" s="237" t="s">
        <v>43</v>
      </c>
      <c r="AG49" s="237"/>
      <c r="AH49" s="237"/>
      <c r="AI49" s="237"/>
      <c r="AJ49" s="2"/>
      <c r="AK49" s="2"/>
      <c r="AL49" s="2"/>
      <c r="AM49" s="2"/>
      <c r="AN49" s="7"/>
    </row>
    <row r="50" spans="1:40" ht="13.5" thickBot="1">
      <c r="A50" s="6"/>
      <c r="B50" s="2"/>
      <c r="C50" s="2"/>
      <c r="D50" s="244" t="s">
        <v>261</v>
      </c>
      <c r="E50" s="244"/>
      <c r="F50" s="238" t="s">
        <v>44</v>
      </c>
      <c r="G50" s="238"/>
      <c r="H50" s="238"/>
      <c r="I50" s="238"/>
      <c r="J50" s="10" t="s">
        <v>3384</v>
      </c>
      <c r="K50" s="238" t="s">
        <v>4032</v>
      </c>
      <c r="L50" s="238"/>
      <c r="M50" s="238"/>
      <c r="N50" s="238" t="s">
        <v>45</v>
      </c>
      <c r="O50" s="238"/>
      <c r="P50" s="238"/>
      <c r="Q50" s="238" t="s">
        <v>46</v>
      </c>
      <c r="R50" s="238"/>
      <c r="S50" s="238"/>
      <c r="T50" s="238"/>
      <c r="U50" s="238"/>
      <c r="V50" s="238"/>
      <c r="W50" s="238" t="s">
        <v>47</v>
      </c>
      <c r="X50" s="238"/>
      <c r="Y50" s="10" t="s">
        <v>6087</v>
      </c>
      <c r="Z50" s="10" t="s">
        <v>6087</v>
      </c>
      <c r="AA50" s="238" t="s">
        <v>48</v>
      </c>
      <c r="AB50" s="238"/>
      <c r="AC50" s="238"/>
      <c r="AD50" s="238"/>
      <c r="AE50" s="10" t="s">
        <v>4327</v>
      </c>
      <c r="AF50" s="237" t="s">
        <v>49</v>
      </c>
      <c r="AG50" s="237"/>
      <c r="AH50" s="237"/>
      <c r="AI50" s="237"/>
      <c r="AJ50" s="2"/>
      <c r="AK50" s="2"/>
      <c r="AL50" s="2"/>
      <c r="AM50" s="2"/>
      <c r="AN50" s="7"/>
    </row>
    <row r="51" spans="1:40" ht="13.5" thickBot="1">
      <c r="A51" s="6"/>
      <c r="B51" s="2"/>
      <c r="C51" s="2"/>
      <c r="D51" s="244" t="s">
        <v>273</v>
      </c>
      <c r="E51" s="244"/>
      <c r="F51" s="238" t="s">
        <v>50</v>
      </c>
      <c r="G51" s="238"/>
      <c r="H51" s="238"/>
      <c r="I51" s="238"/>
      <c r="J51" s="10" t="s">
        <v>6087</v>
      </c>
      <c r="K51" s="238" t="s">
        <v>6087</v>
      </c>
      <c r="L51" s="238"/>
      <c r="M51" s="238"/>
      <c r="N51" s="238" t="s">
        <v>51</v>
      </c>
      <c r="O51" s="238"/>
      <c r="P51" s="238"/>
      <c r="Q51" s="238" t="s">
        <v>52</v>
      </c>
      <c r="R51" s="238"/>
      <c r="S51" s="238"/>
      <c r="T51" s="238"/>
      <c r="U51" s="238"/>
      <c r="V51" s="238"/>
      <c r="W51" s="238" t="s">
        <v>53</v>
      </c>
      <c r="X51" s="238"/>
      <c r="Y51" s="10" t="s">
        <v>2746</v>
      </c>
      <c r="Z51" s="10" t="s">
        <v>2746</v>
      </c>
      <c r="AA51" s="238" t="s">
        <v>54</v>
      </c>
      <c r="AB51" s="238"/>
      <c r="AC51" s="238"/>
      <c r="AD51" s="238"/>
      <c r="AE51" s="10" t="s">
        <v>6087</v>
      </c>
      <c r="AF51" s="237" t="s">
        <v>55</v>
      </c>
      <c r="AG51" s="237"/>
      <c r="AH51" s="237"/>
      <c r="AI51" s="237"/>
      <c r="AJ51" s="2"/>
      <c r="AK51" s="2"/>
      <c r="AL51" s="2"/>
      <c r="AM51" s="2"/>
      <c r="AN51" s="7"/>
    </row>
    <row r="52" spans="1:40" ht="13.5" thickBot="1">
      <c r="A52" s="6"/>
      <c r="B52" s="2"/>
      <c r="C52" s="2"/>
      <c r="D52" s="244" t="s">
        <v>285</v>
      </c>
      <c r="E52" s="244"/>
      <c r="F52" s="238" t="s">
        <v>44</v>
      </c>
      <c r="G52" s="238"/>
      <c r="H52" s="238"/>
      <c r="I52" s="238"/>
      <c r="J52" s="10" t="s">
        <v>3384</v>
      </c>
      <c r="K52" s="238" t="s">
        <v>4032</v>
      </c>
      <c r="L52" s="238"/>
      <c r="M52" s="238"/>
      <c r="N52" s="238" t="s">
        <v>45</v>
      </c>
      <c r="O52" s="238"/>
      <c r="P52" s="238"/>
      <c r="Q52" s="238" t="s">
        <v>46</v>
      </c>
      <c r="R52" s="238"/>
      <c r="S52" s="238"/>
      <c r="T52" s="238"/>
      <c r="U52" s="238"/>
      <c r="V52" s="238"/>
      <c r="W52" s="238" t="s">
        <v>47</v>
      </c>
      <c r="X52" s="238"/>
      <c r="Y52" s="10" t="s">
        <v>6087</v>
      </c>
      <c r="Z52" s="10" t="s">
        <v>6087</v>
      </c>
      <c r="AA52" s="238" t="s">
        <v>48</v>
      </c>
      <c r="AB52" s="238"/>
      <c r="AC52" s="238"/>
      <c r="AD52" s="238"/>
      <c r="AE52" s="10" t="s">
        <v>4327</v>
      </c>
      <c r="AF52" s="237" t="s">
        <v>56</v>
      </c>
      <c r="AG52" s="237"/>
      <c r="AH52" s="237"/>
      <c r="AI52" s="237"/>
      <c r="AJ52" s="2"/>
      <c r="AK52" s="2"/>
      <c r="AL52" s="2"/>
      <c r="AM52" s="2"/>
      <c r="AN52" s="7"/>
    </row>
    <row r="53" spans="1:40" ht="13.5" thickBot="1">
      <c r="A53" s="6"/>
      <c r="B53" s="2"/>
      <c r="C53" s="2"/>
      <c r="D53" s="244" t="s">
        <v>295</v>
      </c>
      <c r="E53" s="244"/>
      <c r="F53" s="238" t="s">
        <v>57</v>
      </c>
      <c r="G53" s="238"/>
      <c r="H53" s="238"/>
      <c r="I53" s="238"/>
      <c r="J53" s="10" t="s">
        <v>58</v>
      </c>
      <c r="K53" s="238" t="s">
        <v>59</v>
      </c>
      <c r="L53" s="238"/>
      <c r="M53" s="238"/>
      <c r="N53" s="238" t="s">
        <v>60</v>
      </c>
      <c r="O53" s="238"/>
      <c r="P53" s="238"/>
      <c r="Q53" s="238" t="s">
        <v>61</v>
      </c>
      <c r="R53" s="238"/>
      <c r="S53" s="238"/>
      <c r="T53" s="238"/>
      <c r="U53" s="238"/>
      <c r="V53" s="238"/>
      <c r="W53" s="238" t="s">
        <v>5449</v>
      </c>
      <c r="X53" s="238"/>
      <c r="Y53" s="10" t="s">
        <v>6087</v>
      </c>
      <c r="Z53" s="10" t="s">
        <v>6087</v>
      </c>
      <c r="AA53" s="238" t="s">
        <v>62</v>
      </c>
      <c r="AB53" s="238"/>
      <c r="AC53" s="238"/>
      <c r="AD53" s="238"/>
      <c r="AE53" s="10" t="s">
        <v>5604</v>
      </c>
      <c r="AF53" s="237" t="s">
        <v>63</v>
      </c>
      <c r="AG53" s="237"/>
      <c r="AH53" s="237"/>
      <c r="AI53" s="237"/>
      <c r="AJ53" s="2"/>
      <c r="AK53" s="2"/>
      <c r="AL53" s="2"/>
      <c r="AM53" s="2"/>
      <c r="AN53" s="7"/>
    </row>
    <row r="54" spans="1:40" ht="13.5" thickBot="1">
      <c r="A54" s="6"/>
      <c r="B54" s="2"/>
      <c r="C54" s="2"/>
      <c r="D54" s="244" t="s">
        <v>307</v>
      </c>
      <c r="E54" s="244"/>
      <c r="F54" s="238" t="s">
        <v>6828</v>
      </c>
      <c r="G54" s="238"/>
      <c r="H54" s="238"/>
      <c r="I54" s="238"/>
      <c r="J54" s="10" t="s">
        <v>6414</v>
      </c>
      <c r="K54" s="238" t="s">
        <v>4843</v>
      </c>
      <c r="L54" s="238"/>
      <c r="M54" s="238"/>
      <c r="N54" s="238" t="s">
        <v>64</v>
      </c>
      <c r="O54" s="238"/>
      <c r="P54" s="238"/>
      <c r="Q54" s="238" t="s">
        <v>65</v>
      </c>
      <c r="R54" s="238"/>
      <c r="S54" s="238"/>
      <c r="T54" s="238"/>
      <c r="U54" s="238"/>
      <c r="V54" s="238"/>
      <c r="W54" s="238" t="s">
        <v>66</v>
      </c>
      <c r="X54" s="238"/>
      <c r="Y54" s="10" t="s">
        <v>6087</v>
      </c>
      <c r="Z54" s="10" t="s">
        <v>6087</v>
      </c>
      <c r="AA54" s="238" t="s">
        <v>67</v>
      </c>
      <c r="AB54" s="238"/>
      <c r="AC54" s="238"/>
      <c r="AD54" s="238"/>
      <c r="AE54" s="10" t="s">
        <v>2746</v>
      </c>
      <c r="AF54" s="237" t="s">
        <v>4217</v>
      </c>
      <c r="AG54" s="237"/>
      <c r="AH54" s="237"/>
      <c r="AI54" s="237"/>
      <c r="AJ54" s="2"/>
      <c r="AK54" s="2"/>
      <c r="AL54" s="2"/>
      <c r="AM54" s="2"/>
      <c r="AN54" s="7"/>
    </row>
    <row r="55" spans="1:40" ht="13.5" thickBot="1">
      <c r="A55" s="6"/>
      <c r="B55" s="2"/>
      <c r="C55" s="2"/>
      <c r="D55" s="244" t="s">
        <v>319</v>
      </c>
      <c r="E55" s="244"/>
      <c r="F55" s="237" t="s">
        <v>3270</v>
      </c>
      <c r="G55" s="237"/>
      <c r="H55" s="237"/>
      <c r="I55" s="237"/>
      <c r="J55" s="11" t="s">
        <v>2863</v>
      </c>
      <c r="K55" s="237" t="s">
        <v>4032</v>
      </c>
      <c r="L55" s="237"/>
      <c r="M55" s="237"/>
      <c r="N55" s="237" t="s">
        <v>45</v>
      </c>
      <c r="O55" s="237"/>
      <c r="P55" s="237"/>
      <c r="Q55" s="237" t="s">
        <v>46</v>
      </c>
      <c r="R55" s="237"/>
      <c r="S55" s="237"/>
      <c r="T55" s="237"/>
      <c r="U55" s="237"/>
      <c r="V55" s="237"/>
      <c r="W55" s="237" t="s">
        <v>47</v>
      </c>
      <c r="X55" s="237"/>
      <c r="Y55" s="11" t="s">
        <v>6087</v>
      </c>
      <c r="Z55" s="11" t="s">
        <v>6087</v>
      </c>
      <c r="AA55" s="237" t="s">
        <v>48</v>
      </c>
      <c r="AB55" s="237"/>
      <c r="AC55" s="237"/>
      <c r="AD55" s="237"/>
      <c r="AE55" s="11" t="s">
        <v>4327</v>
      </c>
      <c r="AF55" s="237" t="s">
        <v>7085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tabColor indexed="8"/>
  </sheetPr>
  <dimension ref="A1:AU61"/>
  <sheetViews>
    <sheetView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68</v>
      </c>
      <c r="E7" s="269"/>
      <c r="F7" s="269"/>
      <c r="G7" s="269"/>
      <c r="H7" s="269" t="s">
        <v>69</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SIZEWELL-B</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70</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PWR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SNUPPS</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3425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71</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3425</v>
      </c>
      <c r="N16" s="264"/>
      <c r="O16" s="264"/>
      <c r="P16" s="248" t="s">
        <v>186</v>
      </c>
      <c r="Q16" s="248"/>
      <c r="R16" s="248"/>
      <c r="S16" s="2"/>
      <c r="T16" s="2"/>
      <c r="U16" s="252" t="s">
        <v>187</v>
      </c>
      <c r="V16" s="252"/>
      <c r="W16" s="252"/>
      <c r="X16" s="252"/>
      <c r="Y16" s="252"/>
      <c r="Z16" s="252"/>
      <c r="AA16" s="252"/>
      <c r="AB16" s="247" t="s">
        <v>5709</v>
      </c>
      <c r="AC16" s="247"/>
      <c r="AD16" s="248" t="s">
        <v>72</v>
      </c>
      <c r="AE16" s="248"/>
      <c r="AF16" s="248"/>
      <c r="AG16" s="248"/>
      <c r="AH16" s="248"/>
      <c r="AI16" s="2"/>
      <c r="AJ16" s="1"/>
      <c r="AK16" s="2"/>
      <c r="AL16" s="1"/>
      <c r="AM16" s="2"/>
      <c r="AN16" s="7"/>
      <c r="AT16" s="24" t="str">
        <f>D17 &amp; " [MWe]"</f>
        <v>Latest gross electrical power [MWe]</v>
      </c>
      <c r="AU16" s="24">
        <f>M17</f>
        <v>1250</v>
      </c>
    </row>
    <row r="17" spans="1:47" ht="13.5" thickBot="1">
      <c r="A17" s="6"/>
      <c r="B17" s="1"/>
      <c r="C17" s="1"/>
      <c r="D17" s="248" t="s">
        <v>189</v>
      </c>
      <c r="E17" s="248"/>
      <c r="F17" s="248"/>
      <c r="G17" s="248"/>
      <c r="H17" s="248"/>
      <c r="I17" s="248"/>
      <c r="J17" s="248"/>
      <c r="K17" s="248"/>
      <c r="L17" s="8" t="s">
        <v>5709</v>
      </c>
      <c r="M17" s="264">
        <v>1250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1188</v>
      </c>
    </row>
    <row r="18" spans="1:47" ht="13.5" thickBot="1">
      <c r="A18" s="6"/>
      <c r="B18" s="1"/>
      <c r="C18" s="1"/>
      <c r="D18" s="248" t="s">
        <v>193</v>
      </c>
      <c r="E18" s="248"/>
      <c r="F18" s="248"/>
      <c r="G18" s="248"/>
      <c r="H18" s="248"/>
      <c r="I18" s="248"/>
      <c r="J18" s="248"/>
      <c r="K18" s="248"/>
      <c r="L18" s="8" t="s">
        <v>5709</v>
      </c>
      <c r="M18" s="264">
        <v>1188</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34744</v>
      </c>
    </row>
    <row r="19" spans="1:47" ht="13.5" thickBot="1">
      <c r="A19" s="6"/>
      <c r="B19" s="1"/>
      <c r="C19" s="1"/>
      <c r="D19" s="248" t="s">
        <v>196</v>
      </c>
      <c r="E19" s="248"/>
      <c r="F19" s="248"/>
      <c r="G19" s="248"/>
      <c r="H19" s="248"/>
      <c r="I19" s="248"/>
      <c r="J19" s="248"/>
      <c r="K19" s="248"/>
      <c r="L19" s="8" t="s">
        <v>5709</v>
      </c>
      <c r="M19" s="264">
        <v>1188</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3" t="str">
        <f>Q55</f>
        <v>83.56</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45.88</v>
      </c>
    </row>
    <row r="22" spans="1:47" ht="8.85" customHeight="1" thickBot="1">
      <c r="A22" s="6"/>
      <c r="B22" s="1"/>
      <c r="C22" s="1"/>
      <c r="D22" s="248" t="s">
        <v>205</v>
      </c>
      <c r="E22" s="248"/>
      <c r="F22" s="248"/>
      <c r="G22" s="248"/>
      <c r="H22" s="248"/>
      <c r="I22" s="248"/>
      <c r="J22" s="248"/>
      <c r="K22" s="248"/>
      <c r="L22" s="247" t="s">
        <v>5709</v>
      </c>
      <c r="M22" s="259">
        <v>32342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34744</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74</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34964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3311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75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76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77</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422</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5089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78</v>
      </c>
      <c r="G49" s="238"/>
      <c r="H49" s="238"/>
      <c r="I49" s="238"/>
      <c r="J49" s="10" t="s">
        <v>79</v>
      </c>
      <c r="K49" s="238" t="s">
        <v>80</v>
      </c>
      <c r="L49" s="238"/>
      <c r="M49" s="238"/>
      <c r="N49" s="238" t="s">
        <v>81</v>
      </c>
      <c r="O49" s="238"/>
      <c r="P49" s="238"/>
      <c r="Q49" s="238" t="s">
        <v>82</v>
      </c>
      <c r="R49" s="238"/>
      <c r="S49" s="238"/>
      <c r="T49" s="238"/>
      <c r="U49" s="238"/>
      <c r="V49" s="238"/>
      <c r="W49" s="238" t="s">
        <v>83</v>
      </c>
      <c r="X49" s="238"/>
      <c r="Y49" s="10" t="s">
        <v>84</v>
      </c>
      <c r="Z49" s="10" t="s">
        <v>85</v>
      </c>
      <c r="AA49" s="238" t="s">
        <v>86</v>
      </c>
      <c r="AB49" s="238"/>
      <c r="AC49" s="238"/>
      <c r="AD49" s="238"/>
      <c r="AE49" s="10" t="s">
        <v>87</v>
      </c>
      <c r="AF49" s="237" t="s">
        <v>88</v>
      </c>
      <c r="AG49" s="237"/>
      <c r="AH49" s="237"/>
      <c r="AI49" s="237"/>
      <c r="AJ49" s="2"/>
      <c r="AK49" s="2"/>
      <c r="AL49" s="2"/>
      <c r="AM49" s="2"/>
      <c r="AN49" s="7"/>
    </row>
    <row r="50" spans="1:40" ht="13.5" thickBot="1">
      <c r="A50" s="6"/>
      <c r="B50" s="2"/>
      <c r="C50" s="2"/>
      <c r="D50" s="244" t="s">
        <v>261</v>
      </c>
      <c r="E50" s="244"/>
      <c r="F50" s="238" t="s">
        <v>89</v>
      </c>
      <c r="G50" s="238"/>
      <c r="H50" s="238"/>
      <c r="I50" s="238"/>
      <c r="J50" s="10" t="s">
        <v>90</v>
      </c>
      <c r="K50" s="238" t="s">
        <v>5618</v>
      </c>
      <c r="L50" s="238"/>
      <c r="M50" s="238"/>
      <c r="N50" s="238" t="s">
        <v>3154</v>
      </c>
      <c r="O50" s="238"/>
      <c r="P50" s="238"/>
      <c r="Q50" s="238" t="s">
        <v>91</v>
      </c>
      <c r="R50" s="238"/>
      <c r="S50" s="238"/>
      <c r="T50" s="238"/>
      <c r="U50" s="238"/>
      <c r="V50" s="238"/>
      <c r="W50" s="238" t="s">
        <v>3565</v>
      </c>
      <c r="X50" s="238"/>
      <c r="Y50" s="10" t="s">
        <v>92</v>
      </c>
      <c r="Z50" s="10" t="s">
        <v>93</v>
      </c>
      <c r="AA50" s="238" t="s">
        <v>6863</v>
      </c>
      <c r="AB50" s="238"/>
      <c r="AC50" s="238"/>
      <c r="AD50" s="238"/>
      <c r="AE50" s="10" t="s">
        <v>65</v>
      </c>
      <c r="AF50" s="237" t="s">
        <v>4181</v>
      </c>
      <c r="AG50" s="237"/>
      <c r="AH50" s="237"/>
      <c r="AI50" s="237"/>
      <c r="AJ50" s="2"/>
      <c r="AK50" s="2"/>
      <c r="AL50" s="2"/>
      <c r="AM50" s="2"/>
      <c r="AN50" s="7"/>
    </row>
    <row r="51" spans="1:40" ht="13.5" thickBot="1">
      <c r="A51" s="6"/>
      <c r="B51" s="2"/>
      <c r="C51" s="2"/>
      <c r="D51" s="244" t="s">
        <v>273</v>
      </c>
      <c r="E51" s="244"/>
      <c r="F51" s="238" t="s">
        <v>1824</v>
      </c>
      <c r="G51" s="238"/>
      <c r="H51" s="238"/>
      <c r="I51" s="238"/>
      <c r="J51" s="10" t="s">
        <v>5207</v>
      </c>
      <c r="K51" s="238" t="s">
        <v>6379</v>
      </c>
      <c r="L51" s="238"/>
      <c r="M51" s="238"/>
      <c r="N51" s="238" t="s">
        <v>6899</v>
      </c>
      <c r="O51" s="238"/>
      <c r="P51" s="238"/>
      <c r="Q51" s="238" t="s">
        <v>449</v>
      </c>
      <c r="R51" s="238"/>
      <c r="S51" s="238"/>
      <c r="T51" s="238"/>
      <c r="U51" s="238"/>
      <c r="V51" s="238"/>
      <c r="W51" s="238" t="s">
        <v>4831</v>
      </c>
      <c r="X51" s="238"/>
      <c r="Y51" s="10" t="s">
        <v>94</v>
      </c>
      <c r="Z51" s="10" t="s">
        <v>95</v>
      </c>
      <c r="AA51" s="238" t="s">
        <v>6504</v>
      </c>
      <c r="AB51" s="238"/>
      <c r="AC51" s="238"/>
      <c r="AD51" s="238"/>
      <c r="AE51" s="10" t="s">
        <v>7010</v>
      </c>
      <c r="AF51" s="237" t="s">
        <v>96</v>
      </c>
      <c r="AG51" s="237"/>
      <c r="AH51" s="237"/>
      <c r="AI51" s="237"/>
      <c r="AJ51" s="2"/>
      <c r="AK51" s="2"/>
      <c r="AL51" s="2"/>
      <c r="AM51" s="2"/>
      <c r="AN51" s="7"/>
    </row>
    <row r="52" spans="1:40" ht="13.5" thickBot="1">
      <c r="A52" s="6"/>
      <c r="B52" s="2"/>
      <c r="C52" s="2"/>
      <c r="D52" s="244" t="s">
        <v>285</v>
      </c>
      <c r="E52" s="244"/>
      <c r="F52" s="238" t="s">
        <v>97</v>
      </c>
      <c r="G52" s="238"/>
      <c r="H52" s="238"/>
      <c r="I52" s="238"/>
      <c r="J52" s="10" t="s">
        <v>6737</v>
      </c>
      <c r="K52" s="238" t="s">
        <v>6912</v>
      </c>
      <c r="L52" s="238"/>
      <c r="M52" s="238"/>
      <c r="N52" s="238" t="s">
        <v>3154</v>
      </c>
      <c r="O52" s="238"/>
      <c r="P52" s="238"/>
      <c r="Q52" s="238" t="s">
        <v>91</v>
      </c>
      <c r="R52" s="238"/>
      <c r="S52" s="238"/>
      <c r="T52" s="238"/>
      <c r="U52" s="238"/>
      <c r="V52" s="238"/>
      <c r="W52" s="238" t="s">
        <v>3565</v>
      </c>
      <c r="X52" s="238"/>
      <c r="Y52" s="10" t="s">
        <v>92</v>
      </c>
      <c r="Z52" s="10" t="s">
        <v>93</v>
      </c>
      <c r="AA52" s="238" t="s">
        <v>6863</v>
      </c>
      <c r="AB52" s="238"/>
      <c r="AC52" s="238"/>
      <c r="AD52" s="238"/>
      <c r="AE52" s="10" t="s">
        <v>65</v>
      </c>
      <c r="AF52" s="237" t="s">
        <v>1978</v>
      </c>
      <c r="AG52" s="237"/>
      <c r="AH52" s="237"/>
      <c r="AI52" s="237"/>
      <c r="AJ52" s="2"/>
      <c r="AK52" s="2"/>
      <c r="AL52" s="2"/>
      <c r="AM52" s="2"/>
      <c r="AN52" s="7"/>
    </row>
    <row r="53" spans="1:40" ht="13.5" thickBot="1">
      <c r="A53" s="6"/>
      <c r="B53" s="2"/>
      <c r="C53" s="2"/>
      <c r="D53" s="244" t="s">
        <v>295</v>
      </c>
      <c r="E53" s="244"/>
      <c r="F53" s="238" t="s">
        <v>3726</v>
      </c>
      <c r="G53" s="238"/>
      <c r="H53" s="238"/>
      <c r="I53" s="238"/>
      <c r="J53" s="10" t="s">
        <v>98</v>
      </c>
      <c r="K53" s="238" t="s">
        <v>98</v>
      </c>
      <c r="L53" s="238"/>
      <c r="M53" s="238"/>
      <c r="N53" s="238" t="s">
        <v>6707</v>
      </c>
      <c r="O53" s="238"/>
      <c r="P53" s="238"/>
      <c r="Q53" s="238" t="s">
        <v>6087</v>
      </c>
      <c r="R53" s="238"/>
      <c r="S53" s="238"/>
      <c r="T53" s="238"/>
      <c r="U53" s="238"/>
      <c r="V53" s="238"/>
      <c r="W53" s="238" t="s">
        <v>6902</v>
      </c>
      <c r="X53" s="238"/>
      <c r="Y53" s="10" t="s">
        <v>6844</v>
      </c>
      <c r="Z53" s="10" t="s">
        <v>6981</v>
      </c>
      <c r="AA53" s="238" t="s">
        <v>4841</v>
      </c>
      <c r="AB53" s="238"/>
      <c r="AC53" s="238"/>
      <c r="AD53" s="238"/>
      <c r="AE53" s="10" t="s">
        <v>99</v>
      </c>
      <c r="AF53" s="237" t="s">
        <v>100</v>
      </c>
      <c r="AG53" s="237"/>
      <c r="AH53" s="237"/>
      <c r="AI53" s="237"/>
      <c r="AJ53" s="2"/>
      <c r="AK53" s="2"/>
      <c r="AL53" s="2"/>
      <c r="AM53" s="2"/>
      <c r="AN53" s="7"/>
    </row>
    <row r="54" spans="1:40" ht="13.5" thickBot="1">
      <c r="A54" s="6"/>
      <c r="B54" s="2"/>
      <c r="C54" s="2"/>
      <c r="D54" s="244" t="s">
        <v>307</v>
      </c>
      <c r="E54" s="244"/>
      <c r="F54" s="238" t="s">
        <v>6109</v>
      </c>
      <c r="G54" s="238"/>
      <c r="H54" s="238"/>
      <c r="I54" s="238"/>
      <c r="J54" s="10" t="s">
        <v>3472</v>
      </c>
      <c r="K54" s="238" t="s">
        <v>6000</v>
      </c>
      <c r="L54" s="238"/>
      <c r="M54" s="238"/>
      <c r="N54" s="238" t="s">
        <v>101</v>
      </c>
      <c r="O54" s="238"/>
      <c r="P54" s="238"/>
      <c r="Q54" s="238" t="s">
        <v>102</v>
      </c>
      <c r="R54" s="238"/>
      <c r="S54" s="238"/>
      <c r="T54" s="238"/>
      <c r="U54" s="238"/>
      <c r="V54" s="238"/>
      <c r="W54" s="238" t="s">
        <v>6800</v>
      </c>
      <c r="X54" s="238"/>
      <c r="Y54" s="10" t="s">
        <v>2746</v>
      </c>
      <c r="Z54" s="10" t="s">
        <v>5407</v>
      </c>
      <c r="AA54" s="238" t="s">
        <v>6093</v>
      </c>
      <c r="AB54" s="238"/>
      <c r="AC54" s="238"/>
      <c r="AD54" s="238"/>
      <c r="AE54" s="10" t="s">
        <v>103</v>
      </c>
      <c r="AF54" s="237" t="s">
        <v>6004</v>
      </c>
      <c r="AG54" s="237"/>
      <c r="AH54" s="237"/>
      <c r="AI54" s="237"/>
      <c r="AJ54" s="2"/>
      <c r="AK54" s="2"/>
      <c r="AL54" s="2"/>
      <c r="AM54" s="2"/>
      <c r="AN54" s="7"/>
    </row>
    <row r="55" spans="1:40" ht="13.5" thickBot="1">
      <c r="A55" s="6"/>
      <c r="B55" s="2"/>
      <c r="C55" s="2"/>
      <c r="D55" s="244" t="s">
        <v>319</v>
      </c>
      <c r="E55" s="244"/>
      <c r="F55" s="237" t="s">
        <v>6241</v>
      </c>
      <c r="G55" s="237"/>
      <c r="H55" s="237"/>
      <c r="I55" s="237"/>
      <c r="J55" s="11" t="s">
        <v>5099</v>
      </c>
      <c r="K55" s="237" t="s">
        <v>4282</v>
      </c>
      <c r="L55" s="237"/>
      <c r="M55" s="237"/>
      <c r="N55" s="237" t="s">
        <v>4299</v>
      </c>
      <c r="O55" s="237"/>
      <c r="P55" s="237"/>
      <c r="Q55" s="237" t="s">
        <v>6304</v>
      </c>
      <c r="R55" s="237"/>
      <c r="S55" s="237"/>
      <c r="T55" s="237"/>
      <c r="U55" s="237"/>
      <c r="V55" s="237"/>
      <c r="W55" s="237" t="s">
        <v>104</v>
      </c>
      <c r="X55" s="237"/>
      <c r="Y55" s="11" t="s">
        <v>105</v>
      </c>
      <c r="Z55" s="11" t="s">
        <v>5573</v>
      </c>
      <c r="AA55" s="237" t="s">
        <v>3091</v>
      </c>
      <c r="AB55" s="237"/>
      <c r="AC55" s="237"/>
      <c r="AD55" s="237"/>
      <c r="AE55" s="11" t="s">
        <v>106</v>
      </c>
      <c r="AF55" s="237" t="s">
        <v>2795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107</v>
      </c>
      <c r="E7" s="269"/>
      <c r="F7" s="269"/>
      <c r="G7" s="269"/>
      <c r="H7" s="269" t="s">
        <v>108</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TORNESS 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4067</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109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1623</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1623</v>
      </c>
      <c r="N16" s="264"/>
      <c r="O16" s="264"/>
      <c r="P16" s="248" t="s">
        <v>186</v>
      </c>
      <c r="Q16" s="248"/>
      <c r="R16" s="248"/>
      <c r="S16" s="2"/>
      <c r="T16" s="2"/>
      <c r="U16" s="252" t="s">
        <v>187</v>
      </c>
      <c r="V16" s="252"/>
      <c r="W16" s="252"/>
      <c r="X16" s="252"/>
      <c r="Y16" s="252"/>
      <c r="Z16" s="252"/>
      <c r="AA16" s="252"/>
      <c r="AB16" s="247" t="s">
        <v>5709</v>
      </c>
      <c r="AC16" s="247"/>
      <c r="AD16" s="248" t="s">
        <v>3869</v>
      </c>
      <c r="AE16" s="248"/>
      <c r="AF16" s="248"/>
      <c r="AG16" s="248"/>
      <c r="AH16" s="248"/>
      <c r="AI16" s="2"/>
      <c r="AJ16" s="1"/>
      <c r="AK16" s="2"/>
      <c r="AL16" s="1"/>
      <c r="AM16" s="2"/>
      <c r="AN16" s="7"/>
      <c r="AT16" s="24" t="str">
        <f>D17 &amp; " [MWe]"</f>
        <v>Latest gross electrical power [MWe]</v>
      </c>
      <c r="AU16" s="24">
        <f>M17</f>
        <v>682</v>
      </c>
    </row>
    <row r="17" spans="1:47" ht="13.5" thickBot="1">
      <c r="A17" s="6"/>
      <c r="B17" s="1"/>
      <c r="C17" s="1"/>
      <c r="D17" s="248" t="s">
        <v>189</v>
      </c>
      <c r="E17" s="248"/>
      <c r="F17" s="248"/>
      <c r="G17" s="248"/>
      <c r="H17" s="248"/>
      <c r="I17" s="248"/>
      <c r="J17" s="248"/>
      <c r="K17" s="248"/>
      <c r="L17" s="8" t="s">
        <v>5709</v>
      </c>
      <c r="M17" s="264">
        <v>682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600</v>
      </c>
    </row>
    <row r="18" spans="1:47" ht="13.5" thickBot="1">
      <c r="A18" s="6"/>
      <c r="B18" s="1"/>
      <c r="C18" s="1"/>
      <c r="D18" s="248" t="s">
        <v>193</v>
      </c>
      <c r="E18" s="248"/>
      <c r="F18" s="248"/>
      <c r="G18" s="248"/>
      <c r="H18" s="248"/>
      <c r="I18" s="248"/>
      <c r="J18" s="248"/>
      <c r="K18" s="248"/>
      <c r="L18" s="8" t="s">
        <v>5709</v>
      </c>
      <c r="M18" s="264">
        <v>645</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32288</v>
      </c>
    </row>
    <row r="19" spans="1:47" ht="13.5" thickBot="1">
      <c r="A19" s="6"/>
      <c r="B19" s="1"/>
      <c r="C19" s="1"/>
      <c r="D19" s="248" t="s">
        <v>196</v>
      </c>
      <c r="E19" s="248"/>
      <c r="F19" s="248"/>
      <c r="G19" s="248"/>
      <c r="H19" s="248"/>
      <c r="I19" s="248"/>
      <c r="J19" s="248"/>
      <c r="K19" s="248"/>
      <c r="L19" s="8" t="s">
        <v>5709</v>
      </c>
      <c r="M19" s="264">
        <v>600</v>
      </c>
      <c r="N19" s="264"/>
      <c r="O19" s="264"/>
      <c r="P19" s="248" t="s">
        <v>190</v>
      </c>
      <c r="Q19" s="248"/>
      <c r="R19" s="248"/>
      <c r="S19" s="2"/>
      <c r="T19" s="2"/>
      <c r="U19" s="252" t="s">
        <v>197</v>
      </c>
      <c r="V19" s="252"/>
      <c r="W19" s="252"/>
      <c r="X19" s="252"/>
      <c r="Y19" s="252"/>
      <c r="Z19" s="252"/>
      <c r="AA19" s="252"/>
      <c r="AB19" s="247" t="s">
        <v>5709</v>
      </c>
      <c r="AC19" s="247"/>
      <c r="AD19" s="248" t="s">
        <v>110</v>
      </c>
      <c r="AE19" s="248"/>
      <c r="AF19" s="248"/>
      <c r="AG19" s="248"/>
      <c r="AH19" s="248"/>
      <c r="AI19" s="2"/>
      <c r="AJ19" s="1"/>
      <c r="AK19" s="2"/>
      <c r="AL19" s="1"/>
      <c r="AM19" s="2"/>
      <c r="AN19" s="7"/>
      <c r="AT19" s="23" t="str">
        <f>U19</f>
        <v>Average discharge burnup  [MWd/t]</v>
      </c>
      <c r="AU19" s="23" t="str">
        <f>AD19</f>
        <v>29500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3454</v>
      </c>
      <c r="AE20" s="248"/>
      <c r="AF20" s="248"/>
      <c r="AG20" s="248"/>
      <c r="AH20" s="248"/>
      <c r="AI20" s="2"/>
      <c r="AJ20" s="1"/>
      <c r="AK20" s="2"/>
      <c r="AL20" s="1"/>
      <c r="AM20" s="2"/>
      <c r="AN20" s="7"/>
      <c r="AT20" s="23" t="str">
        <f>D55 &amp; Q48</f>
        <v>LF [%]2005</v>
      </c>
      <c r="AU20" s="23" t="str">
        <f>Q55</f>
        <v>85.26</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4070</v>
      </c>
      <c r="AE21" s="248"/>
      <c r="AF21" s="248"/>
      <c r="AG21" s="248"/>
      <c r="AH21" s="248"/>
      <c r="AI21" s="2"/>
      <c r="AJ21" s="1"/>
      <c r="AK21" s="2"/>
      <c r="AL21" s="1"/>
      <c r="AM21" s="2"/>
      <c r="AN21" s="7"/>
      <c r="AT21" s="23" t="str">
        <f>D55&amp;AE48</f>
        <v>LF [%]2010</v>
      </c>
      <c r="AU21" s="23" t="str">
        <f>AE55</f>
        <v>48.81</v>
      </c>
    </row>
    <row r="22" spans="1:47" ht="8.85" customHeight="1" thickBot="1">
      <c r="A22" s="6"/>
      <c r="B22" s="1"/>
      <c r="C22" s="1"/>
      <c r="D22" s="248" t="s">
        <v>205</v>
      </c>
      <c r="E22" s="248"/>
      <c r="F22" s="248"/>
      <c r="G22" s="248"/>
      <c r="H22" s="248"/>
      <c r="I22" s="248"/>
      <c r="J22" s="248"/>
      <c r="K22" s="248"/>
      <c r="L22" s="247" t="s">
        <v>5709</v>
      </c>
      <c r="M22" s="259">
        <v>29434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111</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32288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112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32288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3872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422</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114</v>
      </c>
      <c r="G49" s="238"/>
      <c r="H49" s="238"/>
      <c r="I49" s="238"/>
      <c r="J49" s="10" t="s">
        <v>115</v>
      </c>
      <c r="K49" s="238" t="s">
        <v>116</v>
      </c>
      <c r="L49" s="238"/>
      <c r="M49" s="238"/>
      <c r="N49" s="238" t="s">
        <v>117</v>
      </c>
      <c r="O49" s="238"/>
      <c r="P49" s="238"/>
      <c r="Q49" s="238" t="s">
        <v>118</v>
      </c>
      <c r="R49" s="238"/>
      <c r="S49" s="238"/>
      <c r="T49" s="238"/>
      <c r="U49" s="238"/>
      <c r="V49" s="238"/>
      <c r="W49" s="238" t="s">
        <v>119</v>
      </c>
      <c r="X49" s="238"/>
      <c r="Y49" s="10" t="s">
        <v>120</v>
      </c>
      <c r="Z49" s="10" t="s">
        <v>121</v>
      </c>
      <c r="AA49" s="238" t="s">
        <v>122</v>
      </c>
      <c r="AB49" s="238"/>
      <c r="AC49" s="238"/>
      <c r="AD49" s="238"/>
      <c r="AE49" s="10" t="s">
        <v>123</v>
      </c>
      <c r="AF49" s="237" t="s">
        <v>124</v>
      </c>
      <c r="AG49" s="237"/>
      <c r="AH49" s="237"/>
      <c r="AI49" s="237"/>
      <c r="AJ49" s="2"/>
      <c r="AK49" s="2"/>
      <c r="AL49" s="2"/>
      <c r="AM49" s="2"/>
      <c r="AN49" s="7"/>
    </row>
    <row r="50" spans="1:40" ht="13.5" thickBot="1">
      <c r="A50" s="6"/>
      <c r="B50" s="2"/>
      <c r="C50" s="2"/>
      <c r="D50" s="244" t="s">
        <v>261</v>
      </c>
      <c r="E50" s="244"/>
      <c r="F50" s="238" t="s">
        <v>125</v>
      </c>
      <c r="G50" s="238"/>
      <c r="H50" s="238"/>
      <c r="I50" s="238"/>
      <c r="J50" s="10" t="s">
        <v>126</v>
      </c>
      <c r="K50" s="238" t="s">
        <v>6224</v>
      </c>
      <c r="L50" s="238"/>
      <c r="M50" s="238"/>
      <c r="N50" s="238" t="s">
        <v>127</v>
      </c>
      <c r="O50" s="238"/>
      <c r="P50" s="238"/>
      <c r="Q50" s="238" t="s">
        <v>102</v>
      </c>
      <c r="R50" s="238"/>
      <c r="S50" s="238"/>
      <c r="T50" s="238"/>
      <c r="U50" s="238"/>
      <c r="V50" s="238"/>
      <c r="W50" s="238" t="s">
        <v>128</v>
      </c>
      <c r="X50" s="238"/>
      <c r="Y50" s="10" t="s">
        <v>129</v>
      </c>
      <c r="Z50" s="10" t="s">
        <v>6317</v>
      </c>
      <c r="AA50" s="238" t="s">
        <v>3528</v>
      </c>
      <c r="AB50" s="238"/>
      <c r="AC50" s="238"/>
      <c r="AD50" s="238"/>
      <c r="AE50" s="10" t="s">
        <v>130</v>
      </c>
      <c r="AF50" s="237" t="s">
        <v>131</v>
      </c>
      <c r="AG50" s="237"/>
      <c r="AH50" s="237"/>
      <c r="AI50" s="237"/>
      <c r="AJ50" s="2"/>
      <c r="AK50" s="2"/>
      <c r="AL50" s="2"/>
      <c r="AM50" s="2"/>
      <c r="AN50" s="7"/>
    </row>
    <row r="51" spans="1:40" ht="13.5" thickBot="1">
      <c r="A51" s="6"/>
      <c r="B51" s="2"/>
      <c r="C51" s="2"/>
      <c r="D51" s="244" t="s">
        <v>273</v>
      </c>
      <c r="E51" s="244"/>
      <c r="F51" s="238" t="s">
        <v>132</v>
      </c>
      <c r="G51" s="238"/>
      <c r="H51" s="238"/>
      <c r="I51" s="238"/>
      <c r="J51" s="10" t="s">
        <v>4147</v>
      </c>
      <c r="K51" s="238" t="s">
        <v>6382</v>
      </c>
      <c r="L51" s="238"/>
      <c r="M51" s="238"/>
      <c r="N51" s="238" t="s">
        <v>3622</v>
      </c>
      <c r="O51" s="238"/>
      <c r="P51" s="238"/>
      <c r="Q51" s="238" t="s">
        <v>6967</v>
      </c>
      <c r="R51" s="238"/>
      <c r="S51" s="238"/>
      <c r="T51" s="238"/>
      <c r="U51" s="238"/>
      <c r="V51" s="238"/>
      <c r="W51" s="238" t="s">
        <v>363</v>
      </c>
      <c r="X51" s="238"/>
      <c r="Y51" s="10" t="s">
        <v>133</v>
      </c>
      <c r="Z51" s="10" t="s">
        <v>6836</v>
      </c>
      <c r="AA51" s="238" t="s">
        <v>134</v>
      </c>
      <c r="AB51" s="238"/>
      <c r="AC51" s="238"/>
      <c r="AD51" s="238"/>
      <c r="AE51" s="10" t="s">
        <v>135</v>
      </c>
      <c r="AF51" s="237" t="s">
        <v>136</v>
      </c>
      <c r="AG51" s="237"/>
      <c r="AH51" s="237"/>
      <c r="AI51" s="237"/>
      <c r="AJ51" s="2"/>
      <c r="AK51" s="2"/>
      <c r="AL51" s="2"/>
      <c r="AM51" s="2"/>
      <c r="AN51" s="7"/>
    </row>
    <row r="52" spans="1:40" ht="13.5" thickBot="1">
      <c r="A52" s="6"/>
      <c r="B52" s="2"/>
      <c r="C52" s="2"/>
      <c r="D52" s="244" t="s">
        <v>285</v>
      </c>
      <c r="E52" s="244"/>
      <c r="F52" s="238" t="s">
        <v>125</v>
      </c>
      <c r="G52" s="238"/>
      <c r="H52" s="238"/>
      <c r="I52" s="238"/>
      <c r="J52" s="10" t="s">
        <v>137</v>
      </c>
      <c r="K52" s="238" t="s">
        <v>138</v>
      </c>
      <c r="L52" s="238"/>
      <c r="M52" s="238"/>
      <c r="N52" s="238" t="s">
        <v>127</v>
      </c>
      <c r="O52" s="238"/>
      <c r="P52" s="238"/>
      <c r="Q52" s="238" t="s">
        <v>102</v>
      </c>
      <c r="R52" s="238"/>
      <c r="S52" s="238"/>
      <c r="T52" s="238"/>
      <c r="U52" s="238"/>
      <c r="V52" s="238"/>
      <c r="W52" s="238" t="s">
        <v>6499</v>
      </c>
      <c r="X52" s="238"/>
      <c r="Y52" s="10" t="s">
        <v>139</v>
      </c>
      <c r="Z52" s="10" t="s">
        <v>4140</v>
      </c>
      <c r="AA52" s="238" t="s">
        <v>3528</v>
      </c>
      <c r="AB52" s="238"/>
      <c r="AC52" s="238"/>
      <c r="AD52" s="238"/>
      <c r="AE52" s="10" t="s">
        <v>130</v>
      </c>
      <c r="AF52" s="237" t="s">
        <v>140</v>
      </c>
      <c r="AG52" s="237"/>
      <c r="AH52" s="237"/>
      <c r="AI52" s="237"/>
      <c r="AJ52" s="2"/>
      <c r="AK52" s="2"/>
      <c r="AL52" s="2"/>
      <c r="AM52" s="2"/>
      <c r="AN52" s="7"/>
    </row>
    <row r="53" spans="1:40" ht="13.5" thickBot="1">
      <c r="A53" s="6"/>
      <c r="B53" s="2"/>
      <c r="C53" s="2"/>
      <c r="D53" s="244" t="s">
        <v>295</v>
      </c>
      <c r="E53" s="244"/>
      <c r="F53" s="238" t="s">
        <v>141</v>
      </c>
      <c r="G53" s="238"/>
      <c r="H53" s="238"/>
      <c r="I53" s="238"/>
      <c r="J53" s="10" t="s">
        <v>142</v>
      </c>
      <c r="K53" s="238" t="s">
        <v>1956</v>
      </c>
      <c r="L53" s="238"/>
      <c r="M53" s="238"/>
      <c r="N53" s="238" t="s">
        <v>143</v>
      </c>
      <c r="O53" s="238"/>
      <c r="P53" s="238"/>
      <c r="Q53" s="238" t="s">
        <v>4319</v>
      </c>
      <c r="R53" s="238"/>
      <c r="S53" s="238"/>
      <c r="T53" s="238"/>
      <c r="U53" s="238"/>
      <c r="V53" s="238"/>
      <c r="W53" s="238" t="s">
        <v>3683</v>
      </c>
      <c r="X53" s="238"/>
      <c r="Y53" s="10" t="s">
        <v>144</v>
      </c>
      <c r="Z53" s="10" t="s">
        <v>145</v>
      </c>
      <c r="AA53" s="238" t="s">
        <v>146</v>
      </c>
      <c r="AB53" s="238"/>
      <c r="AC53" s="238"/>
      <c r="AD53" s="238"/>
      <c r="AE53" s="10" t="s">
        <v>147</v>
      </c>
      <c r="AF53" s="237" t="s">
        <v>6504</v>
      </c>
      <c r="AG53" s="237"/>
      <c r="AH53" s="237"/>
      <c r="AI53" s="237"/>
      <c r="AJ53" s="2"/>
      <c r="AK53" s="2"/>
      <c r="AL53" s="2"/>
      <c r="AM53" s="2"/>
      <c r="AN53" s="7"/>
    </row>
    <row r="54" spans="1:40" ht="13.5" thickBot="1">
      <c r="A54" s="6"/>
      <c r="B54" s="2"/>
      <c r="C54" s="2"/>
      <c r="D54" s="244" t="s">
        <v>307</v>
      </c>
      <c r="E54" s="244"/>
      <c r="F54" s="238" t="s">
        <v>2803</v>
      </c>
      <c r="G54" s="238"/>
      <c r="H54" s="238"/>
      <c r="I54" s="238"/>
      <c r="J54" s="10" t="s">
        <v>148</v>
      </c>
      <c r="K54" s="238" t="s">
        <v>293</v>
      </c>
      <c r="L54" s="238"/>
      <c r="M54" s="238"/>
      <c r="N54" s="238" t="s">
        <v>149</v>
      </c>
      <c r="O54" s="238"/>
      <c r="P54" s="238"/>
      <c r="Q54" s="238" t="s">
        <v>3145</v>
      </c>
      <c r="R54" s="238"/>
      <c r="S54" s="238"/>
      <c r="T54" s="238"/>
      <c r="U54" s="238"/>
      <c r="V54" s="238"/>
      <c r="W54" s="238" t="s">
        <v>6400</v>
      </c>
      <c r="X54" s="238"/>
      <c r="Y54" s="10" t="s">
        <v>150</v>
      </c>
      <c r="Z54" s="10" t="s">
        <v>6006</v>
      </c>
      <c r="AA54" s="238" t="s">
        <v>2746</v>
      </c>
      <c r="AB54" s="238"/>
      <c r="AC54" s="238"/>
      <c r="AD54" s="238"/>
      <c r="AE54" s="10" t="s">
        <v>151</v>
      </c>
      <c r="AF54" s="237" t="s">
        <v>152</v>
      </c>
      <c r="AG54" s="237"/>
      <c r="AH54" s="237"/>
      <c r="AI54" s="237"/>
      <c r="AJ54" s="2"/>
      <c r="AK54" s="2"/>
      <c r="AL54" s="2"/>
      <c r="AM54" s="2"/>
      <c r="AN54" s="7"/>
    </row>
    <row r="55" spans="1:40" ht="13.5" thickBot="1">
      <c r="A55" s="6"/>
      <c r="B55" s="2"/>
      <c r="C55" s="2"/>
      <c r="D55" s="244" t="s">
        <v>319</v>
      </c>
      <c r="E55" s="244"/>
      <c r="F55" s="237" t="s">
        <v>153</v>
      </c>
      <c r="G55" s="237"/>
      <c r="H55" s="237"/>
      <c r="I55" s="237"/>
      <c r="J55" s="11" t="s">
        <v>126</v>
      </c>
      <c r="K55" s="237" t="s">
        <v>154</v>
      </c>
      <c r="L55" s="237"/>
      <c r="M55" s="237"/>
      <c r="N55" s="237" t="s">
        <v>3739</v>
      </c>
      <c r="O55" s="237"/>
      <c r="P55" s="237"/>
      <c r="Q55" s="237" t="s">
        <v>155</v>
      </c>
      <c r="R55" s="237"/>
      <c r="S55" s="237"/>
      <c r="T55" s="237"/>
      <c r="U55" s="237"/>
      <c r="V55" s="237"/>
      <c r="W55" s="237" t="s">
        <v>156</v>
      </c>
      <c r="X55" s="237"/>
      <c r="Y55" s="11" t="s">
        <v>157</v>
      </c>
      <c r="Z55" s="11" t="s">
        <v>5408</v>
      </c>
      <c r="AA55" s="237" t="s">
        <v>3528</v>
      </c>
      <c r="AB55" s="237"/>
      <c r="AC55" s="237"/>
      <c r="AD55" s="237"/>
      <c r="AE55" s="11" t="s">
        <v>158</v>
      </c>
      <c r="AF55" s="237" t="s">
        <v>5056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159</v>
      </c>
      <c r="E7" s="269"/>
      <c r="F7" s="269"/>
      <c r="G7" s="269"/>
      <c r="H7" s="269" t="s">
        <v>160</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TORNESS 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4067</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109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1623</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1623</v>
      </c>
      <c r="N16" s="264"/>
      <c r="O16" s="264"/>
      <c r="P16" s="248" t="s">
        <v>186</v>
      </c>
      <c r="Q16" s="248"/>
      <c r="R16" s="248"/>
      <c r="S16" s="2"/>
      <c r="T16" s="2"/>
      <c r="U16" s="252" t="s">
        <v>187</v>
      </c>
      <c r="V16" s="252"/>
      <c r="W16" s="252"/>
      <c r="X16" s="252"/>
      <c r="Y16" s="252"/>
      <c r="Z16" s="252"/>
      <c r="AA16" s="252"/>
      <c r="AB16" s="247" t="s">
        <v>5709</v>
      </c>
      <c r="AC16" s="247"/>
      <c r="AD16" s="248" t="s">
        <v>3869</v>
      </c>
      <c r="AE16" s="248"/>
      <c r="AF16" s="248"/>
      <c r="AG16" s="248"/>
      <c r="AH16" s="248"/>
      <c r="AI16" s="2"/>
      <c r="AJ16" s="1"/>
      <c r="AK16" s="2"/>
      <c r="AL16" s="1"/>
      <c r="AM16" s="2"/>
      <c r="AN16" s="7"/>
      <c r="AT16" s="24" t="str">
        <f>D17 &amp; " [MWe]"</f>
        <v>Latest gross electrical power [MWe]</v>
      </c>
      <c r="AU16" s="24">
        <f>M17</f>
        <v>682</v>
      </c>
    </row>
    <row r="17" spans="1:47" ht="13.5" thickBot="1">
      <c r="A17" s="6"/>
      <c r="B17" s="1"/>
      <c r="C17" s="1"/>
      <c r="D17" s="248" t="s">
        <v>189</v>
      </c>
      <c r="E17" s="248"/>
      <c r="F17" s="248"/>
      <c r="G17" s="248"/>
      <c r="H17" s="248"/>
      <c r="I17" s="248"/>
      <c r="J17" s="248"/>
      <c r="K17" s="248"/>
      <c r="L17" s="8" t="s">
        <v>5709</v>
      </c>
      <c r="M17" s="264">
        <v>682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605</v>
      </c>
    </row>
    <row r="18" spans="1:47" ht="13.5" thickBot="1">
      <c r="A18" s="6"/>
      <c r="B18" s="1"/>
      <c r="C18" s="1"/>
      <c r="D18" s="248" t="s">
        <v>193</v>
      </c>
      <c r="E18" s="248"/>
      <c r="F18" s="248"/>
      <c r="G18" s="248"/>
      <c r="H18" s="248"/>
      <c r="I18" s="248"/>
      <c r="J18" s="248"/>
      <c r="K18" s="248"/>
      <c r="L18" s="8" t="s">
        <v>5709</v>
      </c>
      <c r="M18" s="264">
        <v>645</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32542</v>
      </c>
    </row>
    <row r="19" spans="1:47" ht="13.5" thickBot="1">
      <c r="A19" s="6"/>
      <c r="B19" s="1"/>
      <c r="C19" s="1"/>
      <c r="D19" s="248" t="s">
        <v>196</v>
      </c>
      <c r="E19" s="248"/>
      <c r="F19" s="248"/>
      <c r="G19" s="248"/>
      <c r="H19" s="248"/>
      <c r="I19" s="248"/>
      <c r="J19" s="248"/>
      <c r="K19" s="248"/>
      <c r="L19" s="8" t="s">
        <v>5709</v>
      </c>
      <c r="M19" s="264">
        <v>605</v>
      </c>
      <c r="N19" s="264"/>
      <c r="O19" s="264"/>
      <c r="P19" s="248" t="s">
        <v>190</v>
      </c>
      <c r="Q19" s="248"/>
      <c r="R19" s="248"/>
      <c r="S19" s="2"/>
      <c r="T19" s="2"/>
      <c r="U19" s="252" t="s">
        <v>197</v>
      </c>
      <c r="V19" s="252"/>
      <c r="W19" s="252"/>
      <c r="X19" s="252"/>
      <c r="Y19" s="252"/>
      <c r="Z19" s="252"/>
      <c r="AA19" s="252"/>
      <c r="AB19" s="247" t="s">
        <v>5709</v>
      </c>
      <c r="AC19" s="247"/>
      <c r="AD19" s="248" t="s">
        <v>110</v>
      </c>
      <c r="AE19" s="248"/>
      <c r="AF19" s="248"/>
      <c r="AG19" s="248"/>
      <c r="AH19" s="248"/>
      <c r="AI19" s="2"/>
      <c r="AJ19" s="1"/>
      <c r="AK19" s="2"/>
      <c r="AL19" s="1"/>
      <c r="AM19" s="2"/>
      <c r="AN19" s="7"/>
      <c r="AT19" s="23" t="str">
        <f>U19</f>
        <v>Average discharge burnup  [MWd/t]</v>
      </c>
      <c r="AU19" s="23" t="str">
        <f>AD19</f>
        <v>29500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3454</v>
      </c>
      <c r="AE20" s="248"/>
      <c r="AF20" s="248"/>
      <c r="AG20" s="248"/>
      <c r="AH20" s="248"/>
      <c r="AI20" s="2"/>
      <c r="AJ20" s="1"/>
      <c r="AK20" s="2"/>
      <c r="AL20" s="1"/>
      <c r="AM20" s="2"/>
      <c r="AN20" s="7"/>
      <c r="AT20" s="23" t="str">
        <f>D55 &amp; Q48</f>
        <v>LF [%]2005</v>
      </c>
      <c r="AU20" s="23" t="str">
        <f>Q55</f>
        <v>88.07</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4070</v>
      </c>
      <c r="AE21" s="248"/>
      <c r="AF21" s="248"/>
      <c r="AG21" s="248"/>
      <c r="AH21" s="248"/>
      <c r="AI21" s="2"/>
      <c r="AJ21" s="1"/>
      <c r="AK21" s="2"/>
      <c r="AL21" s="1"/>
      <c r="AM21" s="2"/>
      <c r="AN21" s="7"/>
      <c r="AT21" s="23" t="str">
        <f>D55&amp;AE48</f>
        <v>LF [%]2010</v>
      </c>
      <c r="AU21" s="23" t="str">
        <f>AE55</f>
        <v>85.50</v>
      </c>
    </row>
    <row r="22" spans="1:47" ht="8.85" customHeight="1" thickBot="1">
      <c r="A22" s="6"/>
      <c r="B22" s="1"/>
      <c r="C22" s="1"/>
      <c r="D22" s="248" t="s">
        <v>205</v>
      </c>
      <c r="E22" s="248"/>
      <c r="F22" s="248"/>
      <c r="G22" s="248"/>
      <c r="H22" s="248"/>
      <c r="I22" s="248"/>
      <c r="J22" s="248"/>
      <c r="K22" s="248"/>
      <c r="L22" s="247" t="s">
        <v>5709</v>
      </c>
      <c r="M22" s="259">
        <v>29434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111</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32542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112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32542</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3872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422</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161</v>
      </c>
      <c r="G49" s="238"/>
      <c r="H49" s="238"/>
      <c r="I49" s="238"/>
      <c r="J49" s="10" t="s">
        <v>162</v>
      </c>
      <c r="K49" s="238" t="s">
        <v>163</v>
      </c>
      <c r="L49" s="238"/>
      <c r="M49" s="238"/>
      <c r="N49" s="238" t="s">
        <v>164</v>
      </c>
      <c r="O49" s="238"/>
      <c r="P49" s="238"/>
      <c r="Q49" s="238" t="s">
        <v>165</v>
      </c>
      <c r="R49" s="238"/>
      <c r="S49" s="238"/>
      <c r="T49" s="238"/>
      <c r="U49" s="238"/>
      <c r="V49" s="238"/>
      <c r="W49" s="238" t="s">
        <v>166</v>
      </c>
      <c r="X49" s="238"/>
      <c r="Y49" s="10" t="s">
        <v>167</v>
      </c>
      <c r="Z49" s="10" t="s">
        <v>168</v>
      </c>
      <c r="AA49" s="238" t="s">
        <v>169</v>
      </c>
      <c r="AB49" s="238"/>
      <c r="AC49" s="238"/>
      <c r="AD49" s="238"/>
      <c r="AE49" s="10" t="s">
        <v>170</v>
      </c>
      <c r="AF49" s="237" t="s">
        <v>171</v>
      </c>
      <c r="AG49" s="237"/>
      <c r="AH49" s="237"/>
      <c r="AI49" s="237"/>
      <c r="AJ49" s="2"/>
      <c r="AK49" s="2"/>
      <c r="AL49" s="2"/>
      <c r="AM49" s="2"/>
      <c r="AN49" s="7"/>
    </row>
    <row r="50" spans="1:40" ht="13.5" thickBot="1">
      <c r="A50" s="6"/>
      <c r="B50" s="2"/>
      <c r="C50" s="2"/>
      <c r="D50" s="244" t="s">
        <v>261</v>
      </c>
      <c r="E50" s="244"/>
      <c r="F50" s="238" t="s">
        <v>7096</v>
      </c>
      <c r="G50" s="238"/>
      <c r="H50" s="238"/>
      <c r="I50" s="238"/>
      <c r="J50" s="10" t="s">
        <v>172</v>
      </c>
      <c r="K50" s="238" t="s">
        <v>173</v>
      </c>
      <c r="L50" s="238"/>
      <c r="M50" s="238"/>
      <c r="N50" s="238" t="s">
        <v>174</v>
      </c>
      <c r="O50" s="238"/>
      <c r="P50" s="238"/>
      <c r="Q50" s="238" t="s">
        <v>6152</v>
      </c>
      <c r="R50" s="238"/>
      <c r="S50" s="238"/>
      <c r="T50" s="238"/>
      <c r="U50" s="238"/>
      <c r="V50" s="238"/>
      <c r="W50" s="238" t="s">
        <v>175</v>
      </c>
      <c r="X50" s="238"/>
      <c r="Y50" s="10" t="s">
        <v>6256</v>
      </c>
      <c r="Z50" s="10" t="s">
        <v>1906</v>
      </c>
      <c r="AA50" s="238" t="s">
        <v>176</v>
      </c>
      <c r="AB50" s="238"/>
      <c r="AC50" s="238"/>
      <c r="AD50" s="238"/>
      <c r="AE50" s="10" t="s">
        <v>4217</v>
      </c>
      <c r="AF50" s="237" t="s">
        <v>177</v>
      </c>
      <c r="AG50" s="237"/>
      <c r="AH50" s="237"/>
      <c r="AI50" s="237"/>
      <c r="AJ50" s="2"/>
      <c r="AK50" s="2"/>
      <c r="AL50" s="2"/>
      <c r="AM50" s="2"/>
      <c r="AN50" s="7"/>
    </row>
    <row r="51" spans="1:40" ht="13.5" thickBot="1">
      <c r="A51" s="6"/>
      <c r="B51" s="2"/>
      <c r="C51" s="2"/>
      <c r="D51" s="244" t="s">
        <v>273</v>
      </c>
      <c r="E51" s="244"/>
      <c r="F51" s="238" t="s">
        <v>3139</v>
      </c>
      <c r="G51" s="238"/>
      <c r="H51" s="238"/>
      <c r="I51" s="238"/>
      <c r="J51" s="10" t="s">
        <v>5163</v>
      </c>
      <c r="K51" s="238" t="s">
        <v>178</v>
      </c>
      <c r="L51" s="238"/>
      <c r="M51" s="238"/>
      <c r="N51" s="238" t="s">
        <v>179</v>
      </c>
      <c r="O51" s="238"/>
      <c r="P51" s="238"/>
      <c r="Q51" s="238" t="s">
        <v>3848</v>
      </c>
      <c r="R51" s="238"/>
      <c r="S51" s="238"/>
      <c r="T51" s="238"/>
      <c r="U51" s="238"/>
      <c r="V51" s="238"/>
      <c r="W51" s="238" t="s">
        <v>5090</v>
      </c>
      <c r="X51" s="238"/>
      <c r="Y51" s="10" t="s">
        <v>6930</v>
      </c>
      <c r="Z51" s="10" t="s">
        <v>3404</v>
      </c>
      <c r="AA51" s="238" t="s">
        <v>5280</v>
      </c>
      <c r="AB51" s="238"/>
      <c r="AC51" s="238"/>
      <c r="AD51" s="238"/>
      <c r="AE51" s="10" t="s">
        <v>180</v>
      </c>
      <c r="AF51" s="237" t="s">
        <v>181</v>
      </c>
      <c r="AG51" s="237"/>
      <c r="AH51" s="237"/>
      <c r="AI51" s="237"/>
      <c r="AJ51" s="2"/>
      <c r="AK51" s="2"/>
      <c r="AL51" s="2"/>
      <c r="AM51" s="2"/>
      <c r="AN51" s="7"/>
    </row>
    <row r="52" spans="1:40" ht="13.5" thickBot="1">
      <c r="A52" s="6"/>
      <c r="B52" s="2"/>
      <c r="C52" s="2"/>
      <c r="D52" s="244" t="s">
        <v>285</v>
      </c>
      <c r="E52" s="244"/>
      <c r="F52" s="238" t="s">
        <v>182</v>
      </c>
      <c r="G52" s="238"/>
      <c r="H52" s="238"/>
      <c r="I52" s="238"/>
      <c r="J52" s="10" t="s">
        <v>183</v>
      </c>
      <c r="K52" s="238" t="s">
        <v>173</v>
      </c>
      <c r="L52" s="238"/>
      <c r="M52" s="238"/>
      <c r="N52" s="238" t="s">
        <v>174</v>
      </c>
      <c r="O52" s="238"/>
      <c r="P52" s="238"/>
      <c r="Q52" s="238" t="s">
        <v>6152</v>
      </c>
      <c r="R52" s="238"/>
      <c r="S52" s="238"/>
      <c r="T52" s="238"/>
      <c r="U52" s="238"/>
      <c r="V52" s="238"/>
      <c r="W52" s="238" t="s">
        <v>184</v>
      </c>
      <c r="X52" s="238"/>
      <c r="Y52" s="10" t="s">
        <v>3329</v>
      </c>
      <c r="Z52" s="10" t="s">
        <v>6266</v>
      </c>
      <c r="AA52" s="238" t="s">
        <v>176</v>
      </c>
      <c r="AB52" s="238"/>
      <c r="AC52" s="238"/>
      <c r="AD52" s="238"/>
      <c r="AE52" s="10" t="s">
        <v>3443</v>
      </c>
      <c r="AF52" s="237" t="s">
        <v>4409</v>
      </c>
      <c r="AG52" s="237"/>
      <c r="AH52" s="237"/>
      <c r="AI52" s="237"/>
      <c r="AJ52" s="2"/>
      <c r="AK52" s="2"/>
      <c r="AL52" s="2"/>
      <c r="AM52" s="2"/>
      <c r="AN52" s="7"/>
    </row>
    <row r="53" spans="1:40" ht="13.5" thickBot="1">
      <c r="A53" s="6"/>
      <c r="B53" s="2"/>
      <c r="C53" s="2"/>
      <c r="D53" s="244" t="s">
        <v>295</v>
      </c>
      <c r="E53" s="244"/>
      <c r="F53" s="238" t="s">
        <v>4410</v>
      </c>
      <c r="G53" s="238"/>
      <c r="H53" s="238"/>
      <c r="I53" s="238"/>
      <c r="J53" s="10" t="s">
        <v>4411</v>
      </c>
      <c r="K53" s="238" t="s">
        <v>4412</v>
      </c>
      <c r="L53" s="238"/>
      <c r="M53" s="238"/>
      <c r="N53" s="238" t="s">
        <v>4413</v>
      </c>
      <c r="O53" s="238"/>
      <c r="P53" s="238"/>
      <c r="Q53" s="238" t="s">
        <v>4940</v>
      </c>
      <c r="R53" s="238"/>
      <c r="S53" s="238"/>
      <c r="T53" s="238"/>
      <c r="U53" s="238"/>
      <c r="V53" s="238"/>
      <c r="W53" s="238" t="s">
        <v>4414</v>
      </c>
      <c r="X53" s="238"/>
      <c r="Y53" s="10" t="s">
        <v>4094</v>
      </c>
      <c r="Z53" s="10" t="s">
        <v>3054</v>
      </c>
      <c r="AA53" s="238" t="s">
        <v>6719</v>
      </c>
      <c r="AB53" s="238"/>
      <c r="AC53" s="238"/>
      <c r="AD53" s="238"/>
      <c r="AE53" s="10" t="s">
        <v>4415</v>
      </c>
      <c r="AF53" s="237" t="s">
        <v>4416</v>
      </c>
      <c r="AG53" s="237"/>
      <c r="AH53" s="237"/>
      <c r="AI53" s="237"/>
      <c r="AJ53" s="2"/>
      <c r="AK53" s="2"/>
      <c r="AL53" s="2"/>
      <c r="AM53" s="2"/>
      <c r="AN53" s="7"/>
    </row>
    <row r="54" spans="1:40" ht="13.5" thickBot="1">
      <c r="A54" s="6"/>
      <c r="B54" s="2"/>
      <c r="C54" s="2"/>
      <c r="D54" s="244" t="s">
        <v>307</v>
      </c>
      <c r="E54" s="244"/>
      <c r="F54" s="238" t="s">
        <v>4417</v>
      </c>
      <c r="G54" s="238"/>
      <c r="H54" s="238"/>
      <c r="I54" s="238"/>
      <c r="J54" s="10" t="s">
        <v>4418</v>
      </c>
      <c r="K54" s="238" t="s">
        <v>5326</v>
      </c>
      <c r="L54" s="238"/>
      <c r="M54" s="238"/>
      <c r="N54" s="238" t="s">
        <v>4419</v>
      </c>
      <c r="O54" s="238"/>
      <c r="P54" s="238"/>
      <c r="Q54" s="238" t="s">
        <v>3566</v>
      </c>
      <c r="R54" s="238"/>
      <c r="S54" s="238"/>
      <c r="T54" s="238"/>
      <c r="U54" s="238"/>
      <c r="V54" s="238"/>
      <c r="W54" s="238" t="s">
        <v>4420</v>
      </c>
      <c r="X54" s="238"/>
      <c r="Y54" s="10" t="s">
        <v>5479</v>
      </c>
      <c r="Z54" s="10" t="s">
        <v>309</v>
      </c>
      <c r="AA54" s="238" t="s">
        <v>3532</v>
      </c>
      <c r="AB54" s="238"/>
      <c r="AC54" s="238"/>
      <c r="AD54" s="238"/>
      <c r="AE54" s="10" t="s">
        <v>6024</v>
      </c>
      <c r="AF54" s="237" t="s">
        <v>4032</v>
      </c>
      <c r="AG54" s="237"/>
      <c r="AH54" s="237"/>
      <c r="AI54" s="237"/>
      <c r="AJ54" s="2"/>
      <c r="AK54" s="2"/>
      <c r="AL54" s="2"/>
      <c r="AM54" s="2"/>
      <c r="AN54" s="7"/>
    </row>
    <row r="55" spans="1:40" ht="13.5" thickBot="1">
      <c r="A55" s="6"/>
      <c r="B55" s="2"/>
      <c r="C55" s="2"/>
      <c r="D55" s="244" t="s">
        <v>319</v>
      </c>
      <c r="E55" s="244"/>
      <c r="F55" s="237" t="s">
        <v>4421</v>
      </c>
      <c r="G55" s="237"/>
      <c r="H55" s="237"/>
      <c r="I55" s="237"/>
      <c r="J55" s="11" t="s">
        <v>4422</v>
      </c>
      <c r="K55" s="237" t="s">
        <v>4423</v>
      </c>
      <c r="L55" s="237"/>
      <c r="M55" s="237"/>
      <c r="N55" s="237" t="s">
        <v>3803</v>
      </c>
      <c r="O55" s="237"/>
      <c r="P55" s="237"/>
      <c r="Q55" s="237" t="s">
        <v>6911</v>
      </c>
      <c r="R55" s="237"/>
      <c r="S55" s="237"/>
      <c r="T55" s="237"/>
      <c r="U55" s="237"/>
      <c r="V55" s="237"/>
      <c r="W55" s="237" t="s">
        <v>4424</v>
      </c>
      <c r="X55" s="237"/>
      <c r="Y55" s="11" t="s">
        <v>4425</v>
      </c>
      <c r="Z55" s="11" t="s">
        <v>6241</v>
      </c>
      <c r="AA55" s="237" t="s">
        <v>4426</v>
      </c>
      <c r="AB55" s="237"/>
      <c r="AC55" s="237"/>
      <c r="AD55" s="237"/>
      <c r="AE55" s="11" t="s">
        <v>4217</v>
      </c>
      <c r="AF55" s="237" t="s">
        <v>4427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4428</v>
      </c>
      <c r="E7" s="269"/>
      <c r="F7" s="269"/>
      <c r="G7" s="269"/>
      <c r="H7" s="269" t="s">
        <v>4429</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WYLFA 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23</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24</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4430</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4431</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MAGNOX</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1920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1920</v>
      </c>
      <c r="N16" s="264"/>
      <c r="O16" s="264"/>
      <c r="P16" s="248" t="s">
        <v>186</v>
      </c>
      <c r="Q16" s="248"/>
      <c r="R16" s="248"/>
      <c r="S16" s="2"/>
      <c r="T16" s="2"/>
      <c r="U16" s="252" t="s">
        <v>187</v>
      </c>
      <c r="V16" s="252"/>
      <c r="W16" s="252"/>
      <c r="X16" s="252"/>
      <c r="Y16" s="252"/>
      <c r="Z16" s="252"/>
      <c r="AA16" s="252"/>
      <c r="AB16" s="247" t="s">
        <v>5709</v>
      </c>
      <c r="AC16" s="247"/>
      <c r="AD16" s="248"/>
      <c r="AE16" s="248"/>
      <c r="AF16" s="248"/>
      <c r="AG16" s="248"/>
      <c r="AH16" s="248"/>
      <c r="AI16" s="2"/>
      <c r="AJ16" s="1"/>
      <c r="AK16" s="2"/>
      <c r="AL16" s="1"/>
      <c r="AM16" s="2"/>
      <c r="AN16" s="7"/>
      <c r="AT16" s="24" t="str">
        <f>D17 &amp; " [MWe]"</f>
        <v>Latest gross electrical power [MWe]</v>
      </c>
      <c r="AU16" s="24">
        <f>M17</f>
        <v>540</v>
      </c>
    </row>
    <row r="17" spans="1:47" ht="13.5" thickBot="1">
      <c r="A17" s="6"/>
      <c r="B17" s="1"/>
      <c r="C17" s="1"/>
      <c r="D17" s="248" t="s">
        <v>189</v>
      </c>
      <c r="E17" s="248"/>
      <c r="F17" s="248"/>
      <c r="G17" s="248"/>
      <c r="H17" s="248"/>
      <c r="I17" s="248"/>
      <c r="J17" s="248"/>
      <c r="K17" s="248"/>
      <c r="L17" s="8" t="s">
        <v>5709</v>
      </c>
      <c r="M17" s="264">
        <v>540</v>
      </c>
      <c r="N17" s="264"/>
      <c r="O17" s="264"/>
      <c r="P17" s="248" t="s">
        <v>190</v>
      </c>
      <c r="Q17" s="248"/>
      <c r="R17" s="248"/>
      <c r="S17" s="2"/>
      <c r="T17" s="2"/>
      <c r="U17" s="252" t="s">
        <v>191</v>
      </c>
      <c r="V17" s="252"/>
      <c r="W17" s="252"/>
      <c r="X17" s="252"/>
      <c r="Y17" s="252"/>
      <c r="Z17" s="252"/>
      <c r="AA17" s="252"/>
      <c r="AB17" s="247" t="s">
        <v>5709</v>
      </c>
      <c r="AC17" s="247"/>
      <c r="AD17" s="248" t="s">
        <v>26</v>
      </c>
      <c r="AE17" s="248"/>
      <c r="AF17" s="248"/>
      <c r="AG17" s="248"/>
      <c r="AH17" s="248"/>
      <c r="AI17" s="2"/>
      <c r="AJ17" s="1"/>
      <c r="AK17" s="2"/>
      <c r="AL17" s="1"/>
      <c r="AM17" s="2"/>
      <c r="AN17" s="7"/>
      <c r="AT17" s="24" t="str">
        <f>D19 &amp; " [MWe]"</f>
        <v>Latest reference unit power (net) [MWe]</v>
      </c>
      <c r="AU17" s="24">
        <f>M19</f>
        <v>490</v>
      </c>
    </row>
    <row r="18" spans="1:47" ht="13.5" thickBot="1">
      <c r="A18" s="6"/>
      <c r="B18" s="1"/>
      <c r="C18" s="1"/>
      <c r="D18" s="248" t="s">
        <v>193</v>
      </c>
      <c r="E18" s="248"/>
      <c r="F18" s="248"/>
      <c r="G18" s="248"/>
      <c r="H18" s="248"/>
      <c r="I18" s="248"/>
      <c r="J18" s="248"/>
      <c r="K18" s="248"/>
      <c r="L18" s="8" t="s">
        <v>5709</v>
      </c>
      <c r="M18" s="264">
        <v>550</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25957</v>
      </c>
    </row>
    <row r="19" spans="1:47" ht="13.5" thickBot="1">
      <c r="A19" s="6"/>
      <c r="B19" s="1"/>
      <c r="C19" s="1"/>
      <c r="D19" s="248" t="s">
        <v>196</v>
      </c>
      <c r="E19" s="248"/>
      <c r="F19" s="248"/>
      <c r="G19" s="248"/>
      <c r="H19" s="248"/>
      <c r="I19" s="248"/>
      <c r="J19" s="248"/>
      <c r="K19" s="248"/>
      <c r="L19" s="8" t="s">
        <v>5709</v>
      </c>
      <c r="M19" s="264">
        <v>490</v>
      </c>
      <c r="N19" s="264"/>
      <c r="O19" s="264"/>
      <c r="P19" s="248" t="s">
        <v>190</v>
      </c>
      <c r="Q19" s="248"/>
      <c r="R19" s="248"/>
      <c r="S19" s="2"/>
      <c r="T19" s="2"/>
      <c r="U19" s="252" t="s">
        <v>197</v>
      </c>
      <c r="V19" s="252"/>
      <c r="W19" s="252"/>
      <c r="X19" s="252"/>
      <c r="Y19" s="252"/>
      <c r="Z19" s="252"/>
      <c r="AA19" s="252"/>
      <c r="AB19" s="247" t="s">
        <v>5709</v>
      </c>
      <c r="AC19" s="247"/>
      <c r="AD19" s="248" t="s">
        <v>4432</v>
      </c>
      <c r="AE19" s="248"/>
      <c r="AF19" s="248"/>
      <c r="AG19" s="248"/>
      <c r="AH19" s="248"/>
      <c r="AI19" s="2"/>
      <c r="AJ19" s="1"/>
      <c r="AK19" s="2"/>
      <c r="AL19" s="1"/>
      <c r="AM19" s="2"/>
      <c r="AN19" s="7"/>
      <c r="AT19" s="23" t="str">
        <f>U19</f>
        <v>Average discharge burnup  [MWd/t]</v>
      </c>
      <c r="AU19" s="23" t="str">
        <f>AD19</f>
        <v>54000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4433</v>
      </c>
      <c r="AE20" s="248"/>
      <c r="AF20" s="248"/>
      <c r="AG20" s="248"/>
      <c r="AH20" s="248"/>
      <c r="AI20" s="2"/>
      <c r="AJ20" s="1"/>
      <c r="AK20" s="2"/>
      <c r="AL20" s="1"/>
      <c r="AM20" s="2"/>
      <c r="AN20" s="7"/>
      <c r="AT20" s="23" t="str">
        <f>D55 &amp; Q48</f>
        <v>LF [%]2005</v>
      </c>
      <c r="AU20" s="23" t="str">
        <f>Q55</f>
        <v>69.14</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4434</v>
      </c>
      <c r="AE21" s="248"/>
      <c r="AF21" s="248"/>
      <c r="AG21" s="248"/>
      <c r="AH21" s="248"/>
      <c r="AI21" s="2"/>
      <c r="AJ21" s="1"/>
      <c r="AK21" s="2"/>
      <c r="AL21" s="1"/>
      <c r="AM21" s="2"/>
      <c r="AN21" s="7"/>
      <c r="AT21" s="23" t="str">
        <f>D55&amp;AE48</f>
        <v>LF [%]2010</v>
      </c>
      <c r="AU21" s="23" t="str">
        <f>AE55</f>
        <v>81.09</v>
      </c>
    </row>
    <row r="22" spans="1:47" ht="8.85" customHeight="1" thickBot="1">
      <c r="A22" s="6"/>
      <c r="B22" s="1"/>
      <c r="C22" s="1"/>
      <c r="D22" s="248" t="s">
        <v>205</v>
      </c>
      <c r="E22" s="248"/>
      <c r="F22" s="248"/>
      <c r="G22" s="248"/>
      <c r="H22" s="248"/>
      <c r="I22" s="248"/>
      <c r="J22" s="248"/>
      <c r="K22" s="248"/>
      <c r="L22" s="247" t="s">
        <v>5709</v>
      </c>
      <c r="M22" s="259">
        <v>23255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4435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25957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4436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26238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4437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227</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4438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4439</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410</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6130</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422</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4440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4441</v>
      </c>
      <c r="G49" s="238"/>
      <c r="H49" s="238"/>
      <c r="I49" s="238"/>
      <c r="J49" s="10" t="s">
        <v>4442</v>
      </c>
      <c r="K49" s="238" t="s">
        <v>4443</v>
      </c>
      <c r="L49" s="238"/>
      <c r="M49" s="238"/>
      <c r="N49" s="238" t="s">
        <v>4444</v>
      </c>
      <c r="O49" s="238"/>
      <c r="P49" s="238"/>
      <c r="Q49" s="238" t="s">
        <v>4445</v>
      </c>
      <c r="R49" s="238"/>
      <c r="S49" s="238"/>
      <c r="T49" s="238"/>
      <c r="U49" s="238"/>
      <c r="V49" s="238"/>
      <c r="W49" s="238" t="s">
        <v>4446</v>
      </c>
      <c r="X49" s="238"/>
      <c r="Y49" s="10" t="s">
        <v>4447</v>
      </c>
      <c r="Z49" s="10" t="s">
        <v>4448</v>
      </c>
      <c r="AA49" s="238" t="s">
        <v>4449</v>
      </c>
      <c r="AB49" s="238"/>
      <c r="AC49" s="238"/>
      <c r="AD49" s="238"/>
      <c r="AE49" s="10" t="s">
        <v>4450</v>
      </c>
      <c r="AF49" s="237" t="s">
        <v>4451</v>
      </c>
      <c r="AG49" s="237"/>
      <c r="AH49" s="237"/>
      <c r="AI49" s="237"/>
      <c r="AJ49" s="2"/>
      <c r="AK49" s="2"/>
      <c r="AL49" s="2"/>
      <c r="AM49" s="2"/>
      <c r="AN49" s="7"/>
    </row>
    <row r="50" spans="1:40" ht="13.5" thickBot="1">
      <c r="A50" s="6"/>
      <c r="B50" s="2"/>
      <c r="C50" s="2"/>
      <c r="D50" s="244" t="s">
        <v>261</v>
      </c>
      <c r="E50" s="244"/>
      <c r="F50" s="238" t="s">
        <v>4452</v>
      </c>
      <c r="G50" s="238"/>
      <c r="H50" s="238"/>
      <c r="I50" s="238"/>
      <c r="J50" s="10" t="s">
        <v>4453</v>
      </c>
      <c r="K50" s="238" t="s">
        <v>4454</v>
      </c>
      <c r="L50" s="238"/>
      <c r="M50" s="238"/>
      <c r="N50" s="238" t="s">
        <v>2893</v>
      </c>
      <c r="O50" s="238"/>
      <c r="P50" s="238"/>
      <c r="Q50" s="238" t="s">
        <v>4455</v>
      </c>
      <c r="R50" s="238"/>
      <c r="S50" s="238"/>
      <c r="T50" s="238"/>
      <c r="U50" s="238"/>
      <c r="V50" s="238"/>
      <c r="W50" s="238" t="s">
        <v>6000</v>
      </c>
      <c r="X50" s="238"/>
      <c r="Y50" s="10" t="s">
        <v>4456</v>
      </c>
      <c r="Z50" s="10" t="s">
        <v>6473</v>
      </c>
      <c r="AA50" s="238" t="s">
        <v>4457</v>
      </c>
      <c r="AB50" s="238"/>
      <c r="AC50" s="238"/>
      <c r="AD50" s="238"/>
      <c r="AE50" s="10" t="s">
        <v>4458</v>
      </c>
      <c r="AF50" s="237" t="s">
        <v>4459</v>
      </c>
      <c r="AG50" s="237"/>
      <c r="AH50" s="237"/>
      <c r="AI50" s="237"/>
      <c r="AJ50" s="2"/>
      <c r="AK50" s="2"/>
      <c r="AL50" s="2"/>
      <c r="AM50" s="2"/>
      <c r="AN50" s="7"/>
    </row>
    <row r="51" spans="1:40" ht="13.5" thickBot="1">
      <c r="A51" s="6"/>
      <c r="B51" s="2"/>
      <c r="C51" s="2"/>
      <c r="D51" s="244" t="s">
        <v>273</v>
      </c>
      <c r="E51" s="244"/>
      <c r="F51" s="238" t="s">
        <v>4460</v>
      </c>
      <c r="G51" s="238"/>
      <c r="H51" s="238"/>
      <c r="I51" s="238"/>
      <c r="J51" s="10" t="s">
        <v>6087</v>
      </c>
      <c r="K51" s="238" t="s">
        <v>4211</v>
      </c>
      <c r="L51" s="238"/>
      <c r="M51" s="238"/>
      <c r="N51" s="238" t="s">
        <v>6087</v>
      </c>
      <c r="O51" s="238"/>
      <c r="P51" s="238"/>
      <c r="Q51" s="238" t="s">
        <v>4461</v>
      </c>
      <c r="R51" s="238"/>
      <c r="S51" s="238"/>
      <c r="T51" s="238"/>
      <c r="U51" s="238"/>
      <c r="V51" s="238"/>
      <c r="W51" s="238" t="s">
        <v>6087</v>
      </c>
      <c r="X51" s="238"/>
      <c r="Y51" s="10" t="s">
        <v>4462</v>
      </c>
      <c r="Z51" s="10" t="s">
        <v>6087</v>
      </c>
      <c r="AA51" s="238" t="s">
        <v>4463</v>
      </c>
      <c r="AB51" s="238"/>
      <c r="AC51" s="238"/>
      <c r="AD51" s="238"/>
      <c r="AE51" s="10" t="s">
        <v>6087</v>
      </c>
      <c r="AF51" s="237" t="s">
        <v>3339</v>
      </c>
      <c r="AG51" s="237"/>
      <c r="AH51" s="237"/>
      <c r="AI51" s="237"/>
      <c r="AJ51" s="2"/>
      <c r="AK51" s="2"/>
      <c r="AL51" s="2"/>
      <c r="AM51" s="2"/>
      <c r="AN51" s="7"/>
    </row>
    <row r="52" spans="1:40" ht="13.5" thickBot="1">
      <c r="A52" s="6"/>
      <c r="B52" s="2"/>
      <c r="C52" s="2"/>
      <c r="D52" s="244" t="s">
        <v>285</v>
      </c>
      <c r="E52" s="244"/>
      <c r="F52" s="238" t="s">
        <v>4452</v>
      </c>
      <c r="G52" s="238"/>
      <c r="H52" s="238"/>
      <c r="I52" s="238"/>
      <c r="J52" s="10" t="s">
        <v>293</v>
      </c>
      <c r="K52" s="238" t="s">
        <v>4464</v>
      </c>
      <c r="L52" s="238"/>
      <c r="M52" s="238"/>
      <c r="N52" s="238" t="s">
        <v>4465</v>
      </c>
      <c r="O52" s="238"/>
      <c r="P52" s="238"/>
      <c r="Q52" s="238" t="s">
        <v>4466</v>
      </c>
      <c r="R52" s="238"/>
      <c r="S52" s="238"/>
      <c r="T52" s="238"/>
      <c r="U52" s="238"/>
      <c r="V52" s="238"/>
      <c r="W52" s="238" t="s">
        <v>6000</v>
      </c>
      <c r="X52" s="238"/>
      <c r="Y52" s="10" t="s">
        <v>4467</v>
      </c>
      <c r="Z52" s="10" t="s">
        <v>6006</v>
      </c>
      <c r="AA52" s="238" t="s">
        <v>4468</v>
      </c>
      <c r="AB52" s="238"/>
      <c r="AC52" s="238"/>
      <c r="AD52" s="238"/>
      <c r="AE52" s="10" t="s">
        <v>4469</v>
      </c>
      <c r="AF52" s="237" t="s">
        <v>4470</v>
      </c>
      <c r="AG52" s="237"/>
      <c r="AH52" s="237"/>
      <c r="AI52" s="237"/>
      <c r="AJ52" s="2"/>
      <c r="AK52" s="2"/>
      <c r="AL52" s="2"/>
      <c r="AM52" s="2"/>
      <c r="AN52" s="7"/>
    </row>
    <row r="53" spans="1:40" ht="13.5" thickBot="1">
      <c r="A53" s="6"/>
      <c r="B53" s="2"/>
      <c r="C53" s="2"/>
      <c r="D53" s="244" t="s">
        <v>295</v>
      </c>
      <c r="E53" s="244"/>
      <c r="F53" s="238" t="s">
        <v>3829</v>
      </c>
      <c r="G53" s="238"/>
      <c r="H53" s="238"/>
      <c r="I53" s="238"/>
      <c r="J53" s="10" t="s">
        <v>450</v>
      </c>
      <c r="K53" s="238" t="s">
        <v>4471</v>
      </c>
      <c r="L53" s="238"/>
      <c r="M53" s="238"/>
      <c r="N53" s="238" t="s">
        <v>4472</v>
      </c>
      <c r="O53" s="238"/>
      <c r="P53" s="238"/>
      <c r="Q53" s="238" t="s">
        <v>4473</v>
      </c>
      <c r="R53" s="238"/>
      <c r="S53" s="238"/>
      <c r="T53" s="238"/>
      <c r="U53" s="238"/>
      <c r="V53" s="238"/>
      <c r="W53" s="238" t="s">
        <v>3568</v>
      </c>
      <c r="X53" s="238"/>
      <c r="Y53" s="10" t="s">
        <v>4474</v>
      </c>
      <c r="Z53" s="10" t="s">
        <v>1</v>
      </c>
      <c r="AA53" s="238" t="s">
        <v>5448</v>
      </c>
      <c r="AB53" s="238"/>
      <c r="AC53" s="238"/>
      <c r="AD53" s="238"/>
      <c r="AE53" s="10" t="s">
        <v>4475</v>
      </c>
      <c r="AF53" s="237" t="s">
        <v>4476</v>
      </c>
      <c r="AG53" s="237"/>
      <c r="AH53" s="237"/>
      <c r="AI53" s="237"/>
      <c r="AJ53" s="2"/>
      <c r="AK53" s="2"/>
      <c r="AL53" s="2"/>
      <c r="AM53" s="2"/>
      <c r="AN53" s="7"/>
    </row>
    <row r="54" spans="1:40" ht="13.5" thickBot="1">
      <c r="A54" s="6"/>
      <c r="B54" s="2"/>
      <c r="C54" s="2"/>
      <c r="D54" s="244" t="s">
        <v>307</v>
      </c>
      <c r="E54" s="244"/>
      <c r="F54" s="238" t="s">
        <v>4477</v>
      </c>
      <c r="G54" s="238"/>
      <c r="H54" s="238"/>
      <c r="I54" s="238"/>
      <c r="J54" s="10" t="s">
        <v>4478</v>
      </c>
      <c r="K54" s="238" t="s">
        <v>4479</v>
      </c>
      <c r="L54" s="238"/>
      <c r="M54" s="238"/>
      <c r="N54" s="238" t="s">
        <v>2746</v>
      </c>
      <c r="O54" s="238"/>
      <c r="P54" s="238"/>
      <c r="Q54" s="238" t="s">
        <v>4480</v>
      </c>
      <c r="R54" s="238"/>
      <c r="S54" s="238"/>
      <c r="T54" s="238"/>
      <c r="U54" s="238"/>
      <c r="V54" s="238"/>
      <c r="W54" s="238" t="s">
        <v>4481</v>
      </c>
      <c r="X54" s="238"/>
      <c r="Y54" s="10" t="s">
        <v>4482</v>
      </c>
      <c r="Z54" s="10" t="s">
        <v>2746</v>
      </c>
      <c r="AA54" s="238" t="s">
        <v>6269</v>
      </c>
      <c r="AB54" s="238"/>
      <c r="AC54" s="238"/>
      <c r="AD54" s="238"/>
      <c r="AE54" s="10" t="s">
        <v>2746</v>
      </c>
      <c r="AF54" s="237" t="s">
        <v>4483</v>
      </c>
      <c r="AG54" s="237"/>
      <c r="AH54" s="237"/>
      <c r="AI54" s="237"/>
      <c r="AJ54" s="2"/>
      <c r="AK54" s="2"/>
      <c r="AL54" s="2"/>
      <c r="AM54" s="2"/>
      <c r="AN54" s="7"/>
    </row>
    <row r="55" spans="1:40" ht="13.5" thickBot="1">
      <c r="A55" s="6"/>
      <c r="B55" s="2"/>
      <c r="C55" s="2"/>
      <c r="D55" s="244" t="s">
        <v>319</v>
      </c>
      <c r="E55" s="244"/>
      <c r="F55" s="237" t="s">
        <v>4452</v>
      </c>
      <c r="G55" s="237"/>
      <c r="H55" s="237"/>
      <c r="I55" s="237"/>
      <c r="J55" s="11" t="s">
        <v>6056</v>
      </c>
      <c r="K55" s="237" t="s">
        <v>4484</v>
      </c>
      <c r="L55" s="237"/>
      <c r="M55" s="237"/>
      <c r="N55" s="237" t="s">
        <v>269</v>
      </c>
      <c r="O55" s="237"/>
      <c r="P55" s="237"/>
      <c r="Q55" s="237" t="s">
        <v>4455</v>
      </c>
      <c r="R55" s="237"/>
      <c r="S55" s="237"/>
      <c r="T55" s="237"/>
      <c r="U55" s="237"/>
      <c r="V55" s="237"/>
      <c r="W55" s="237" t="s">
        <v>6000</v>
      </c>
      <c r="X55" s="237"/>
      <c r="Y55" s="11" t="s">
        <v>4456</v>
      </c>
      <c r="Z55" s="11" t="s">
        <v>6473</v>
      </c>
      <c r="AA55" s="237" t="s">
        <v>4457</v>
      </c>
      <c r="AB55" s="237"/>
      <c r="AC55" s="237"/>
      <c r="AD55" s="237"/>
      <c r="AE55" s="11" t="s">
        <v>4458</v>
      </c>
      <c r="AF55" s="237" t="s">
        <v>5263</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4485</v>
      </c>
      <c r="E7" s="269"/>
      <c r="F7" s="269"/>
      <c r="G7" s="269"/>
      <c r="H7" s="269" t="s">
        <v>4486</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WYLFA 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23</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24</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4430</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4431</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MAGNOX</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1920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1920</v>
      </c>
      <c r="N16" s="264"/>
      <c r="O16" s="264"/>
      <c r="P16" s="248" t="s">
        <v>186</v>
      </c>
      <c r="Q16" s="248"/>
      <c r="R16" s="248"/>
      <c r="S16" s="2"/>
      <c r="T16" s="2"/>
      <c r="U16" s="252" t="s">
        <v>187</v>
      </c>
      <c r="V16" s="252"/>
      <c r="W16" s="252"/>
      <c r="X16" s="252"/>
      <c r="Y16" s="252"/>
      <c r="Z16" s="252"/>
      <c r="AA16" s="252"/>
      <c r="AB16" s="247" t="s">
        <v>5709</v>
      </c>
      <c r="AC16" s="247"/>
      <c r="AD16" s="248"/>
      <c r="AE16" s="248"/>
      <c r="AF16" s="248"/>
      <c r="AG16" s="248"/>
      <c r="AH16" s="248"/>
      <c r="AI16" s="2"/>
      <c r="AJ16" s="1"/>
      <c r="AK16" s="2"/>
      <c r="AL16" s="1"/>
      <c r="AM16" s="2"/>
      <c r="AN16" s="7"/>
      <c r="AT16" s="24" t="str">
        <f>D17 &amp; " [MWe]"</f>
        <v>Latest gross electrical power [MWe]</v>
      </c>
      <c r="AU16" s="24">
        <f>M17</f>
        <v>540</v>
      </c>
    </row>
    <row r="17" spans="1:47" ht="13.5" thickBot="1">
      <c r="A17" s="6"/>
      <c r="B17" s="1"/>
      <c r="C17" s="1"/>
      <c r="D17" s="248" t="s">
        <v>189</v>
      </c>
      <c r="E17" s="248"/>
      <c r="F17" s="248"/>
      <c r="G17" s="248"/>
      <c r="H17" s="248"/>
      <c r="I17" s="248"/>
      <c r="J17" s="248"/>
      <c r="K17" s="248"/>
      <c r="L17" s="8" t="s">
        <v>5709</v>
      </c>
      <c r="M17" s="264">
        <v>540</v>
      </c>
      <c r="N17" s="264"/>
      <c r="O17" s="264"/>
      <c r="P17" s="248" t="s">
        <v>190</v>
      </c>
      <c r="Q17" s="248"/>
      <c r="R17" s="248"/>
      <c r="S17" s="2"/>
      <c r="T17" s="2"/>
      <c r="U17" s="252" t="s">
        <v>191</v>
      </c>
      <c r="V17" s="252"/>
      <c r="W17" s="252"/>
      <c r="X17" s="252"/>
      <c r="Y17" s="252"/>
      <c r="Z17" s="252"/>
      <c r="AA17" s="252"/>
      <c r="AB17" s="247" t="s">
        <v>5709</v>
      </c>
      <c r="AC17" s="247"/>
      <c r="AD17" s="248" t="s">
        <v>26</v>
      </c>
      <c r="AE17" s="248"/>
      <c r="AF17" s="248"/>
      <c r="AG17" s="248"/>
      <c r="AH17" s="248"/>
      <c r="AI17" s="2"/>
      <c r="AJ17" s="1"/>
      <c r="AK17" s="2"/>
      <c r="AL17" s="1"/>
      <c r="AM17" s="2"/>
      <c r="AN17" s="7"/>
      <c r="AT17" s="24" t="str">
        <f>D19 &amp; " [MWe]"</f>
        <v>Latest reference unit power (net) [MWe]</v>
      </c>
      <c r="AU17" s="24">
        <f>M19</f>
        <v>490</v>
      </c>
    </row>
    <row r="18" spans="1:47" ht="13.5" thickBot="1">
      <c r="A18" s="6"/>
      <c r="B18" s="1"/>
      <c r="C18" s="1"/>
      <c r="D18" s="248" t="s">
        <v>193</v>
      </c>
      <c r="E18" s="248"/>
      <c r="F18" s="248"/>
      <c r="G18" s="248"/>
      <c r="H18" s="248"/>
      <c r="I18" s="248"/>
      <c r="J18" s="248"/>
      <c r="K18" s="248"/>
      <c r="L18" s="8" t="s">
        <v>5709</v>
      </c>
      <c r="M18" s="264">
        <v>550</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26135</v>
      </c>
    </row>
    <row r="19" spans="1:47" ht="13.5" thickBot="1">
      <c r="A19" s="6"/>
      <c r="B19" s="1"/>
      <c r="C19" s="1"/>
      <c r="D19" s="248" t="s">
        <v>196</v>
      </c>
      <c r="E19" s="248"/>
      <c r="F19" s="248"/>
      <c r="G19" s="248"/>
      <c r="H19" s="248"/>
      <c r="I19" s="248"/>
      <c r="J19" s="248"/>
      <c r="K19" s="248"/>
      <c r="L19" s="8" t="s">
        <v>5709</v>
      </c>
      <c r="M19" s="264">
        <v>490</v>
      </c>
      <c r="N19" s="264"/>
      <c r="O19" s="264"/>
      <c r="P19" s="248" t="s">
        <v>190</v>
      </c>
      <c r="Q19" s="248"/>
      <c r="R19" s="248"/>
      <c r="S19" s="2"/>
      <c r="T19" s="2"/>
      <c r="U19" s="252" t="s">
        <v>197</v>
      </c>
      <c r="V19" s="252"/>
      <c r="W19" s="252"/>
      <c r="X19" s="252"/>
      <c r="Y19" s="252"/>
      <c r="Z19" s="252"/>
      <c r="AA19" s="252"/>
      <c r="AB19" s="247" t="s">
        <v>5709</v>
      </c>
      <c r="AC19" s="247"/>
      <c r="AD19" s="248" t="s">
        <v>4432</v>
      </c>
      <c r="AE19" s="248"/>
      <c r="AF19" s="248"/>
      <c r="AG19" s="248"/>
      <c r="AH19" s="248"/>
      <c r="AI19" s="2"/>
      <c r="AJ19" s="1"/>
      <c r="AK19" s="2"/>
      <c r="AL19" s="1"/>
      <c r="AM19" s="2"/>
      <c r="AN19" s="7"/>
      <c r="AT19" s="23" t="str">
        <f>U19</f>
        <v>Average discharge burnup  [MWd/t]</v>
      </c>
      <c r="AU19" s="23" t="str">
        <f>AD19</f>
        <v>54000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4433</v>
      </c>
      <c r="AE20" s="248"/>
      <c r="AF20" s="248"/>
      <c r="AG20" s="248"/>
      <c r="AH20" s="248"/>
      <c r="AI20" s="2"/>
      <c r="AJ20" s="1"/>
      <c r="AK20" s="2"/>
      <c r="AL20" s="1"/>
      <c r="AM20" s="2"/>
      <c r="AN20" s="7"/>
      <c r="AT20" s="23" t="str">
        <f>D55 &amp; Q48</f>
        <v>LF [%]2005</v>
      </c>
      <c r="AU20" s="23" t="str">
        <f>Q55</f>
        <v>88.11</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4434</v>
      </c>
      <c r="AE21" s="248"/>
      <c r="AF21" s="248"/>
      <c r="AG21" s="248"/>
      <c r="AH21" s="248"/>
      <c r="AI21" s="2"/>
      <c r="AJ21" s="1"/>
      <c r="AK21" s="2"/>
      <c r="AL21" s="1"/>
      <c r="AM21" s="2"/>
      <c r="AN21" s="7"/>
      <c r="AT21" s="23" t="str">
        <f>D55&amp;AE48</f>
        <v>LF [%]2010</v>
      </c>
      <c r="AU21" s="23" t="str">
        <f>AE55</f>
        <v>36.92</v>
      </c>
    </row>
    <row r="22" spans="1:47" ht="8.85" customHeight="1" thickBot="1">
      <c r="A22" s="6"/>
      <c r="B22" s="1"/>
      <c r="C22" s="1"/>
      <c r="D22" s="248" t="s">
        <v>205</v>
      </c>
      <c r="E22" s="248"/>
      <c r="F22" s="248"/>
      <c r="G22" s="248"/>
      <c r="H22" s="248"/>
      <c r="I22" s="248"/>
      <c r="J22" s="248"/>
      <c r="K22" s="248"/>
      <c r="L22" s="247" t="s">
        <v>5709</v>
      </c>
      <c r="M22" s="259">
        <v>23255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4435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26135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4436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26301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4437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227</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4438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4439</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410</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6130</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422</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4440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4487</v>
      </c>
      <c r="G49" s="238"/>
      <c r="H49" s="238"/>
      <c r="I49" s="238"/>
      <c r="J49" s="10" t="s">
        <v>4488</v>
      </c>
      <c r="K49" s="238" t="s">
        <v>4489</v>
      </c>
      <c r="L49" s="238"/>
      <c r="M49" s="238"/>
      <c r="N49" s="238" t="s">
        <v>4490</v>
      </c>
      <c r="O49" s="238"/>
      <c r="P49" s="238"/>
      <c r="Q49" s="238" t="s">
        <v>4491</v>
      </c>
      <c r="R49" s="238"/>
      <c r="S49" s="238"/>
      <c r="T49" s="238"/>
      <c r="U49" s="238"/>
      <c r="V49" s="238"/>
      <c r="W49" s="238" t="s">
        <v>4492</v>
      </c>
      <c r="X49" s="238"/>
      <c r="Y49" s="10" t="s">
        <v>4493</v>
      </c>
      <c r="Z49" s="10" t="s">
        <v>4494</v>
      </c>
      <c r="AA49" s="238" t="s">
        <v>4495</v>
      </c>
      <c r="AB49" s="238"/>
      <c r="AC49" s="238"/>
      <c r="AD49" s="238"/>
      <c r="AE49" s="10" t="s">
        <v>4496</v>
      </c>
      <c r="AF49" s="237" t="s">
        <v>4497</v>
      </c>
      <c r="AG49" s="237"/>
      <c r="AH49" s="237"/>
      <c r="AI49" s="237"/>
      <c r="AJ49" s="2"/>
      <c r="AK49" s="2"/>
      <c r="AL49" s="2"/>
      <c r="AM49" s="2"/>
      <c r="AN49" s="7"/>
    </row>
    <row r="50" spans="1:40" ht="13.5" thickBot="1">
      <c r="A50" s="6"/>
      <c r="B50" s="2"/>
      <c r="C50" s="2"/>
      <c r="D50" s="244" t="s">
        <v>261</v>
      </c>
      <c r="E50" s="244"/>
      <c r="F50" s="238" t="s">
        <v>4498</v>
      </c>
      <c r="G50" s="238"/>
      <c r="H50" s="238"/>
      <c r="I50" s="238"/>
      <c r="J50" s="10" t="s">
        <v>4499</v>
      </c>
      <c r="K50" s="238" t="s">
        <v>4500</v>
      </c>
      <c r="L50" s="238"/>
      <c r="M50" s="238"/>
      <c r="N50" s="238" t="s">
        <v>4501</v>
      </c>
      <c r="O50" s="238"/>
      <c r="P50" s="238"/>
      <c r="Q50" s="238" t="s">
        <v>6104</v>
      </c>
      <c r="R50" s="238"/>
      <c r="S50" s="238"/>
      <c r="T50" s="238"/>
      <c r="U50" s="238"/>
      <c r="V50" s="238"/>
      <c r="W50" s="238" t="s">
        <v>4502</v>
      </c>
      <c r="X50" s="238"/>
      <c r="Y50" s="10" t="s">
        <v>4503</v>
      </c>
      <c r="Z50" s="10" t="s">
        <v>4504</v>
      </c>
      <c r="AA50" s="238" t="s">
        <v>6636</v>
      </c>
      <c r="AB50" s="238"/>
      <c r="AC50" s="238"/>
      <c r="AD50" s="238"/>
      <c r="AE50" s="10" t="s">
        <v>4505</v>
      </c>
      <c r="AF50" s="237" t="s">
        <v>4506</v>
      </c>
      <c r="AG50" s="237"/>
      <c r="AH50" s="237"/>
      <c r="AI50" s="237"/>
      <c r="AJ50" s="2"/>
      <c r="AK50" s="2"/>
      <c r="AL50" s="2"/>
      <c r="AM50" s="2"/>
      <c r="AN50" s="7"/>
    </row>
    <row r="51" spans="1:40" ht="13.5" thickBot="1">
      <c r="A51" s="6"/>
      <c r="B51" s="2"/>
      <c r="C51" s="2"/>
      <c r="D51" s="244" t="s">
        <v>273</v>
      </c>
      <c r="E51" s="244"/>
      <c r="F51" s="238" t="s">
        <v>4507</v>
      </c>
      <c r="G51" s="238"/>
      <c r="H51" s="238"/>
      <c r="I51" s="238"/>
      <c r="J51" s="10" t="s">
        <v>4508</v>
      </c>
      <c r="K51" s="238" t="s">
        <v>6087</v>
      </c>
      <c r="L51" s="238"/>
      <c r="M51" s="238"/>
      <c r="N51" s="238" t="s">
        <v>4509</v>
      </c>
      <c r="O51" s="238"/>
      <c r="P51" s="238"/>
      <c r="Q51" s="238" t="s">
        <v>6087</v>
      </c>
      <c r="R51" s="238"/>
      <c r="S51" s="238"/>
      <c r="T51" s="238"/>
      <c r="U51" s="238"/>
      <c r="V51" s="238"/>
      <c r="W51" s="238" t="s">
        <v>4510</v>
      </c>
      <c r="X51" s="238"/>
      <c r="Y51" s="10" t="s">
        <v>6087</v>
      </c>
      <c r="Z51" s="10" t="s">
        <v>4511</v>
      </c>
      <c r="AA51" s="238" t="s">
        <v>6087</v>
      </c>
      <c r="AB51" s="238"/>
      <c r="AC51" s="238"/>
      <c r="AD51" s="238"/>
      <c r="AE51" s="10" t="s">
        <v>4512</v>
      </c>
      <c r="AF51" s="237" t="s">
        <v>5202</v>
      </c>
      <c r="AG51" s="237"/>
      <c r="AH51" s="237"/>
      <c r="AI51" s="237"/>
      <c r="AJ51" s="2"/>
      <c r="AK51" s="2"/>
      <c r="AL51" s="2"/>
      <c r="AM51" s="2"/>
      <c r="AN51" s="7"/>
    </row>
    <row r="52" spans="1:40" ht="13.5" thickBot="1">
      <c r="A52" s="6"/>
      <c r="B52" s="2"/>
      <c r="C52" s="2"/>
      <c r="D52" s="244" t="s">
        <v>285</v>
      </c>
      <c r="E52" s="244"/>
      <c r="F52" s="238" t="s">
        <v>4498</v>
      </c>
      <c r="G52" s="238"/>
      <c r="H52" s="238"/>
      <c r="I52" s="238"/>
      <c r="J52" s="10" t="s">
        <v>6437</v>
      </c>
      <c r="K52" s="238" t="s">
        <v>4513</v>
      </c>
      <c r="L52" s="238"/>
      <c r="M52" s="238"/>
      <c r="N52" s="238" t="s">
        <v>4501</v>
      </c>
      <c r="O52" s="238"/>
      <c r="P52" s="238"/>
      <c r="Q52" s="238" t="s">
        <v>6737</v>
      </c>
      <c r="R52" s="238"/>
      <c r="S52" s="238"/>
      <c r="T52" s="238"/>
      <c r="U52" s="238"/>
      <c r="V52" s="238"/>
      <c r="W52" s="238" t="s">
        <v>4502</v>
      </c>
      <c r="X52" s="238"/>
      <c r="Y52" s="10" t="s">
        <v>4514</v>
      </c>
      <c r="Z52" s="10" t="s">
        <v>4504</v>
      </c>
      <c r="AA52" s="238" t="s">
        <v>4515</v>
      </c>
      <c r="AB52" s="238"/>
      <c r="AC52" s="238"/>
      <c r="AD52" s="238"/>
      <c r="AE52" s="10" t="s">
        <v>4505</v>
      </c>
      <c r="AF52" s="237" t="s">
        <v>4516</v>
      </c>
      <c r="AG52" s="237"/>
      <c r="AH52" s="237"/>
      <c r="AI52" s="237"/>
      <c r="AJ52" s="2"/>
      <c r="AK52" s="2"/>
      <c r="AL52" s="2"/>
      <c r="AM52" s="2"/>
      <c r="AN52" s="7"/>
    </row>
    <row r="53" spans="1:40" ht="13.5" thickBot="1">
      <c r="A53" s="6"/>
      <c r="B53" s="2"/>
      <c r="C53" s="2"/>
      <c r="D53" s="244" t="s">
        <v>295</v>
      </c>
      <c r="E53" s="244"/>
      <c r="F53" s="238" t="s">
        <v>4517</v>
      </c>
      <c r="G53" s="238"/>
      <c r="H53" s="238"/>
      <c r="I53" s="238"/>
      <c r="J53" s="10" t="s">
        <v>3724</v>
      </c>
      <c r="K53" s="238" t="s">
        <v>6580</v>
      </c>
      <c r="L53" s="238"/>
      <c r="M53" s="238"/>
      <c r="N53" s="238" t="s">
        <v>5609</v>
      </c>
      <c r="O53" s="238"/>
      <c r="P53" s="238"/>
      <c r="Q53" s="238" t="s">
        <v>6767</v>
      </c>
      <c r="R53" s="238"/>
      <c r="S53" s="238"/>
      <c r="T53" s="238"/>
      <c r="U53" s="238"/>
      <c r="V53" s="238"/>
      <c r="W53" s="238" t="s">
        <v>4518</v>
      </c>
      <c r="X53" s="238"/>
      <c r="Y53" s="10" t="s">
        <v>4519</v>
      </c>
      <c r="Z53" s="10" t="s">
        <v>4520</v>
      </c>
      <c r="AA53" s="238" t="s">
        <v>4521</v>
      </c>
      <c r="AB53" s="238"/>
      <c r="AC53" s="238"/>
      <c r="AD53" s="238"/>
      <c r="AE53" s="10" t="s">
        <v>4522</v>
      </c>
      <c r="AF53" s="237" t="s">
        <v>4523</v>
      </c>
      <c r="AG53" s="237"/>
      <c r="AH53" s="237"/>
      <c r="AI53" s="237"/>
      <c r="AJ53" s="2"/>
      <c r="AK53" s="2"/>
      <c r="AL53" s="2"/>
      <c r="AM53" s="2"/>
      <c r="AN53" s="7"/>
    </row>
    <row r="54" spans="1:40" ht="13.5" thickBot="1">
      <c r="A54" s="6"/>
      <c r="B54" s="2"/>
      <c r="C54" s="2"/>
      <c r="D54" s="244" t="s">
        <v>307</v>
      </c>
      <c r="E54" s="244"/>
      <c r="F54" s="238" t="s">
        <v>4524</v>
      </c>
      <c r="G54" s="238"/>
      <c r="H54" s="238"/>
      <c r="I54" s="238"/>
      <c r="J54" s="10" t="s">
        <v>6267</v>
      </c>
      <c r="K54" s="238" t="s">
        <v>4525</v>
      </c>
      <c r="L54" s="238"/>
      <c r="M54" s="238"/>
      <c r="N54" s="238" t="s">
        <v>4483</v>
      </c>
      <c r="O54" s="238"/>
      <c r="P54" s="238"/>
      <c r="Q54" s="238" t="s">
        <v>7022</v>
      </c>
      <c r="R54" s="238"/>
      <c r="S54" s="238"/>
      <c r="T54" s="238"/>
      <c r="U54" s="238"/>
      <c r="V54" s="238"/>
      <c r="W54" s="238" t="s">
        <v>4526</v>
      </c>
      <c r="X54" s="238"/>
      <c r="Y54" s="10" t="s">
        <v>6386</v>
      </c>
      <c r="Z54" s="10" t="s">
        <v>4527</v>
      </c>
      <c r="AA54" s="238" t="s">
        <v>4528</v>
      </c>
      <c r="AB54" s="238"/>
      <c r="AC54" s="238"/>
      <c r="AD54" s="238"/>
      <c r="AE54" s="10" t="s">
        <v>4529</v>
      </c>
      <c r="AF54" s="237" t="s">
        <v>4530</v>
      </c>
      <c r="AG54" s="237"/>
      <c r="AH54" s="237"/>
      <c r="AI54" s="237"/>
      <c r="AJ54" s="2"/>
      <c r="AK54" s="2"/>
      <c r="AL54" s="2"/>
      <c r="AM54" s="2"/>
      <c r="AN54" s="7"/>
    </row>
    <row r="55" spans="1:40" ht="13.5" thickBot="1">
      <c r="A55" s="6"/>
      <c r="B55" s="2"/>
      <c r="C55" s="2"/>
      <c r="D55" s="244" t="s">
        <v>319</v>
      </c>
      <c r="E55" s="244"/>
      <c r="F55" s="237" t="s">
        <v>4498</v>
      </c>
      <c r="G55" s="237"/>
      <c r="H55" s="237"/>
      <c r="I55" s="237"/>
      <c r="J55" s="11" t="s">
        <v>149</v>
      </c>
      <c r="K55" s="237" t="s">
        <v>6532</v>
      </c>
      <c r="L55" s="237"/>
      <c r="M55" s="237"/>
      <c r="N55" s="237" t="s">
        <v>4501</v>
      </c>
      <c r="O55" s="237"/>
      <c r="P55" s="237"/>
      <c r="Q55" s="237" t="s">
        <v>6104</v>
      </c>
      <c r="R55" s="237"/>
      <c r="S55" s="237"/>
      <c r="T55" s="237"/>
      <c r="U55" s="237"/>
      <c r="V55" s="237"/>
      <c r="W55" s="237" t="s">
        <v>4502</v>
      </c>
      <c r="X55" s="237"/>
      <c r="Y55" s="11" t="s">
        <v>4503</v>
      </c>
      <c r="Z55" s="11" t="s">
        <v>4504</v>
      </c>
      <c r="AA55" s="237" t="s">
        <v>6636</v>
      </c>
      <c r="AB55" s="237"/>
      <c r="AC55" s="237"/>
      <c r="AD55" s="237"/>
      <c r="AE55" s="11" t="s">
        <v>4505</v>
      </c>
      <c r="AF55" s="237" t="s">
        <v>4531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Sources</vt:lpstr>
      <vt:lpstr>Assumptions</vt:lpstr>
      <vt:lpstr>Total Overview</vt:lpstr>
      <vt:lpstr>ELC_BG</vt:lpstr>
      <vt:lpstr>ELC_CZ</vt:lpstr>
      <vt:lpstr>ELC_HU</vt:lpstr>
      <vt:lpstr>ELC_RO</vt:lpstr>
      <vt:lpstr>ELC_SK</vt:lpstr>
      <vt:lpstr>ELC_SI</vt:lpstr>
      <vt:lpstr>ELC_BE</vt:lpstr>
      <vt:lpstr>ELC_FI</vt:lpstr>
      <vt:lpstr>ELC_FR</vt:lpstr>
      <vt:lpstr>ELC_DE</vt:lpstr>
      <vt:lpstr>ELC_NL</vt:lpstr>
      <vt:lpstr>ELC_ES</vt:lpstr>
      <vt:lpstr>ELC_SE</vt:lpstr>
      <vt:lpstr>ELC_CH</vt:lpstr>
      <vt:lpstr>ELC_UK</vt:lpstr>
      <vt:lpstr>ELC_IT</vt:lpstr>
      <vt:lpstr>ELC_LT</vt:lpstr>
      <vt:lpstr>ELC_PL</vt:lpstr>
      <vt:lpstr>BG-5</vt:lpstr>
      <vt:lpstr>BG-6</vt:lpstr>
      <vt:lpstr>CZ-4</vt:lpstr>
      <vt:lpstr>CZ-5</vt:lpstr>
      <vt:lpstr>CZ-8</vt:lpstr>
      <vt:lpstr>CZ-9</vt:lpstr>
      <vt:lpstr>CZ-23</vt:lpstr>
      <vt:lpstr>CZ-24</vt:lpstr>
      <vt:lpstr>HU-1</vt:lpstr>
      <vt:lpstr>HU-2</vt:lpstr>
      <vt:lpstr>HU-3</vt:lpstr>
      <vt:lpstr>HU-4</vt:lpstr>
      <vt:lpstr>RO-1</vt:lpstr>
      <vt:lpstr>RO-2</vt:lpstr>
      <vt:lpstr>SK-13</vt:lpstr>
      <vt:lpstr>SK-14</vt:lpstr>
      <vt:lpstr>SK-6</vt:lpstr>
      <vt:lpstr>SK-7</vt:lpstr>
      <vt:lpstr>SI-1</vt:lpstr>
      <vt:lpstr>BE-2</vt:lpstr>
      <vt:lpstr>BE-4</vt:lpstr>
      <vt:lpstr>BE-5</vt:lpstr>
      <vt:lpstr>BE-7</vt:lpstr>
      <vt:lpstr>BE-3</vt:lpstr>
      <vt:lpstr>BE-6</vt:lpstr>
      <vt:lpstr>BE-8</vt:lpstr>
      <vt:lpstr>FI-1</vt:lpstr>
      <vt:lpstr>FI-2</vt:lpstr>
      <vt:lpstr>FI-3</vt:lpstr>
      <vt:lpstr>FI-4</vt:lpstr>
      <vt:lpstr>FR-54</vt:lpstr>
      <vt:lpstr>FR-55</vt:lpstr>
      <vt:lpstr>FR-32</vt:lpstr>
      <vt:lpstr>FR-33</vt:lpstr>
      <vt:lpstr>FR-34</vt:lpstr>
      <vt:lpstr>FR-35</vt:lpstr>
      <vt:lpstr>FR-13</vt:lpstr>
      <vt:lpstr>FR-14</vt:lpstr>
      <vt:lpstr>FR-15</vt:lpstr>
      <vt:lpstr>FR-16</vt:lpstr>
      <vt:lpstr>FR-50</vt:lpstr>
      <vt:lpstr>FR-53</vt:lpstr>
      <vt:lpstr>FR-60</vt:lpstr>
      <vt:lpstr>FR-65</vt:lpstr>
      <vt:lpstr>FR-40</vt:lpstr>
      <vt:lpstr>FR-41</vt:lpstr>
      <vt:lpstr>FR-56</vt:lpstr>
      <vt:lpstr>FR-57</vt:lpstr>
      <vt:lpstr>FR-62</vt:lpstr>
      <vt:lpstr>FR-70</vt:lpstr>
      <vt:lpstr>FR-72</vt:lpstr>
      <vt:lpstr>FR-73</vt:lpstr>
      <vt:lpstr>FR-42</vt:lpstr>
      <vt:lpstr>FR-43</vt:lpstr>
      <vt:lpstr>FR-44</vt:lpstr>
      <vt:lpstr>FR-45</vt:lpstr>
      <vt:lpstr>FR-22</vt:lpstr>
      <vt:lpstr>FR-29</vt:lpstr>
      <vt:lpstr>FR-30</vt:lpstr>
      <vt:lpstr>FR-31</vt:lpstr>
      <vt:lpstr>FR-11</vt:lpstr>
      <vt:lpstr>FR-12</vt:lpstr>
      <vt:lpstr>FR-46</vt:lpstr>
      <vt:lpstr>FR-47</vt:lpstr>
      <vt:lpstr>FR-61</vt:lpstr>
      <vt:lpstr>FR-68</vt:lpstr>
      <vt:lpstr>FR-20</vt:lpstr>
      <vt:lpstr>FR-21</vt:lpstr>
      <vt:lpstr>FR-27</vt:lpstr>
      <vt:lpstr>FR-28</vt:lpstr>
      <vt:lpstr>FR-51</vt:lpstr>
      <vt:lpstr>FR-52</vt:lpstr>
      <vt:lpstr>FR-58</vt:lpstr>
      <vt:lpstr>FR-59</vt:lpstr>
      <vt:lpstr>FR-36</vt:lpstr>
      <vt:lpstr>FR-37</vt:lpstr>
      <vt:lpstr>FR-38</vt:lpstr>
      <vt:lpstr>FR-39</vt:lpstr>
      <vt:lpstr>FR-63</vt:lpstr>
      <vt:lpstr>FR-64</vt:lpstr>
      <vt:lpstr>FR-48</vt:lpstr>
      <vt:lpstr>FR-49</vt:lpstr>
      <vt:lpstr>FR-17</vt:lpstr>
      <vt:lpstr>FR-23</vt:lpstr>
      <vt:lpstr>FR-18</vt:lpstr>
      <vt:lpstr>FR-19</vt:lpstr>
      <vt:lpstr>FR-25</vt:lpstr>
      <vt:lpstr>FR-26</vt:lpstr>
      <vt:lpstr>DE-32</vt:lpstr>
      <vt:lpstr>DE-33</vt:lpstr>
      <vt:lpstr>DE-23</vt:lpstr>
      <vt:lpstr>DE-27</vt:lpstr>
      <vt:lpstr>DE-26</vt:lpstr>
      <vt:lpstr>DE-28</vt:lpstr>
      <vt:lpstr>DE-31</vt:lpstr>
      <vt:lpstr>DE-44</vt:lpstr>
      <vt:lpstr>DE-24</vt:lpstr>
      <vt:lpstr>NL-2</vt:lpstr>
      <vt:lpstr>ES-6</vt:lpstr>
      <vt:lpstr>ES-7</vt:lpstr>
      <vt:lpstr>ES-8</vt:lpstr>
      <vt:lpstr>ES-9</vt:lpstr>
      <vt:lpstr>ES-10</vt:lpstr>
      <vt:lpstr>ES-2</vt:lpstr>
      <vt:lpstr>ES-11</vt:lpstr>
      <vt:lpstr>ES-16</vt:lpstr>
      <vt:lpstr>SE-9</vt:lpstr>
      <vt:lpstr>SE-11</vt:lpstr>
      <vt:lpstr>SE-14</vt:lpstr>
      <vt:lpstr>SE-2</vt:lpstr>
      <vt:lpstr>SE-3</vt:lpstr>
      <vt:lpstr>SE-12</vt:lpstr>
      <vt:lpstr>SE-4</vt:lpstr>
      <vt:lpstr>SE-5</vt:lpstr>
      <vt:lpstr>SE-7</vt:lpstr>
      <vt:lpstr>SE-10</vt:lpstr>
      <vt:lpstr>CH-1</vt:lpstr>
      <vt:lpstr>CH-3</vt:lpstr>
      <vt:lpstr>CH-4</vt:lpstr>
      <vt:lpstr>CH-5</vt:lpstr>
      <vt:lpstr>CH-2</vt:lpstr>
      <vt:lpstr>GB-18A</vt:lpstr>
      <vt:lpstr>GB-18B</vt:lpstr>
      <vt:lpstr>GB-19A</vt:lpstr>
      <vt:lpstr>GB-19B</vt:lpstr>
      <vt:lpstr>GB-20A</vt:lpstr>
      <vt:lpstr>GB-20B</vt:lpstr>
      <vt:lpstr>GB-22A</vt:lpstr>
      <vt:lpstr>GB-22B</vt:lpstr>
      <vt:lpstr>GB-16A</vt:lpstr>
      <vt:lpstr>GB-16B</vt:lpstr>
      <vt:lpstr>GB-17A</vt:lpstr>
      <vt:lpstr>GB-17B</vt:lpstr>
      <vt:lpstr>GB-11A</vt:lpstr>
      <vt:lpstr>GB-24</vt:lpstr>
      <vt:lpstr>GB-23A</vt:lpstr>
      <vt:lpstr>GB-23B</vt:lpstr>
      <vt:lpstr>GB-13A</vt:lpstr>
      <vt:lpstr>GB-13B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dc:creator>
  <cp:lastModifiedBy>Amit Kanudia</cp:lastModifiedBy>
  <dcterms:created xsi:type="dcterms:W3CDTF">2011-11-23T12:44:09Z</dcterms:created>
  <dcterms:modified xsi:type="dcterms:W3CDTF">2020-04-22T08:48:08Z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lpwstr>405758142471314</vt:lpwstr>
  </property>
</Properties>
</file>