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drawings/drawing8.xml" ContentType="application/vnd.openxmlformats-officedocument.drawing+xml"/>
  <Override PartName="/xl/comments7.xml" ContentType="application/vnd.openxmlformats-officedocument.spreadsheetml.comments+xml"/>
  <Override PartName="/xl/drawings/drawing9.xml" ContentType="application/vnd.openxmlformats-officedocument.drawing+xml"/>
  <Override PartName="/xl/comments8.xml" ContentType="application/vnd.openxmlformats-officedocument.spreadsheetml.comments+xml"/>
  <Override PartName="/xl/drawings/drawing10.xml" ContentType="application/vnd.openxmlformats-officedocument.drawing+xml"/>
  <Override PartName="/xl/comments9.xml" ContentType="application/vnd.openxmlformats-officedocument.spreadsheetml.comments+xml"/>
  <Override PartName="/xl/drawings/drawing11.xml" ContentType="application/vnd.openxmlformats-officedocument.drawing+xml"/>
  <Override PartName="/xl/comments10.xml" ContentType="application/vnd.openxmlformats-officedocument.spreadsheetml.comments+xml"/>
  <Override PartName="/xl/drawings/drawing12.xml" ContentType="application/vnd.openxmlformats-officedocument.drawing+xml"/>
  <Override PartName="/xl/comments11.xml" ContentType="application/vnd.openxmlformats-officedocument.spreadsheetml.comments+xml"/>
  <Override PartName="/xl/drawings/drawing13.xml" ContentType="application/vnd.openxmlformats-officedocument.drawing+xml"/>
  <Override PartName="/xl/comments12.xml" ContentType="application/vnd.openxmlformats-officedocument.spreadsheetml.comments+xml"/>
  <Override PartName="/xl/drawings/drawing1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730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VEDA\Migrating Task\Training material_migrated\DemoS_004\"/>
    </mc:Choice>
  </mc:AlternateContent>
  <xr:revisionPtr revIDLastSave="0" documentId="8_{1C2A9D7C-E94F-4122-BE31-3255F80C38B0}" xr6:coauthVersionLast="45" xr6:coauthVersionMax="45" xr10:uidLastSave="{00000000-0000-0000-0000-000000000000}"/>
  <bookViews>
    <workbookView xWindow="390" yWindow="390" windowWidth="15375" windowHeight="7875" tabRatio="901" activeTab="8"/>
  </bookViews>
  <sheets>
    <sheet name="EnergyBalance" sheetId="133" r:id="rId1"/>
    <sheet name="RES&amp;OBJ" sheetId="135" r:id="rId2"/>
    <sheet name="Pri_COA" sheetId="132" r:id="rId3"/>
    <sheet name="Pri_GAS" sheetId="136" r:id="rId4"/>
    <sheet name="Pri_OIL" sheetId="137" r:id="rId5"/>
    <sheet name="Pri_RNW" sheetId="142" r:id="rId6"/>
    <sheet name="Pri_NUC" sheetId="144" r:id="rId7"/>
    <sheet name="Sector_Fuels" sheetId="140" r:id="rId8"/>
    <sheet name="Con_ELC" sheetId="143" r:id="rId9"/>
    <sheet name="DemTechs_TPS" sheetId="145" r:id="rId10"/>
    <sheet name="DemTechs_ELC" sheetId="146" r:id="rId11"/>
    <sheet name="DemTechs_TRA" sheetId="141" r:id="rId12"/>
    <sheet name="DemTechs_RSD" sheetId="138" r:id="rId13"/>
    <sheet name="Demands" sheetId="134" r:id="rId14"/>
  </sheets>
  <externalReferences>
    <externalReference r:id="rId15"/>
  </externalReferences>
  <definedNames>
    <definedName name="FID_1">[1]AGR_Fuels!$A$2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6" i="143" l="1"/>
  <c r="R16" i="143" s="1"/>
  <c r="N15" i="143"/>
  <c r="N25" i="143"/>
  <c r="N23" i="143"/>
  <c r="N21" i="143"/>
  <c r="N17" i="143"/>
  <c r="N13" i="143"/>
  <c r="L15" i="141"/>
  <c r="L13" i="141"/>
  <c r="L15" i="138"/>
  <c r="L13" i="138"/>
  <c r="F2" i="146"/>
  <c r="E2" i="146"/>
  <c r="C2" i="146"/>
  <c r="B2" i="146"/>
  <c r="F2" i="145"/>
  <c r="E2" i="145"/>
  <c r="C2" i="145"/>
  <c r="B2" i="145"/>
  <c r="I12" i="146"/>
  <c r="Q12" i="146"/>
  <c r="D2" i="146"/>
  <c r="I12" i="145"/>
  <c r="D2" i="145"/>
  <c r="O5" i="145" s="1"/>
  <c r="N5" i="145"/>
  <c r="E11" i="134"/>
  <c r="E10" i="134"/>
  <c r="E12" i="141"/>
  <c r="E12" i="138"/>
  <c r="E19" i="143"/>
  <c r="F19" i="143"/>
  <c r="E18" i="143"/>
  <c r="F18" i="143"/>
  <c r="E14" i="143"/>
  <c r="R14" i="143"/>
  <c r="E12" i="143"/>
  <c r="R12" i="143"/>
  <c r="I15" i="137"/>
  <c r="I12" i="137"/>
  <c r="I11" i="137"/>
  <c r="I12" i="136"/>
  <c r="I11" i="136"/>
  <c r="I12" i="132"/>
  <c r="I11" i="132"/>
  <c r="N11" i="143"/>
  <c r="L11" i="141"/>
  <c r="I14" i="141"/>
  <c r="L11" i="138"/>
  <c r="I14" i="138"/>
  <c r="P13" i="138"/>
  <c r="B14" i="138" s="1"/>
  <c r="C14" i="138" s="1"/>
  <c r="F11" i="143"/>
  <c r="E11" i="143"/>
  <c r="Y17" i="143"/>
  <c r="Y18" i="143"/>
  <c r="Y19" i="143"/>
  <c r="I15" i="136"/>
  <c r="I15" i="132"/>
  <c r="L11" i="133"/>
  <c r="K6" i="140"/>
  <c r="D18" i="140"/>
  <c r="C18" i="140" s="1"/>
  <c r="K5" i="140"/>
  <c r="D17" i="140"/>
  <c r="C17" i="140"/>
  <c r="L18" i="140"/>
  <c r="L17" i="140"/>
  <c r="L6" i="140"/>
  <c r="F24" i="133"/>
  <c r="K24" i="133"/>
  <c r="E12" i="134"/>
  <c r="I12" i="134"/>
  <c r="E2" i="141"/>
  <c r="R5" i="141"/>
  <c r="C2" i="141"/>
  <c r="Q11" i="141" s="1"/>
  <c r="L23" i="133"/>
  <c r="L22" i="133"/>
  <c r="L20" i="133"/>
  <c r="L19" i="133"/>
  <c r="L18" i="133"/>
  <c r="L17" i="133"/>
  <c r="L16" i="133"/>
  <c r="K14" i="133"/>
  <c r="J14" i="133"/>
  <c r="I14" i="133"/>
  <c r="H14" i="133"/>
  <c r="G14" i="133"/>
  <c r="F14" i="133"/>
  <c r="E14" i="133"/>
  <c r="D14" i="133"/>
  <c r="L13" i="133"/>
  <c r="L12" i="133"/>
  <c r="L10" i="133"/>
  <c r="L14" i="133" s="1"/>
  <c r="L7" i="133"/>
  <c r="L6" i="133"/>
  <c r="L5" i="133"/>
  <c r="L8" i="133" s="1"/>
  <c r="K8" i="133"/>
  <c r="J8" i="133"/>
  <c r="J21" i="133"/>
  <c r="J24" i="133" s="1"/>
  <c r="I8" i="133"/>
  <c r="I21" i="133" s="1"/>
  <c r="I24" i="133" s="1"/>
  <c r="H8" i="133"/>
  <c r="H21" i="133"/>
  <c r="H24" i="133" s="1"/>
  <c r="G8" i="133"/>
  <c r="G21" i="133" s="1"/>
  <c r="G24" i="133" s="1"/>
  <c r="F8" i="133"/>
  <c r="E8" i="133"/>
  <c r="E21" i="133"/>
  <c r="E24" i="133" s="1"/>
  <c r="D8" i="133"/>
  <c r="D21" i="133" s="1"/>
  <c r="Y16" i="143"/>
  <c r="D2" i="144"/>
  <c r="N5" i="144"/>
  <c r="C2" i="144"/>
  <c r="M5" i="144"/>
  <c r="D11" i="144" s="1"/>
  <c r="K11" i="144"/>
  <c r="M11" i="144" s="1"/>
  <c r="G2" i="144"/>
  <c r="E2" i="144"/>
  <c r="G10" i="144" s="1"/>
  <c r="O5" i="144"/>
  <c r="I10" i="144"/>
  <c r="X6" i="143"/>
  <c r="G2" i="143"/>
  <c r="J11" i="143" s="1"/>
  <c r="E2" i="143"/>
  <c r="X19" i="143" s="1"/>
  <c r="C2" i="143"/>
  <c r="L7" i="140" s="1"/>
  <c r="L19" i="140" s="1"/>
  <c r="B2" i="143"/>
  <c r="K10" i="140"/>
  <c r="C18" i="143" s="1"/>
  <c r="W5" i="143"/>
  <c r="V5" i="143"/>
  <c r="Y15" i="143"/>
  <c r="Y14" i="143"/>
  <c r="Y13" i="143"/>
  <c r="Y12" i="143"/>
  <c r="G2" i="142"/>
  <c r="E2" i="142"/>
  <c r="O11" i="142"/>
  <c r="K11" i="142"/>
  <c r="D2" i="142"/>
  <c r="N5" i="142" s="1"/>
  <c r="C2" i="142"/>
  <c r="M5" i="142" s="1"/>
  <c r="D11" i="142" s="1"/>
  <c r="P12" i="138"/>
  <c r="B12" i="138"/>
  <c r="D2" i="138"/>
  <c r="Q13" i="138"/>
  <c r="C2" i="138"/>
  <c r="B2" i="141"/>
  <c r="P6" i="141" s="1"/>
  <c r="B2" i="138"/>
  <c r="R6" i="141"/>
  <c r="F2" i="141"/>
  <c r="I11" i="141"/>
  <c r="R6" i="138"/>
  <c r="L5" i="140"/>
  <c r="F2" i="140"/>
  <c r="E2" i="140"/>
  <c r="M6" i="140" s="1"/>
  <c r="G2" i="134"/>
  <c r="E2" i="134"/>
  <c r="E8" i="134"/>
  <c r="F2" i="138"/>
  <c r="E2" i="138"/>
  <c r="E11" i="138" s="1"/>
  <c r="E2" i="137"/>
  <c r="O13" i="137" s="1"/>
  <c r="G10" i="137"/>
  <c r="G2" i="137"/>
  <c r="H10" i="137"/>
  <c r="E2" i="136"/>
  <c r="O13" i="136"/>
  <c r="G2" i="136"/>
  <c r="H10" i="136"/>
  <c r="E2" i="132"/>
  <c r="G10" i="132"/>
  <c r="G2" i="132"/>
  <c r="H10" i="132"/>
  <c r="K11" i="137"/>
  <c r="K11" i="136"/>
  <c r="M12" i="136" s="1"/>
  <c r="K11" i="132"/>
  <c r="D2" i="137"/>
  <c r="N5" i="137" s="1"/>
  <c r="C2" i="137"/>
  <c r="M5" i="137"/>
  <c r="D11" i="137" s="1"/>
  <c r="K15" i="137"/>
  <c r="K14" i="137"/>
  <c r="M14" i="137"/>
  <c r="B14" i="137" s="1"/>
  <c r="D2" i="136"/>
  <c r="N13" i="136" s="1"/>
  <c r="C2" i="136"/>
  <c r="M15" i="136" s="1"/>
  <c r="K15" i="136"/>
  <c r="K14" i="136"/>
  <c r="K15" i="132"/>
  <c r="K14" i="132"/>
  <c r="M14" i="132" s="1"/>
  <c r="D2" i="132"/>
  <c r="N5" i="132" s="1"/>
  <c r="C2" i="132"/>
  <c r="M5" i="132"/>
  <c r="D11" i="132" s="1"/>
  <c r="M22" i="140"/>
  <c r="M11" i="140"/>
  <c r="O11" i="144"/>
  <c r="O12" i="136"/>
  <c r="O15" i="132"/>
  <c r="X17" i="143"/>
  <c r="O11" i="136"/>
  <c r="O14" i="136"/>
  <c r="O15" i="136"/>
  <c r="I10" i="132"/>
  <c r="O12" i="132"/>
  <c r="O14" i="132"/>
  <c r="O5" i="137"/>
  <c r="H10" i="144"/>
  <c r="M5" i="136"/>
  <c r="D12" i="136" s="1"/>
  <c r="C15" i="136"/>
  <c r="O13" i="132"/>
  <c r="O11" i="132"/>
  <c r="O5" i="132"/>
  <c r="M15" i="137"/>
  <c r="B15" i="137" s="1"/>
  <c r="N15" i="137"/>
  <c r="O14" i="137"/>
  <c r="O15" i="137"/>
  <c r="M13" i="136"/>
  <c r="B13" i="136" s="1"/>
  <c r="M14" i="136"/>
  <c r="B14" i="136" s="1"/>
  <c r="I10" i="136"/>
  <c r="G10" i="136"/>
  <c r="O5" i="136"/>
  <c r="M11" i="132"/>
  <c r="B11" i="132" s="1"/>
  <c r="N11" i="132"/>
  <c r="I11" i="146"/>
  <c r="P5" i="146"/>
  <c r="E11" i="146"/>
  <c r="H11" i="146"/>
  <c r="P12" i="146"/>
  <c r="C9" i="134"/>
  <c r="D12" i="145"/>
  <c r="E11" i="145"/>
  <c r="H11" i="145"/>
  <c r="P12" i="145"/>
  <c r="P11" i="141"/>
  <c r="B12" i="141" s="1"/>
  <c r="C12" i="141" s="1"/>
  <c r="Q6" i="138"/>
  <c r="D13" i="136"/>
  <c r="W6" i="143"/>
  <c r="S13" i="138"/>
  <c r="S12" i="138"/>
  <c r="K18" i="140"/>
  <c r="B18" i="140"/>
  <c r="M20" i="140"/>
  <c r="M9" i="140"/>
  <c r="K17" i="140"/>
  <c r="B17" i="140" s="1"/>
  <c r="N21" i="140"/>
  <c r="M19" i="140"/>
  <c r="M17" i="140"/>
  <c r="M5" i="140"/>
  <c r="N17" i="140"/>
  <c r="N18" i="140"/>
  <c r="D22" i="143"/>
  <c r="L9" i="140"/>
  <c r="L21" i="140" s="1"/>
  <c r="L11" i="140"/>
  <c r="L23" i="140" s="1"/>
  <c r="X18" i="143"/>
  <c r="D16" i="143"/>
  <c r="R18" i="143"/>
  <c r="D24" i="143"/>
  <c r="D18" i="143"/>
  <c r="K9" i="140"/>
  <c r="K21" i="140"/>
  <c r="B21" i="140" s="1"/>
  <c r="K11" i="140"/>
  <c r="C19" i="143" s="1"/>
  <c r="V6" i="143"/>
  <c r="D25" i="143" s="1"/>
  <c r="D14" i="143"/>
  <c r="K7" i="140"/>
  <c r="V12" i="143" s="1"/>
  <c r="D19" i="143"/>
  <c r="L10" i="140"/>
  <c r="L22" i="140" s="1"/>
  <c r="F12" i="134"/>
  <c r="D19" i="140"/>
  <c r="C19" i="140" s="1"/>
  <c r="D23" i="143"/>
  <c r="K11" i="143"/>
  <c r="X14" i="143"/>
  <c r="X12" i="143"/>
  <c r="R19" i="143"/>
  <c r="X5" i="143"/>
  <c r="X13" i="143"/>
  <c r="C20" i="143"/>
  <c r="X16" i="143"/>
  <c r="K8" i="140"/>
  <c r="V18" i="143" s="1"/>
  <c r="V14" i="143"/>
  <c r="W14" i="143"/>
  <c r="K22" i="140"/>
  <c r="B22" i="140" s="1"/>
  <c r="V13" i="143"/>
  <c r="B14" i="143" s="1"/>
  <c r="P5" i="138"/>
  <c r="C10" i="134" s="1"/>
  <c r="C12" i="138"/>
  <c r="G10" i="142"/>
  <c r="O5" i="146"/>
  <c r="O12" i="146"/>
  <c r="N12" i="146" s="1"/>
  <c r="B12" i="146" s="1"/>
  <c r="C12" i="146" s="1"/>
  <c r="B16" i="143"/>
  <c r="C16" i="143"/>
  <c r="G12" i="134"/>
  <c r="Q5" i="138"/>
  <c r="P6" i="138"/>
  <c r="O5" i="142"/>
  <c r="M13" i="132"/>
  <c r="M15" i="132"/>
  <c r="B15" i="132" s="1"/>
  <c r="M12" i="132"/>
  <c r="B12" i="132" s="1"/>
  <c r="N14" i="137"/>
  <c r="M18" i="140"/>
  <c r="M8" i="140"/>
  <c r="N23" i="140"/>
  <c r="M21" i="140"/>
  <c r="N19" i="140"/>
  <c r="N22" i="140"/>
  <c r="M7" i="140"/>
  <c r="N20" i="140"/>
  <c r="H10" i="142"/>
  <c r="D22" i="140"/>
  <c r="C22" i="140" s="1"/>
  <c r="V15" i="143"/>
  <c r="B18" i="143" s="1"/>
  <c r="Q12" i="141"/>
  <c r="Q6" i="141"/>
  <c r="I10" i="142"/>
  <c r="I11" i="145"/>
  <c r="P5" i="145"/>
  <c r="Q12" i="145"/>
  <c r="D21" i="140"/>
  <c r="C21" i="140" s="1"/>
  <c r="V19" i="143"/>
  <c r="B24" i="143" s="1"/>
  <c r="Q12" i="138"/>
  <c r="N15" i="132"/>
  <c r="N5" i="136"/>
  <c r="D12" i="143"/>
  <c r="D20" i="143"/>
  <c r="O12" i="145"/>
  <c r="N12" i="145"/>
  <c r="B12" i="145" s="1"/>
  <c r="C12" i="145" s="1"/>
  <c r="D23" i="140"/>
  <c r="C23" i="140"/>
  <c r="D13" i="132"/>
  <c r="C15" i="132"/>
  <c r="D14" i="132"/>
  <c r="C22" i="143"/>
  <c r="C14" i="143"/>
  <c r="H12" i="134"/>
  <c r="C24" i="143"/>
  <c r="D21" i="143"/>
  <c r="D15" i="143"/>
  <c r="K23" i="140"/>
  <c r="B23" i="140" s="1"/>
  <c r="D12" i="132"/>
  <c r="D13" i="137"/>
  <c r="C15" i="137"/>
  <c r="D12" i="137"/>
  <c r="M11" i="137"/>
  <c r="B11" i="137" s="1"/>
  <c r="M13" i="137"/>
  <c r="B13" i="137" s="1"/>
  <c r="M12" i="137"/>
  <c r="N12" i="137" s="1"/>
  <c r="R13" i="138"/>
  <c r="R12" i="138"/>
  <c r="I11" i="138"/>
  <c r="M11" i="142"/>
  <c r="N11" i="142" s="1"/>
  <c r="E11" i="141"/>
  <c r="H11" i="141"/>
  <c r="R12" i="141"/>
  <c r="R11" i="141"/>
  <c r="S11" i="141"/>
  <c r="Q5" i="141"/>
  <c r="S12" i="141"/>
  <c r="N5" i="146"/>
  <c r="O10" i="134" s="1"/>
  <c r="D14" i="136"/>
  <c r="B11" i="142"/>
  <c r="B12" i="137"/>
  <c r="N11" i="137"/>
  <c r="B13" i="132"/>
  <c r="N13" i="132"/>
  <c r="N12" i="132"/>
  <c r="D15" i="138"/>
  <c r="D13" i="138"/>
  <c r="W15" i="143"/>
  <c r="N13" i="137"/>
  <c r="D12" i="138"/>
  <c r="D14" i="138"/>
  <c r="W12" i="143" l="1"/>
  <c r="B12" i="143"/>
  <c r="W18" i="143"/>
  <c r="B22" i="143"/>
  <c r="N14" i="132"/>
  <c r="B14" i="132"/>
  <c r="N15" i="136"/>
  <c r="B15" i="136"/>
  <c r="D15" i="141"/>
  <c r="D13" i="141"/>
  <c r="B11" i="144"/>
  <c r="N11" i="144"/>
  <c r="B12" i="136"/>
  <c r="N12" i="136"/>
  <c r="D24" i="133"/>
  <c r="E9" i="134" s="1"/>
  <c r="L21" i="133"/>
  <c r="L24" i="133" s="1"/>
  <c r="D13" i="143"/>
  <c r="O11" i="143"/>
  <c r="W19" i="143"/>
  <c r="O11" i="134"/>
  <c r="D12" i="146"/>
  <c r="K19" i="140"/>
  <c r="B19" i="140" s="1"/>
  <c r="W13" i="143"/>
  <c r="D17" i="143"/>
  <c r="V17" i="143"/>
  <c r="M10" i="140"/>
  <c r="M23" i="140"/>
  <c r="R5" i="138"/>
  <c r="H11" i="138"/>
  <c r="I10" i="137"/>
  <c r="O12" i="137"/>
  <c r="D14" i="137"/>
  <c r="D11" i="136"/>
  <c r="X15" i="143"/>
  <c r="M11" i="136"/>
  <c r="O11" i="137"/>
  <c r="E16" i="140"/>
  <c r="P12" i="141"/>
  <c r="B14" i="141" s="1"/>
  <c r="C14" i="141" s="1"/>
  <c r="L8" i="140"/>
  <c r="L20" i="140" s="1"/>
  <c r="I11" i="143"/>
  <c r="C12" i="134"/>
  <c r="O12" i="134"/>
  <c r="O9" i="134"/>
  <c r="K20" i="140"/>
  <c r="B20" i="140" s="1"/>
  <c r="D20" i="140"/>
  <c r="C20" i="140" s="1"/>
  <c r="V16" i="143"/>
  <c r="C12" i="143"/>
  <c r="N14" i="136"/>
  <c r="P5" i="141"/>
  <c r="N11" i="136" l="1"/>
  <c r="B11" i="136"/>
  <c r="W16" i="143"/>
  <c r="B19" i="143"/>
  <c r="C11" i="134"/>
  <c r="D14" i="141"/>
  <c r="D12" i="141"/>
  <c r="W17" i="143"/>
  <c r="B20" i="143"/>
</calcChain>
</file>

<file path=xl/comments1.xml><?xml version="1.0" encoding="utf-8"?>
<comments xmlns="http://schemas.openxmlformats.org/spreadsheetml/2006/main">
  <authors>
    <author>Maurizio Gargiulo</author>
  </authors>
  <commentList>
    <comment ref="C19" authorId="0" shapeId="0">
      <text>
        <r>
          <rPr>
            <sz val="9"/>
            <color indexed="81"/>
            <rFont val="Tahoma"/>
            <family val="2"/>
          </rPr>
          <t>Includes fisheries consumption</t>
        </r>
      </text>
    </comment>
  </commentList>
</comments>
</file>

<file path=xl/comments10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L3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Q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R3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S3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T3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R9" authorId="2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S9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T9" authorId="2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L10" authorId="2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11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N3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S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T3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U3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V3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T9" authorId="2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U9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V9" authorId="2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N10" authorId="2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12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N3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S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T3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U3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V3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T9" authorId="2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U9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V9" authorId="2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N10" authorId="2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2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K3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P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Q3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3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S3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I8" authorId="2" shapeId="0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Q8" authorId="2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8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S8" authorId="2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K9" authorId="2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3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K3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P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Q3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3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S3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I8" authorId="2" shapeId="0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Q8" authorId="2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8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S8" authorId="2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K9" authorId="2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4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K3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P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Q3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3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S3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I8" authorId="2" shapeId="0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Q8" authorId="2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8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S8" authorId="2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K9" authorId="2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5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K3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P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Q3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3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S3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I8" authorId="2" shapeId="0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Q8" authorId="2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8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S8" authorId="2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K9" authorId="2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6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K3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P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Q3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3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S3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I8" authorId="2" shapeId="0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Q8" authorId="2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8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S8" authorId="2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K9" authorId="2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7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I3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N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O3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P3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Q3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O14" authorId="2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P14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Q14" authorId="2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I15" authorId="2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8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T3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Y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Z3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AA3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AB3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Z9" authorId="2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AA9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AB9" authorId="2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T10" authorId="2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9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L3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Q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R3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S3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T3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R9" authorId="2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S9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T9" authorId="2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L10" authorId="2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<sst xmlns="http://schemas.openxmlformats.org/spreadsheetml/2006/main" count="945" uniqueCount="219">
  <si>
    <t>CommName</t>
  </si>
  <si>
    <t>TechName</t>
  </si>
  <si>
    <t>TechDesc</t>
  </si>
  <si>
    <t>CommDesc</t>
  </si>
  <si>
    <t>Unit</t>
  </si>
  <si>
    <t>Comm-IN</t>
  </si>
  <si>
    <t>Comm-OUT</t>
  </si>
  <si>
    <t>Csets</t>
  </si>
  <si>
    <t>LimType</t>
  </si>
  <si>
    <t>CTSLvl</t>
  </si>
  <si>
    <t>PeakTS</t>
  </si>
  <si>
    <t>Sets</t>
  </si>
  <si>
    <t>Ctype</t>
  </si>
  <si>
    <t>~FI_T</t>
  </si>
  <si>
    <t>~FI_Comm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</si>
  <si>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</si>
  <si>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</si>
  <si>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</si>
  <si>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</si>
  <si>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</si>
  <si>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</si>
  <si>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</si>
  <si>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</si>
  <si>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</si>
  <si>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</si>
  <si>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</si>
  <si>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Commodity Name</t>
  </si>
  <si>
    <t>Commodity Description</t>
  </si>
  <si>
    <t>Peak Monitoring</t>
  </si>
  <si>
    <t>Electricity Indicator</t>
  </si>
  <si>
    <t>Region</t>
  </si>
  <si>
    <t>Region Name</t>
  </si>
  <si>
    <t>Input Commodity</t>
  </si>
  <si>
    <t>Output Commodity</t>
  </si>
  <si>
    <t>Existing Installed Capacity</t>
  </si>
  <si>
    <t>Demand</t>
  </si>
  <si>
    <t>Demand Value</t>
  </si>
  <si>
    <t>CUM</t>
  </si>
  <si>
    <t>COST</t>
  </si>
  <si>
    <t>Reserves Cumulative Value</t>
  </si>
  <si>
    <t>*Commodity Set Membership</t>
  </si>
  <si>
    <t>*Process Set Membership</t>
  </si>
  <si>
    <t>*Technology Name</t>
  </si>
  <si>
    <t>Sense of the Balance EQN.</t>
  </si>
  <si>
    <t>Timeslice Level</t>
  </si>
  <si>
    <t>Primary Commodity Group</t>
  </si>
  <si>
    <t>TimeSlice level of Process Activity</t>
  </si>
  <si>
    <t>COA</t>
  </si>
  <si>
    <t>GAS</t>
  </si>
  <si>
    <t>OIL</t>
  </si>
  <si>
    <t>NUC</t>
  </si>
  <si>
    <t>RNW</t>
  </si>
  <si>
    <t>SLU</t>
  </si>
  <si>
    <t>HET</t>
  </si>
  <si>
    <t>ELC</t>
  </si>
  <si>
    <t>Solid Fuels</t>
  </si>
  <si>
    <t>Natural Gas</t>
  </si>
  <si>
    <t>Nuclear Energy</t>
  </si>
  <si>
    <t>Renewable Energies</t>
  </si>
  <si>
    <t>Industrial Wastes</t>
  </si>
  <si>
    <t>Derived Heat</t>
  </si>
  <si>
    <t>Total</t>
  </si>
  <si>
    <t>PRIMARY</t>
  </si>
  <si>
    <t>MIN</t>
  </si>
  <si>
    <t>Domestic Supply</t>
  </si>
  <si>
    <t>IMP</t>
  </si>
  <si>
    <t>Imports</t>
  </si>
  <si>
    <t>EXP</t>
  </si>
  <si>
    <t>Exports</t>
  </si>
  <si>
    <t>CONVERSION</t>
  </si>
  <si>
    <t>ESC</t>
  </si>
  <si>
    <t>Energy Sector Consumption</t>
  </si>
  <si>
    <t>Electricity Plants</t>
  </si>
  <si>
    <t>HPL</t>
  </si>
  <si>
    <t>Heat Plants</t>
  </si>
  <si>
    <t>REF</t>
  </si>
  <si>
    <t>Petroleum Refineries</t>
  </si>
  <si>
    <t>Total Conversion</t>
  </si>
  <si>
    <t>FINAL</t>
  </si>
  <si>
    <t>RSD</t>
  </si>
  <si>
    <t>Residential</t>
  </si>
  <si>
    <t>COM</t>
  </si>
  <si>
    <t>Commercial</t>
  </si>
  <si>
    <t>IND</t>
  </si>
  <si>
    <t>Industry</t>
  </si>
  <si>
    <t>AGR</t>
  </si>
  <si>
    <t>Agriculture</t>
  </si>
  <si>
    <t>TRA</t>
  </si>
  <si>
    <t>Transport</t>
  </si>
  <si>
    <t>OTH</t>
  </si>
  <si>
    <t>Other</t>
  </si>
  <si>
    <t>Non Energy</t>
  </si>
  <si>
    <t>Bunkers</t>
  </si>
  <si>
    <t>NRG</t>
  </si>
  <si>
    <t>Sector Name</t>
  </si>
  <si>
    <t>Commodity</t>
  </si>
  <si>
    <t>Description</t>
  </si>
  <si>
    <t>PJ</t>
  </si>
  <si>
    <t>Default Unit</t>
  </si>
  <si>
    <t>Currency Unit</t>
  </si>
  <si>
    <t>ACT_BND</t>
  </si>
  <si>
    <t>LIFE</t>
  </si>
  <si>
    <t>Attribute</t>
  </si>
  <si>
    <t>*</t>
  </si>
  <si>
    <t>Demand Commodity Name</t>
  </si>
  <si>
    <t>DEM</t>
  </si>
  <si>
    <t>INVCOST</t>
  </si>
  <si>
    <t>FIXOM</t>
  </si>
  <si>
    <t>EFF</t>
  </si>
  <si>
    <t>NEN</t>
  </si>
  <si>
    <t>BNK</t>
  </si>
  <si>
    <t>Electricity</t>
  </si>
  <si>
    <t>TFC</t>
  </si>
  <si>
    <t>Efficiency</t>
  </si>
  <si>
    <t>*Units</t>
  </si>
  <si>
    <t>Years</t>
  </si>
  <si>
    <t>Annual Production Bound</t>
  </si>
  <si>
    <t>Cost</t>
  </si>
  <si>
    <t>Default Units</t>
  </si>
  <si>
    <t>Currency</t>
  </si>
  <si>
    <t>Activity</t>
  </si>
  <si>
    <t>Fixed O&amp;M Cost</t>
  </si>
  <si>
    <t>Invesctment Cost</t>
  </si>
  <si>
    <t>DMD</t>
  </si>
  <si>
    <t>AFA</t>
  </si>
  <si>
    <t>Utilisation Factor</t>
  </si>
  <si>
    <t>Existing</t>
  </si>
  <si>
    <t>E</t>
  </si>
  <si>
    <t>N</t>
  </si>
  <si>
    <t>ENV_ACT</t>
  </si>
  <si>
    <t>Sector</t>
  </si>
  <si>
    <t>SH</t>
  </si>
  <si>
    <t>AP</t>
  </si>
  <si>
    <t>OT</t>
  </si>
  <si>
    <t>Space Heating</t>
  </si>
  <si>
    <t>Appliancens</t>
  </si>
  <si>
    <t>D1</t>
  </si>
  <si>
    <t>D6</t>
  </si>
  <si>
    <t>Demand 1</t>
  </si>
  <si>
    <t>Demand 6</t>
  </si>
  <si>
    <t>Emissions</t>
  </si>
  <si>
    <t>kt</t>
  </si>
  <si>
    <t>Activity Emission Coefficient</t>
  </si>
  <si>
    <t>ENV</t>
  </si>
  <si>
    <t>CO2</t>
  </si>
  <si>
    <t>Nox</t>
  </si>
  <si>
    <t>VOC</t>
  </si>
  <si>
    <t>Carbon dioxide</t>
  </si>
  <si>
    <t>NOX</t>
  </si>
  <si>
    <t>Sector Fuel</t>
  </si>
  <si>
    <t>PRE</t>
  </si>
  <si>
    <t>Deafult unit</t>
  </si>
  <si>
    <t>Type</t>
  </si>
  <si>
    <t>Demand Technologies</t>
  </si>
  <si>
    <t>Domestic Supply Curve Share - Step 1</t>
  </si>
  <si>
    <t>Domestic Supply Curve Share - Step 2</t>
  </si>
  <si>
    <t>Year</t>
  </si>
  <si>
    <t>Break-out by end-use</t>
  </si>
  <si>
    <t>Emission by sector</t>
  </si>
  <si>
    <t>Capacity unit</t>
  </si>
  <si>
    <t>Power Plants</t>
  </si>
  <si>
    <t>GW</t>
  </si>
  <si>
    <t>ELE</t>
  </si>
  <si>
    <t>VAROM</t>
  </si>
  <si>
    <t>Total Production</t>
  </si>
  <si>
    <t>Variable O&amp;M Cost</t>
  </si>
  <si>
    <t>Capacity to Activity Factor</t>
  </si>
  <si>
    <t>Power Plant Type</t>
  </si>
  <si>
    <t>CHP</t>
  </si>
  <si>
    <t>Renewable</t>
  </si>
  <si>
    <t>R</t>
  </si>
  <si>
    <t>C</t>
  </si>
  <si>
    <t>T</t>
  </si>
  <si>
    <t>Code</t>
  </si>
  <si>
    <t>Thermal</t>
  </si>
  <si>
    <t>CALIBRATION</t>
  </si>
  <si>
    <t>Demand Driver (annual growth)</t>
  </si>
  <si>
    <t>Timeslices</t>
  </si>
  <si>
    <t>COM_FR</t>
  </si>
  <si>
    <t>SD</t>
  </si>
  <si>
    <t>SN</t>
  </si>
  <si>
    <t>WD</t>
  </si>
  <si>
    <t>WN</t>
  </si>
  <si>
    <t>DAYNITE</t>
  </si>
  <si>
    <t>SEASON</t>
  </si>
  <si>
    <t>Peak</t>
  </si>
  <si>
    <t>% contribution to PEAK</t>
  </si>
  <si>
    <t>Retirement Capacity</t>
  </si>
  <si>
    <t>REG1</t>
  </si>
  <si>
    <t>Nuclear</t>
  </si>
  <si>
    <t>Crude oil</t>
  </si>
  <si>
    <t>Capacity</t>
  </si>
  <si>
    <t>000_Units</t>
  </si>
  <si>
    <t>*Unit</t>
  </si>
  <si>
    <t>Demand Unit</t>
  </si>
  <si>
    <t>M€2005</t>
  </si>
  <si>
    <t>Data used in the template to buld the model</t>
  </si>
  <si>
    <t>User inputs</t>
  </si>
  <si>
    <t>Linked to the Energy Balance</t>
  </si>
  <si>
    <t>Reference Energy System (from VEDA-FE Go-To RES feature)</t>
  </si>
  <si>
    <t>Objective Function</t>
  </si>
  <si>
    <t>Primary Supply (Mining, Import/Export)</t>
  </si>
  <si>
    <t>Conversion (Power Sector)</t>
  </si>
  <si>
    <t>Demand Sectors</t>
  </si>
  <si>
    <t>Objective Function by Scenario</t>
  </si>
  <si>
    <t>_SysCost VEDA-BE table</t>
  </si>
  <si>
    <t>START</t>
  </si>
  <si>
    <t>New</t>
  </si>
  <si>
    <t>STOCK</t>
  </si>
  <si>
    <t>STOCK~2030</t>
  </si>
  <si>
    <t>UP</t>
  </si>
  <si>
    <t>TPS</t>
  </si>
  <si>
    <t>Total Primary Supply</t>
  </si>
  <si>
    <t>Total Final Consumption</t>
  </si>
  <si>
    <t>Run name: DemoS_004</t>
  </si>
  <si>
    <t>Lifetime</t>
  </si>
  <si>
    <t>CAP2ACT</t>
  </si>
  <si>
    <t>Crude Oil</t>
  </si>
  <si>
    <t>Reserve Capacity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</si>
</sst>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71" formatCode="_-* #,##0.00_-;\-* #,##0.00_-;_-* &quot;-&quot;??_-;_-@_-"/>
    <numFmt numFmtId="186" formatCode="0.000"/>
    <numFmt numFmtId="187" formatCode="General_)"/>
    <numFmt numFmtId="188" formatCode="0.0"/>
    <numFmt numFmtId="190" formatCode="0.0000"/>
    <numFmt numFmtId="195" formatCode="0.000%"/>
    <numFmt numFmtId="196" formatCode="\Te\x\t"/>
  </numFmts>
  <fonts count="33" x14ac:knownFonts="1">
    <font>
      <sz val="10"/>
      <name val="Arial"/>
    </font>
    <font>
      <sz val="10"/>
      <name val="Arial"/>
    </font>
    <font>
      <sz val="10"/>
      <name val="Courier"/>
      <family val="3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9"/>
      <name val="Arial"/>
      <family val="2"/>
    </font>
    <font>
      <sz val="9"/>
      <name val="Arial"/>
      <family val="2"/>
    </font>
    <font>
      <sz val="9"/>
      <color indexed="81"/>
      <name val="Tahoma"/>
      <family val="2"/>
    </font>
    <font>
      <sz val="10"/>
      <name val="Arial"/>
      <family val="2"/>
    </font>
    <font>
      <sz val="10"/>
      <name val="Arial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0"/>
      <color rgb="FFFF0000"/>
      <name val="Arial"/>
      <family val="2"/>
    </font>
    <font>
      <sz val="8"/>
      <color theme="1"/>
      <name val="Arial"/>
      <family val="2"/>
    </font>
    <font>
      <b/>
      <sz val="10"/>
      <color rgb="FFFF0000"/>
      <name val="Arial"/>
      <family val="2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Arial"/>
      <family val="2"/>
    </font>
    <font>
      <b/>
      <sz val="8"/>
      <color theme="1"/>
      <name val="Arial"/>
      <family val="2"/>
    </font>
    <font>
      <b/>
      <sz val="10"/>
      <color theme="9" tint="-0.249977111117893"/>
      <name val="Arial"/>
      <family val="2"/>
    </font>
    <font>
      <b/>
      <sz val="14"/>
      <color rgb="FFFF0000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5"/>
      </patternFill>
    </fill>
    <fill>
      <patternFill patternType="solid">
        <fgColor rgb="FFF2F2F2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rgb="FF7F7F7F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7F7F7F"/>
      </right>
      <top style="thin">
        <color indexed="64"/>
      </top>
      <bottom style="thin">
        <color indexed="64"/>
      </bottom>
      <diagonal/>
    </border>
  </borders>
  <cellStyleXfs count="28">
    <xf numFmtId="0" fontId="0" fillId="0" borderId="0"/>
    <xf numFmtId="0" fontId="17" fillId="3" borderId="0" applyNumberFormat="0" applyBorder="0" applyAlignment="0" applyProtection="0"/>
    <xf numFmtId="0" fontId="17" fillId="4" borderId="0" applyNumberFormat="0" applyBorder="0" applyAlignment="0" applyProtection="0"/>
    <xf numFmtId="0" fontId="18" fillId="5" borderId="0" applyNumberFormat="0" applyBorder="0" applyAlignment="0" applyProtection="0"/>
    <xf numFmtId="0" fontId="18" fillId="6" borderId="0" applyNumberFormat="0" applyBorder="0" applyAlignment="0" applyProtection="0"/>
    <xf numFmtId="0" fontId="19" fillId="7" borderId="19" applyNumberFormat="0" applyAlignment="0" applyProtection="0"/>
    <xf numFmtId="171" fontId="17" fillId="0" borderId="0" applyFont="0" applyFill="0" applyBorder="0" applyAlignment="0" applyProtection="0"/>
    <xf numFmtId="0" fontId="20" fillId="8" borderId="0" applyNumberFormat="0" applyBorder="0" applyAlignment="0" applyProtection="0"/>
    <xf numFmtId="0" fontId="21" fillId="9" borderId="19" applyNumberFormat="0" applyAlignment="0" applyProtection="0"/>
    <xf numFmtId="0" fontId="22" fillId="10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7" fillId="0" borderId="0"/>
    <xf numFmtId="0" fontId="4" fillId="0" borderId="0"/>
    <xf numFmtId="0" fontId="2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4" fillId="0" borderId="0"/>
  </cellStyleXfs>
  <cellXfs count="227">
    <xf numFmtId="0" fontId="0" fillId="0" borderId="0" xfId="0"/>
    <xf numFmtId="0" fontId="4" fillId="0" borderId="0" xfId="0" applyFont="1"/>
    <xf numFmtId="0" fontId="5" fillId="0" borderId="0" xfId="0" applyFont="1"/>
    <xf numFmtId="0" fontId="3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vertical="center"/>
    </xf>
    <xf numFmtId="0" fontId="5" fillId="0" borderId="0" xfId="0" applyFont="1" applyFill="1"/>
    <xf numFmtId="0" fontId="4" fillId="0" borderId="0" xfId="12" applyFill="1" applyBorder="1" applyAlignment="1">
      <alignment horizontal="right"/>
    </xf>
    <xf numFmtId="0" fontId="5" fillId="0" borderId="0" xfId="12" applyFont="1" applyFill="1" applyAlignment="1">
      <alignment horizontal="left"/>
    </xf>
    <xf numFmtId="0" fontId="4" fillId="0" borderId="0" xfId="12" applyFill="1" applyBorder="1" applyAlignment="1">
      <alignment horizontal="left"/>
    </xf>
    <xf numFmtId="0" fontId="0" fillId="0" borderId="0" xfId="0" applyFill="1"/>
    <xf numFmtId="0" fontId="0" fillId="0" borderId="0" xfId="0" applyBorder="1" applyAlignment="1"/>
    <xf numFmtId="0" fontId="0" fillId="0" borderId="0" xfId="0" applyBorder="1"/>
    <xf numFmtId="0" fontId="0" fillId="0" borderId="2" xfId="0" applyBorder="1" applyAlignment="1"/>
    <xf numFmtId="187" fontId="12" fillId="0" borderId="2" xfId="0" applyNumberFormat="1" applyFont="1" applyBorder="1" applyAlignment="1">
      <alignment horizontal="left" vertical="center"/>
    </xf>
    <xf numFmtId="1" fontId="0" fillId="0" borderId="0" xfId="0" applyNumberFormat="1"/>
    <xf numFmtId="0" fontId="4" fillId="0" borderId="0" xfId="0" applyFont="1" applyFill="1" applyBorder="1"/>
    <xf numFmtId="0" fontId="4" fillId="0" borderId="0" xfId="0" applyFont="1" applyFill="1"/>
    <xf numFmtId="0" fontId="18" fillId="6" borderId="0" xfId="4"/>
    <xf numFmtId="0" fontId="23" fillId="0" borderId="0" xfId="7" applyFont="1" applyFill="1"/>
    <xf numFmtId="0" fontId="24" fillId="0" borderId="0" xfId="0" applyFont="1" applyFill="1"/>
    <xf numFmtId="0" fontId="23" fillId="11" borderId="0" xfId="7" applyFont="1" applyFill="1"/>
    <xf numFmtId="0" fontId="4" fillId="0" borderId="0" xfId="9" applyFont="1" applyFill="1"/>
    <xf numFmtId="1" fontId="4" fillId="0" borderId="0" xfId="0" applyNumberFormat="1" applyFont="1" applyFill="1"/>
    <xf numFmtId="1" fontId="0" fillId="0" borderId="0" xfId="0" applyNumberFormat="1" applyFill="1"/>
    <xf numFmtId="0" fontId="25" fillId="3" borderId="3" xfId="1" applyFont="1" applyBorder="1" applyAlignment="1">
      <alignment horizontal="center" wrapText="1"/>
    </xf>
    <xf numFmtId="0" fontId="24" fillId="0" borderId="0" xfId="0" applyFont="1" applyFill="1" applyBorder="1"/>
    <xf numFmtId="0" fontId="25" fillId="3" borderId="3" xfId="1" applyFont="1" applyBorder="1" applyAlignment="1">
      <alignment horizontal="left" wrapText="1"/>
    </xf>
    <xf numFmtId="0" fontId="25" fillId="3" borderId="1" xfId="1" applyFont="1" applyBorder="1" applyAlignment="1">
      <alignment horizontal="left" wrapText="1"/>
    </xf>
    <xf numFmtId="2" fontId="0" fillId="0" borderId="0" xfId="0" applyNumberFormat="1"/>
    <xf numFmtId="0" fontId="3" fillId="2" borderId="1" xfId="12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/>
    </xf>
    <xf numFmtId="0" fontId="0" fillId="0" borderId="0" xfId="0" applyAlignment="1">
      <alignment wrapText="1"/>
    </xf>
    <xf numFmtId="1" fontId="0" fillId="0" borderId="0" xfId="0" applyNumberFormat="1" applyBorder="1"/>
    <xf numFmtId="2" fontId="0" fillId="0" borderId="0" xfId="0" applyNumberFormat="1" applyBorder="1"/>
    <xf numFmtId="0" fontId="23" fillId="11" borderId="0" xfId="7" applyFont="1" applyFill="1" applyAlignment="1">
      <alignment wrapText="1"/>
    </xf>
    <xf numFmtId="0" fontId="0" fillId="0" borderId="0" xfId="0" applyFill="1" applyAlignment="1">
      <alignment wrapText="1"/>
    </xf>
    <xf numFmtId="0" fontId="26" fillId="0" borderId="0" xfId="0" applyFont="1"/>
    <xf numFmtId="0" fontId="4" fillId="0" borderId="5" xfId="0" applyFont="1" applyBorder="1"/>
    <xf numFmtId="0" fontId="4" fillId="0" borderId="6" xfId="0" applyFont="1" applyBorder="1"/>
    <xf numFmtId="9" fontId="24" fillId="0" borderId="6" xfId="17" applyFont="1" applyBorder="1" applyAlignment="1"/>
    <xf numFmtId="0" fontId="4" fillId="0" borderId="7" xfId="0" applyFont="1" applyBorder="1"/>
    <xf numFmtId="9" fontId="24" fillId="0" borderId="7" xfId="17" applyFont="1" applyBorder="1" applyAlignment="1"/>
    <xf numFmtId="0" fontId="4" fillId="0" borderId="0" xfId="0" applyFont="1" applyBorder="1"/>
    <xf numFmtId="9" fontId="24" fillId="0" borderId="0" xfId="17" applyFont="1" applyBorder="1" applyAlignment="1"/>
    <xf numFmtId="0" fontId="18" fillId="6" borderId="0" xfId="4" applyAlignment="1">
      <alignment wrapText="1"/>
    </xf>
    <xf numFmtId="2" fontId="4" fillId="0" borderId="0" xfId="0" applyNumberFormat="1" applyFont="1" applyFill="1" applyBorder="1"/>
    <xf numFmtId="0" fontId="0" fillId="0" borderId="2" xfId="0" applyBorder="1"/>
    <xf numFmtId="0" fontId="3" fillId="0" borderId="0" xfId="0" applyFont="1"/>
    <xf numFmtId="0" fontId="0" fillId="0" borderId="0" xfId="0" applyBorder="1" applyAlignment="1">
      <alignment horizontal="center" wrapText="1"/>
    </xf>
    <xf numFmtId="0" fontId="4" fillId="0" borderId="0" xfId="10"/>
    <xf numFmtId="0" fontId="4" fillId="0" borderId="0" xfId="10" applyFont="1"/>
    <xf numFmtId="0" fontId="4" fillId="0" borderId="0" xfId="10" applyFill="1"/>
    <xf numFmtId="0" fontId="4" fillId="0" borderId="0" xfId="10" applyFill="1" applyBorder="1"/>
    <xf numFmtId="0" fontId="4" fillId="0" borderId="0" xfId="10" applyBorder="1"/>
    <xf numFmtId="0" fontId="4" fillId="0" borderId="0" xfId="10" applyFill="1" applyBorder="1" applyAlignment="1">
      <alignment wrapText="1"/>
    </xf>
    <xf numFmtId="0" fontId="3" fillId="0" borderId="0" xfId="12" applyFont="1" applyFill="1" applyBorder="1" applyAlignment="1">
      <alignment horizontal="right" vertical="center" wrapText="1"/>
    </xf>
    <xf numFmtId="1" fontId="4" fillId="0" borderId="0" xfId="10" applyNumberFormat="1"/>
    <xf numFmtId="0" fontId="4" fillId="0" borderId="0" xfId="10" applyFont="1" applyBorder="1"/>
    <xf numFmtId="0" fontId="0" fillId="0" borderId="0" xfId="0" applyFill="1" applyBorder="1"/>
    <xf numFmtId="0" fontId="27" fillId="0" borderId="0" xfId="7" applyFont="1" applyFill="1"/>
    <xf numFmtId="0" fontId="28" fillId="0" borderId="0" xfId="4" applyFont="1" applyFill="1" applyAlignment="1">
      <alignment wrapText="1"/>
    </xf>
    <xf numFmtId="0" fontId="4" fillId="0" borderId="0" xfId="10" applyFont="1" applyFill="1"/>
    <xf numFmtId="0" fontId="4" fillId="0" borderId="8" xfId="0" applyFont="1" applyFill="1" applyBorder="1"/>
    <xf numFmtId="0" fontId="4" fillId="0" borderId="2" xfId="0" applyFont="1" applyBorder="1"/>
    <xf numFmtId="0" fontId="4" fillId="0" borderId="2" xfId="10" applyFont="1" applyFill="1" applyBorder="1"/>
    <xf numFmtId="0" fontId="25" fillId="12" borderId="3" xfId="2" applyFont="1" applyFill="1" applyBorder="1" applyAlignment="1">
      <alignment horizontal="right" wrapText="1"/>
    </xf>
    <xf numFmtId="1" fontId="29" fillId="12" borderId="0" xfId="2" applyNumberFormat="1" applyFont="1" applyFill="1" applyBorder="1" applyAlignment="1">
      <alignment horizontal="right" wrapText="1"/>
    </xf>
    <xf numFmtId="0" fontId="30" fillId="0" borderId="0" xfId="2" applyFont="1" applyFill="1" applyBorder="1" applyAlignment="1">
      <alignment horizontal="right" wrapText="1"/>
    </xf>
    <xf numFmtId="0" fontId="25" fillId="0" borderId="0" xfId="2" applyFont="1" applyFill="1" applyBorder="1" applyAlignment="1">
      <alignment horizontal="right" wrapText="1"/>
    </xf>
    <xf numFmtId="1" fontId="29" fillId="0" borderId="0" xfId="2" applyNumberFormat="1" applyFont="1" applyFill="1" applyBorder="1" applyAlignment="1">
      <alignment horizontal="right" wrapText="1"/>
    </xf>
    <xf numFmtId="0" fontId="23" fillId="11" borderId="0" xfId="7" quotePrefix="1" applyFont="1" applyFill="1"/>
    <xf numFmtId="0" fontId="3" fillId="0" borderId="2" xfId="0" applyFont="1" applyBorder="1" applyAlignment="1">
      <alignment horizontal="center" wrapText="1"/>
    </xf>
    <xf numFmtId="0" fontId="31" fillId="0" borderId="0" xfId="0" applyFont="1" applyFill="1"/>
    <xf numFmtId="0" fontId="23" fillId="11" borderId="0" xfId="7" applyFont="1" applyFill="1" applyAlignment="1">
      <alignment horizontal="left"/>
    </xf>
    <xf numFmtId="187" fontId="13" fillId="13" borderId="0" xfId="0" applyNumberFormat="1" applyFont="1" applyFill="1" applyBorder="1" applyAlignment="1">
      <alignment horizontal="left" vertical="center"/>
    </xf>
    <xf numFmtId="1" fontId="0" fillId="13" borderId="0" xfId="0" applyNumberFormat="1" applyFill="1" applyAlignment="1"/>
    <xf numFmtId="1" fontId="3" fillId="13" borderId="0" xfId="0" applyNumberFormat="1" applyFont="1" applyFill="1" applyAlignment="1"/>
    <xf numFmtId="1" fontId="0" fillId="13" borderId="0" xfId="0" applyNumberFormat="1" applyFill="1" applyBorder="1" applyAlignment="1"/>
    <xf numFmtId="0" fontId="31" fillId="14" borderId="2" xfId="0" applyFont="1" applyFill="1" applyBorder="1" applyAlignment="1">
      <alignment wrapText="1"/>
    </xf>
    <xf numFmtId="0" fontId="3" fillId="14" borderId="2" xfId="0" applyFont="1" applyFill="1" applyBorder="1" applyAlignment="1">
      <alignment wrapText="1"/>
    </xf>
    <xf numFmtId="0" fontId="31" fillId="14" borderId="0" xfId="0" applyFont="1" applyFill="1"/>
    <xf numFmtId="187" fontId="13" fillId="15" borderId="0" xfId="0" applyNumberFormat="1" applyFont="1" applyFill="1" applyBorder="1" applyAlignment="1">
      <alignment horizontal="left" vertical="center"/>
    </xf>
    <xf numFmtId="1" fontId="0" fillId="16" borderId="0" xfId="0" applyNumberFormat="1" applyFill="1" applyBorder="1" applyAlignment="1"/>
    <xf numFmtId="0" fontId="0" fillId="16" borderId="0" xfId="0" applyFill="1" applyBorder="1" applyAlignment="1"/>
    <xf numFmtId="1" fontId="3" fillId="16" borderId="0" xfId="0" applyNumberFormat="1" applyFont="1" applyFill="1" applyBorder="1" applyAlignment="1"/>
    <xf numFmtId="0" fontId="0" fillId="16" borderId="0" xfId="0" applyFill="1"/>
    <xf numFmtId="0" fontId="0" fillId="16" borderId="0" xfId="0" applyFill="1" applyAlignment="1"/>
    <xf numFmtId="1" fontId="0" fillId="16" borderId="0" xfId="0" applyNumberFormat="1" applyFill="1" applyAlignment="1"/>
    <xf numFmtId="187" fontId="13" fillId="15" borderId="2" xfId="0" applyNumberFormat="1" applyFont="1" applyFill="1" applyBorder="1" applyAlignment="1">
      <alignment horizontal="left" vertical="center"/>
    </xf>
    <xf numFmtId="1" fontId="0" fillId="15" borderId="0" xfId="0" applyNumberFormat="1" applyFill="1" applyAlignment="1"/>
    <xf numFmtId="1" fontId="0" fillId="15" borderId="2" xfId="0" applyNumberFormat="1" applyFill="1" applyBorder="1" applyAlignment="1"/>
    <xf numFmtId="0" fontId="0" fillId="15" borderId="0" xfId="0" applyFill="1" applyAlignment="1"/>
    <xf numFmtId="1" fontId="3" fillId="15" borderId="0" xfId="0" applyNumberFormat="1" applyFont="1" applyFill="1" applyAlignment="1"/>
    <xf numFmtId="1" fontId="3" fillId="15" borderId="2" xfId="0" applyNumberFormat="1" applyFont="1" applyFill="1" applyBorder="1" applyAlignment="1"/>
    <xf numFmtId="1" fontId="21" fillId="9" borderId="0" xfId="8" applyNumberFormat="1" applyBorder="1" applyAlignment="1"/>
    <xf numFmtId="1" fontId="21" fillId="9" borderId="2" xfId="8" applyNumberFormat="1" applyBorder="1" applyAlignment="1"/>
    <xf numFmtId="1" fontId="21" fillId="9" borderId="1" xfId="8" applyNumberFormat="1" applyBorder="1" applyAlignment="1"/>
    <xf numFmtId="1" fontId="21" fillId="9" borderId="9" xfId="8" applyNumberFormat="1" applyBorder="1" applyAlignment="1"/>
    <xf numFmtId="1" fontId="21" fillId="9" borderId="10" xfId="8" applyNumberFormat="1" applyBorder="1" applyAlignment="1"/>
    <xf numFmtId="1" fontId="19" fillId="7" borderId="4" xfId="5" applyNumberFormat="1" applyBorder="1" applyAlignment="1">
      <alignment horizontal="right"/>
    </xf>
    <xf numFmtId="1" fontId="21" fillId="9" borderId="4" xfId="8" applyNumberFormat="1" applyBorder="1" applyAlignment="1"/>
    <xf numFmtId="1" fontId="19" fillId="7" borderId="11" xfId="5" applyNumberFormat="1" applyBorder="1" applyAlignment="1">
      <alignment horizontal="right"/>
    </xf>
    <xf numFmtId="187" fontId="19" fillId="7" borderId="5" xfId="5" applyNumberFormat="1" applyBorder="1" applyAlignment="1">
      <alignment horizontal="right" vertical="center"/>
    </xf>
    <xf numFmtId="0" fontId="3" fillId="0" borderId="2" xfId="0" applyFont="1" applyBorder="1" applyAlignment="1"/>
    <xf numFmtId="1" fontId="19" fillId="7" borderId="20" xfId="5" applyNumberFormat="1" applyBorder="1" applyAlignment="1">
      <alignment horizontal="right"/>
    </xf>
    <xf numFmtId="1" fontId="19" fillId="7" borderId="21" xfId="5" applyNumberFormat="1" applyBorder="1" applyAlignment="1">
      <alignment horizontal="right"/>
    </xf>
    <xf numFmtId="1" fontId="19" fillId="7" borderId="22" xfId="5" applyNumberFormat="1" applyBorder="1" applyAlignment="1">
      <alignment horizontal="right"/>
    </xf>
    <xf numFmtId="1" fontId="19" fillId="7" borderId="23" xfId="5" applyNumberFormat="1" applyBorder="1" applyAlignment="1">
      <alignment horizontal="right"/>
    </xf>
    <xf numFmtId="187" fontId="13" fillId="16" borderId="6" xfId="0" applyNumberFormat="1" applyFont="1" applyFill="1" applyBorder="1" applyAlignment="1">
      <alignment horizontal="left" vertical="center"/>
    </xf>
    <xf numFmtId="187" fontId="13" fillId="16" borderId="12" xfId="0" applyNumberFormat="1" applyFont="1" applyFill="1" applyBorder="1" applyAlignment="1">
      <alignment horizontal="left" vertical="center"/>
    </xf>
    <xf numFmtId="187" fontId="13" fillId="15" borderId="6" xfId="0" applyNumberFormat="1" applyFont="1" applyFill="1" applyBorder="1" applyAlignment="1">
      <alignment horizontal="left" vertical="center"/>
    </xf>
    <xf numFmtId="187" fontId="13" fillId="15" borderId="12" xfId="0" applyNumberFormat="1" applyFont="1" applyFill="1" applyBorder="1" applyAlignment="1">
      <alignment horizontal="left" vertical="center"/>
    </xf>
    <xf numFmtId="187" fontId="13" fillId="15" borderId="7" xfId="0" applyNumberFormat="1" applyFont="1" applyFill="1" applyBorder="1" applyAlignment="1">
      <alignment horizontal="left" vertical="center"/>
    </xf>
    <xf numFmtId="187" fontId="13" fillId="15" borderId="9" xfId="0" applyNumberFormat="1" applyFont="1" applyFill="1" applyBorder="1" applyAlignment="1">
      <alignment horizontal="left" vertical="center"/>
    </xf>
    <xf numFmtId="187" fontId="13" fillId="15" borderId="10" xfId="0" applyNumberFormat="1" applyFont="1" applyFill="1" applyBorder="1" applyAlignment="1">
      <alignment horizontal="left" vertical="center"/>
    </xf>
    <xf numFmtId="187" fontId="13" fillId="15" borderId="1" xfId="0" applyNumberFormat="1" applyFont="1" applyFill="1" applyBorder="1" applyAlignment="1">
      <alignment horizontal="left" vertical="center"/>
    </xf>
    <xf numFmtId="187" fontId="13" fillId="15" borderId="13" xfId="0" applyNumberFormat="1" applyFont="1" applyFill="1" applyBorder="1" applyAlignment="1">
      <alignment horizontal="left" vertical="center"/>
    </xf>
    <xf numFmtId="187" fontId="13" fillId="15" borderId="14" xfId="0" applyNumberFormat="1" applyFont="1" applyFill="1" applyBorder="1" applyAlignment="1">
      <alignment horizontal="left" vertical="center"/>
    </xf>
    <xf numFmtId="187" fontId="13" fillId="15" borderId="15" xfId="0" applyNumberFormat="1" applyFont="1" applyFill="1" applyBorder="1" applyAlignment="1">
      <alignment horizontal="left" vertical="center"/>
    </xf>
    <xf numFmtId="187" fontId="13" fillId="15" borderId="16" xfId="0" applyNumberFormat="1" applyFont="1" applyFill="1" applyBorder="1" applyAlignment="1">
      <alignment horizontal="left" vertical="center"/>
    </xf>
    <xf numFmtId="0" fontId="3" fillId="14" borderId="17" xfId="0" applyFont="1" applyFill="1" applyBorder="1" applyAlignment="1">
      <alignment wrapText="1"/>
    </xf>
    <xf numFmtId="0" fontId="26" fillId="0" borderId="5" xfId="0" applyFont="1" applyBorder="1" applyAlignment="1">
      <alignment horizontal="center"/>
    </xf>
    <xf numFmtId="187" fontId="13" fillId="15" borderId="12" xfId="0" applyNumberFormat="1" applyFont="1" applyFill="1" applyBorder="1" applyAlignment="1">
      <alignment horizontal="center" vertical="center"/>
    </xf>
    <xf numFmtId="0" fontId="3" fillId="14" borderId="5" xfId="0" applyFont="1" applyFill="1" applyBorder="1" applyAlignment="1">
      <alignment wrapText="1"/>
    </xf>
    <xf numFmtId="187" fontId="13" fillId="15" borderId="7" xfId="0" applyNumberFormat="1" applyFont="1" applyFill="1" applyBorder="1" applyAlignment="1">
      <alignment horizontal="center" vertical="center"/>
    </xf>
    <xf numFmtId="0" fontId="31" fillId="14" borderId="17" xfId="0" applyFont="1" applyFill="1" applyBorder="1" applyAlignment="1">
      <alignment wrapText="1"/>
    </xf>
    <xf numFmtId="0" fontId="31" fillId="14" borderId="11" xfId="0" applyFont="1" applyFill="1" applyBorder="1" applyAlignment="1">
      <alignment wrapText="1"/>
    </xf>
    <xf numFmtId="0" fontId="31" fillId="14" borderId="5" xfId="0" applyFont="1" applyFill="1" applyBorder="1" applyAlignment="1">
      <alignment wrapText="1"/>
    </xf>
    <xf numFmtId="1" fontId="4" fillId="17" borderId="0" xfId="0" applyNumberFormat="1" applyFont="1" applyFill="1"/>
    <xf numFmtId="1" fontId="0" fillId="17" borderId="0" xfId="0" applyNumberFormat="1" applyFill="1"/>
    <xf numFmtId="0" fontId="0" fillId="17" borderId="0" xfId="0" applyFill="1"/>
    <xf numFmtId="2" fontId="0" fillId="17" borderId="0" xfId="0" applyNumberFormat="1" applyFill="1"/>
    <xf numFmtId="2" fontId="4" fillId="16" borderId="0" xfId="9" applyNumberFormat="1" applyFont="1" applyFill="1"/>
    <xf numFmtId="0" fontId="4" fillId="16" borderId="0" xfId="9" applyFont="1" applyFill="1"/>
    <xf numFmtId="2" fontId="0" fillId="16" borderId="0" xfId="0" applyNumberFormat="1" applyFill="1"/>
    <xf numFmtId="2" fontId="4" fillId="16" borderId="0" xfId="0" applyNumberFormat="1" applyFont="1" applyFill="1" applyBorder="1"/>
    <xf numFmtId="1" fontId="0" fillId="16" borderId="8" xfId="0" applyNumberFormat="1" applyFill="1" applyBorder="1"/>
    <xf numFmtId="2" fontId="0" fillId="16" borderId="0" xfId="0" applyNumberFormat="1" applyFill="1" applyBorder="1"/>
    <xf numFmtId="1" fontId="0" fillId="16" borderId="0" xfId="0" applyNumberFormat="1" applyFill="1" applyBorder="1"/>
    <xf numFmtId="0" fontId="4" fillId="16" borderId="0" xfId="10" applyFill="1"/>
    <xf numFmtId="2" fontId="4" fillId="16" borderId="0" xfId="10" applyNumberFormat="1" applyFill="1"/>
    <xf numFmtId="0" fontId="4" fillId="16" borderId="0" xfId="10" applyFill="1" applyBorder="1"/>
    <xf numFmtId="2" fontId="0" fillId="17" borderId="2" xfId="0" applyNumberFormat="1" applyFill="1" applyBorder="1"/>
    <xf numFmtId="0" fontId="25" fillId="13" borderId="1" xfId="2" applyFont="1" applyFill="1" applyBorder="1" applyAlignment="1">
      <alignment horizontal="right" wrapText="1"/>
    </xf>
    <xf numFmtId="0" fontId="25" fillId="13" borderId="3" xfId="2" applyFont="1" applyFill="1" applyBorder="1" applyAlignment="1">
      <alignment horizontal="right" wrapText="1"/>
    </xf>
    <xf numFmtId="0" fontId="32" fillId="0" borderId="0" xfId="0" applyFont="1"/>
    <xf numFmtId="0" fontId="3" fillId="18" borderId="0" xfId="0" applyFont="1" applyFill="1"/>
    <xf numFmtId="0" fontId="3" fillId="0" borderId="0" xfId="0" applyFont="1" applyFill="1"/>
    <xf numFmtId="1" fontId="0" fillId="17" borderId="0" xfId="0" applyNumberFormat="1" applyFill="1" applyBorder="1"/>
    <xf numFmtId="0" fontId="24" fillId="0" borderId="0" xfId="10" applyFont="1" applyFill="1" applyBorder="1"/>
    <xf numFmtId="2" fontId="4" fillId="0" borderId="0" xfId="10" applyNumberFormat="1"/>
    <xf numFmtId="1" fontId="4" fillId="0" borderId="0" xfId="10" applyNumberFormat="1" applyBorder="1"/>
    <xf numFmtId="1" fontId="4" fillId="17" borderId="0" xfId="10" applyNumberFormat="1" applyFill="1"/>
    <xf numFmtId="1" fontId="4" fillId="17" borderId="0" xfId="10" applyNumberFormat="1" applyFill="1" applyBorder="1"/>
    <xf numFmtId="2" fontId="4" fillId="16" borderId="0" xfId="10" applyNumberFormat="1" applyFill="1" applyBorder="1"/>
    <xf numFmtId="1" fontId="4" fillId="16" borderId="0" xfId="10" applyNumberFormat="1" applyFill="1"/>
    <xf numFmtId="1" fontId="4" fillId="0" borderId="0" xfId="10" applyNumberFormat="1" applyFill="1"/>
    <xf numFmtId="0" fontId="0" fillId="16" borderId="0" xfId="0" applyFill="1" applyBorder="1"/>
    <xf numFmtId="0" fontId="25" fillId="4" borderId="4" xfId="2" applyFont="1" applyBorder="1" applyAlignment="1">
      <alignment horizontal="center" wrapText="1"/>
    </xf>
    <xf numFmtId="0" fontId="3" fillId="2" borderId="1" xfId="12" applyFont="1" applyFill="1" applyBorder="1" applyAlignment="1">
      <alignment horizontal="center" vertical="center"/>
    </xf>
    <xf numFmtId="0" fontId="3" fillId="2" borderId="1" xfId="12" applyFont="1" applyFill="1" applyBorder="1" applyAlignment="1">
      <alignment horizontal="center" vertical="center" wrapText="1"/>
    </xf>
    <xf numFmtId="0" fontId="25" fillId="3" borderId="1" xfId="1" applyFont="1" applyBorder="1" applyAlignment="1">
      <alignment horizontal="center" wrapText="1"/>
    </xf>
    <xf numFmtId="0" fontId="25" fillId="3" borderId="4" xfId="1" applyFont="1" applyBorder="1" applyAlignment="1">
      <alignment horizontal="center" wrapText="1"/>
    </xf>
    <xf numFmtId="0" fontId="25" fillId="3" borderId="18" xfId="1" applyFont="1" applyBorder="1" applyAlignment="1">
      <alignment horizontal="center" wrapText="1"/>
    </xf>
    <xf numFmtId="0" fontId="3" fillId="2" borderId="1" xfId="0" applyFont="1" applyFill="1" applyBorder="1" applyAlignment="1">
      <alignment horizontal="center"/>
    </xf>
    <xf numFmtId="0" fontId="3" fillId="2" borderId="1" xfId="12" applyFont="1" applyFill="1" applyBorder="1" applyAlignment="1">
      <alignment horizontal="center" wrapText="1"/>
    </xf>
    <xf numFmtId="1" fontId="4" fillId="17" borderId="0" xfId="9" applyNumberFormat="1" applyFont="1" applyFill="1"/>
    <xf numFmtId="0" fontId="0" fillId="17" borderId="8" xfId="0" applyFill="1" applyBorder="1"/>
    <xf numFmtId="0" fontId="0" fillId="17" borderId="0" xfId="0" applyFill="1" applyBorder="1"/>
    <xf numFmtId="1" fontId="0" fillId="17" borderId="2" xfId="0" applyNumberFormat="1" applyFill="1" applyBorder="1"/>
    <xf numFmtId="0" fontId="4" fillId="0" borderId="0" xfId="10" applyFill="1" applyAlignment="1"/>
    <xf numFmtId="2" fontId="4" fillId="0" borderId="0" xfId="10" applyNumberFormat="1" applyFill="1"/>
    <xf numFmtId="2" fontId="4" fillId="0" borderId="0" xfId="10" applyNumberFormat="1" applyFill="1" applyBorder="1"/>
    <xf numFmtId="0" fontId="4" fillId="0" borderId="0" xfId="10" applyFill="1" applyAlignment="1">
      <alignment wrapText="1"/>
    </xf>
    <xf numFmtId="0" fontId="4" fillId="17" borderId="0" xfId="10" applyFill="1"/>
    <xf numFmtId="0" fontId="18" fillId="5" borderId="0" xfId="3"/>
    <xf numFmtId="0" fontId="25" fillId="3" borderId="3" xfId="1" applyFont="1" applyBorder="1" applyAlignment="1">
      <alignment wrapText="1"/>
    </xf>
    <xf numFmtId="0" fontId="4" fillId="0" borderId="0" xfId="9" applyFont="1" applyFill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18" fillId="0" borderId="0" xfId="4" applyFill="1"/>
    <xf numFmtId="0" fontId="25" fillId="3" borderId="4" xfId="1" applyFont="1" applyBorder="1" applyAlignment="1">
      <alignment horizontal="left" wrapText="1"/>
    </xf>
    <xf numFmtId="0" fontId="3" fillId="2" borderId="1" xfId="0" applyFont="1" applyFill="1" applyBorder="1" applyAlignment="1">
      <alignment horizontal="center" vertical="center"/>
    </xf>
    <xf numFmtId="9" fontId="4" fillId="16" borderId="0" xfId="17" applyFont="1" applyFill="1" applyBorder="1"/>
    <xf numFmtId="9" fontId="4" fillId="16" borderId="2" xfId="17" applyFont="1" applyFill="1" applyBorder="1"/>
    <xf numFmtId="0" fontId="30" fillId="4" borderId="4" xfId="2" applyFont="1" applyBorder="1" applyAlignment="1">
      <alignment horizontal="center" wrapText="1"/>
    </xf>
    <xf numFmtId="1" fontId="4" fillId="0" borderId="0" xfId="10" applyNumberFormat="1" applyFill="1" applyBorder="1"/>
    <xf numFmtId="0" fontId="4" fillId="0" borderId="2" xfId="10" applyFill="1" applyBorder="1"/>
    <xf numFmtId="0" fontId="4" fillId="0" borderId="2" xfId="10" applyBorder="1"/>
    <xf numFmtId="1" fontId="4" fillId="17" borderId="2" xfId="10" applyNumberFormat="1" applyFill="1" applyBorder="1"/>
    <xf numFmtId="0" fontId="4" fillId="16" borderId="2" xfId="10" applyFill="1" applyBorder="1"/>
    <xf numFmtId="2" fontId="4" fillId="16" borderId="2" xfId="10" applyNumberFormat="1" applyFill="1" applyBorder="1"/>
    <xf numFmtId="1" fontId="29" fillId="12" borderId="2" xfId="2" applyNumberFormat="1" applyFont="1" applyFill="1" applyBorder="1" applyAlignment="1">
      <alignment horizontal="right" wrapText="1"/>
    </xf>
    <xf numFmtId="1" fontId="0" fillId="0" borderId="0" xfId="0" applyNumberFormat="1" applyFill="1" applyBorder="1"/>
    <xf numFmtId="186" fontId="4" fillId="16" borderId="0" xfId="10" applyNumberFormat="1" applyFill="1"/>
    <xf numFmtId="1" fontId="4" fillId="0" borderId="2" xfId="10" applyNumberFormat="1" applyBorder="1"/>
    <xf numFmtId="186" fontId="4" fillId="16" borderId="2" xfId="10" applyNumberFormat="1" applyFill="1" applyBorder="1"/>
    <xf numFmtId="2" fontId="4" fillId="0" borderId="0" xfId="10" applyNumberFormat="1" applyBorder="1"/>
    <xf numFmtId="188" fontId="0" fillId="16" borderId="0" xfId="0" applyNumberFormat="1" applyFill="1" applyBorder="1"/>
    <xf numFmtId="188" fontId="0" fillId="16" borderId="0" xfId="0" applyNumberFormat="1" applyFill="1"/>
    <xf numFmtId="2" fontId="4" fillId="16" borderId="0" xfId="10" applyNumberFormat="1" applyFill="1"/>
    <xf numFmtId="2" fontId="4" fillId="16" borderId="0" xfId="10" applyNumberFormat="1" applyFill="1" applyBorder="1"/>
    <xf numFmtId="0" fontId="4" fillId="16" borderId="2" xfId="10" applyFill="1" applyBorder="1"/>
    <xf numFmtId="195" fontId="19" fillId="0" borderId="0" xfId="17" applyNumberFormat="1" applyFont="1" applyFill="1" applyBorder="1" applyAlignment="1">
      <alignment horizontal="right"/>
    </xf>
    <xf numFmtId="186" fontId="4" fillId="0" borderId="0" xfId="10" applyNumberFormat="1" applyFill="1" applyBorder="1"/>
    <xf numFmtId="190" fontId="4" fillId="0" borderId="0" xfId="10" applyNumberFormat="1" applyFill="1" applyBorder="1"/>
    <xf numFmtId="2" fontId="0" fillId="0" borderId="0" xfId="0" applyNumberFormat="1" applyFill="1"/>
    <xf numFmtId="196" fontId="5" fillId="0" borderId="0" xfId="0" applyNumberFormat="1" applyFont="1"/>
    <xf numFmtId="196" fontId="4" fillId="0" borderId="0" xfId="0" applyNumberFormat="1" applyFont="1"/>
    <xf numFmtId="196" fontId="3" fillId="2" borderId="1" xfId="0" applyNumberFormat="1" applyFont="1" applyFill="1" applyBorder="1" applyAlignment="1">
      <alignment horizontal="left"/>
    </xf>
    <xf numFmtId="196" fontId="3" fillId="2" borderId="4" xfId="0" applyNumberFormat="1" applyFont="1" applyFill="1" applyBorder="1" applyAlignment="1">
      <alignment horizontal="left"/>
    </xf>
    <xf numFmtId="196" fontId="25" fillId="3" borderId="3" xfId="1" applyNumberFormat="1" applyFont="1" applyBorder="1" applyAlignment="1">
      <alignment horizontal="left" wrapText="1"/>
    </xf>
    <xf numFmtId="196" fontId="4" fillId="0" borderId="0" xfId="0" applyNumberFormat="1" applyFont="1" applyFill="1"/>
    <xf numFmtId="196" fontId="0" fillId="0" borderId="0" xfId="0" applyNumberFormat="1" applyFill="1"/>
    <xf numFmtId="196" fontId="0" fillId="0" borderId="0" xfId="0" applyNumberFormat="1"/>
    <xf numFmtId="196" fontId="25" fillId="3" borderId="3" xfId="1" applyNumberFormat="1" applyFont="1" applyBorder="1" applyAlignment="1">
      <alignment horizontal="center" wrapText="1"/>
    </xf>
    <xf numFmtId="196" fontId="0" fillId="0" borderId="0" xfId="0" applyNumberFormat="1" applyFill="1" applyAlignment="1">
      <alignment wrapText="1"/>
    </xf>
    <xf numFmtId="196" fontId="0" fillId="0" borderId="0" xfId="0" applyNumberFormat="1" applyFill="1" applyAlignment="1"/>
    <xf numFmtId="196" fontId="4" fillId="0" borderId="0" xfId="10" applyNumberFormat="1" applyFont="1"/>
    <xf numFmtId="196" fontId="4" fillId="0" borderId="0" xfId="10" applyNumberFormat="1"/>
    <xf numFmtId="196" fontId="5" fillId="0" borderId="0" xfId="10" applyNumberFormat="1" applyFont="1"/>
    <xf numFmtId="196" fontId="3" fillId="2" borderId="1" xfId="10" applyNumberFormat="1" applyFont="1" applyFill="1" applyBorder="1" applyAlignment="1">
      <alignment horizontal="left"/>
    </xf>
    <xf numFmtId="196" fontId="3" fillId="2" borderId="4" xfId="10" applyNumberFormat="1" applyFont="1" applyFill="1" applyBorder="1" applyAlignment="1">
      <alignment horizontal="left"/>
    </xf>
    <xf numFmtId="196" fontId="4" fillId="0" borderId="0" xfId="10" applyNumberFormat="1" applyFont="1" applyFill="1"/>
    <xf numFmtId="196" fontId="4" fillId="0" borderId="0" xfId="10" applyNumberFormat="1" applyFill="1"/>
    <xf numFmtId="196" fontId="4" fillId="0" borderId="0" xfId="10" applyNumberFormat="1" applyFill="1" applyAlignment="1"/>
    <xf numFmtId="0" fontId="25" fillId="13" borderId="1" xfId="2" applyFont="1" applyFill="1" applyBorder="1" applyAlignment="1">
      <alignment horizontal="center" wrapText="1"/>
    </xf>
  </cellXfs>
  <cellStyles count="28">
    <cellStyle name="20% - Accent5" xfId="1" builtinId="46"/>
    <cellStyle name="40% - Accent3" xfId="2" builtinId="39"/>
    <cellStyle name="60% - Accent2" xfId="3" builtinId="36"/>
    <cellStyle name="Accent2" xfId="4" builtinId="33"/>
    <cellStyle name="Calculation" xfId="5" builtinId="22"/>
    <cellStyle name="Comma 2" xfId="6"/>
    <cellStyle name="Good" xfId="7" builtinId="26"/>
    <cellStyle name="Input" xfId="8" builtinId="20"/>
    <cellStyle name="Neutral" xfId="9" builtinId="28"/>
    <cellStyle name="Normal" xfId="0" builtinId="0"/>
    <cellStyle name="Normal 10" xfId="10"/>
    <cellStyle name="Normal 2" xfId="11"/>
    <cellStyle name="Normal 4" xfId="12"/>
    <cellStyle name="Normal 4 2" xfId="13"/>
    <cellStyle name="Normal 8" xfId="14"/>
    <cellStyle name="Normal 9 2" xfId="15"/>
    <cellStyle name="Normale_B2020" xfId="16"/>
    <cellStyle name="Percent" xfId="17" builtinId="5"/>
    <cellStyle name="Percent 2" xfId="18"/>
    <cellStyle name="Percent 3" xfId="19"/>
    <cellStyle name="Percent 3 2" xfId="20"/>
    <cellStyle name="Percent 3 3" xfId="21"/>
    <cellStyle name="Percent 4" xfId="22"/>
    <cellStyle name="Percent 4 2" xfId="23"/>
    <cellStyle name="Percent 4 3" xfId="24"/>
    <cellStyle name="Percent 5" xfId="25"/>
    <cellStyle name="Percent 6" xfId="26"/>
    <cellStyle name="Standard_Sce_D_Extraction" xfId="2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703367</xdr:colOff>
      <xdr:row>26</xdr:row>
      <xdr:rowOff>11430</xdr:rowOff>
    </xdr:from>
    <xdr:to>
      <xdr:col>11</xdr:col>
      <xdr:colOff>712894</xdr:colOff>
      <xdr:row>31</xdr:row>
      <xdr:rowOff>150451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C663F16-E8F3-4BF6-895E-B4C4F4360788}"/>
            </a:ext>
          </a:extLst>
        </xdr:cNvPr>
        <xdr:cNvSpPr txBox="1"/>
      </xdr:nvSpPr>
      <xdr:spPr>
        <a:xfrm>
          <a:off x="5133974" y="4802717"/>
          <a:ext cx="4327525" cy="9588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/>
            <a:t>Column B</a:t>
          </a:r>
          <a:r>
            <a:rPr lang="en-GB" sz="1100"/>
            <a:t> (rows</a:t>
          </a:r>
          <a:r>
            <a:rPr lang="en-GB" sz="1100" baseline="0"/>
            <a:t> 5 -24) is used to set up the technology and commoditiy names and descriptions in the model.</a:t>
          </a:r>
        </a:p>
        <a:p>
          <a:endParaRPr lang="en-GB" sz="1100" baseline="0"/>
        </a:p>
        <a:p>
          <a:r>
            <a:rPr lang="en-GB" sz="1100" baseline="0"/>
            <a:t>Row 2 and Row 5 are used to build  techology and commodity names and descriptions in the model.</a:t>
          </a:r>
          <a:endParaRPr lang="en-GB" sz="1100"/>
        </a:p>
      </xdr:txBody>
    </xdr:sp>
    <xdr:clientData/>
  </xdr:twoCellAnchor>
  <xdr:twoCellAnchor>
    <xdr:from>
      <xdr:col>7</xdr:col>
      <xdr:colOff>14815</xdr:colOff>
      <xdr:row>33</xdr:row>
      <xdr:rowOff>168064</xdr:rowOff>
    </xdr:from>
    <xdr:to>
      <xdr:col>13</xdr:col>
      <xdr:colOff>31750</xdr:colOff>
      <xdr:row>38</xdr:row>
      <xdr:rowOff>36830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BD27EB1-5BCB-4CC7-BFEB-8650D59ED3F0}"/>
            </a:ext>
          </a:extLst>
        </xdr:cNvPr>
        <xdr:cNvSpPr txBox="1"/>
      </xdr:nvSpPr>
      <xdr:spPr>
        <a:xfrm>
          <a:off x="5888565" y="6091767"/>
          <a:ext cx="4334935" cy="6731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0"/>
            <a:t>This share</a:t>
          </a:r>
          <a:r>
            <a:rPr lang="en-GB" sz="1100" b="0" baseline="0"/>
            <a:t> is used to split the total domestic production in more than one step. In this way it is possible to set up in the model a supply curve defined by the maximum production and cost</a:t>
          </a:r>
          <a:endParaRPr lang="en-GB" sz="1100" b="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173354</xdr:colOff>
      <xdr:row>14</xdr:row>
      <xdr:rowOff>144780</xdr:rowOff>
    </xdr:from>
    <xdr:to>
      <xdr:col>17</xdr:col>
      <xdr:colOff>57254</xdr:colOff>
      <xdr:row>19</xdr:row>
      <xdr:rowOff>142875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9BE0642-CEB5-4FD8-8D0C-BE9FEB4F6A28}"/>
            </a:ext>
          </a:extLst>
        </xdr:cNvPr>
        <xdr:cNvSpPr txBox="1"/>
      </xdr:nvSpPr>
      <xdr:spPr>
        <a:xfrm>
          <a:off x="6863714" y="3124200"/>
          <a:ext cx="6246600" cy="83629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total primary supply coal demand commodity and (FI_COMM table) and define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deliver the  total primary supply coal demand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173354</xdr:colOff>
      <xdr:row>14</xdr:row>
      <xdr:rowOff>144780</xdr:rowOff>
    </xdr:from>
    <xdr:to>
      <xdr:col>17</xdr:col>
      <xdr:colOff>57254</xdr:colOff>
      <xdr:row>19</xdr:row>
      <xdr:rowOff>142875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68E1D87-51B5-474C-8F25-CC1515947172}"/>
            </a:ext>
          </a:extLst>
        </xdr:cNvPr>
        <xdr:cNvSpPr txBox="1"/>
      </xdr:nvSpPr>
      <xdr:spPr>
        <a:xfrm>
          <a:off x="6863714" y="3124200"/>
          <a:ext cx="6246600" cy="83629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total primary supply coal demand commodity and (FI_COMM table) and define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deliver the  total primary supply coal demand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18</xdr:row>
      <xdr:rowOff>0</xdr:rowOff>
    </xdr:from>
    <xdr:to>
      <xdr:col>16</xdr:col>
      <xdr:colOff>3844728</xdr:colOff>
      <xdr:row>24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2DA395A-0E47-44BE-96F7-9CEB96C377DD}"/>
            </a:ext>
          </a:extLst>
        </xdr:cNvPr>
        <xdr:cNvSpPr txBox="1"/>
      </xdr:nvSpPr>
      <xdr:spPr>
        <a:xfrm>
          <a:off x="9800167" y="4011083"/>
          <a:ext cx="6011333" cy="10287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demand car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transport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sector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demand commodity and  transport carbon dioxide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environmental commodity (FI_COMM table) and define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options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technologies to deliver the transport car demand.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87629</xdr:colOff>
      <xdr:row>14</xdr:row>
      <xdr:rowOff>144780</xdr:rowOff>
    </xdr:from>
    <xdr:to>
      <xdr:col>19</xdr:col>
      <xdr:colOff>152504</xdr:colOff>
      <xdr:row>21</xdr:row>
      <xdr:rowOff>43867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497E9F9-BFAE-4119-A939-4B918304921B}"/>
            </a:ext>
          </a:extLst>
        </xdr:cNvPr>
        <xdr:cNvSpPr txBox="1"/>
      </xdr:nvSpPr>
      <xdr:spPr>
        <a:xfrm>
          <a:off x="9284969" y="2994660"/>
          <a:ext cx="7343878" cy="108204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demand residential sector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demand commodity and  residential carbon dioxide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environmental commodity (FI_COMM table) and define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deliver the  residential demand commodity.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81915</xdr:colOff>
      <xdr:row>15</xdr:row>
      <xdr:rowOff>144780</xdr:rowOff>
    </xdr:from>
    <xdr:to>
      <xdr:col>6</xdr:col>
      <xdr:colOff>342886</xdr:colOff>
      <xdr:row>19</xdr:row>
      <xdr:rowOff>43815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D2483D2-AE32-40C0-B6F5-02FB1C9EB186}"/>
            </a:ext>
          </a:extLst>
        </xdr:cNvPr>
        <xdr:cNvSpPr txBox="1"/>
      </xdr:nvSpPr>
      <xdr:spPr>
        <a:xfrm>
          <a:off x="91440" y="3147060"/>
          <a:ext cx="4514844" cy="56959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the demand value for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each period and the commodity fraction for the electricity commodity demand by timeslice.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16</xdr:row>
      <xdr:rowOff>19050</xdr:rowOff>
    </xdr:from>
    <xdr:to>
      <xdr:col>2</xdr:col>
      <xdr:colOff>285750</xdr:colOff>
      <xdr:row>29</xdr:row>
      <xdr:rowOff>152400</xdr:rowOff>
    </xdr:to>
    <xdr:pic>
      <xdr:nvPicPr>
        <xdr:cNvPr id="58142" name="Picture 6">
          <a:extLst>
            <a:ext uri="{FF2B5EF4-FFF2-40B4-BE49-F238E27FC236}">
              <a16:creationId xmlns:a16="http://schemas.microsoft.com/office/drawing/2014/main" id="{6D148214-227D-496A-8809-527390EC68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2809875"/>
          <a:ext cx="800100" cy="2238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23</xdr:col>
      <xdr:colOff>28575</xdr:colOff>
      <xdr:row>16</xdr:row>
      <xdr:rowOff>142875</xdr:rowOff>
    </xdr:from>
    <xdr:to>
      <xdr:col>27</xdr:col>
      <xdr:colOff>209550</xdr:colOff>
      <xdr:row>27</xdr:row>
      <xdr:rowOff>85725</xdr:rowOff>
    </xdr:to>
    <xdr:pic>
      <xdr:nvPicPr>
        <xdr:cNvPr id="58143" name="Picture 3">
          <a:extLst>
            <a:ext uri="{FF2B5EF4-FFF2-40B4-BE49-F238E27FC236}">
              <a16:creationId xmlns:a16="http://schemas.microsoft.com/office/drawing/2014/main" id="{A9C827F2-0171-4160-862D-83C984460E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73025" y="2933700"/>
          <a:ext cx="2619375" cy="1724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23</xdr:col>
      <xdr:colOff>57150</xdr:colOff>
      <xdr:row>27</xdr:row>
      <xdr:rowOff>152400</xdr:rowOff>
    </xdr:from>
    <xdr:to>
      <xdr:col>27</xdr:col>
      <xdr:colOff>257175</xdr:colOff>
      <xdr:row>38</xdr:row>
      <xdr:rowOff>0</xdr:rowOff>
    </xdr:to>
    <xdr:pic>
      <xdr:nvPicPr>
        <xdr:cNvPr id="58144" name="Picture 21">
          <a:extLst>
            <a:ext uri="{FF2B5EF4-FFF2-40B4-BE49-F238E27FC236}">
              <a16:creationId xmlns:a16="http://schemas.microsoft.com/office/drawing/2014/main" id="{547CA47A-5E09-4537-9EDD-0C74BB46BD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01600" y="4724400"/>
          <a:ext cx="2638425" cy="1628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361950</xdr:colOff>
      <xdr:row>17</xdr:row>
      <xdr:rowOff>142875</xdr:rowOff>
    </xdr:from>
    <xdr:to>
      <xdr:col>18</xdr:col>
      <xdr:colOff>247650</xdr:colOff>
      <xdr:row>36</xdr:row>
      <xdr:rowOff>104775</xdr:rowOff>
    </xdr:to>
    <xdr:pic>
      <xdr:nvPicPr>
        <xdr:cNvPr id="58145" name="Picture 18">
          <a:extLst>
            <a:ext uri="{FF2B5EF4-FFF2-40B4-BE49-F238E27FC236}">
              <a16:creationId xmlns:a16="http://schemas.microsoft.com/office/drawing/2014/main" id="{DC7C2BBF-2CEA-495C-82BF-0E64367837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81800" y="3095625"/>
          <a:ext cx="3409950" cy="3038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3</xdr:row>
      <xdr:rowOff>66675</xdr:rowOff>
    </xdr:from>
    <xdr:to>
      <xdr:col>16</xdr:col>
      <xdr:colOff>533400</xdr:colOff>
      <xdr:row>12</xdr:row>
      <xdr:rowOff>9525</xdr:rowOff>
    </xdr:to>
    <xdr:pic>
      <xdr:nvPicPr>
        <xdr:cNvPr id="58146" name="Picture 1">
          <a:extLst>
            <a:ext uri="{FF2B5EF4-FFF2-40B4-BE49-F238E27FC236}">
              <a16:creationId xmlns:a16="http://schemas.microsoft.com/office/drawing/2014/main" id="{22099B86-5296-4701-855D-946FCB7F1C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19850" y="685800"/>
          <a:ext cx="2838450" cy="1400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247650</xdr:colOff>
      <xdr:row>3</xdr:row>
      <xdr:rowOff>28575</xdr:rowOff>
    </xdr:from>
    <xdr:to>
      <xdr:col>9</xdr:col>
      <xdr:colOff>19050</xdr:colOff>
      <xdr:row>12</xdr:row>
      <xdr:rowOff>76200</xdr:rowOff>
    </xdr:to>
    <xdr:pic>
      <xdr:nvPicPr>
        <xdr:cNvPr id="58147" name="Picture 2">
          <a:extLst>
            <a:ext uri="{FF2B5EF4-FFF2-40B4-BE49-F238E27FC236}">
              <a16:creationId xmlns:a16="http://schemas.microsoft.com/office/drawing/2014/main" id="{1FDBAB46-34CE-4153-8C64-93B7CF3A37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52625" y="647700"/>
          <a:ext cx="2819400" cy="1504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17</xdr:row>
      <xdr:rowOff>0</xdr:rowOff>
    </xdr:from>
    <xdr:to>
      <xdr:col>8</xdr:col>
      <xdr:colOff>552450</xdr:colOff>
      <xdr:row>29</xdr:row>
      <xdr:rowOff>47625</xdr:rowOff>
    </xdr:to>
    <xdr:pic>
      <xdr:nvPicPr>
        <xdr:cNvPr id="58148" name="Picture 3">
          <a:extLst>
            <a:ext uri="{FF2B5EF4-FFF2-40B4-BE49-F238E27FC236}">
              <a16:creationId xmlns:a16="http://schemas.microsoft.com/office/drawing/2014/main" id="{855111BB-863E-4C97-A551-148F184D5B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2952750"/>
          <a:ext cx="3600450" cy="1990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29</xdr:row>
      <xdr:rowOff>38100</xdr:rowOff>
    </xdr:from>
    <xdr:to>
      <xdr:col>8</xdr:col>
      <xdr:colOff>552450</xdr:colOff>
      <xdr:row>42</xdr:row>
      <xdr:rowOff>0</xdr:rowOff>
    </xdr:to>
    <xdr:pic>
      <xdr:nvPicPr>
        <xdr:cNvPr id="58149" name="Picture 4">
          <a:extLst>
            <a:ext uri="{FF2B5EF4-FFF2-40B4-BE49-F238E27FC236}">
              <a16:creationId xmlns:a16="http://schemas.microsoft.com/office/drawing/2014/main" id="{A862AD03-10F5-40B9-9EAE-9E7520406F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4933950"/>
          <a:ext cx="3600450" cy="2066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41</xdr:row>
      <xdr:rowOff>142875</xdr:rowOff>
    </xdr:from>
    <xdr:to>
      <xdr:col>8</xdr:col>
      <xdr:colOff>552450</xdr:colOff>
      <xdr:row>54</xdr:row>
      <xdr:rowOff>142875</xdr:rowOff>
    </xdr:to>
    <xdr:pic>
      <xdr:nvPicPr>
        <xdr:cNvPr id="58150" name="Picture 5">
          <a:extLst>
            <a:ext uri="{FF2B5EF4-FFF2-40B4-BE49-F238E27FC236}">
              <a16:creationId xmlns:a16="http://schemas.microsoft.com/office/drawing/2014/main" id="{81E2C2B9-D1A7-452C-B7A0-B5D22C77A3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6981825"/>
          <a:ext cx="3600450" cy="2105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54</xdr:row>
      <xdr:rowOff>123825</xdr:rowOff>
    </xdr:from>
    <xdr:to>
      <xdr:col>8</xdr:col>
      <xdr:colOff>552450</xdr:colOff>
      <xdr:row>64</xdr:row>
      <xdr:rowOff>28575</xdr:rowOff>
    </xdr:to>
    <xdr:pic>
      <xdr:nvPicPr>
        <xdr:cNvPr id="58151" name="Picture 6">
          <a:extLst>
            <a:ext uri="{FF2B5EF4-FFF2-40B4-BE49-F238E27FC236}">
              <a16:creationId xmlns:a16="http://schemas.microsoft.com/office/drawing/2014/main" id="{E9D76DB9-34EC-4A5F-8A87-D7D2DC987E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9067800"/>
          <a:ext cx="3600450" cy="1524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63</xdr:row>
      <xdr:rowOff>104775</xdr:rowOff>
    </xdr:from>
    <xdr:to>
      <xdr:col>8</xdr:col>
      <xdr:colOff>552450</xdr:colOff>
      <xdr:row>72</xdr:row>
      <xdr:rowOff>123825</xdr:rowOff>
    </xdr:to>
    <xdr:pic>
      <xdr:nvPicPr>
        <xdr:cNvPr id="58152" name="Picture 7">
          <a:extLst>
            <a:ext uri="{FF2B5EF4-FFF2-40B4-BE49-F238E27FC236}">
              <a16:creationId xmlns:a16="http://schemas.microsoft.com/office/drawing/2014/main" id="{FCEDDFC8-655A-4EAD-882C-888635EE42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10506075"/>
          <a:ext cx="3600450" cy="1476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16</xdr:row>
      <xdr:rowOff>21166</xdr:rowOff>
    </xdr:from>
    <xdr:to>
      <xdr:col>15</xdr:col>
      <xdr:colOff>436584</xdr:colOff>
      <xdr:row>24</xdr:row>
      <xdr:rowOff>52918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66276CC-CC9A-411E-9874-5B3A232340E4}"/>
            </a:ext>
          </a:extLst>
        </xdr:cNvPr>
        <xdr:cNvSpPr txBox="1"/>
      </xdr:nvSpPr>
      <xdr:spPr>
        <a:xfrm>
          <a:off x="7186083" y="3111499"/>
          <a:ext cx="4447668" cy="1301752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coal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3-step domestic coal supply curve, along with and import and export option.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Interpolation and extrapolation rules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moved to the SysSetting workbbok.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19</xdr:row>
      <xdr:rowOff>0</xdr:rowOff>
    </xdr:from>
    <xdr:to>
      <xdr:col>13</xdr:col>
      <xdr:colOff>2325972</xdr:colOff>
      <xdr:row>27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4C1383D-6F3E-4D00-9ED8-11FEC4FD1AFB}"/>
            </a:ext>
          </a:extLst>
        </xdr:cNvPr>
        <xdr:cNvSpPr txBox="1"/>
      </xdr:nvSpPr>
      <xdr:spPr>
        <a:xfrm>
          <a:off x="6543675" y="3609975"/>
          <a:ext cx="4469097" cy="12954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gas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3-step domestic gas supply curve, along with and import and export option.</a:t>
          </a:r>
        </a:p>
        <a:p>
          <a:endParaRPr lang="en-GB">
            <a:effectLst/>
          </a:endParaRP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Interpolation and extrapolation rules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moved to the SysSetting workbbok.</a:t>
          </a:r>
          <a:endParaRPr lang="en-GB">
            <a:effectLst/>
          </a:endParaRP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19</xdr:row>
      <xdr:rowOff>0</xdr:rowOff>
    </xdr:from>
    <xdr:to>
      <xdr:col>14</xdr:col>
      <xdr:colOff>0</xdr:colOff>
      <xdr:row>25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E4CCDD4-D860-4740-86A8-E2DB8414D345}"/>
            </a:ext>
          </a:extLst>
        </xdr:cNvPr>
        <xdr:cNvSpPr txBox="1"/>
      </xdr:nvSpPr>
      <xdr:spPr>
        <a:xfrm>
          <a:off x="6457950" y="3733800"/>
          <a:ext cx="4486275" cy="10477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>
            <a:lnSpc>
              <a:spcPts val="1000"/>
            </a:lnSpc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oil an energy commodity (FI_COMM table) and define each supply option (FI_Process table).</a:t>
          </a:r>
        </a:p>
        <a:p>
          <a:pPr lvl="0">
            <a:lnSpc>
              <a:spcPts val="11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200"/>
            </a:lnSpc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3-step domestic oil supply curve, along with and import and export option.</a:t>
          </a:r>
        </a:p>
        <a:p>
          <a:endParaRPr lang="en-GB">
            <a:effectLst/>
          </a:endParaRP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Interpolation and extrapolation rules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moved to the SysSetting workbbok.</a:t>
          </a:r>
          <a:endParaRPr lang="en-GB">
            <a:effectLst/>
          </a:endParaRPr>
        </a:p>
        <a:p>
          <a:pPr lvl="0">
            <a:lnSpc>
              <a:spcPts val="12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13</xdr:row>
      <xdr:rowOff>9525</xdr:rowOff>
    </xdr:from>
    <xdr:to>
      <xdr:col>13</xdr:col>
      <xdr:colOff>2695515</xdr:colOff>
      <xdr:row>18</xdr:row>
      <xdr:rowOff>19050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539DD5E-8F9D-4919-AAF5-6B96194D7428}"/>
            </a:ext>
          </a:extLst>
        </xdr:cNvPr>
        <xdr:cNvSpPr txBox="1"/>
      </xdr:nvSpPr>
      <xdr:spPr>
        <a:xfrm>
          <a:off x="6543675" y="2809875"/>
          <a:ext cx="4781490" cy="8191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reneable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make available the renewable commodity.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16</xdr:row>
      <xdr:rowOff>0</xdr:rowOff>
    </xdr:from>
    <xdr:to>
      <xdr:col>13</xdr:col>
      <xdr:colOff>2482215</xdr:colOff>
      <xdr:row>21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9A9CF37-F7D4-49AB-949A-700B5D810A69}"/>
            </a:ext>
          </a:extLst>
        </xdr:cNvPr>
        <xdr:cNvSpPr txBox="1"/>
      </xdr:nvSpPr>
      <xdr:spPr>
        <a:xfrm>
          <a:off x="6305550" y="3267075"/>
          <a:ext cx="4577715" cy="8953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nuclear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make available the nuclear commodity.</a:t>
          </a:r>
          <a:endParaRPr lang="en-GB">
            <a:effectLst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32385</xdr:colOff>
      <xdr:row>24</xdr:row>
      <xdr:rowOff>19050</xdr:rowOff>
    </xdr:from>
    <xdr:to>
      <xdr:col>12</xdr:col>
      <xdr:colOff>17145</xdr:colOff>
      <xdr:row>30</xdr:row>
      <xdr:rowOff>28575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1A6AF6C-9AC5-4C59-BA61-CA83BAE1265E}"/>
            </a:ext>
          </a:extLst>
        </xdr:cNvPr>
        <xdr:cNvSpPr txBox="1"/>
      </xdr:nvSpPr>
      <xdr:spPr>
        <a:xfrm>
          <a:off x="4947285" y="4257675"/>
          <a:ext cx="6557010" cy="9810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sectoral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energy commodities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(FI_COMM table) and define each ssectoral fuel technology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fuel technology to convert the fuel commodity name from the supply sector to a sectoral specific fuel commodity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(e.g. from GAS to RSDGAS)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14391</xdr:colOff>
      <xdr:row>21</xdr:row>
      <xdr:rowOff>11854</xdr:rowOff>
    </xdr:from>
    <xdr:to>
      <xdr:col>26</xdr:col>
      <xdr:colOff>38080</xdr:colOff>
      <xdr:row>27</xdr:row>
      <xdr:rowOff>12732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1CAAB9B-9D59-4362-81EE-0E24DC9B825A}"/>
            </a:ext>
          </a:extLst>
        </xdr:cNvPr>
        <xdr:cNvSpPr txBox="1"/>
      </xdr:nvSpPr>
      <xdr:spPr>
        <a:xfrm>
          <a:off x="12942991" y="4524587"/>
          <a:ext cx="7025622" cy="1016878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electricity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energy commodity and  electricity plants carbon dioxide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environmental commodity (FI_COMM table) and define power plant options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power plant option for each fuel commodity.</a:t>
          </a:r>
        </a:p>
      </xdr:txBody>
    </xdr:sp>
    <xdr:clientData/>
  </xdr:twoCellAnchor>
  <xdr:twoCellAnchor>
    <xdr:from>
      <xdr:col>1</xdr:col>
      <xdr:colOff>0</xdr:colOff>
      <xdr:row>34</xdr:row>
      <xdr:rowOff>0</xdr:rowOff>
    </xdr:from>
    <xdr:to>
      <xdr:col>10</xdr:col>
      <xdr:colOff>552855</xdr:colOff>
      <xdr:row>36</xdr:row>
      <xdr:rowOff>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9056CB41-9CC2-402E-A2DF-82A4A5CC018F}"/>
            </a:ext>
          </a:extLst>
        </xdr:cNvPr>
        <xdr:cNvSpPr txBox="1"/>
      </xdr:nvSpPr>
      <xdr:spPr>
        <a:xfrm>
          <a:off x="201083" y="6582833"/>
          <a:ext cx="7230939" cy="3175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ELCTNOIL00 can be installed from the base year to cover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the additional capacity needed for the reserve equation (5%)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57"/>
  <sheetViews>
    <sheetView zoomScale="90" zoomScaleNormal="90" workbookViewId="0">
      <selection activeCell="C11" sqref="C11:C12"/>
    </sheetView>
  </sheetViews>
  <sheetFormatPr defaultRowHeight="12.75" x14ac:dyDescent="0.2"/>
  <cols>
    <col min="1" max="1" width="3" bestFit="1" customWidth="1"/>
    <col min="2" max="2" width="18.42578125" bestFit="1" customWidth="1"/>
    <col min="3" max="3" width="41.140625" bestFit="1" customWidth="1"/>
    <col min="4" max="5" width="13.28515625" customWidth="1"/>
    <col min="6" max="6" width="15.140625" customWidth="1"/>
    <col min="7" max="11" width="13" customWidth="1"/>
    <col min="12" max="13" width="10.85546875" customWidth="1"/>
    <col min="14" max="14" width="12.5703125" bestFit="1" customWidth="1"/>
    <col min="15" max="15" width="2" bestFit="1" customWidth="1"/>
    <col min="16" max="16" width="12.28515625" bestFit="1" customWidth="1"/>
    <col min="18" max="18" width="6.7109375" bestFit="1" customWidth="1"/>
    <col min="19" max="19" width="9.28515625" bestFit="1" customWidth="1"/>
    <col min="20" max="20" width="2" bestFit="1" customWidth="1"/>
  </cols>
  <sheetData>
    <row r="1" spans="1:19" s="9" customFormat="1" x14ac:dyDescent="0.2">
      <c r="P1" s="36" t="s">
        <v>118</v>
      </c>
      <c r="Q1" s="1" t="s">
        <v>119</v>
      </c>
      <c r="R1" s="1" t="s">
        <v>120</v>
      </c>
      <c r="S1" s="1" t="s">
        <v>140</v>
      </c>
    </row>
    <row r="2" spans="1:19" ht="15.75" x14ac:dyDescent="0.25">
      <c r="C2" s="10"/>
      <c r="D2" s="78" t="s">
        <v>47</v>
      </c>
      <c r="E2" s="78" t="s">
        <v>48</v>
      </c>
      <c r="F2" s="78" t="s">
        <v>49</v>
      </c>
      <c r="G2" s="78" t="s">
        <v>50</v>
      </c>
      <c r="H2" s="78" t="s">
        <v>51</v>
      </c>
      <c r="I2" s="78" t="s">
        <v>52</v>
      </c>
      <c r="J2" s="78" t="s">
        <v>53</v>
      </c>
      <c r="K2" s="78" t="s">
        <v>54</v>
      </c>
      <c r="L2" s="47"/>
      <c r="M2" s="9"/>
      <c r="P2" s="11"/>
      <c r="Q2" s="73" t="s">
        <v>195</v>
      </c>
      <c r="R2" s="20" t="s">
        <v>97</v>
      </c>
      <c r="S2" s="20" t="s">
        <v>141</v>
      </c>
    </row>
    <row r="3" spans="1:19" ht="25.5" x14ac:dyDescent="0.2">
      <c r="C3" s="12"/>
      <c r="D3" s="79" t="s">
        <v>55</v>
      </c>
      <c r="E3" s="79" t="s">
        <v>56</v>
      </c>
      <c r="F3" s="79" t="s">
        <v>217</v>
      </c>
      <c r="G3" s="79" t="s">
        <v>57</v>
      </c>
      <c r="H3" s="79" t="s">
        <v>58</v>
      </c>
      <c r="I3" s="79" t="s">
        <v>59</v>
      </c>
      <c r="J3" s="79" t="s">
        <v>60</v>
      </c>
      <c r="K3" s="79" t="s">
        <v>111</v>
      </c>
      <c r="L3" s="71" t="s">
        <v>61</v>
      </c>
      <c r="M3" s="9"/>
    </row>
    <row r="4" spans="1:19" x14ac:dyDescent="0.2">
      <c r="C4" s="13" t="s">
        <v>62</v>
      </c>
      <c r="D4" s="10"/>
      <c r="E4" s="10"/>
      <c r="F4" s="10"/>
      <c r="G4" s="12"/>
      <c r="H4" s="12"/>
      <c r="I4" s="12"/>
      <c r="J4" s="12"/>
      <c r="K4" s="12"/>
      <c r="L4" s="12"/>
      <c r="M4" s="9"/>
    </row>
    <row r="5" spans="1:19" ht="15" x14ac:dyDescent="0.25">
      <c r="B5" s="80" t="s">
        <v>63</v>
      </c>
      <c r="C5" s="74" t="s">
        <v>64</v>
      </c>
      <c r="D5" s="97">
        <v>8098.3580000000002</v>
      </c>
      <c r="E5" s="96">
        <v>7899.4970000000003</v>
      </c>
      <c r="F5" s="96">
        <v>5378.5119999999997</v>
      </c>
      <c r="G5" s="75">
        <v>10775.148999999999</v>
      </c>
      <c r="H5" s="75">
        <v>5026.6000000000004</v>
      </c>
      <c r="I5" s="75">
        <v>0</v>
      </c>
      <c r="J5" s="75">
        <v>0</v>
      </c>
      <c r="K5" s="75">
        <v>0</v>
      </c>
      <c r="L5" s="76">
        <f>SUM(D5:K5)</f>
        <v>37178.115999999995</v>
      </c>
      <c r="M5" s="9"/>
      <c r="P5" s="14"/>
    </row>
    <row r="6" spans="1:19" ht="15" x14ac:dyDescent="0.25">
      <c r="B6" s="80" t="s">
        <v>65</v>
      </c>
      <c r="C6" s="74" t="s">
        <v>66</v>
      </c>
      <c r="D6" s="98">
        <v>6462.6710000000003</v>
      </c>
      <c r="E6" s="94">
        <v>13291.728999999999</v>
      </c>
      <c r="F6" s="94">
        <v>39959.980000000003</v>
      </c>
      <c r="G6" s="75">
        <v>0</v>
      </c>
      <c r="H6" s="75">
        <v>113.01900000000001</v>
      </c>
      <c r="I6" s="75">
        <v>7.0000000000000001E-3</v>
      </c>
      <c r="J6" s="75">
        <v>0.153</v>
      </c>
      <c r="K6" s="75">
        <v>1167.52</v>
      </c>
      <c r="L6" s="76">
        <f>SUM(D6:K6)</f>
        <v>60995.078999999998</v>
      </c>
      <c r="M6" s="9"/>
    </row>
    <row r="7" spans="1:19" ht="15" x14ac:dyDescent="0.25">
      <c r="B7" s="80" t="s">
        <v>67</v>
      </c>
      <c r="C7" s="74" t="s">
        <v>68</v>
      </c>
      <c r="D7" s="98">
        <v>-1147.069</v>
      </c>
      <c r="E7" s="94">
        <v>-2516.3310000000001</v>
      </c>
      <c r="F7" s="94">
        <v>-14830.662</v>
      </c>
      <c r="G7" s="77">
        <v>0</v>
      </c>
      <c r="H7" s="77">
        <v>-72.403999999999996</v>
      </c>
      <c r="I7" s="77">
        <v>0</v>
      </c>
      <c r="J7" s="77">
        <v>-0.129</v>
      </c>
      <c r="K7" s="77">
        <v>-1126.8040000000001</v>
      </c>
      <c r="L7" s="76">
        <f>SUM(D7:K7)</f>
        <v>-19693.399000000001</v>
      </c>
      <c r="M7" s="9"/>
      <c r="P7" s="14"/>
    </row>
    <row r="8" spans="1:19" ht="15" x14ac:dyDescent="0.25">
      <c r="B8" s="175" t="s">
        <v>211</v>
      </c>
      <c r="C8" s="102" t="s">
        <v>212</v>
      </c>
      <c r="D8" s="104">
        <f t="shared" ref="D8:L8" si="0">SUM(D5:D7)</f>
        <v>13413.960000000001</v>
      </c>
      <c r="E8" s="105">
        <f t="shared" si="0"/>
        <v>18674.894999999997</v>
      </c>
      <c r="F8" s="105">
        <f t="shared" si="0"/>
        <v>30507.830000000005</v>
      </c>
      <c r="G8" s="105">
        <f t="shared" si="0"/>
        <v>10775.148999999999</v>
      </c>
      <c r="H8" s="105">
        <f t="shared" si="0"/>
        <v>5067.2150000000001</v>
      </c>
      <c r="I8" s="105">
        <f t="shared" si="0"/>
        <v>7.0000000000000001E-3</v>
      </c>
      <c r="J8" s="105">
        <f t="shared" si="0"/>
        <v>2.3999999999999994E-2</v>
      </c>
      <c r="K8" s="105">
        <f t="shared" si="0"/>
        <v>40.715999999999894</v>
      </c>
      <c r="L8" s="106">
        <f t="shared" si="0"/>
        <v>78479.795999999988</v>
      </c>
      <c r="M8" s="9"/>
    </row>
    <row r="9" spans="1:19" x14ac:dyDescent="0.2">
      <c r="B9" s="72"/>
      <c r="C9" s="13" t="s">
        <v>69</v>
      </c>
      <c r="D9" s="12"/>
      <c r="E9" s="12"/>
      <c r="F9" s="12"/>
      <c r="G9" s="12"/>
      <c r="H9" s="12"/>
      <c r="I9" s="12"/>
      <c r="J9" s="12"/>
      <c r="K9" s="12"/>
      <c r="L9" s="103"/>
      <c r="M9" s="9"/>
    </row>
    <row r="10" spans="1:19" x14ac:dyDescent="0.2">
      <c r="B10" s="80" t="s">
        <v>70</v>
      </c>
      <c r="C10" s="108" t="s">
        <v>71</v>
      </c>
      <c r="D10" s="82">
        <v>-57.637999999999998</v>
      </c>
      <c r="E10" s="82">
        <v>-792.98</v>
      </c>
      <c r="F10" s="82">
        <v>-1848.605</v>
      </c>
      <c r="G10" s="82">
        <v>0</v>
      </c>
      <c r="H10" s="82">
        <v>-4.2830000000000004</v>
      </c>
      <c r="I10" s="82">
        <v>-1.52</v>
      </c>
      <c r="J10" s="83">
        <v>0</v>
      </c>
      <c r="K10" s="83">
        <v>0</v>
      </c>
      <c r="L10" s="84">
        <f>SUM(D10:K10)</f>
        <v>-2705.0259999999998</v>
      </c>
      <c r="M10" s="9"/>
    </row>
    <row r="11" spans="1:19" ht="15" x14ac:dyDescent="0.25">
      <c r="B11" s="80" t="s">
        <v>54</v>
      </c>
      <c r="C11" s="109" t="s">
        <v>72</v>
      </c>
      <c r="D11" s="94">
        <v>-9598.1200000000008</v>
      </c>
      <c r="E11" s="94">
        <v>-5635.5439999999999</v>
      </c>
      <c r="F11" s="94">
        <v>-1224.6089999999999</v>
      </c>
      <c r="G11" s="94">
        <v>-10775.148999999999</v>
      </c>
      <c r="H11" s="94">
        <v>-1255.692</v>
      </c>
      <c r="I11" s="87">
        <v>-32.948999999999998</v>
      </c>
      <c r="J11" s="87">
        <v>1737.559</v>
      </c>
      <c r="K11" s="94">
        <v>11581.04</v>
      </c>
      <c r="L11" s="84">
        <f>SUM(D11:K11)</f>
        <v>-15203.463999999996</v>
      </c>
      <c r="M11" s="9"/>
    </row>
    <row r="12" spans="1:19" x14ac:dyDescent="0.2">
      <c r="B12" s="80" t="s">
        <v>73</v>
      </c>
      <c r="C12" s="109" t="s">
        <v>74</v>
      </c>
      <c r="D12" s="82">
        <v>-161.39599999999999</v>
      </c>
      <c r="E12" s="82">
        <v>-301.30099999999999</v>
      </c>
      <c r="F12" s="82">
        <v>-49.649000000000001</v>
      </c>
      <c r="G12" s="82">
        <v>0</v>
      </c>
      <c r="H12" s="82">
        <v>-140.20699999999999</v>
      </c>
      <c r="I12" s="82">
        <v>-1.569</v>
      </c>
      <c r="J12" s="82">
        <v>658.74300000000005</v>
      </c>
      <c r="K12" s="82">
        <v>0</v>
      </c>
      <c r="L12" s="84">
        <f>SUM(D12:K12)</f>
        <v>4.6210000000000946</v>
      </c>
      <c r="M12" s="9"/>
    </row>
    <row r="13" spans="1:19" x14ac:dyDescent="0.2">
      <c r="B13" s="80" t="s">
        <v>75</v>
      </c>
      <c r="C13" s="109" t="s">
        <v>76</v>
      </c>
      <c r="D13" s="85"/>
      <c r="E13" s="86"/>
      <c r="F13" s="87">
        <v>-31736.460999999999</v>
      </c>
      <c r="G13" s="86"/>
      <c r="H13" s="86"/>
      <c r="I13" s="86"/>
      <c r="J13" s="86"/>
      <c r="K13" s="86"/>
      <c r="L13" s="84">
        <f>SUM(D13:K13)</f>
        <v>-31736.460999999999</v>
      </c>
      <c r="M13" s="9"/>
    </row>
    <row r="14" spans="1:19" ht="15" x14ac:dyDescent="0.25">
      <c r="B14" s="72"/>
      <c r="C14" s="102" t="s">
        <v>77</v>
      </c>
      <c r="D14" s="107">
        <f t="shared" ref="D14:L14" si="1">SUM(D10:D13)</f>
        <v>-9817.1540000000023</v>
      </c>
      <c r="E14" s="105">
        <f t="shared" si="1"/>
        <v>-6729.8249999999998</v>
      </c>
      <c r="F14" s="105">
        <f t="shared" si="1"/>
        <v>-34859.324000000001</v>
      </c>
      <c r="G14" s="105">
        <f t="shared" si="1"/>
        <v>-10775.148999999999</v>
      </c>
      <c r="H14" s="105">
        <f t="shared" si="1"/>
        <v>-1400.1819999999998</v>
      </c>
      <c r="I14" s="105">
        <f t="shared" si="1"/>
        <v>-36.038000000000004</v>
      </c>
      <c r="J14" s="105">
        <f t="shared" si="1"/>
        <v>2396.3020000000001</v>
      </c>
      <c r="K14" s="105">
        <f t="shared" si="1"/>
        <v>11581.04</v>
      </c>
      <c r="L14" s="106">
        <f t="shared" si="1"/>
        <v>-49640.33</v>
      </c>
      <c r="M14" s="9"/>
    </row>
    <row r="15" spans="1:19" x14ac:dyDescent="0.2">
      <c r="B15" s="72"/>
      <c r="C15" s="13" t="s">
        <v>78</v>
      </c>
      <c r="D15" s="12"/>
      <c r="E15" s="12"/>
      <c r="F15" s="12"/>
      <c r="G15" s="12"/>
      <c r="H15" s="12"/>
      <c r="I15" s="12"/>
      <c r="J15" s="12"/>
      <c r="K15" s="12"/>
      <c r="L15" s="103"/>
      <c r="M15" s="9"/>
    </row>
    <row r="16" spans="1:19" ht="15" x14ac:dyDescent="0.25">
      <c r="A16" s="9"/>
      <c r="B16" s="80" t="s">
        <v>79</v>
      </c>
      <c r="C16" s="110" t="s">
        <v>80</v>
      </c>
      <c r="D16" s="89">
        <v>356.55500000000001</v>
      </c>
      <c r="E16" s="94">
        <v>5159.7929999999997</v>
      </c>
      <c r="F16" s="89">
        <v>2289.2930000000001</v>
      </c>
      <c r="G16" s="91">
        <v>0</v>
      </c>
      <c r="H16" s="89">
        <v>1293.9269999999999</v>
      </c>
      <c r="I16" s="89">
        <v>0</v>
      </c>
      <c r="J16" s="89">
        <v>865.48500000000001</v>
      </c>
      <c r="K16" s="89">
        <v>2871.7420000000002</v>
      </c>
      <c r="L16" s="92">
        <f t="shared" ref="L16:L23" si="2">SUM(D16:K16)</f>
        <v>12836.795</v>
      </c>
      <c r="M16" s="9"/>
    </row>
    <row r="17" spans="1:14" x14ac:dyDescent="0.2">
      <c r="A17" s="9"/>
      <c r="B17" s="80" t="s">
        <v>81</v>
      </c>
      <c r="C17" s="111" t="s">
        <v>82</v>
      </c>
      <c r="D17" s="89">
        <v>56.924999999999997</v>
      </c>
      <c r="E17" s="89">
        <v>1751.73</v>
      </c>
      <c r="F17" s="89">
        <v>854.81</v>
      </c>
      <c r="G17" s="91">
        <v>0</v>
      </c>
      <c r="H17" s="89">
        <v>67.406000000000006</v>
      </c>
      <c r="I17" s="89">
        <v>1.2170000000000001</v>
      </c>
      <c r="J17" s="89">
        <v>254.64599999999999</v>
      </c>
      <c r="K17" s="89">
        <v>2527.3910000000001</v>
      </c>
      <c r="L17" s="92">
        <f t="shared" si="2"/>
        <v>5514.125</v>
      </c>
      <c r="M17" s="9"/>
    </row>
    <row r="18" spans="1:14" x14ac:dyDescent="0.2">
      <c r="A18" s="9"/>
      <c r="B18" s="80" t="s">
        <v>83</v>
      </c>
      <c r="C18" s="111" t="s">
        <v>84</v>
      </c>
      <c r="D18" s="89">
        <v>1896.9860000000001</v>
      </c>
      <c r="E18" s="89">
        <v>4437.1610000000001</v>
      </c>
      <c r="F18" s="89">
        <v>2016.1110000000001</v>
      </c>
      <c r="G18" s="91">
        <v>0</v>
      </c>
      <c r="H18" s="89">
        <v>721.67100000000005</v>
      </c>
      <c r="I18" s="89">
        <v>117.19199999999999</v>
      </c>
      <c r="J18" s="89">
        <v>633.58299999999997</v>
      </c>
      <c r="K18" s="89">
        <v>4088.444</v>
      </c>
      <c r="L18" s="92">
        <f t="shared" si="2"/>
        <v>13911.147999999999</v>
      </c>
      <c r="M18" s="9"/>
    </row>
    <row r="19" spans="1:14" x14ac:dyDescent="0.2">
      <c r="A19" s="9"/>
      <c r="B19" s="80" t="s">
        <v>85</v>
      </c>
      <c r="C19" s="111" t="s">
        <v>86</v>
      </c>
      <c r="D19" s="89">
        <v>44.1</v>
      </c>
      <c r="E19" s="89">
        <v>201.20599999999999</v>
      </c>
      <c r="F19" s="89">
        <v>797.37199999999996</v>
      </c>
      <c r="G19" s="91">
        <v>0</v>
      </c>
      <c r="H19" s="89">
        <v>63.085999999999999</v>
      </c>
      <c r="I19" s="89">
        <v>1E-3</v>
      </c>
      <c r="J19" s="89">
        <v>15.574</v>
      </c>
      <c r="K19" s="89">
        <v>19.386000000000003</v>
      </c>
      <c r="L19" s="92">
        <f t="shared" si="2"/>
        <v>1140.7249999999999</v>
      </c>
      <c r="M19" s="9"/>
    </row>
    <row r="20" spans="1:14" ht="15" x14ac:dyDescent="0.25">
      <c r="A20" s="9"/>
      <c r="B20" s="80" t="s">
        <v>87</v>
      </c>
      <c r="C20" s="111" t="s">
        <v>88</v>
      </c>
      <c r="D20" s="89">
        <v>0.55600000000000005</v>
      </c>
      <c r="E20" s="89">
        <v>21.248999999999999</v>
      </c>
      <c r="F20" s="94">
        <v>14851.249</v>
      </c>
      <c r="G20" s="91">
        <v>0</v>
      </c>
      <c r="H20" s="89">
        <v>130.685</v>
      </c>
      <c r="I20" s="89">
        <v>0</v>
      </c>
      <c r="J20" s="89">
        <v>0</v>
      </c>
      <c r="K20" s="89">
        <v>265.97199999999998</v>
      </c>
      <c r="L20" s="92">
        <f t="shared" si="2"/>
        <v>15269.710999999999</v>
      </c>
      <c r="M20" s="9"/>
    </row>
    <row r="21" spans="1:14" x14ac:dyDescent="0.2">
      <c r="A21" s="9"/>
      <c r="B21" s="80" t="s">
        <v>89</v>
      </c>
      <c r="C21" s="112" t="s">
        <v>90</v>
      </c>
      <c r="D21" s="90">
        <f>IF((SUM(D16:D20,D22:D23)-SUM(D10:D12))&gt;D8,0,(D8-SUM(D16:D20,D22:D23)+SUM(D10:D12)))</f>
        <v>1189.2309999999979</v>
      </c>
      <c r="E21" s="90">
        <f>IF((SUM(E16:E20,E22:E23)-SUM(E10:E12))&gt;E8,0,(E8-SUM(E16:E20,E22:E23)+SUM(E10:E12)))</f>
        <v>0</v>
      </c>
      <c r="F21" s="90">
        <v>392.53200000000402</v>
      </c>
      <c r="G21" s="90">
        <f>IF((SUM(G16:G20,G22:G23)-SUM(G10:G12))&gt;G8,0,(G8-SUM(G16:G20,G22:G23)+SUM(G10:G12)))</f>
        <v>0</v>
      </c>
      <c r="H21" s="90">
        <f>IF((SUM(H16:H20,H22:H23)-SUM(H10:H12))&gt;H8,0,(H8-SUM(H16:H20,H22:H23)+SUM(H10:H12)))</f>
        <v>1390.2580000000007</v>
      </c>
      <c r="I21" s="90">
        <f>IF((SUM(I16:I20,I22:I23)-SUM(I10:I12))&gt;I8,0,(I8-SUM(I16:I20,I22:I23)+SUM(I10:I12)))</f>
        <v>0</v>
      </c>
      <c r="J21" s="90">
        <f>IF((SUM(J16:J20,J22:J23)-SUM(J10:J12))&gt;J8,0,(J8-SUM(J16:J20,J22:J23)+SUM(J10:J12)))</f>
        <v>627.03800000000001</v>
      </c>
      <c r="K21" s="90">
        <v>650</v>
      </c>
      <c r="L21" s="93">
        <f t="shared" si="2"/>
        <v>4249.0590000000029</v>
      </c>
      <c r="M21" s="9"/>
    </row>
    <row r="22" spans="1:14" x14ac:dyDescent="0.2">
      <c r="A22" s="9"/>
      <c r="B22" s="80" t="s">
        <v>109</v>
      </c>
      <c r="C22" s="111" t="s">
        <v>91</v>
      </c>
      <c r="D22" s="89">
        <v>52.453000000000003</v>
      </c>
      <c r="E22" s="89">
        <v>633.82299999999998</v>
      </c>
      <c r="F22" s="89">
        <v>4072.5079999999998</v>
      </c>
      <c r="G22" s="91"/>
      <c r="H22" s="89">
        <v>0</v>
      </c>
      <c r="I22" s="89">
        <v>0</v>
      </c>
      <c r="J22" s="89">
        <v>0</v>
      </c>
      <c r="K22" s="89">
        <v>0</v>
      </c>
      <c r="L22" s="92">
        <f t="shared" si="2"/>
        <v>4758.7839999999997</v>
      </c>
      <c r="M22" s="9"/>
    </row>
    <row r="23" spans="1:14" x14ac:dyDescent="0.2">
      <c r="A23" s="9"/>
      <c r="B23" s="80" t="s">
        <v>110</v>
      </c>
      <c r="C23" s="111" t="s">
        <v>92</v>
      </c>
      <c r="D23" s="89">
        <v>0</v>
      </c>
      <c r="E23" s="89">
        <v>0</v>
      </c>
      <c r="F23" s="89">
        <v>2111.0920000000001</v>
      </c>
      <c r="G23" s="91"/>
      <c r="H23" s="89">
        <v>0</v>
      </c>
      <c r="I23" s="89">
        <v>0</v>
      </c>
      <c r="J23" s="89">
        <v>0</v>
      </c>
      <c r="K23" s="89">
        <v>0</v>
      </c>
      <c r="L23" s="92">
        <f t="shared" si="2"/>
        <v>2111.0920000000001</v>
      </c>
      <c r="M23" s="9"/>
    </row>
    <row r="24" spans="1:14" ht="15" x14ac:dyDescent="0.25">
      <c r="A24" s="9"/>
      <c r="B24" s="175" t="s">
        <v>112</v>
      </c>
      <c r="C24" s="102" t="s">
        <v>213</v>
      </c>
      <c r="D24" s="100">
        <f t="shared" ref="D24:L24" si="3">SUM(D16:D23)</f>
        <v>3596.8059999999982</v>
      </c>
      <c r="E24" s="99">
        <f t="shared" si="3"/>
        <v>12204.962</v>
      </c>
      <c r="F24" s="99">
        <f t="shared" si="3"/>
        <v>27384.967000000001</v>
      </c>
      <c r="G24" s="99">
        <f t="shared" si="3"/>
        <v>0</v>
      </c>
      <c r="H24" s="99">
        <f t="shared" si="3"/>
        <v>3667.0330000000004</v>
      </c>
      <c r="I24" s="99">
        <f t="shared" si="3"/>
        <v>118.41</v>
      </c>
      <c r="J24" s="99">
        <f t="shared" si="3"/>
        <v>2396.326</v>
      </c>
      <c r="K24" s="100">
        <f t="shared" si="3"/>
        <v>10422.934999999999</v>
      </c>
      <c r="L24" s="101">
        <f t="shared" si="3"/>
        <v>59791.438999999998</v>
      </c>
      <c r="M24" s="9"/>
      <c r="N24" s="203"/>
    </row>
    <row r="25" spans="1:14" x14ac:dyDescent="0.2">
      <c r="A25" s="9"/>
      <c r="D25" s="14"/>
      <c r="F25" s="14"/>
      <c r="G25" s="14"/>
      <c r="H25" s="14"/>
      <c r="I25" s="14"/>
      <c r="J25" s="14"/>
      <c r="K25" s="14"/>
      <c r="L25" s="14"/>
      <c r="M25" s="9"/>
    </row>
    <row r="26" spans="1:14" x14ac:dyDescent="0.2">
      <c r="A26" s="9"/>
      <c r="D26" s="14"/>
      <c r="F26" s="14"/>
      <c r="G26" s="14"/>
      <c r="H26" s="14"/>
      <c r="I26" s="14"/>
      <c r="J26" s="14"/>
      <c r="K26" s="14"/>
      <c r="L26" s="14"/>
      <c r="M26" s="14"/>
    </row>
    <row r="27" spans="1:14" ht="15" x14ac:dyDescent="0.25">
      <c r="A27" s="9"/>
      <c r="C27" s="94" t="s">
        <v>196</v>
      </c>
      <c r="D27" s="94"/>
      <c r="E27" s="94"/>
      <c r="F27" s="14"/>
      <c r="G27" s="14"/>
      <c r="H27" s="14"/>
      <c r="I27" s="14"/>
      <c r="J27" s="14"/>
      <c r="K27" s="14"/>
      <c r="L27" s="14"/>
      <c r="M27" s="14"/>
    </row>
    <row r="28" spans="1:14" x14ac:dyDescent="0.2">
      <c r="A28" s="9"/>
      <c r="D28" s="14"/>
      <c r="F28" s="14"/>
      <c r="G28" s="14"/>
      <c r="H28" s="14"/>
      <c r="I28" s="14"/>
      <c r="J28" s="14"/>
      <c r="K28" s="14"/>
      <c r="L28" s="14"/>
      <c r="M28" s="14"/>
    </row>
    <row r="29" spans="1:14" x14ac:dyDescent="0.2">
      <c r="A29" s="9"/>
      <c r="D29" s="14"/>
      <c r="F29" s="14"/>
      <c r="G29" s="14"/>
      <c r="H29" s="14"/>
      <c r="I29" s="14"/>
      <c r="J29" s="14"/>
      <c r="K29" s="14"/>
      <c r="L29" s="14"/>
      <c r="M29" s="14"/>
    </row>
    <row r="30" spans="1:14" x14ac:dyDescent="0.2">
      <c r="A30" s="9"/>
      <c r="D30" s="14"/>
      <c r="F30" s="14"/>
      <c r="G30" s="14"/>
      <c r="H30" s="14"/>
      <c r="I30" s="14"/>
      <c r="J30" s="14"/>
      <c r="K30" s="14"/>
      <c r="L30" s="14"/>
      <c r="M30" s="14"/>
    </row>
    <row r="31" spans="1:14" x14ac:dyDescent="0.2">
      <c r="A31" s="9"/>
      <c r="D31" s="14"/>
      <c r="F31" s="14"/>
      <c r="G31" s="14"/>
      <c r="H31" s="14"/>
      <c r="I31" s="14"/>
      <c r="J31" s="14"/>
      <c r="K31" s="14"/>
      <c r="L31" s="14"/>
      <c r="M31" s="14"/>
    </row>
    <row r="32" spans="1:14" x14ac:dyDescent="0.2">
      <c r="A32" s="9"/>
      <c r="D32" s="14"/>
      <c r="F32" s="14"/>
      <c r="G32" s="14"/>
      <c r="H32" s="14"/>
      <c r="I32" s="14"/>
      <c r="J32" s="14"/>
      <c r="K32" s="14"/>
      <c r="L32" s="14"/>
      <c r="M32" s="14"/>
    </row>
    <row r="33" spans="1:14" x14ac:dyDescent="0.2">
      <c r="A33" s="9"/>
      <c r="D33" s="14"/>
      <c r="F33" s="14"/>
      <c r="G33" s="14"/>
      <c r="H33" s="14"/>
      <c r="I33" s="14"/>
      <c r="J33" s="14"/>
      <c r="K33" s="14"/>
      <c r="L33" s="14"/>
      <c r="M33" s="14"/>
    </row>
    <row r="34" spans="1:14" x14ac:dyDescent="0.2">
      <c r="A34" s="9"/>
      <c r="D34" s="14"/>
      <c r="F34" s="14"/>
      <c r="G34" s="14"/>
      <c r="H34" s="14"/>
      <c r="I34" s="14"/>
      <c r="J34" s="14"/>
      <c r="K34" s="14"/>
      <c r="L34" s="14"/>
      <c r="M34" s="14"/>
    </row>
    <row r="35" spans="1:14" x14ac:dyDescent="0.2">
      <c r="A35" s="9"/>
      <c r="D35" s="14"/>
      <c r="F35" s="14"/>
      <c r="G35" s="14"/>
      <c r="H35" s="14"/>
      <c r="I35" s="14"/>
      <c r="J35" s="14"/>
      <c r="K35" s="14"/>
      <c r="L35" s="14"/>
      <c r="M35" s="14"/>
    </row>
    <row r="36" spans="1:14" x14ac:dyDescent="0.2">
      <c r="A36" s="9"/>
      <c r="D36" s="37" t="s">
        <v>47</v>
      </c>
      <c r="E36" s="37" t="s">
        <v>48</v>
      </c>
      <c r="F36" s="37" t="s">
        <v>49</v>
      </c>
      <c r="G36" s="42"/>
      <c r="H36" s="42"/>
      <c r="I36" s="42"/>
      <c r="J36" s="42"/>
      <c r="K36" s="42"/>
      <c r="L36" s="42"/>
      <c r="M36" s="42"/>
    </row>
    <row r="37" spans="1:14" x14ac:dyDescent="0.2">
      <c r="A37" s="9"/>
      <c r="C37" s="38" t="s">
        <v>154</v>
      </c>
      <c r="D37" s="39">
        <v>0.75</v>
      </c>
      <c r="E37" s="39">
        <v>0.5</v>
      </c>
      <c r="F37" s="39">
        <v>0.8</v>
      </c>
      <c r="G37" s="43"/>
      <c r="H37" s="43"/>
      <c r="I37" s="43"/>
      <c r="J37" s="43"/>
      <c r="K37" s="43"/>
      <c r="L37" s="43"/>
      <c r="M37" s="43"/>
    </row>
    <row r="38" spans="1:14" x14ac:dyDescent="0.2">
      <c r="A38" s="9"/>
      <c r="C38" s="40" t="s">
        <v>155</v>
      </c>
      <c r="D38" s="41">
        <v>0.25</v>
      </c>
      <c r="E38" s="41">
        <v>0.5</v>
      </c>
      <c r="F38" s="41">
        <v>0.2</v>
      </c>
      <c r="G38" s="43"/>
      <c r="H38" s="43"/>
      <c r="I38" s="43"/>
      <c r="J38" s="43"/>
      <c r="K38" s="43"/>
      <c r="L38" s="43"/>
      <c r="M38" s="43"/>
    </row>
    <row r="39" spans="1:14" x14ac:dyDescent="0.2">
      <c r="A39" s="9"/>
      <c r="C39" s="42"/>
      <c r="D39" s="43"/>
    </row>
    <row r="40" spans="1:14" x14ac:dyDescent="0.2">
      <c r="A40" s="9"/>
      <c r="C40" s="42"/>
      <c r="D40" s="43"/>
    </row>
    <row r="41" spans="1:14" ht="25.5" x14ac:dyDescent="0.2">
      <c r="A41" s="9"/>
      <c r="B41" s="47" t="s">
        <v>130</v>
      </c>
      <c r="C41" s="121" t="s">
        <v>157</v>
      </c>
      <c r="D41" s="79" t="s">
        <v>55</v>
      </c>
      <c r="E41" s="79" t="s">
        <v>56</v>
      </c>
      <c r="F41" s="79" t="s">
        <v>190</v>
      </c>
      <c r="G41" s="79" t="s">
        <v>57</v>
      </c>
      <c r="H41" s="79" t="s">
        <v>58</v>
      </c>
      <c r="I41" s="79" t="s">
        <v>59</v>
      </c>
      <c r="J41" s="79" t="s">
        <v>60</v>
      </c>
      <c r="K41" s="79" t="s">
        <v>111</v>
      </c>
      <c r="L41" s="48"/>
    </row>
    <row r="42" spans="1:14" x14ac:dyDescent="0.2">
      <c r="A42" s="9"/>
      <c r="B42" s="80" t="s">
        <v>79</v>
      </c>
      <c r="C42" s="110" t="s">
        <v>131</v>
      </c>
      <c r="D42" s="113"/>
      <c r="E42" s="115"/>
      <c r="F42" s="115"/>
      <c r="G42" s="115"/>
      <c r="H42" s="115"/>
      <c r="I42" s="115"/>
      <c r="J42" s="115"/>
      <c r="K42" s="116"/>
      <c r="L42" s="11"/>
      <c r="N42" s="110" t="s">
        <v>134</v>
      </c>
    </row>
    <row r="43" spans="1:14" x14ac:dyDescent="0.2">
      <c r="A43" s="9"/>
      <c r="B43" s="80" t="s">
        <v>79</v>
      </c>
      <c r="C43" s="111" t="s">
        <v>132</v>
      </c>
      <c r="D43" s="114"/>
      <c r="E43" s="81"/>
      <c r="F43" s="81"/>
      <c r="G43" s="81"/>
      <c r="H43" s="81"/>
      <c r="I43" s="81"/>
      <c r="J43" s="81"/>
      <c r="K43" s="117"/>
      <c r="L43" s="11"/>
      <c r="N43" s="111" t="s">
        <v>135</v>
      </c>
    </row>
    <row r="44" spans="1:14" ht="15" x14ac:dyDescent="0.25">
      <c r="A44" s="9"/>
      <c r="B44" s="80" t="s">
        <v>79</v>
      </c>
      <c r="C44" s="111" t="s">
        <v>133</v>
      </c>
      <c r="D44" s="114"/>
      <c r="E44" s="94">
        <v>1</v>
      </c>
      <c r="F44" s="81"/>
      <c r="G44" s="81"/>
      <c r="H44" s="81"/>
      <c r="I44" s="81"/>
      <c r="J44" s="81"/>
      <c r="K44" s="117"/>
      <c r="L44" s="11"/>
      <c r="N44" s="111" t="s">
        <v>90</v>
      </c>
    </row>
    <row r="45" spans="1:14" x14ac:dyDescent="0.2">
      <c r="A45" s="9"/>
      <c r="B45" s="80"/>
      <c r="C45" s="111"/>
      <c r="D45" s="114"/>
      <c r="E45" s="81"/>
      <c r="F45" s="81"/>
      <c r="G45" s="81"/>
      <c r="H45" s="81"/>
      <c r="I45" s="81"/>
      <c r="J45" s="81"/>
      <c r="K45" s="117"/>
      <c r="L45" s="11"/>
      <c r="N45" s="111"/>
    </row>
    <row r="46" spans="1:14" x14ac:dyDescent="0.2">
      <c r="A46" s="9"/>
      <c r="B46" s="80" t="s">
        <v>81</v>
      </c>
      <c r="C46" s="111" t="s">
        <v>136</v>
      </c>
      <c r="D46" s="114"/>
      <c r="E46" s="81"/>
      <c r="F46" s="81"/>
      <c r="G46" s="81"/>
      <c r="H46" s="81"/>
      <c r="I46" s="81"/>
      <c r="J46" s="81"/>
      <c r="K46" s="117"/>
      <c r="L46" s="11"/>
      <c r="N46" s="111" t="s">
        <v>138</v>
      </c>
    </row>
    <row r="47" spans="1:14" x14ac:dyDescent="0.2">
      <c r="A47" s="9"/>
      <c r="B47" s="80" t="s">
        <v>81</v>
      </c>
      <c r="C47" s="111" t="s">
        <v>137</v>
      </c>
      <c r="D47" s="114"/>
      <c r="E47" s="81"/>
      <c r="F47" s="81"/>
      <c r="G47" s="81"/>
      <c r="H47" s="81"/>
      <c r="I47" s="81"/>
      <c r="J47" s="81"/>
      <c r="K47" s="117"/>
      <c r="L47" s="11"/>
      <c r="N47" s="111" t="s">
        <v>139</v>
      </c>
    </row>
    <row r="48" spans="1:14" x14ac:dyDescent="0.2">
      <c r="A48" s="9"/>
      <c r="B48" s="80"/>
      <c r="C48" s="111"/>
      <c r="D48" s="114"/>
      <c r="E48" s="81"/>
      <c r="F48" s="81"/>
      <c r="G48" s="81"/>
      <c r="H48" s="81"/>
      <c r="I48" s="81"/>
      <c r="J48" s="81"/>
      <c r="K48" s="117"/>
      <c r="L48" s="11"/>
      <c r="N48" s="111"/>
    </row>
    <row r="49" spans="1:14" ht="15" x14ac:dyDescent="0.25">
      <c r="A49" s="9"/>
      <c r="B49" s="80" t="s">
        <v>87</v>
      </c>
      <c r="C49" s="112" t="s">
        <v>136</v>
      </c>
      <c r="D49" s="118"/>
      <c r="E49" s="88"/>
      <c r="F49" s="95">
        <v>1</v>
      </c>
      <c r="G49" s="88"/>
      <c r="H49" s="88"/>
      <c r="I49" s="88"/>
      <c r="J49" s="88"/>
      <c r="K49" s="119"/>
      <c r="L49" s="11"/>
      <c r="N49" s="112" t="s">
        <v>138</v>
      </c>
    </row>
    <row r="50" spans="1:14" x14ac:dyDescent="0.2">
      <c r="A50" s="9"/>
    </row>
    <row r="51" spans="1:14" x14ac:dyDescent="0.2">
      <c r="A51" s="9"/>
    </row>
    <row r="52" spans="1:14" x14ac:dyDescent="0.2">
      <c r="A52" s="9"/>
      <c r="C52" s="125" t="s">
        <v>144</v>
      </c>
      <c r="D52" s="127" t="s">
        <v>145</v>
      </c>
      <c r="E52" s="126" t="s">
        <v>146</v>
      </c>
    </row>
    <row r="53" spans="1:14" x14ac:dyDescent="0.2">
      <c r="A53" s="9"/>
      <c r="B53" s="36" t="s">
        <v>158</v>
      </c>
      <c r="C53" s="120" t="s">
        <v>147</v>
      </c>
      <c r="D53" s="120" t="s">
        <v>148</v>
      </c>
      <c r="E53" s="123" t="s">
        <v>146</v>
      </c>
    </row>
    <row r="54" spans="1:14" x14ac:dyDescent="0.2">
      <c r="A54" s="9"/>
      <c r="B54" s="80" t="s">
        <v>79</v>
      </c>
      <c r="C54" s="122">
        <v>1</v>
      </c>
      <c r="D54" s="122"/>
      <c r="E54" s="122"/>
    </row>
    <row r="55" spans="1:14" x14ac:dyDescent="0.2">
      <c r="A55" s="9"/>
      <c r="B55" s="80" t="s">
        <v>87</v>
      </c>
      <c r="C55" s="122">
        <v>1</v>
      </c>
      <c r="D55" s="122"/>
      <c r="E55" s="122"/>
    </row>
    <row r="56" spans="1:14" x14ac:dyDescent="0.2">
      <c r="A56" s="9"/>
      <c r="B56" s="80" t="s">
        <v>89</v>
      </c>
      <c r="C56" s="122">
        <v>1</v>
      </c>
      <c r="D56" s="122"/>
      <c r="E56" s="122"/>
    </row>
    <row r="57" spans="1:14" x14ac:dyDescent="0.2">
      <c r="A57" s="9"/>
      <c r="B57" s="80" t="s">
        <v>54</v>
      </c>
      <c r="C57" s="124">
        <v>1</v>
      </c>
      <c r="D57" s="124"/>
      <c r="E57" s="124"/>
    </row>
  </sheetData>
  <pageMargins left="0.7" right="0.7" top="0.75" bottom="0.75" header="0.3" footer="0.3"/>
  <drawing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T28"/>
  <sheetViews>
    <sheetView zoomScaleNormal="100" workbookViewId="0">
      <selection activeCell="J10" sqref="J10"/>
    </sheetView>
  </sheetViews>
  <sheetFormatPr defaultColWidth="8.85546875" defaultRowHeight="12.75" x14ac:dyDescent="0.2"/>
  <cols>
    <col min="1" max="1" width="3" style="49" customWidth="1"/>
    <col min="2" max="2" width="12.140625" style="49" bestFit="1" customWidth="1"/>
    <col min="3" max="3" width="15" style="49" customWidth="1"/>
    <col min="4" max="4" width="13.85546875" style="49" bestFit="1" customWidth="1"/>
    <col min="5" max="5" width="13.7109375" style="49" customWidth="1"/>
    <col min="6" max="6" width="13.140625" style="49" bestFit="1" customWidth="1"/>
    <col min="7" max="7" width="7.5703125" style="49" customWidth="1"/>
    <col min="8" max="8" width="9.140625" style="49" bestFit="1" customWidth="1"/>
    <col min="9" max="9" width="9.42578125" style="49" customWidth="1"/>
    <col min="10" max="10" width="8.140625" style="49" customWidth="1"/>
    <col min="11" max="11" width="2.7109375" style="49" customWidth="1"/>
    <col min="12" max="12" width="12.7109375" style="49" bestFit="1" customWidth="1"/>
    <col min="13" max="13" width="7.140625" style="49" customWidth="1"/>
    <col min="14" max="14" width="11.42578125" style="49" bestFit="1" customWidth="1"/>
    <col min="15" max="15" width="41.5703125" style="49" bestFit="1" customWidth="1"/>
    <col min="16" max="16" width="6.28515625" style="49" customWidth="1"/>
    <col min="17" max="17" width="11.7109375" style="49" customWidth="1"/>
    <col min="18" max="18" width="14.28515625" style="49" customWidth="1"/>
    <col min="19" max="19" width="13.7109375" style="49" bestFit="1" customWidth="1"/>
    <col min="20" max="20" width="8.42578125" style="49" customWidth="1"/>
    <col min="21" max="16384" width="8.85546875" style="49"/>
  </cols>
  <sheetData>
    <row r="1" spans="2:20" ht="15" x14ac:dyDescent="0.25">
      <c r="B1" s="17" t="s">
        <v>94</v>
      </c>
      <c r="C1" s="17" t="s">
        <v>96</v>
      </c>
      <c r="D1" s="17" t="s">
        <v>152</v>
      </c>
      <c r="E1" s="17" t="s">
        <v>98</v>
      </c>
      <c r="F1" s="17" t="s">
        <v>99</v>
      </c>
      <c r="G1" s="180"/>
      <c r="H1" s="17" t="s">
        <v>126</v>
      </c>
    </row>
    <row r="2" spans="2:20" ht="31.5" x14ac:dyDescent="0.25">
      <c r="B2" s="34" t="str">
        <f>EnergyBalance!B8</f>
        <v>TPS</v>
      </c>
      <c r="C2" s="34" t="str">
        <f>EnergyBalance!C8</f>
        <v>Total Primary Supply</v>
      </c>
      <c r="D2" s="34" t="str">
        <f>"Demand Technology"</f>
        <v>Demand Technology</v>
      </c>
      <c r="E2" s="20" t="str">
        <f>EnergyBalance!R2</f>
        <v>PJ</v>
      </c>
      <c r="F2" s="20" t="str">
        <f>EnergyBalance!Q2</f>
        <v>M€2005</v>
      </c>
      <c r="G2" s="18"/>
      <c r="H2" s="20" t="s">
        <v>127</v>
      </c>
      <c r="L2" s="220" t="s">
        <v>14</v>
      </c>
      <c r="M2" s="220"/>
      <c r="N2" s="218"/>
      <c r="O2" s="218"/>
      <c r="P2" s="218"/>
      <c r="Q2" s="218"/>
      <c r="R2" s="218"/>
      <c r="S2" s="218"/>
      <c r="T2" s="218"/>
    </row>
    <row r="3" spans="2:20" x14ac:dyDescent="0.2">
      <c r="G3" s="51"/>
      <c r="L3" s="221" t="s">
        <v>7</v>
      </c>
      <c r="M3" s="222" t="s">
        <v>30</v>
      </c>
      <c r="N3" s="221" t="s">
        <v>0</v>
      </c>
      <c r="O3" s="221" t="s">
        <v>3</v>
      </c>
      <c r="P3" s="221" t="s">
        <v>4</v>
      </c>
      <c r="Q3" s="221" t="s">
        <v>8</v>
      </c>
      <c r="R3" s="221" t="s">
        <v>9</v>
      </c>
      <c r="S3" s="221" t="s">
        <v>10</v>
      </c>
      <c r="T3" s="221" t="s">
        <v>12</v>
      </c>
    </row>
    <row r="4" spans="2:20" s="51" customFormat="1" ht="24" thickBot="1" x14ac:dyDescent="0.3">
      <c r="B4" s="18"/>
      <c r="C4" s="18"/>
      <c r="D4" s="18"/>
      <c r="E4" s="18"/>
      <c r="F4" s="18"/>
      <c r="L4" s="211" t="s">
        <v>40</v>
      </c>
      <c r="M4" s="211" t="s">
        <v>31</v>
      </c>
      <c r="N4" s="211" t="s">
        <v>26</v>
      </c>
      <c r="O4" s="211" t="s">
        <v>27</v>
      </c>
      <c r="P4" s="211" t="s">
        <v>4</v>
      </c>
      <c r="Q4" s="211" t="s">
        <v>43</v>
      </c>
      <c r="R4" s="211" t="s">
        <v>44</v>
      </c>
      <c r="S4" s="211" t="s">
        <v>28</v>
      </c>
      <c r="T4" s="211" t="s">
        <v>29</v>
      </c>
    </row>
    <row r="5" spans="2:20" s="51" customFormat="1" ht="15.75" x14ac:dyDescent="0.25">
      <c r="B5" s="18"/>
      <c r="C5" s="18"/>
      <c r="D5" s="18"/>
      <c r="E5" s="18"/>
      <c r="F5" s="18"/>
      <c r="L5" s="223" t="s">
        <v>105</v>
      </c>
      <c r="M5" s="224"/>
      <c r="N5" s="223" t="str">
        <f>B2&amp;EnergyBalance!D2</f>
        <v>TPSCOA</v>
      </c>
      <c r="O5" s="223" t="str">
        <f>LEFT($D$2,6)&amp;" "&amp;$C$2&amp;" - "&amp;EnergyBalance!D2</f>
        <v>Demand Total Primary Supply - COA</v>
      </c>
      <c r="P5" s="223" t="str">
        <f>$E$2</f>
        <v>PJ</v>
      </c>
      <c r="Q5" s="223"/>
      <c r="R5" s="223"/>
      <c r="S5" s="223"/>
      <c r="T5" s="223"/>
    </row>
    <row r="8" spans="2:20" x14ac:dyDescent="0.2">
      <c r="D8" s="7" t="s">
        <v>13</v>
      </c>
      <c r="E8" s="7"/>
      <c r="F8" s="7"/>
      <c r="H8" s="7"/>
      <c r="I8" s="8"/>
      <c r="J8" s="6"/>
      <c r="L8" s="220" t="s">
        <v>15</v>
      </c>
      <c r="M8" s="220"/>
      <c r="N8" s="219"/>
      <c r="O8" s="219"/>
      <c r="P8" s="219"/>
      <c r="Q8" s="219"/>
      <c r="R8" s="219"/>
      <c r="S8" s="219"/>
      <c r="T8" s="219"/>
    </row>
    <row r="9" spans="2:20" x14ac:dyDescent="0.2">
      <c r="B9" s="29" t="s">
        <v>1</v>
      </c>
      <c r="C9" s="29" t="s">
        <v>5</v>
      </c>
      <c r="D9" s="29" t="s">
        <v>6</v>
      </c>
      <c r="E9" s="160" t="s">
        <v>208</v>
      </c>
      <c r="F9" s="159" t="s">
        <v>108</v>
      </c>
      <c r="G9" s="159" t="s">
        <v>124</v>
      </c>
      <c r="H9" s="159" t="s">
        <v>106</v>
      </c>
      <c r="I9" s="159" t="s">
        <v>107</v>
      </c>
      <c r="J9" s="160" t="s">
        <v>101</v>
      </c>
      <c r="L9" s="221" t="s">
        <v>11</v>
      </c>
      <c r="M9" s="222" t="s">
        <v>30</v>
      </c>
      <c r="N9" s="221" t="s">
        <v>1</v>
      </c>
      <c r="O9" s="221" t="s">
        <v>2</v>
      </c>
      <c r="P9" s="221" t="s">
        <v>16</v>
      </c>
      <c r="Q9" s="221" t="s">
        <v>17</v>
      </c>
      <c r="R9" s="221" t="s">
        <v>18</v>
      </c>
      <c r="S9" s="221" t="s">
        <v>19</v>
      </c>
      <c r="T9" s="221" t="s">
        <v>20</v>
      </c>
    </row>
    <row r="10" spans="2:20" ht="23.25" thickBot="1" x14ac:dyDescent="0.25">
      <c r="B10" s="27" t="s">
        <v>42</v>
      </c>
      <c r="C10" s="27" t="s">
        <v>32</v>
      </c>
      <c r="D10" s="27" t="s">
        <v>33</v>
      </c>
      <c r="E10" s="27" t="s">
        <v>34</v>
      </c>
      <c r="F10" s="27" t="s">
        <v>113</v>
      </c>
      <c r="G10" s="181" t="s">
        <v>125</v>
      </c>
      <c r="H10" s="27" t="s">
        <v>122</v>
      </c>
      <c r="I10" s="27" t="s">
        <v>121</v>
      </c>
      <c r="J10" s="27" t="s">
        <v>215</v>
      </c>
      <c r="L10" s="211" t="s">
        <v>41</v>
      </c>
      <c r="M10" s="211" t="s">
        <v>31</v>
      </c>
      <c r="N10" s="211" t="s">
        <v>21</v>
      </c>
      <c r="O10" s="211" t="s">
        <v>22</v>
      </c>
      <c r="P10" s="211" t="s">
        <v>23</v>
      </c>
      <c r="Q10" s="211" t="s">
        <v>24</v>
      </c>
      <c r="R10" s="211" t="s">
        <v>46</v>
      </c>
      <c r="S10" s="211" t="s">
        <v>45</v>
      </c>
      <c r="T10" s="211" t="s">
        <v>25</v>
      </c>
    </row>
    <row r="11" spans="2:20" ht="13.5" thickBot="1" x14ac:dyDescent="0.25">
      <c r="B11" s="26" t="s">
        <v>114</v>
      </c>
      <c r="C11" s="26"/>
      <c r="D11" s="26"/>
      <c r="E11" s="24" t="str">
        <f>E2&amp;"a"</f>
        <v>PJa</v>
      </c>
      <c r="F11" s="24"/>
      <c r="G11" s="163"/>
      <c r="H11" s="24" t="str">
        <f>$F$2&amp;"/"&amp;$E$2</f>
        <v>M€2005/PJ</v>
      </c>
      <c r="I11" s="24" t="str">
        <f>$F$2&amp;"/"&amp;$E$2&amp;"a"</f>
        <v>M€2005/PJa</v>
      </c>
      <c r="J11" s="24" t="s">
        <v>115</v>
      </c>
      <c r="L11" s="211" t="s">
        <v>103</v>
      </c>
      <c r="M11" s="211"/>
      <c r="N11" s="211"/>
      <c r="O11" s="211"/>
      <c r="P11" s="211"/>
      <c r="Q11" s="211"/>
      <c r="R11" s="211"/>
      <c r="S11" s="211"/>
      <c r="T11" s="211"/>
    </row>
    <row r="12" spans="2:20" x14ac:dyDescent="0.2">
      <c r="B12" s="49" t="str">
        <f>N12</f>
        <v>DTPSCOA</v>
      </c>
      <c r="C12" s="49" t="str">
        <f>RIGHT(B12,3)</f>
        <v>COA</v>
      </c>
      <c r="D12" s="49" t="str">
        <f>$N$5</f>
        <v>TPSCOA</v>
      </c>
      <c r="E12" s="51"/>
      <c r="F12" s="140">
        <v>1</v>
      </c>
      <c r="G12" s="140">
        <v>0.95</v>
      </c>
      <c r="H12" s="139">
        <v>10</v>
      </c>
      <c r="I12" s="140">
        <f>H12*0.02</f>
        <v>0.2</v>
      </c>
      <c r="J12" s="139">
        <v>20</v>
      </c>
      <c r="L12" s="223" t="s">
        <v>123</v>
      </c>
      <c r="M12" s="224"/>
      <c r="N12" s="224" t="str">
        <f>LEFT(L12,1)&amp;B2&amp;RIGHT(O12,3)</f>
        <v>DTPSCOA</v>
      </c>
      <c r="O12" s="225" t="str">
        <f>$D$2&amp;" "&amp;$C$2&amp;" - "&amp;EnergyBalance!D2</f>
        <v>Demand Technology Total Primary Supply - COA</v>
      </c>
      <c r="P12" s="224" t="str">
        <f>$E$2</f>
        <v>PJ</v>
      </c>
      <c r="Q12" s="224" t="str">
        <f>$E$2&amp;"a"</f>
        <v>PJa</v>
      </c>
      <c r="R12" s="224"/>
      <c r="S12" s="224"/>
      <c r="T12" s="224"/>
    </row>
    <row r="13" spans="2:20" x14ac:dyDescent="0.2">
      <c r="D13" s="51"/>
      <c r="E13" s="156"/>
      <c r="F13" s="171"/>
      <c r="G13" s="171"/>
      <c r="H13" s="51"/>
      <c r="I13" s="171"/>
      <c r="J13" s="51"/>
      <c r="L13" s="61"/>
      <c r="M13" s="51"/>
      <c r="N13" s="51"/>
      <c r="O13" s="170"/>
      <c r="P13" s="51"/>
      <c r="Q13" s="51"/>
      <c r="R13" s="51"/>
      <c r="S13" s="51"/>
      <c r="T13" s="51"/>
    </row>
    <row r="14" spans="2:20" x14ac:dyDescent="0.2">
      <c r="B14" s="53"/>
      <c r="D14" s="53"/>
      <c r="E14" s="151"/>
      <c r="F14" s="172"/>
      <c r="G14" s="172"/>
      <c r="H14" s="52"/>
      <c r="I14" s="172"/>
      <c r="J14" s="52"/>
      <c r="L14" s="51"/>
      <c r="M14" s="51"/>
      <c r="N14" s="51"/>
      <c r="O14" s="173"/>
      <c r="P14" s="51"/>
      <c r="Q14" s="51"/>
      <c r="R14" s="51"/>
      <c r="S14" s="51"/>
      <c r="T14" s="51"/>
    </row>
    <row r="15" spans="2:20" x14ac:dyDescent="0.2">
      <c r="B15" s="53"/>
      <c r="E15" s="151"/>
      <c r="F15" s="172"/>
      <c r="G15" s="172"/>
      <c r="H15" s="52"/>
      <c r="I15" s="172"/>
      <c r="J15" s="52"/>
      <c r="L15" s="51"/>
      <c r="M15" s="51"/>
      <c r="N15" s="51"/>
      <c r="O15" s="173"/>
      <c r="P15" s="51"/>
      <c r="Q15" s="51"/>
      <c r="R15" s="51"/>
      <c r="S15" s="51"/>
      <c r="T15" s="51"/>
    </row>
    <row r="16" spans="2:20" x14ac:dyDescent="0.2">
      <c r="F16" s="51"/>
      <c r="G16" s="51"/>
      <c r="H16" s="51"/>
      <c r="I16" s="51"/>
      <c r="J16" s="51"/>
      <c r="L16" s="51"/>
      <c r="M16" s="51"/>
      <c r="N16" s="51"/>
      <c r="O16" s="51"/>
      <c r="P16" s="51"/>
      <c r="Q16" s="51"/>
      <c r="R16" s="51"/>
      <c r="S16" s="51"/>
      <c r="T16" s="51"/>
    </row>
    <row r="17" spans="2:20" x14ac:dyDescent="0.2">
      <c r="F17" s="51"/>
      <c r="G17" s="51"/>
      <c r="H17" s="51"/>
      <c r="I17" s="51"/>
      <c r="J17" s="51"/>
      <c r="L17" s="51"/>
      <c r="M17" s="51"/>
      <c r="N17" s="51"/>
      <c r="O17" s="51"/>
      <c r="P17" s="51"/>
      <c r="Q17" s="51"/>
      <c r="R17" s="51"/>
      <c r="S17" s="51"/>
      <c r="T17" s="51"/>
    </row>
    <row r="18" spans="2:20" x14ac:dyDescent="0.2">
      <c r="I18" s="149"/>
      <c r="L18" s="51"/>
      <c r="M18" s="51"/>
      <c r="N18" s="51"/>
      <c r="O18" s="51"/>
      <c r="P18" s="51"/>
      <c r="Q18" s="51"/>
      <c r="R18" s="51"/>
      <c r="S18" s="51"/>
      <c r="T18" s="51"/>
    </row>
    <row r="19" spans="2:20" x14ac:dyDescent="0.2">
      <c r="I19" s="149"/>
      <c r="L19" s="51"/>
      <c r="M19" s="51"/>
      <c r="N19" s="51"/>
      <c r="O19" s="51"/>
      <c r="P19" s="51"/>
      <c r="Q19" s="51"/>
      <c r="R19" s="51"/>
      <c r="S19" s="51"/>
      <c r="T19" s="51"/>
    </row>
    <row r="20" spans="2:20" x14ac:dyDescent="0.2">
      <c r="L20" s="51"/>
      <c r="M20" s="51"/>
      <c r="N20" s="51"/>
      <c r="O20" s="51"/>
      <c r="P20" s="51"/>
      <c r="Q20" s="51"/>
      <c r="R20" s="51"/>
      <c r="S20" s="51"/>
      <c r="T20" s="51"/>
    </row>
    <row r="21" spans="2:20" x14ac:dyDescent="0.2">
      <c r="L21" s="51"/>
      <c r="M21" s="51"/>
      <c r="N21" s="51"/>
      <c r="O21" s="51"/>
      <c r="P21" s="51"/>
      <c r="Q21" s="51"/>
      <c r="R21" s="51"/>
      <c r="S21" s="51"/>
      <c r="T21" s="51"/>
    </row>
    <row r="22" spans="2:20" x14ac:dyDescent="0.2">
      <c r="L22" s="51"/>
      <c r="M22" s="51"/>
      <c r="N22" s="51"/>
      <c r="O22" s="51"/>
      <c r="P22" s="51"/>
      <c r="Q22" s="51"/>
      <c r="R22" s="51"/>
      <c r="S22" s="51"/>
      <c r="T22" s="51"/>
    </row>
    <row r="23" spans="2:20" x14ac:dyDescent="0.2">
      <c r="B23" s="139"/>
      <c r="C23" s="50" t="s">
        <v>197</v>
      </c>
    </row>
    <row r="24" spans="2:20" x14ac:dyDescent="0.2">
      <c r="B24" s="174"/>
      <c r="C24" s="50" t="s">
        <v>198</v>
      </c>
    </row>
    <row r="25" spans="2:20" x14ac:dyDescent="0.2">
      <c r="K25" s="50"/>
    </row>
    <row r="26" spans="2:20" x14ac:dyDescent="0.2">
      <c r="K26" s="50"/>
    </row>
    <row r="27" spans="2:20" x14ac:dyDescent="0.2">
      <c r="K27" s="50"/>
    </row>
    <row r="28" spans="2:20" x14ac:dyDescent="0.2">
      <c r="K28" s="50"/>
    </row>
  </sheetData>
  <pageMargins left="0.7" right="0.7" top="0.75" bottom="0.75" header="0.3" footer="0.3"/>
  <drawing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T28"/>
  <sheetViews>
    <sheetView zoomScaleNormal="100" workbookViewId="0">
      <selection activeCell="J10" sqref="J10"/>
    </sheetView>
  </sheetViews>
  <sheetFormatPr defaultColWidth="8.85546875" defaultRowHeight="12.75" x14ac:dyDescent="0.2"/>
  <cols>
    <col min="1" max="1" width="3" style="49" customWidth="1"/>
    <col min="2" max="2" width="12.140625" style="49" bestFit="1" customWidth="1"/>
    <col min="3" max="3" width="15" style="49" customWidth="1"/>
    <col min="4" max="4" width="13.85546875" style="49" bestFit="1" customWidth="1"/>
    <col min="5" max="5" width="12.28515625" style="49" customWidth="1"/>
    <col min="6" max="6" width="12.140625" style="49" bestFit="1" customWidth="1"/>
    <col min="7" max="7" width="7.5703125" style="49" customWidth="1"/>
    <col min="8" max="8" width="9.140625" style="49" bestFit="1" customWidth="1"/>
    <col min="9" max="9" width="9.42578125" style="49" customWidth="1"/>
    <col min="10" max="10" width="8.140625" style="49" customWidth="1"/>
    <col min="11" max="11" width="2.7109375" style="49" customWidth="1"/>
    <col min="12" max="12" width="12.7109375" style="49" bestFit="1" customWidth="1"/>
    <col min="13" max="13" width="7.140625" style="49" customWidth="1"/>
    <col min="14" max="14" width="11.42578125" style="49" bestFit="1" customWidth="1"/>
    <col min="15" max="15" width="41.5703125" style="49" bestFit="1" customWidth="1"/>
    <col min="16" max="16" width="6.42578125" style="49" customWidth="1"/>
    <col min="17" max="17" width="11.7109375" style="49" customWidth="1"/>
    <col min="18" max="18" width="14.28515625" style="49" customWidth="1"/>
    <col min="19" max="19" width="13.7109375" style="49" bestFit="1" customWidth="1"/>
    <col min="20" max="20" width="8.42578125" style="49" customWidth="1"/>
    <col min="21" max="16384" width="8.85546875" style="49"/>
  </cols>
  <sheetData>
    <row r="1" spans="2:20" ht="15" x14ac:dyDescent="0.25">
      <c r="B1" s="17" t="s">
        <v>94</v>
      </c>
      <c r="C1" s="17" t="s">
        <v>96</v>
      </c>
      <c r="D1" s="17" t="s">
        <v>152</v>
      </c>
      <c r="E1" s="17" t="s">
        <v>98</v>
      </c>
      <c r="F1" s="17" t="s">
        <v>99</v>
      </c>
      <c r="H1" s="17" t="s">
        <v>126</v>
      </c>
    </row>
    <row r="2" spans="2:20" ht="31.5" x14ac:dyDescent="0.25">
      <c r="B2" s="20" t="str">
        <f>EnergyBalance!B8</f>
        <v>TPS</v>
      </c>
      <c r="C2" s="34" t="str">
        <f>EnergyBalance!C8</f>
        <v>Total Primary Supply</v>
      </c>
      <c r="D2" s="34" t="str">
        <f>"Demand Technology"</f>
        <v>Demand Technology</v>
      </c>
      <c r="E2" s="20" t="str">
        <f>EnergyBalance!R2</f>
        <v>PJ</v>
      </c>
      <c r="F2" s="20" t="str">
        <f>EnergyBalance!Q2</f>
        <v>M€2005</v>
      </c>
      <c r="H2" s="20" t="s">
        <v>127</v>
      </c>
      <c r="L2" s="220" t="s">
        <v>14</v>
      </c>
      <c r="M2" s="220"/>
      <c r="N2" s="218"/>
      <c r="O2" s="218"/>
      <c r="P2" s="218"/>
      <c r="Q2" s="218"/>
      <c r="R2" s="218"/>
      <c r="S2" s="218"/>
      <c r="T2" s="218"/>
    </row>
    <row r="3" spans="2:20" x14ac:dyDescent="0.2">
      <c r="L3" s="221" t="s">
        <v>7</v>
      </c>
      <c r="M3" s="222" t="s">
        <v>30</v>
      </c>
      <c r="N3" s="221" t="s">
        <v>0</v>
      </c>
      <c r="O3" s="221" t="s">
        <v>3</v>
      </c>
      <c r="P3" s="221" t="s">
        <v>4</v>
      </c>
      <c r="Q3" s="221" t="s">
        <v>8</v>
      </c>
      <c r="R3" s="221" t="s">
        <v>9</v>
      </c>
      <c r="S3" s="221" t="s">
        <v>10</v>
      </c>
      <c r="T3" s="221" t="s">
        <v>12</v>
      </c>
    </row>
    <row r="4" spans="2:20" s="51" customFormat="1" ht="24" thickBot="1" x14ac:dyDescent="0.3">
      <c r="B4" s="18"/>
      <c r="C4" s="18"/>
      <c r="D4" s="18"/>
      <c r="E4" s="18"/>
      <c r="F4" s="18"/>
      <c r="L4" s="211" t="s">
        <v>40</v>
      </c>
      <c r="M4" s="211" t="s">
        <v>31</v>
      </c>
      <c r="N4" s="211" t="s">
        <v>26</v>
      </c>
      <c r="O4" s="211" t="s">
        <v>27</v>
      </c>
      <c r="P4" s="211" t="s">
        <v>4</v>
      </c>
      <c r="Q4" s="211" t="s">
        <v>43</v>
      </c>
      <c r="R4" s="211" t="s">
        <v>44</v>
      </c>
      <c r="S4" s="211" t="s">
        <v>28</v>
      </c>
      <c r="T4" s="211" t="s">
        <v>29</v>
      </c>
    </row>
    <row r="5" spans="2:20" s="51" customFormat="1" ht="15.75" x14ac:dyDescent="0.25">
      <c r="B5" s="18"/>
      <c r="C5" s="18"/>
      <c r="D5" s="18"/>
      <c r="E5" s="18"/>
      <c r="F5" s="18"/>
      <c r="L5" s="223" t="s">
        <v>105</v>
      </c>
      <c r="M5" s="224"/>
      <c r="N5" s="223" t="str">
        <f>B2&amp;EnergyBalance!K2</f>
        <v>TPSELC</v>
      </c>
      <c r="O5" s="223" t="str">
        <f>LEFT($D$2,6)&amp;" "&amp;$C$2&amp;" - "&amp;EnergyBalance!K2</f>
        <v>Demand Total Primary Supply - ELC</v>
      </c>
      <c r="P5" s="223" t="str">
        <f>$E$2</f>
        <v>PJ</v>
      </c>
      <c r="Q5" s="223"/>
      <c r="R5" s="223"/>
      <c r="S5" s="223"/>
      <c r="T5" s="223"/>
    </row>
    <row r="8" spans="2:20" x14ac:dyDescent="0.2">
      <c r="D8" s="7" t="s">
        <v>13</v>
      </c>
      <c r="E8" s="7"/>
      <c r="F8" s="7"/>
      <c r="H8" s="7"/>
      <c r="I8" s="8"/>
      <c r="J8" s="6"/>
      <c r="L8" s="220" t="s">
        <v>15</v>
      </c>
      <c r="M8" s="220"/>
      <c r="N8" s="219"/>
      <c r="O8" s="219"/>
      <c r="P8" s="219"/>
      <c r="Q8" s="219"/>
      <c r="R8" s="219"/>
      <c r="S8" s="219"/>
      <c r="T8" s="219"/>
    </row>
    <row r="9" spans="2:20" x14ac:dyDescent="0.2">
      <c r="B9" s="29" t="s">
        <v>1</v>
      </c>
      <c r="C9" s="29" t="s">
        <v>5</v>
      </c>
      <c r="D9" s="29" t="s">
        <v>6</v>
      </c>
      <c r="E9" s="160" t="s">
        <v>208</v>
      </c>
      <c r="F9" s="159" t="s">
        <v>108</v>
      </c>
      <c r="G9" s="159" t="s">
        <v>124</v>
      </c>
      <c r="H9" s="159" t="s">
        <v>106</v>
      </c>
      <c r="I9" s="159" t="s">
        <v>107</v>
      </c>
      <c r="J9" s="160" t="s">
        <v>101</v>
      </c>
      <c r="L9" s="221" t="s">
        <v>11</v>
      </c>
      <c r="M9" s="222" t="s">
        <v>30</v>
      </c>
      <c r="N9" s="221" t="s">
        <v>1</v>
      </c>
      <c r="O9" s="221" t="s">
        <v>2</v>
      </c>
      <c r="P9" s="221" t="s">
        <v>16</v>
      </c>
      <c r="Q9" s="221" t="s">
        <v>17</v>
      </c>
      <c r="R9" s="221" t="s">
        <v>18</v>
      </c>
      <c r="S9" s="221" t="s">
        <v>19</v>
      </c>
      <c r="T9" s="221" t="s">
        <v>20</v>
      </c>
    </row>
    <row r="10" spans="2:20" ht="23.25" thickBot="1" x14ac:dyDescent="0.25">
      <c r="B10" s="27" t="s">
        <v>42</v>
      </c>
      <c r="C10" s="27" t="s">
        <v>32</v>
      </c>
      <c r="D10" s="27" t="s">
        <v>33</v>
      </c>
      <c r="E10" s="27" t="s">
        <v>34</v>
      </c>
      <c r="F10" s="27" t="s">
        <v>113</v>
      </c>
      <c r="G10" s="181" t="s">
        <v>125</v>
      </c>
      <c r="H10" s="27" t="s">
        <v>122</v>
      </c>
      <c r="I10" s="27" t="s">
        <v>121</v>
      </c>
      <c r="J10" s="27" t="s">
        <v>215</v>
      </c>
      <c r="L10" s="211" t="s">
        <v>41</v>
      </c>
      <c r="M10" s="211" t="s">
        <v>31</v>
      </c>
      <c r="N10" s="211" t="s">
        <v>21</v>
      </c>
      <c r="O10" s="211" t="s">
        <v>22</v>
      </c>
      <c r="P10" s="211" t="s">
        <v>23</v>
      </c>
      <c r="Q10" s="211" t="s">
        <v>24</v>
      </c>
      <c r="R10" s="211" t="s">
        <v>46</v>
      </c>
      <c r="S10" s="211" t="s">
        <v>45</v>
      </c>
      <c r="T10" s="211" t="s">
        <v>25</v>
      </c>
    </row>
    <row r="11" spans="2:20" ht="13.5" thickBot="1" x14ac:dyDescent="0.25">
      <c r="B11" s="26" t="s">
        <v>114</v>
      </c>
      <c r="C11" s="26"/>
      <c r="D11" s="26"/>
      <c r="E11" s="24" t="str">
        <f>E2&amp;"a"</f>
        <v>PJa</v>
      </c>
      <c r="F11" s="24"/>
      <c r="G11" s="163"/>
      <c r="H11" s="24" t="str">
        <f>$F$2&amp;"/"&amp;$E$2</f>
        <v>M€2005/PJ</v>
      </c>
      <c r="I11" s="24" t="str">
        <f>$F$2&amp;"/"&amp;$E$2&amp;"a"</f>
        <v>M€2005/PJa</v>
      </c>
      <c r="J11" s="24" t="s">
        <v>115</v>
      </c>
      <c r="L11" s="211" t="s">
        <v>103</v>
      </c>
      <c r="M11" s="211"/>
      <c r="N11" s="211"/>
      <c r="O11" s="211"/>
      <c r="P11" s="211"/>
      <c r="Q11" s="211"/>
      <c r="R11" s="211"/>
      <c r="S11" s="211"/>
      <c r="T11" s="211"/>
    </row>
    <row r="12" spans="2:20" x14ac:dyDescent="0.2">
      <c r="B12" s="49" t="str">
        <f>N12</f>
        <v>DTPSELC</v>
      </c>
      <c r="C12" s="49" t="str">
        <f>RIGHT(B12,3)</f>
        <v>ELC</v>
      </c>
      <c r="D12" s="49" t="str">
        <f>$N$5</f>
        <v>TPSELC</v>
      </c>
      <c r="E12" s="51"/>
      <c r="F12" s="140">
        <v>1</v>
      </c>
      <c r="G12" s="140">
        <v>0.95</v>
      </c>
      <c r="H12" s="139">
        <v>10</v>
      </c>
      <c r="I12" s="140">
        <f>H12*0.02</f>
        <v>0.2</v>
      </c>
      <c r="J12" s="139">
        <v>20</v>
      </c>
      <c r="L12" s="223" t="s">
        <v>123</v>
      </c>
      <c r="M12" s="224"/>
      <c r="N12" s="224" t="str">
        <f>LEFT(L12,1)&amp;B2&amp;RIGHT(O12,3)</f>
        <v>DTPSELC</v>
      </c>
      <c r="O12" s="225" t="str">
        <f>$D$2&amp;" "&amp;$C$2&amp;" - "&amp;EnergyBalance!K2</f>
        <v>Demand Technology Total Primary Supply - ELC</v>
      </c>
      <c r="P12" s="224" t="str">
        <f>$E$2</f>
        <v>PJ</v>
      </c>
      <c r="Q12" s="224" t="str">
        <f>$E$2&amp;"a"</f>
        <v>PJa</v>
      </c>
      <c r="R12" s="224"/>
      <c r="S12" s="224"/>
      <c r="T12" s="224"/>
    </row>
    <row r="13" spans="2:20" x14ac:dyDescent="0.2">
      <c r="D13" s="51"/>
      <c r="E13" s="156"/>
      <c r="F13" s="171"/>
      <c r="G13" s="171"/>
      <c r="H13" s="51"/>
      <c r="I13" s="171"/>
      <c r="J13" s="51"/>
      <c r="L13" s="61"/>
      <c r="M13" s="51"/>
      <c r="N13" s="51"/>
      <c r="O13" s="170"/>
      <c r="P13" s="51"/>
      <c r="Q13" s="51"/>
      <c r="R13" s="51"/>
      <c r="S13" s="51"/>
      <c r="T13" s="51"/>
    </row>
    <row r="14" spans="2:20" x14ac:dyDescent="0.2">
      <c r="B14" s="53"/>
      <c r="D14" s="53"/>
      <c r="E14" s="151"/>
      <c r="F14" s="172"/>
      <c r="G14" s="172"/>
      <c r="H14" s="52"/>
      <c r="I14" s="172"/>
      <c r="J14" s="52"/>
      <c r="L14" s="51"/>
      <c r="M14" s="51"/>
      <c r="N14" s="51"/>
      <c r="O14" s="173"/>
      <c r="P14" s="51"/>
      <c r="Q14" s="51"/>
      <c r="R14" s="51"/>
      <c r="S14" s="51"/>
      <c r="T14" s="51"/>
    </row>
    <row r="15" spans="2:20" x14ac:dyDescent="0.2">
      <c r="B15" s="53"/>
      <c r="E15" s="151"/>
      <c r="F15" s="172"/>
      <c r="G15" s="172"/>
      <c r="H15" s="52"/>
      <c r="I15" s="172"/>
      <c r="J15" s="52"/>
      <c r="L15" s="51"/>
      <c r="M15" s="51"/>
      <c r="N15" s="51"/>
      <c r="O15" s="173"/>
      <c r="P15" s="51"/>
      <c r="Q15" s="51"/>
      <c r="R15" s="51"/>
      <c r="S15" s="51"/>
      <c r="T15" s="51"/>
    </row>
    <row r="16" spans="2:20" x14ac:dyDescent="0.2">
      <c r="F16" s="51"/>
      <c r="G16" s="51"/>
      <c r="H16" s="51"/>
      <c r="I16" s="51"/>
      <c r="J16" s="51"/>
      <c r="L16" s="51"/>
      <c r="M16" s="51"/>
      <c r="N16" s="51"/>
      <c r="O16" s="51"/>
      <c r="P16" s="51"/>
      <c r="Q16" s="51"/>
      <c r="R16" s="51"/>
      <c r="S16" s="51"/>
      <c r="T16" s="51"/>
    </row>
    <row r="17" spans="2:20" x14ac:dyDescent="0.2">
      <c r="F17" s="51"/>
      <c r="G17" s="51"/>
      <c r="H17" s="51"/>
      <c r="I17" s="51"/>
      <c r="J17" s="51"/>
      <c r="L17" s="51"/>
      <c r="M17" s="51"/>
      <c r="N17" s="51"/>
      <c r="O17" s="51"/>
      <c r="P17" s="51"/>
      <c r="Q17" s="51"/>
      <c r="R17" s="51"/>
      <c r="S17" s="51"/>
      <c r="T17" s="51"/>
    </row>
    <row r="18" spans="2:20" x14ac:dyDescent="0.2">
      <c r="I18" s="149"/>
      <c r="L18" s="51"/>
      <c r="M18" s="51"/>
      <c r="N18" s="51"/>
      <c r="O18" s="51"/>
      <c r="P18" s="51"/>
      <c r="Q18" s="51"/>
      <c r="R18" s="51"/>
      <c r="S18" s="51"/>
      <c r="T18" s="51"/>
    </row>
    <row r="19" spans="2:20" x14ac:dyDescent="0.2">
      <c r="I19" s="149"/>
      <c r="L19" s="51"/>
      <c r="M19" s="51"/>
      <c r="N19" s="51"/>
      <c r="O19" s="51"/>
      <c r="P19" s="51"/>
      <c r="Q19" s="51"/>
      <c r="R19" s="51"/>
      <c r="S19" s="51"/>
      <c r="T19" s="51"/>
    </row>
    <row r="20" spans="2:20" x14ac:dyDescent="0.2">
      <c r="L20" s="51"/>
      <c r="M20" s="51"/>
      <c r="N20" s="51"/>
      <c r="O20" s="51"/>
      <c r="P20" s="51"/>
      <c r="Q20" s="51"/>
      <c r="R20" s="51"/>
      <c r="S20" s="51"/>
      <c r="T20" s="51"/>
    </row>
    <row r="21" spans="2:20" x14ac:dyDescent="0.2">
      <c r="L21" s="51"/>
      <c r="M21" s="51"/>
      <c r="N21" s="51"/>
      <c r="O21" s="51"/>
      <c r="P21" s="51"/>
      <c r="Q21" s="51"/>
      <c r="R21" s="51"/>
      <c r="S21" s="51"/>
      <c r="T21" s="51"/>
    </row>
    <row r="22" spans="2:20" x14ac:dyDescent="0.2">
      <c r="L22" s="51"/>
      <c r="M22" s="51"/>
      <c r="N22" s="51"/>
      <c r="O22" s="51"/>
      <c r="P22" s="51"/>
      <c r="Q22" s="51"/>
      <c r="R22" s="51"/>
      <c r="S22" s="51"/>
      <c r="T22" s="51"/>
    </row>
    <row r="23" spans="2:20" x14ac:dyDescent="0.2">
      <c r="B23" s="139"/>
      <c r="C23" s="50" t="s">
        <v>197</v>
      </c>
    </row>
    <row r="24" spans="2:20" x14ac:dyDescent="0.2">
      <c r="B24" s="174"/>
      <c r="C24" s="50" t="s">
        <v>198</v>
      </c>
    </row>
    <row r="25" spans="2:20" x14ac:dyDescent="0.2">
      <c r="K25" s="50"/>
    </row>
    <row r="26" spans="2:20" x14ac:dyDescent="0.2">
      <c r="K26" s="50"/>
    </row>
    <row r="27" spans="2:20" x14ac:dyDescent="0.2">
      <c r="K27" s="50"/>
    </row>
    <row r="28" spans="2:20" x14ac:dyDescent="0.2">
      <c r="K28" s="50"/>
    </row>
  </sheetData>
  <pageMargins left="0.7" right="0.7" top="0.75" bottom="0.75" header="0.3" footer="0.3"/>
  <drawing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28"/>
  <sheetViews>
    <sheetView zoomScale="90" zoomScaleNormal="90" workbookViewId="0">
      <selection activeCell="I12" sqref="I12"/>
    </sheetView>
  </sheetViews>
  <sheetFormatPr defaultRowHeight="12.75" x14ac:dyDescent="0.2"/>
  <cols>
    <col min="1" max="1" width="3" customWidth="1"/>
    <col min="2" max="2" width="12.140625" bestFit="1" customWidth="1"/>
    <col min="3" max="3" width="12" customWidth="1"/>
    <col min="4" max="4" width="13.85546875" customWidth="1"/>
    <col min="5" max="5" width="13.140625" customWidth="1"/>
    <col min="6" max="6" width="13.140625" bestFit="1" customWidth="1"/>
    <col min="7" max="7" width="11.42578125" bestFit="1" customWidth="1"/>
    <col min="8" max="8" width="11.85546875" bestFit="1" customWidth="1"/>
    <col min="9" max="9" width="11.5703125" bestFit="1" customWidth="1"/>
    <col min="10" max="10" width="8.85546875" customWidth="1"/>
    <col min="11" max="11" width="7" bestFit="1" customWidth="1"/>
    <col min="12" max="12" width="14" style="58" customWidth="1"/>
    <col min="13" max="13" width="2" customWidth="1"/>
    <col min="14" max="14" width="12.42578125" customWidth="1"/>
    <col min="15" max="15" width="7.140625" customWidth="1"/>
    <col min="16" max="16" width="11" customWidth="1"/>
    <col min="17" max="17" width="79.140625" bestFit="1" customWidth="1"/>
    <col min="18" max="18" width="6.140625" customWidth="1"/>
    <col min="19" max="19" width="12" customWidth="1"/>
    <col min="20" max="20" width="12.85546875" bestFit="1" customWidth="1"/>
    <col min="21" max="21" width="13.28515625" customWidth="1"/>
    <col min="22" max="22" width="8" bestFit="1" customWidth="1"/>
  </cols>
  <sheetData>
    <row r="1" spans="2:22" ht="15" x14ac:dyDescent="0.25">
      <c r="B1" s="17" t="s">
        <v>94</v>
      </c>
      <c r="C1" s="17" t="s">
        <v>96</v>
      </c>
      <c r="D1" s="17" t="s">
        <v>152</v>
      </c>
      <c r="E1" s="17" t="s">
        <v>98</v>
      </c>
      <c r="F1" s="17" t="s">
        <v>99</v>
      </c>
      <c r="G1" s="17" t="s">
        <v>191</v>
      </c>
      <c r="H1" s="17" t="s">
        <v>126</v>
      </c>
      <c r="I1" s="17" t="s">
        <v>207</v>
      </c>
    </row>
    <row r="2" spans="2:22" ht="31.5" x14ac:dyDescent="0.25">
      <c r="B2" s="20" t="str">
        <f>EnergyBalance!B20</f>
        <v>TRA</v>
      </c>
      <c r="C2" s="20" t="str">
        <f>EnergyBalance!C20</f>
        <v>Transport</v>
      </c>
      <c r="D2" s="34" t="s">
        <v>153</v>
      </c>
      <c r="E2" s="20" t="str">
        <f>EnergyBalance!R2</f>
        <v>PJ</v>
      </c>
      <c r="F2" s="20" t="str">
        <f>EnergyBalance!Q2</f>
        <v>M€2005</v>
      </c>
      <c r="G2" s="70" t="s">
        <v>192</v>
      </c>
      <c r="H2" s="20" t="s">
        <v>127</v>
      </c>
      <c r="I2" s="20" t="s">
        <v>128</v>
      </c>
      <c r="N2" s="207" t="s">
        <v>14</v>
      </c>
      <c r="O2" s="207"/>
      <c r="P2" s="208"/>
      <c r="Q2" s="208"/>
      <c r="R2" s="208"/>
      <c r="S2" s="208"/>
      <c r="T2" s="208"/>
      <c r="U2" s="208"/>
      <c r="V2" s="208"/>
    </row>
    <row r="3" spans="2:22" x14ac:dyDescent="0.2">
      <c r="N3" s="209" t="s">
        <v>7</v>
      </c>
      <c r="O3" s="210" t="s">
        <v>30</v>
      </c>
      <c r="P3" s="209" t="s">
        <v>0</v>
      </c>
      <c r="Q3" s="209" t="s">
        <v>3</v>
      </c>
      <c r="R3" s="209" t="s">
        <v>4</v>
      </c>
      <c r="S3" s="209" t="s">
        <v>8</v>
      </c>
      <c r="T3" s="209" t="s">
        <v>9</v>
      </c>
      <c r="U3" s="209" t="s">
        <v>10</v>
      </c>
      <c r="V3" s="209" t="s">
        <v>12</v>
      </c>
    </row>
    <row r="4" spans="2:22" s="9" customFormat="1" ht="24" thickBot="1" x14ac:dyDescent="0.3">
      <c r="B4" s="18"/>
      <c r="C4" s="18"/>
      <c r="D4" s="18"/>
      <c r="E4" s="18"/>
      <c r="F4" s="18"/>
      <c r="L4" s="58"/>
      <c r="N4" s="211" t="s">
        <v>40</v>
      </c>
      <c r="O4" s="211" t="s">
        <v>31</v>
      </c>
      <c r="P4" s="211" t="s">
        <v>26</v>
      </c>
      <c r="Q4" s="211" t="s">
        <v>27</v>
      </c>
      <c r="R4" s="211" t="s">
        <v>4</v>
      </c>
      <c r="S4" s="211" t="s">
        <v>43</v>
      </c>
      <c r="T4" s="211" t="s">
        <v>44</v>
      </c>
      <c r="U4" s="211" t="s">
        <v>28</v>
      </c>
      <c r="V4" s="211" t="s">
        <v>29</v>
      </c>
    </row>
    <row r="5" spans="2:22" s="9" customFormat="1" ht="15.75" x14ac:dyDescent="0.25">
      <c r="B5" s="18"/>
      <c r="C5" s="18"/>
      <c r="D5" s="18"/>
      <c r="E5" s="18"/>
      <c r="F5" s="18"/>
      <c r="L5" s="58"/>
      <c r="N5" s="212" t="s">
        <v>105</v>
      </c>
      <c r="O5" s="213"/>
      <c r="P5" s="212" t="str">
        <f>LEFT($N$5,1)&amp;LEFT($B$2,1)&amp;EnergyBalance!$C$49</f>
        <v>DTD1</v>
      </c>
      <c r="Q5" s="212" t="str">
        <f>LEFT($D$2,6)&amp;" "&amp;$C$2&amp; " Sector - "&amp;EnergyBalance!$N$49</f>
        <v>Demand Transport Sector - Demand 1</v>
      </c>
      <c r="R5" s="212" t="str">
        <f>$E$2</f>
        <v>PJ</v>
      </c>
      <c r="S5" s="212"/>
      <c r="T5" s="212"/>
      <c r="U5" s="212"/>
      <c r="V5" s="212"/>
    </row>
    <row r="6" spans="2:22" x14ac:dyDescent="0.2">
      <c r="N6" s="214" t="s">
        <v>143</v>
      </c>
      <c r="O6" s="214"/>
      <c r="P6" s="214" t="str">
        <f>$B$2&amp;EnergyBalance!$C$52</f>
        <v>TRACO2</v>
      </c>
      <c r="Q6" s="214" t="str">
        <f>$C$2&amp;" "&amp;EnergyBalance!$C$53</f>
        <v>Transport Carbon dioxide</v>
      </c>
      <c r="R6" s="214" t="str">
        <f>EnergyBalance!$S$2</f>
        <v>kt</v>
      </c>
      <c r="S6" s="214"/>
      <c r="T6" s="214"/>
      <c r="U6" s="214"/>
      <c r="V6" s="214"/>
    </row>
    <row r="8" spans="2:22" x14ac:dyDescent="0.2">
      <c r="D8" s="7" t="s">
        <v>13</v>
      </c>
      <c r="E8" s="7"/>
      <c r="F8" s="7"/>
      <c r="H8" s="7"/>
      <c r="I8" s="8"/>
      <c r="J8" s="6"/>
      <c r="K8" s="25"/>
      <c r="L8"/>
      <c r="N8" s="207" t="s">
        <v>15</v>
      </c>
      <c r="O8" s="207"/>
      <c r="P8" s="214"/>
      <c r="Q8" s="214"/>
      <c r="R8" s="214"/>
      <c r="S8" s="214"/>
      <c r="T8" s="214"/>
      <c r="U8" s="214"/>
      <c r="V8" s="214"/>
    </row>
    <row r="9" spans="2:22" ht="25.5" x14ac:dyDescent="0.2">
      <c r="B9" s="29" t="s">
        <v>1</v>
      </c>
      <c r="C9" s="29" t="s">
        <v>5</v>
      </c>
      <c r="D9" s="29" t="s">
        <v>6</v>
      </c>
      <c r="E9" s="160" t="s">
        <v>208</v>
      </c>
      <c r="F9" s="159" t="s">
        <v>108</v>
      </c>
      <c r="G9" s="159" t="s">
        <v>124</v>
      </c>
      <c r="H9" s="159" t="s">
        <v>106</v>
      </c>
      <c r="I9" s="159" t="s">
        <v>107</v>
      </c>
      <c r="J9" s="160" t="s">
        <v>101</v>
      </c>
      <c r="K9" s="160" t="s">
        <v>206</v>
      </c>
      <c r="L9" s="160" t="s">
        <v>129</v>
      </c>
      <c r="N9" s="209" t="s">
        <v>11</v>
      </c>
      <c r="O9" s="210" t="s">
        <v>30</v>
      </c>
      <c r="P9" s="209" t="s">
        <v>1</v>
      </c>
      <c r="Q9" s="209" t="s">
        <v>2</v>
      </c>
      <c r="R9" s="209" t="s">
        <v>16</v>
      </c>
      <c r="S9" s="209" t="s">
        <v>17</v>
      </c>
      <c r="T9" s="209" t="s">
        <v>18</v>
      </c>
      <c r="U9" s="209" t="s">
        <v>19</v>
      </c>
      <c r="V9" s="209" t="s">
        <v>20</v>
      </c>
    </row>
    <row r="10" spans="2:22" ht="23.25" thickBot="1" x14ac:dyDescent="0.25">
      <c r="B10" s="27" t="s">
        <v>42</v>
      </c>
      <c r="C10" s="27" t="s">
        <v>32</v>
      </c>
      <c r="D10" s="27" t="s">
        <v>33</v>
      </c>
      <c r="E10" s="27" t="s">
        <v>34</v>
      </c>
      <c r="F10" s="27" t="s">
        <v>113</v>
      </c>
      <c r="G10" s="181" t="s">
        <v>125</v>
      </c>
      <c r="H10" s="27" t="s">
        <v>122</v>
      </c>
      <c r="I10" s="27" t="s">
        <v>121</v>
      </c>
      <c r="J10" s="27" t="s">
        <v>215</v>
      </c>
      <c r="K10" s="27"/>
      <c r="L10" s="27" t="s">
        <v>142</v>
      </c>
      <c r="N10" s="211" t="s">
        <v>41</v>
      </c>
      <c r="O10" s="211" t="s">
        <v>31</v>
      </c>
      <c r="P10" s="211" t="s">
        <v>21</v>
      </c>
      <c r="Q10" s="211" t="s">
        <v>22</v>
      </c>
      <c r="R10" s="211" t="s">
        <v>23</v>
      </c>
      <c r="S10" s="211" t="s">
        <v>24</v>
      </c>
      <c r="T10" s="211" t="s">
        <v>46</v>
      </c>
      <c r="U10" s="211" t="s">
        <v>45</v>
      </c>
      <c r="V10" s="211" t="s">
        <v>25</v>
      </c>
    </row>
    <row r="11" spans="2:22" ht="13.5" thickBot="1" x14ac:dyDescent="0.25">
      <c r="B11" s="26" t="s">
        <v>114</v>
      </c>
      <c r="C11" s="26"/>
      <c r="D11" s="26"/>
      <c r="E11" s="24" t="str">
        <f>E2&amp;"a"</f>
        <v>PJa</v>
      </c>
      <c r="F11" s="24"/>
      <c r="G11" s="163"/>
      <c r="H11" s="24" t="str">
        <f>$F$2&amp;"/"&amp;$E$2</f>
        <v>M€2005/PJ</v>
      </c>
      <c r="I11" s="24" t="str">
        <f>$F$2&amp;"/"&amp;$E$2&amp;"a"</f>
        <v>M€2005/PJa</v>
      </c>
      <c r="J11" s="24" t="s">
        <v>115</v>
      </c>
      <c r="K11" s="24"/>
      <c r="L11" s="24" t="str">
        <f>EnergyBalance!$S$2</f>
        <v>kt</v>
      </c>
      <c r="N11" s="212" t="s">
        <v>123</v>
      </c>
      <c r="O11" s="213"/>
      <c r="P11" s="213" t="str">
        <f>LEFT($B$2)&amp;EnergyBalance!$C$44&amp;$H$2&amp;EnergyBalance!F2</f>
        <v>TOTEOIL</v>
      </c>
      <c r="Q11" s="217" t="str">
        <f>$D$2&amp;" "&amp;$C$2&amp; " Sector - "&amp;" "&amp;$H$1&amp;" "&amp;EnergyBalance!$N$40&amp;" - "&amp;EnergyBalance!$F$3</f>
        <v>Demand Technologies Transport Sector -  Existing  - Crude Oil</v>
      </c>
      <c r="R11" s="213" t="str">
        <f>$E$2</f>
        <v>PJ</v>
      </c>
      <c r="S11" s="213" t="str">
        <f>$E$2&amp;"a"</f>
        <v>PJa</v>
      </c>
      <c r="T11" s="213"/>
      <c r="U11" s="213"/>
      <c r="V11" s="213"/>
    </row>
    <row r="12" spans="2:22" x14ac:dyDescent="0.2">
      <c r="B12" t="str">
        <f>P11</f>
        <v>TOTEOIL</v>
      </c>
      <c r="C12" t="str">
        <f>$B$2&amp;RIGHT(B12,3)</f>
        <v>TRAOIL</v>
      </c>
      <c r="D12" t="str">
        <f>$P$5</f>
        <v>DTD1</v>
      </c>
      <c r="E12" s="129">
        <f>EnergyBalance!F20/G12*1.01</f>
        <v>16666.401655555557</v>
      </c>
      <c r="F12" s="134">
        <v>1</v>
      </c>
      <c r="G12" s="134">
        <v>0.9</v>
      </c>
      <c r="H12" s="85"/>
      <c r="I12" s="134">
        <v>0.2</v>
      </c>
      <c r="J12" s="85">
        <v>10</v>
      </c>
      <c r="L12"/>
      <c r="N12" s="214"/>
      <c r="O12" s="214"/>
      <c r="P12" s="213" t="str">
        <f>LEFT($B$2)&amp;EnergyBalance!$C$44&amp;$I$2&amp;EnergyBalance!F2</f>
        <v>TOTNOIL</v>
      </c>
      <c r="Q12" s="217" t="str">
        <f>$D$2&amp;" "&amp;$C$2&amp; " Sector - "&amp;" "&amp;$I$1&amp;" "&amp;EnergyBalance!$N$40&amp;" - "&amp;EnergyBalance!$F$3</f>
        <v>Demand Technologies Transport Sector -  New  - Crude Oil</v>
      </c>
      <c r="R12" s="213" t="str">
        <f>$E$2</f>
        <v>PJ</v>
      </c>
      <c r="S12" s="213" t="str">
        <f>$E$2&amp;"a"</f>
        <v>PJa</v>
      </c>
      <c r="T12" s="214"/>
      <c r="U12" s="214"/>
      <c r="V12" s="214"/>
    </row>
    <row r="13" spans="2:22" x14ac:dyDescent="0.2">
      <c r="D13" t="str">
        <f>$P$6</f>
        <v>TRACO2</v>
      </c>
      <c r="E13" s="14"/>
      <c r="F13" s="28"/>
      <c r="G13" s="28"/>
      <c r="I13" s="28"/>
      <c r="L13" s="199">
        <f>65/F12</f>
        <v>65</v>
      </c>
      <c r="N13" s="9"/>
      <c r="O13" s="9"/>
      <c r="P13" s="9"/>
      <c r="Q13" s="35"/>
      <c r="R13" s="16"/>
      <c r="S13" s="16"/>
      <c r="T13" s="9"/>
      <c r="U13" s="16"/>
      <c r="V13" s="9"/>
    </row>
    <row r="14" spans="2:22" x14ac:dyDescent="0.2">
      <c r="B14" s="11" t="str">
        <f>P12</f>
        <v>TOTNOIL</v>
      </c>
      <c r="C14" t="str">
        <f>$B$2&amp;RIGHT(B14,3)</f>
        <v>TRAOIL</v>
      </c>
      <c r="D14" s="11" t="str">
        <f>$P$5</f>
        <v>DTD1</v>
      </c>
      <c r="E14" s="32"/>
      <c r="F14" s="137">
        <v>1.1000000000000001</v>
      </c>
      <c r="G14" s="137">
        <v>0.9</v>
      </c>
      <c r="H14" s="157">
        <v>10</v>
      </c>
      <c r="I14" s="137">
        <f>H14*0.02</f>
        <v>0.2</v>
      </c>
      <c r="J14" s="157">
        <v>15</v>
      </c>
      <c r="K14" s="138">
        <v>2006</v>
      </c>
      <c r="L14"/>
      <c r="N14" s="9"/>
      <c r="O14" s="9"/>
      <c r="P14" s="9"/>
      <c r="Q14" s="35"/>
      <c r="R14" s="16"/>
      <c r="S14" s="16"/>
      <c r="T14" s="9"/>
      <c r="U14" s="16"/>
      <c r="V14" s="9"/>
    </row>
    <row r="15" spans="2:22" x14ac:dyDescent="0.2">
      <c r="B15" s="11"/>
      <c r="D15" t="str">
        <f>$P$6</f>
        <v>TRACO2</v>
      </c>
      <c r="E15" s="32"/>
      <c r="F15" s="33"/>
      <c r="G15" s="33"/>
      <c r="H15" s="11"/>
      <c r="I15" s="33"/>
      <c r="J15" s="11"/>
      <c r="K15" s="32"/>
      <c r="L15" s="198">
        <f>65/F14</f>
        <v>59.090909090909086</v>
      </c>
      <c r="N15" s="9"/>
      <c r="O15" s="9"/>
      <c r="P15" s="9"/>
      <c r="Q15" s="35"/>
      <c r="R15" s="16"/>
      <c r="S15" s="16"/>
      <c r="T15" s="9"/>
      <c r="U15" s="16"/>
      <c r="V15" s="9"/>
    </row>
    <row r="16" spans="2:22" x14ac:dyDescent="0.2">
      <c r="L16"/>
    </row>
    <row r="17" spans="1:22" x14ac:dyDescent="0.2">
      <c r="L17"/>
      <c r="N17" s="9"/>
      <c r="O17" s="9"/>
      <c r="P17" s="9"/>
      <c r="Q17" s="9"/>
      <c r="R17" s="9"/>
      <c r="S17" s="9"/>
      <c r="T17" s="9"/>
      <c r="U17" s="9"/>
      <c r="V17" s="9"/>
    </row>
    <row r="18" spans="1:22" x14ac:dyDescent="0.2">
      <c r="L18"/>
      <c r="N18" s="9"/>
      <c r="O18" s="9"/>
      <c r="P18" s="9"/>
      <c r="Q18" s="9"/>
      <c r="R18" s="9"/>
      <c r="S18" s="9"/>
      <c r="T18" s="9"/>
      <c r="U18" s="9"/>
      <c r="V18" s="9"/>
    </row>
    <row r="19" spans="1:22" x14ac:dyDescent="0.2">
      <c r="L19"/>
      <c r="N19" s="9"/>
      <c r="O19" s="9"/>
      <c r="P19" s="9"/>
      <c r="Q19" s="9"/>
      <c r="R19" s="9"/>
      <c r="S19" s="9"/>
      <c r="T19" s="9"/>
      <c r="U19" s="9"/>
      <c r="V19" s="9"/>
    </row>
    <row r="20" spans="1:22" x14ac:dyDescent="0.2">
      <c r="L20"/>
      <c r="N20" s="9"/>
      <c r="O20" s="9"/>
      <c r="P20" s="9"/>
      <c r="Q20" s="9"/>
      <c r="R20" s="9"/>
      <c r="S20" s="9"/>
      <c r="T20" s="9"/>
      <c r="U20" s="9"/>
      <c r="V20" s="9"/>
    </row>
    <row r="21" spans="1:22" x14ac:dyDescent="0.2">
      <c r="N21" s="9"/>
      <c r="O21" s="9"/>
      <c r="P21" s="9"/>
      <c r="Q21" s="9"/>
      <c r="R21" s="9"/>
      <c r="S21" s="9"/>
      <c r="T21" s="9"/>
      <c r="U21" s="9"/>
      <c r="V21" s="9"/>
    </row>
    <row r="23" spans="1:22" x14ac:dyDescent="0.2">
      <c r="B23" s="85"/>
      <c r="C23" s="1" t="s">
        <v>197</v>
      </c>
      <c r="K23" s="1"/>
      <c r="L23" s="15"/>
    </row>
    <row r="24" spans="1:22" x14ac:dyDescent="0.2">
      <c r="B24" s="130"/>
      <c r="C24" s="1" t="s">
        <v>198</v>
      </c>
      <c r="K24" s="1"/>
      <c r="L24" s="15"/>
      <c r="M24" s="1"/>
    </row>
    <row r="25" spans="1:22" x14ac:dyDescent="0.2">
      <c r="A25" s="11"/>
      <c r="K25" s="1"/>
      <c r="L25" s="15"/>
      <c r="M25" s="1"/>
    </row>
    <row r="26" spans="1:22" s="11" customFormat="1" x14ac:dyDescent="0.2">
      <c r="A26"/>
      <c r="B26"/>
      <c r="C26"/>
      <c r="D26"/>
      <c r="E26"/>
      <c r="F26"/>
      <c r="G26"/>
      <c r="H26"/>
      <c r="I26"/>
      <c r="J26"/>
      <c r="K26" s="1"/>
      <c r="L26" s="15"/>
      <c r="M26" s="1"/>
      <c r="N26"/>
      <c r="O26"/>
      <c r="P26"/>
      <c r="Q26"/>
      <c r="R26"/>
      <c r="S26"/>
      <c r="T26"/>
      <c r="U26"/>
      <c r="V26"/>
    </row>
    <row r="27" spans="1:22" x14ac:dyDescent="0.2">
      <c r="E27" s="1"/>
      <c r="M27" s="1"/>
    </row>
    <row r="28" spans="1:22" x14ac:dyDescent="0.2">
      <c r="E28" s="1"/>
    </row>
  </sheetData>
  <pageMargins left="0.7" right="0.7" top="0.75" bottom="0.75" header="0.3" footer="0.3"/>
  <drawing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V28"/>
  <sheetViews>
    <sheetView topLeftCell="B1" zoomScaleNormal="100" workbookViewId="0">
      <selection activeCell="I22" sqref="I22"/>
    </sheetView>
  </sheetViews>
  <sheetFormatPr defaultRowHeight="12.75" x14ac:dyDescent="0.2"/>
  <cols>
    <col min="1" max="1" width="3" customWidth="1"/>
    <col min="2" max="2" width="12.140625" bestFit="1" customWidth="1"/>
    <col min="3" max="3" width="11.85546875" bestFit="1" customWidth="1"/>
    <col min="4" max="4" width="13.85546875" bestFit="1" customWidth="1"/>
    <col min="5" max="5" width="13" customWidth="1"/>
    <col min="6" max="6" width="13.140625" bestFit="1" customWidth="1"/>
    <col min="7" max="7" width="7.42578125" customWidth="1"/>
    <col min="8" max="8" width="9.140625" bestFit="1" customWidth="1"/>
    <col min="9" max="9" width="9.5703125" customWidth="1"/>
    <col min="10" max="10" width="7.5703125" bestFit="1" customWidth="1"/>
    <col min="11" max="11" width="8.28515625" customWidth="1"/>
    <col min="12" max="12" width="12.7109375" customWidth="1"/>
    <col min="13" max="13" width="2.7109375" customWidth="1"/>
    <col min="14" max="14" width="12.7109375" bestFit="1" customWidth="1"/>
    <col min="15" max="15" width="7.140625" customWidth="1"/>
    <col min="16" max="16" width="11.42578125" bestFit="1" customWidth="1"/>
    <col min="17" max="17" width="62.42578125" bestFit="1" customWidth="1"/>
    <col min="18" max="18" width="6.140625" customWidth="1"/>
    <col min="19" max="19" width="11.7109375" customWidth="1"/>
    <col min="20" max="20" width="13.42578125" customWidth="1"/>
    <col min="21" max="21" width="13.85546875" customWidth="1"/>
    <col min="22" max="22" width="8.42578125" customWidth="1"/>
  </cols>
  <sheetData>
    <row r="1" spans="2:22" ht="15" x14ac:dyDescent="0.25">
      <c r="B1" s="17" t="s">
        <v>94</v>
      </c>
      <c r="C1" s="17" t="s">
        <v>96</v>
      </c>
      <c r="D1" s="17" t="s">
        <v>152</v>
      </c>
      <c r="E1" s="17" t="s">
        <v>98</v>
      </c>
      <c r="F1" s="17" t="s">
        <v>99</v>
      </c>
      <c r="H1" s="17" t="s">
        <v>126</v>
      </c>
      <c r="I1" s="17" t="s">
        <v>207</v>
      </c>
    </row>
    <row r="2" spans="2:22" ht="31.5" x14ac:dyDescent="0.25">
      <c r="B2" s="20" t="str">
        <f>EnergyBalance!B16</f>
        <v>RSD</v>
      </c>
      <c r="C2" s="20" t="str">
        <f>EnergyBalance!C16</f>
        <v>Residential</v>
      </c>
      <c r="D2" s="34" t="str">
        <f>"Demand Technologies"</f>
        <v>Demand Technologies</v>
      </c>
      <c r="E2" s="20" t="str">
        <f>EnergyBalance!R2</f>
        <v>PJ</v>
      </c>
      <c r="F2" s="20" t="str">
        <f>EnergyBalance!Q2</f>
        <v>M€2005</v>
      </c>
      <c r="H2" s="20" t="s">
        <v>127</v>
      </c>
      <c r="I2" s="20" t="s">
        <v>128</v>
      </c>
      <c r="N2" s="207" t="s">
        <v>14</v>
      </c>
      <c r="O2" s="207"/>
      <c r="P2" s="208"/>
      <c r="Q2" s="208"/>
      <c r="R2" s="208"/>
      <c r="S2" s="208"/>
      <c r="T2" s="208"/>
      <c r="U2" s="208"/>
      <c r="V2" s="208"/>
    </row>
    <row r="3" spans="2:22" x14ac:dyDescent="0.2">
      <c r="N3" s="209" t="s">
        <v>7</v>
      </c>
      <c r="O3" s="210" t="s">
        <v>30</v>
      </c>
      <c r="P3" s="209" t="s">
        <v>0</v>
      </c>
      <c r="Q3" s="209" t="s">
        <v>3</v>
      </c>
      <c r="R3" s="209" t="s">
        <v>4</v>
      </c>
      <c r="S3" s="209" t="s">
        <v>8</v>
      </c>
      <c r="T3" s="209" t="s">
        <v>9</v>
      </c>
      <c r="U3" s="209" t="s">
        <v>10</v>
      </c>
      <c r="V3" s="209" t="s">
        <v>12</v>
      </c>
    </row>
    <row r="4" spans="2:22" s="9" customFormat="1" ht="24" thickBot="1" x14ac:dyDescent="0.3">
      <c r="B4" s="18"/>
      <c r="C4" s="18"/>
      <c r="D4" s="18"/>
      <c r="E4" s="18"/>
      <c r="F4" s="18"/>
      <c r="N4" s="211" t="s">
        <v>40</v>
      </c>
      <c r="O4" s="211" t="s">
        <v>31</v>
      </c>
      <c r="P4" s="211" t="s">
        <v>26</v>
      </c>
      <c r="Q4" s="211" t="s">
        <v>27</v>
      </c>
      <c r="R4" s="211" t="s">
        <v>4</v>
      </c>
      <c r="S4" s="211" t="s">
        <v>43</v>
      </c>
      <c r="T4" s="211" t="s">
        <v>44</v>
      </c>
      <c r="U4" s="211" t="s">
        <v>28</v>
      </c>
      <c r="V4" s="211" t="s">
        <v>29</v>
      </c>
    </row>
    <row r="5" spans="2:22" s="9" customFormat="1" ht="15.75" x14ac:dyDescent="0.25">
      <c r="B5" s="18"/>
      <c r="C5" s="18"/>
      <c r="D5" s="18"/>
      <c r="E5" s="18"/>
      <c r="F5" s="18"/>
      <c r="N5" s="212" t="s">
        <v>105</v>
      </c>
      <c r="O5" s="213"/>
      <c r="P5" s="212" t="str">
        <f>LEFT($N$5,1)&amp;LEFT(B2,1)&amp;EnergyBalance!$C$44</f>
        <v>DROT</v>
      </c>
      <c r="Q5" s="212" t="str">
        <f>LEFT($D$2,6)&amp;" "&amp;$C$2&amp; " Sector - "&amp;EnergyBalance!$N$44</f>
        <v>Demand Residential Sector - Other</v>
      </c>
      <c r="R5" s="212" t="str">
        <f>$E$2</f>
        <v>PJ</v>
      </c>
      <c r="S5" s="212"/>
      <c r="T5" s="212"/>
      <c r="U5" s="212"/>
      <c r="V5" s="212"/>
    </row>
    <row r="6" spans="2:22" x14ac:dyDescent="0.2">
      <c r="N6" s="214" t="s">
        <v>143</v>
      </c>
      <c r="O6" s="214"/>
      <c r="P6" s="214" t="str">
        <f>$B$2&amp;EnergyBalance!$C$52</f>
        <v>RSDCO2</v>
      </c>
      <c r="Q6" s="214" t="str">
        <f>$C$2&amp;" "&amp;EnergyBalance!$C$53</f>
        <v>Residential Carbon dioxide</v>
      </c>
      <c r="R6" s="214" t="str">
        <f>EnergyBalance!$S$2</f>
        <v>kt</v>
      </c>
      <c r="S6" s="214"/>
      <c r="T6" s="214"/>
      <c r="U6" s="214"/>
      <c r="V6" s="214"/>
    </row>
    <row r="8" spans="2:22" x14ac:dyDescent="0.2">
      <c r="D8" s="7" t="s">
        <v>13</v>
      </c>
      <c r="E8" s="7"/>
      <c r="F8" s="7"/>
      <c r="H8" s="7"/>
      <c r="I8" s="8"/>
      <c r="J8" s="6"/>
      <c r="K8" s="25"/>
      <c r="N8" s="207" t="s">
        <v>15</v>
      </c>
      <c r="O8" s="207"/>
      <c r="P8" s="214"/>
      <c r="Q8" s="214"/>
      <c r="R8" s="214"/>
      <c r="S8" s="214"/>
      <c r="T8" s="214"/>
      <c r="U8" s="214"/>
      <c r="V8" s="214"/>
    </row>
    <row r="9" spans="2:22" x14ac:dyDescent="0.2">
      <c r="B9" s="29" t="s">
        <v>1</v>
      </c>
      <c r="C9" s="29" t="s">
        <v>5</v>
      </c>
      <c r="D9" s="29" t="s">
        <v>6</v>
      </c>
      <c r="E9" s="160" t="s">
        <v>208</v>
      </c>
      <c r="F9" s="159" t="s">
        <v>108</v>
      </c>
      <c r="G9" s="159" t="s">
        <v>124</v>
      </c>
      <c r="H9" s="159" t="s">
        <v>106</v>
      </c>
      <c r="I9" s="159" t="s">
        <v>107</v>
      </c>
      <c r="J9" s="160" t="s">
        <v>101</v>
      </c>
      <c r="K9" s="160" t="s">
        <v>206</v>
      </c>
      <c r="L9" s="160" t="s">
        <v>129</v>
      </c>
      <c r="N9" s="209" t="s">
        <v>11</v>
      </c>
      <c r="O9" s="210" t="s">
        <v>30</v>
      </c>
      <c r="P9" s="209" t="s">
        <v>1</v>
      </c>
      <c r="Q9" s="209" t="s">
        <v>2</v>
      </c>
      <c r="R9" s="209" t="s">
        <v>16</v>
      </c>
      <c r="S9" s="209" t="s">
        <v>17</v>
      </c>
      <c r="T9" s="209" t="s">
        <v>18</v>
      </c>
      <c r="U9" s="209" t="s">
        <v>19</v>
      </c>
      <c r="V9" s="209" t="s">
        <v>20</v>
      </c>
    </row>
    <row r="10" spans="2:22" ht="23.25" thickBot="1" x14ac:dyDescent="0.25">
      <c r="B10" s="27" t="s">
        <v>42</v>
      </c>
      <c r="C10" s="27" t="s">
        <v>32</v>
      </c>
      <c r="D10" s="27" t="s">
        <v>33</v>
      </c>
      <c r="E10" s="27" t="s">
        <v>34</v>
      </c>
      <c r="F10" s="27" t="s">
        <v>113</v>
      </c>
      <c r="G10" s="181" t="s">
        <v>125</v>
      </c>
      <c r="H10" s="27" t="s">
        <v>122</v>
      </c>
      <c r="I10" s="27" t="s">
        <v>121</v>
      </c>
      <c r="J10" s="27" t="s">
        <v>215</v>
      </c>
      <c r="K10" s="27"/>
      <c r="L10" s="27" t="s">
        <v>142</v>
      </c>
      <c r="N10" s="211" t="s">
        <v>41</v>
      </c>
      <c r="O10" s="211" t="s">
        <v>31</v>
      </c>
      <c r="P10" s="211" t="s">
        <v>21</v>
      </c>
      <c r="Q10" s="211" t="s">
        <v>22</v>
      </c>
      <c r="R10" s="211" t="s">
        <v>23</v>
      </c>
      <c r="S10" s="211" t="s">
        <v>24</v>
      </c>
      <c r="T10" s="211" t="s">
        <v>46</v>
      </c>
      <c r="U10" s="211" t="s">
        <v>45</v>
      </c>
      <c r="V10" s="211" t="s">
        <v>25</v>
      </c>
    </row>
    <row r="11" spans="2:22" ht="13.5" thickBot="1" x14ac:dyDescent="0.25">
      <c r="B11" s="26" t="s">
        <v>114</v>
      </c>
      <c r="C11" s="26"/>
      <c r="D11" s="26"/>
      <c r="E11" s="24" t="str">
        <f>E2&amp;"a"</f>
        <v>PJa</v>
      </c>
      <c r="F11" s="24"/>
      <c r="G11" s="163"/>
      <c r="H11" s="24" t="str">
        <f>$F$2&amp;"/"&amp;$E$2</f>
        <v>M€2005/PJ</v>
      </c>
      <c r="I11" s="24" t="str">
        <f>$F$2&amp;"/"&amp;$E$2&amp;"a"</f>
        <v>M€2005/PJa</v>
      </c>
      <c r="J11" s="24" t="s">
        <v>115</v>
      </c>
      <c r="K11" s="24"/>
      <c r="L11" s="24" t="str">
        <f>EnergyBalance!$S$2</f>
        <v>kt</v>
      </c>
      <c r="N11" s="211" t="s">
        <v>103</v>
      </c>
      <c r="O11" s="211"/>
      <c r="P11" s="211"/>
      <c r="Q11" s="211"/>
      <c r="R11" s="211"/>
      <c r="S11" s="211"/>
      <c r="T11" s="211"/>
      <c r="U11" s="211"/>
      <c r="V11" s="211"/>
    </row>
    <row r="12" spans="2:22" x14ac:dyDescent="0.2">
      <c r="B12" t="str">
        <f>P12</f>
        <v>ROTEGAS</v>
      </c>
      <c r="C12" t="str">
        <f>$B$2&amp;RIGHT(B12,3)</f>
        <v>RSDGAS</v>
      </c>
      <c r="D12" t="str">
        <f>$P$5</f>
        <v>DROT</v>
      </c>
      <c r="E12" s="129">
        <f>EnergyBalance!E16/$G$12*1.01</f>
        <v>5485.6746631578944</v>
      </c>
      <c r="F12" s="134">
        <v>1</v>
      </c>
      <c r="G12" s="134">
        <v>0.95</v>
      </c>
      <c r="H12" s="85"/>
      <c r="I12" s="134">
        <v>0.24</v>
      </c>
      <c r="J12" s="85">
        <v>10</v>
      </c>
      <c r="N12" s="212" t="s">
        <v>123</v>
      </c>
      <c r="O12" s="213"/>
      <c r="P12" s="213" t="str">
        <f>LEFT(EnergyBalance!$B$16)&amp;EnergyBalance!$C$44&amp;$H$2&amp;EnergyBalance!E2</f>
        <v>ROTEGAS</v>
      </c>
      <c r="Q12" s="217" t="str">
        <f>$D$2&amp;" "&amp;$C$2&amp; " Sector - "&amp;" "&amp;$H$1&amp;" "&amp;EnergyBalance!$N$44&amp;" - "&amp;EnergyBalance!$E$3</f>
        <v>Demand Technologies Residential Sector -  Existing Other - Natural Gas</v>
      </c>
      <c r="R12" s="213" t="str">
        <f>$E$2</f>
        <v>PJ</v>
      </c>
      <c r="S12" s="213" t="str">
        <f>$E$2&amp;"a"</f>
        <v>PJa</v>
      </c>
      <c r="T12" s="213"/>
      <c r="U12" s="213"/>
      <c r="V12" s="213"/>
    </row>
    <row r="13" spans="2:22" x14ac:dyDescent="0.2">
      <c r="D13" t="str">
        <f>$P$6</f>
        <v>RSDCO2</v>
      </c>
      <c r="E13" s="14"/>
      <c r="F13" s="28"/>
      <c r="G13" s="28"/>
      <c r="I13" s="28"/>
      <c r="L13" s="85">
        <f>56.1/F12</f>
        <v>56.1</v>
      </c>
      <c r="N13" s="212"/>
      <c r="O13" s="213"/>
      <c r="P13" s="213" t="str">
        <f>LEFT(EnergyBalance!$B$16)&amp;EnergyBalance!$C$44&amp;$I$2&amp;EnergyBalance!E2</f>
        <v>ROTNGAS</v>
      </c>
      <c r="Q13" s="217" t="str">
        <f>$D$2&amp;" "&amp;$C$2&amp; " Sector - "&amp;" "&amp;$I$1&amp;" "&amp;EnergyBalance!$N$44&amp;" - "&amp;EnergyBalance!$E$3</f>
        <v>Demand Technologies Residential Sector -  New Other - Natural Gas</v>
      </c>
      <c r="R13" s="213" t="str">
        <f>$E$2</f>
        <v>PJ</v>
      </c>
      <c r="S13" s="213" t="str">
        <f>$E$2&amp;"a"</f>
        <v>PJa</v>
      </c>
      <c r="T13" s="213"/>
      <c r="U13" s="213"/>
      <c r="V13" s="213"/>
    </row>
    <row r="14" spans="2:22" x14ac:dyDescent="0.2">
      <c r="B14" s="11" t="str">
        <f>P13</f>
        <v>ROTNGAS</v>
      </c>
      <c r="C14" t="str">
        <f>$B$2&amp;RIGHT(B14,3)</f>
        <v>RSDGAS</v>
      </c>
      <c r="D14" s="11" t="str">
        <f>$P$5</f>
        <v>DROT</v>
      </c>
      <c r="E14" s="32"/>
      <c r="F14" s="137">
        <v>1.2</v>
      </c>
      <c r="G14" s="137">
        <v>0.95</v>
      </c>
      <c r="H14" s="157">
        <v>12</v>
      </c>
      <c r="I14" s="137">
        <f>H14*0.02</f>
        <v>0.24</v>
      </c>
      <c r="J14" s="157">
        <v>20</v>
      </c>
      <c r="K14" s="138">
        <v>2006</v>
      </c>
      <c r="N14" s="9"/>
      <c r="O14" s="9"/>
      <c r="P14" s="9"/>
      <c r="Q14" s="35"/>
      <c r="R14" s="9"/>
      <c r="S14" s="9"/>
      <c r="T14" s="9"/>
      <c r="U14" s="9"/>
      <c r="V14" s="9"/>
    </row>
    <row r="15" spans="2:22" x14ac:dyDescent="0.2">
      <c r="B15" s="11"/>
      <c r="D15" t="str">
        <f>$P$6</f>
        <v>RSDCO2</v>
      </c>
      <c r="E15" s="32"/>
      <c r="F15" s="33"/>
      <c r="G15" s="33"/>
      <c r="H15" s="11"/>
      <c r="I15" s="33"/>
      <c r="J15" s="11"/>
      <c r="K15" s="32"/>
      <c r="L15" s="198">
        <f>56.1/F14</f>
        <v>46.75</v>
      </c>
      <c r="N15" s="9"/>
      <c r="O15" s="9"/>
      <c r="P15" s="9"/>
      <c r="Q15" s="35"/>
      <c r="R15" s="9"/>
      <c r="S15" s="9"/>
      <c r="T15" s="9"/>
      <c r="U15" s="9"/>
      <c r="V15" s="9"/>
    </row>
    <row r="16" spans="2:22" x14ac:dyDescent="0.2">
      <c r="N16" s="9"/>
      <c r="O16" s="9"/>
      <c r="P16" s="9"/>
      <c r="Q16" s="9"/>
      <c r="R16" s="9"/>
      <c r="S16" s="9"/>
      <c r="T16" s="9"/>
      <c r="U16" s="9"/>
      <c r="V16" s="9"/>
    </row>
    <row r="17" spans="2:22" x14ac:dyDescent="0.2">
      <c r="N17" s="9"/>
      <c r="O17" s="9"/>
      <c r="P17" s="9"/>
      <c r="Q17" s="9"/>
      <c r="R17" s="9"/>
      <c r="S17" s="9"/>
      <c r="T17" s="9"/>
      <c r="U17" s="9"/>
      <c r="V17" s="9"/>
    </row>
    <row r="18" spans="2:22" x14ac:dyDescent="0.2">
      <c r="I18" s="25"/>
      <c r="N18" s="9"/>
      <c r="O18" s="9"/>
      <c r="P18" s="9"/>
      <c r="Q18" s="9"/>
      <c r="R18" s="9"/>
      <c r="S18" s="9"/>
      <c r="T18" s="9"/>
      <c r="U18" s="9"/>
      <c r="V18" s="9"/>
    </row>
    <row r="19" spans="2:22" x14ac:dyDescent="0.2">
      <c r="I19" s="25"/>
      <c r="N19" s="9"/>
      <c r="O19" s="9"/>
      <c r="P19" s="9"/>
      <c r="Q19" s="9"/>
      <c r="R19" s="9"/>
      <c r="S19" s="9"/>
      <c r="T19" s="9"/>
      <c r="U19" s="9"/>
      <c r="V19" s="9"/>
    </row>
    <row r="20" spans="2:22" x14ac:dyDescent="0.2">
      <c r="N20" s="9"/>
      <c r="O20" s="9"/>
      <c r="P20" s="9"/>
      <c r="Q20" s="9"/>
      <c r="R20" s="9"/>
      <c r="S20" s="9"/>
      <c r="T20" s="9"/>
      <c r="U20" s="9"/>
      <c r="V20" s="9"/>
    </row>
    <row r="21" spans="2:22" x14ac:dyDescent="0.2">
      <c r="N21" s="9"/>
      <c r="O21" s="9"/>
      <c r="P21" s="9"/>
      <c r="Q21" s="9"/>
      <c r="R21" s="9"/>
      <c r="S21" s="9"/>
      <c r="T21" s="9"/>
      <c r="U21" s="9"/>
      <c r="V21" s="9"/>
    </row>
    <row r="22" spans="2:22" x14ac:dyDescent="0.2">
      <c r="N22" s="9"/>
      <c r="O22" s="9"/>
      <c r="P22" s="9"/>
      <c r="Q22" s="9"/>
      <c r="R22" s="9"/>
      <c r="S22" s="9"/>
      <c r="T22" s="9"/>
      <c r="U22" s="9"/>
      <c r="V22" s="9"/>
    </row>
    <row r="23" spans="2:22" x14ac:dyDescent="0.2">
      <c r="B23" s="85"/>
      <c r="C23" s="1" t="s">
        <v>197</v>
      </c>
    </row>
    <row r="24" spans="2:22" x14ac:dyDescent="0.2">
      <c r="B24" s="130"/>
      <c r="C24" s="1" t="s">
        <v>198</v>
      </c>
      <c r="K24" s="1"/>
    </row>
    <row r="25" spans="2:22" x14ac:dyDescent="0.2">
      <c r="K25" s="1"/>
      <c r="L25" s="1"/>
      <c r="M25" s="1"/>
    </row>
    <row r="26" spans="2:22" x14ac:dyDescent="0.2">
      <c r="K26" s="1"/>
      <c r="L26" s="1"/>
      <c r="M26" s="1"/>
    </row>
    <row r="27" spans="2:22" x14ac:dyDescent="0.2">
      <c r="K27" s="1"/>
      <c r="L27" s="1"/>
      <c r="M27" s="1"/>
    </row>
    <row r="28" spans="2:22" x14ac:dyDescent="0.2">
      <c r="L28" s="1"/>
      <c r="M28" s="1"/>
    </row>
  </sheetData>
  <pageMargins left="0.7" right="0.7" top="0.75" bottom="0.75" header="0.3" footer="0.3"/>
  <drawing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23"/>
  <sheetViews>
    <sheetView workbookViewId="0">
      <selection activeCell="F29" sqref="F29"/>
    </sheetView>
  </sheetViews>
  <sheetFormatPr defaultRowHeight="12.75" x14ac:dyDescent="0.2"/>
  <cols>
    <col min="1" max="1" width="2" bestFit="1" customWidth="1"/>
    <col min="2" max="2" width="12.5703125" customWidth="1"/>
    <col min="3" max="3" width="13.140625" customWidth="1"/>
    <col min="4" max="4" width="11.5703125" customWidth="1"/>
    <col min="5" max="5" width="10.85546875" bestFit="1" customWidth="1"/>
    <col min="6" max="9" width="11.28515625" customWidth="1"/>
    <col min="10" max="10" width="2" bestFit="1" customWidth="1"/>
    <col min="11" max="11" width="12.140625" bestFit="1" customWidth="1"/>
    <col min="12" max="12" width="7" bestFit="1" customWidth="1"/>
    <col min="13" max="13" width="2" bestFit="1" customWidth="1"/>
    <col min="14" max="14" width="12.85546875" customWidth="1"/>
    <col min="15" max="15" width="13.7109375" customWidth="1"/>
  </cols>
  <sheetData>
    <row r="1" spans="2:17" ht="15" x14ac:dyDescent="0.25">
      <c r="B1" s="17" t="s">
        <v>94</v>
      </c>
      <c r="C1" s="17" t="s">
        <v>95</v>
      </c>
      <c r="D1" s="17" t="s">
        <v>96</v>
      </c>
      <c r="E1" s="17" t="s">
        <v>98</v>
      </c>
      <c r="G1" s="17" t="s">
        <v>99</v>
      </c>
    </row>
    <row r="2" spans="2:17" ht="15.75" x14ac:dyDescent="0.25">
      <c r="B2" s="20" t="s">
        <v>105</v>
      </c>
      <c r="C2" s="20"/>
      <c r="D2" s="20"/>
      <c r="E2" s="20" t="str">
        <f>EnergyBalance!R2</f>
        <v>PJ</v>
      </c>
      <c r="G2" s="20" t="str">
        <f>EnergyBalance!Q2</f>
        <v>M€2005</v>
      </c>
    </row>
    <row r="5" spans="2:17" x14ac:dyDescent="0.2">
      <c r="C5" s="5" t="s">
        <v>13</v>
      </c>
      <c r="D5" s="5"/>
      <c r="E5" s="1"/>
      <c r="P5" s="5" t="s">
        <v>13</v>
      </c>
      <c r="Q5" s="1"/>
    </row>
    <row r="6" spans="2:17" x14ac:dyDescent="0.2">
      <c r="B6" s="4" t="s">
        <v>102</v>
      </c>
      <c r="C6" s="4" t="s">
        <v>0</v>
      </c>
      <c r="D6" s="4" t="s">
        <v>193</v>
      </c>
      <c r="E6" s="182">
        <v>2005</v>
      </c>
      <c r="F6" s="182">
        <v>2006</v>
      </c>
      <c r="G6" s="182">
        <v>2010</v>
      </c>
      <c r="H6" s="182">
        <v>2015</v>
      </c>
      <c r="I6" s="182">
        <v>2020</v>
      </c>
      <c r="N6" s="4" t="s">
        <v>102</v>
      </c>
      <c r="O6" s="4" t="s">
        <v>0</v>
      </c>
      <c r="P6" s="4" t="s">
        <v>177</v>
      </c>
      <c r="Q6" s="4">
        <v>2005</v>
      </c>
    </row>
    <row r="7" spans="2:17" ht="22.5" x14ac:dyDescent="0.2">
      <c r="B7" s="27" t="s">
        <v>103</v>
      </c>
      <c r="C7" s="27" t="s">
        <v>104</v>
      </c>
      <c r="D7" s="27" t="s">
        <v>194</v>
      </c>
      <c r="E7" s="161" t="s">
        <v>36</v>
      </c>
      <c r="F7" s="161"/>
      <c r="G7" s="161"/>
      <c r="H7" s="161"/>
      <c r="I7" s="161"/>
      <c r="K7" s="143" t="s">
        <v>176</v>
      </c>
      <c r="L7" s="226" t="s">
        <v>218</v>
      </c>
      <c r="N7" s="27" t="s">
        <v>103</v>
      </c>
      <c r="O7" s="27" t="s">
        <v>104</v>
      </c>
      <c r="P7" s="27"/>
      <c r="Q7" s="27"/>
    </row>
    <row r="8" spans="2:17" ht="13.5" thickBot="1" x14ac:dyDescent="0.25">
      <c r="B8" s="26" t="s">
        <v>114</v>
      </c>
      <c r="C8" s="26"/>
      <c r="D8" s="26"/>
      <c r="E8" s="24" t="str">
        <f>E2</f>
        <v>PJ</v>
      </c>
      <c r="F8" s="24"/>
      <c r="G8" s="24"/>
      <c r="H8" s="24"/>
      <c r="I8" s="24"/>
      <c r="K8" s="144"/>
      <c r="L8" s="144"/>
      <c r="N8" s="26" t="s">
        <v>114</v>
      </c>
      <c r="O8" s="26"/>
      <c r="P8" s="26"/>
      <c r="Q8" s="26"/>
    </row>
    <row r="9" spans="2:17" x14ac:dyDescent="0.2">
      <c r="B9" s="62" t="s">
        <v>35</v>
      </c>
      <c r="C9" s="62" t="str">
        <f>DemTechs_TPS!N5</f>
        <v>TPSCOA</v>
      </c>
      <c r="D9" s="62" t="s">
        <v>97</v>
      </c>
      <c r="E9" s="166">
        <f>EnergyBalance!D24</f>
        <v>3596.8059999999982</v>
      </c>
      <c r="F9" s="167"/>
      <c r="G9" s="167"/>
      <c r="H9" s="167"/>
      <c r="I9" s="167"/>
      <c r="K9" s="136"/>
      <c r="L9" s="138"/>
      <c r="N9" s="1" t="s">
        <v>178</v>
      </c>
      <c r="O9" s="1" t="str">
        <f>DemTechs_ELC!$N$5</f>
        <v>TPSELC</v>
      </c>
      <c r="P9" s="61" t="s">
        <v>179</v>
      </c>
      <c r="Q9" s="131">
        <v>0.3</v>
      </c>
    </row>
    <row r="10" spans="2:17" x14ac:dyDescent="0.2">
      <c r="B10" s="11" t="s">
        <v>35</v>
      </c>
      <c r="C10" s="11" t="str">
        <f>DemTechs_RSD!$P$5</f>
        <v>DROT</v>
      </c>
      <c r="D10" s="42" t="s">
        <v>97</v>
      </c>
      <c r="E10" s="129">
        <f>EnergyBalance!E16</f>
        <v>5159.7929999999997</v>
      </c>
      <c r="F10" s="168"/>
      <c r="G10" s="168"/>
      <c r="H10" s="168"/>
      <c r="I10" s="168"/>
      <c r="K10" s="138"/>
      <c r="L10" s="138"/>
      <c r="N10" s="1" t="s">
        <v>178</v>
      </c>
      <c r="O10" s="42" t="str">
        <f>DemTechs_ELC!$N$5</f>
        <v>TPSELC</v>
      </c>
      <c r="P10" s="61" t="s">
        <v>180</v>
      </c>
      <c r="Q10" s="131">
        <v>0.2</v>
      </c>
    </row>
    <row r="11" spans="2:17" x14ac:dyDescent="0.2">
      <c r="B11" s="11" t="s">
        <v>35</v>
      </c>
      <c r="C11" s="11" t="str">
        <f>DemTechs_TRA!$P$5</f>
        <v>DTD1</v>
      </c>
      <c r="D11" s="42" t="s">
        <v>97</v>
      </c>
      <c r="E11" s="129">
        <f>EnergyBalance!F20</f>
        <v>14851.249</v>
      </c>
      <c r="F11" s="148"/>
      <c r="G11" s="148"/>
      <c r="H11" s="148"/>
      <c r="I11" s="148"/>
      <c r="K11" s="183"/>
      <c r="L11" s="183"/>
      <c r="N11" s="1" t="s">
        <v>178</v>
      </c>
      <c r="O11" s="42" t="str">
        <f>DemTechs_ELC!$N$5</f>
        <v>TPSELC</v>
      </c>
      <c r="P11" s="61" t="s">
        <v>181</v>
      </c>
      <c r="Q11" s="131">
        <v>0.27</v>
      </c>
    </row>
    <row r="12" spans="2:17" x14ac:dyDescent="0.2">
      <c r="B12" s="46" t="s">
        <v>35</v>
      </c>
      <c r="C12" s="46" t="str">
        <f>DemTechs_ELC!N5</f>
        <v>TPSELC</v>
      </c>
      <c r="D12" s="63" t="s">
        <v>97</v>
      </c>
      <c r="E12" s="169">
        <f>EnergyBalance!K24</f>
        <v>10422.934999999999</v>
      </c>
      <c r="F12" s="169">
        <f>$E$12*(1+$K$12)^(F6-$E$6)</f>
        <v>10527.164349999999</v>
      </c>
      <c r="G12" s="169">
        <f>$E$12*(1+$K$12)^(G6-$E$6)</f>
        <v>10954.609436539042</v>
      </c>
      <c r="H12" s="169">
        <f>$E$12*(1+$K$12)^(H6-$E$6)</f>
        <v>11513.404612722834</v>
      </c>
      <c r="I12" s="169">
        <f>$E$12*(1+$K$12)^(I6-$E$6)</f>
        <v>12100.703958839395</v>
      </c>
      <c r="K12" s="184">
        <v>0.01</v>
      </c>
      <c r="L12" s="184">
        <v>0.05</v>
      </c>
      <c r="N12" s="63" t="s">
        <v>178</v>
      </c>
      <c r="O12" s="63" t="str">
        <f>DemTechs_ELC!$N$5</f>
        <v>TPSELC</v>
      </c>
      <c r="P12" s="64" t="s">
        <v>182</v>
      </c>
      <c r="Q12" s="142">
        <v>0.23</v>
      </c>
    </row>
    <row r="13" spans="2:17" x14ac:dyDescent="0.2">
      <c r="E13" s="56"/>
    </row>
    <row r="14" spans="2:17" x14ac:dyDescent="0.2">
      <c r="E14" s="14"/>
    </row>
    <row r="16" spans="2:17" x14ac:dyDescent="0.2">
      <c r="E16" s="14"/>
    </row>
    <row r="22" spans="2:3" x14ac:dyDescent="0.2">
      <c r="B22" s="85"/>
      <c r="C22" s="1" t="s">
        <v>197</v>
      </c>
    </row>
    <row r="23" spans="2:3" x14ac:dyDescent="0.2">
      <c r="B23" s="130"/>
      <c r="C23" s="1" t="s">
        <v>198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A16"/>
  <sheetViews>
    <sheetView zoomScale="60" zoomScaleNormal="60" workbookViewId="0">
      <selection activeCell="P51" sqref="P51"/>
    </sheetView>
  </sheetViews>
  <sheetFormatPr defaultRowHeight="12.75" x14ac:dyDescent="0.2"/>
  <cols>
    <col min="1" max="1" width="1.85546875" customWidth="1"/>
    <col min="2" max="2" width="7.7109375" customWidth="1"/>
    <col min="3" max="3" width="6.85546875" customWidth="1"/>
    <col min="12" max="12" width="6.7109375" customWidth="1"/>
    <col min="13" max="13" width="7.140625" customWidth="1"/>
    <col min="23" max="23" width="5.42578125" customWidth="1"/>
  </cols>
  <sheetData>
    <row r="2" spans="2:27" ht="18" x14ac:dyDescent="0.25">
      <c r="B2" s="145" t="s">
        <v>200</v>
      </c>
      <c r="M2" s="145" t="s">
        <v>204</v>
      </c>
    </row>
    <row r="3" spans="2:27" ht="18" x14ac:dyDescent="0.25">
      <c r="M3" s="145" t="s">
        <v>205</v>
      </c>
    </row>
    <row r="4" spans="2:27" x14ac:dyDescent="0.2">
      <c r="B4" s="47" t="s">
        <v>214</v>
      </c>
    </row>
    <row r="11" spans="2:27" x14ac:dyDescent="0.2">
      <c r="M11" s="147"/>
      <c r="N11" s="147"/>
      <c r="O11" s="9"/>
    </row>
    <row r="12" spans="2:27" x14ac:dyDescent="0.2">
      <c r="M12" s="9"/>
      <c r="N12" s="16"/>
      <c r="O12" s="9"/>
    </row>
    <row r="13" spans="2:27" x14ac:dyDescent="0.2">
      <c r="M13" s="9"/>
      <c r="N13" s="16"/>
      <c r="O13" s="9"/>
    </row>
    <row r="14" spans="2:27" ht="18" x14ac:dyDescent="0.25">
      <c r="B14" s="145" t="s">
        <v>199</v>
      </c>
      <c r="M14" s="9"/>
      <c r="N14" s="9"/>
      <c r="O14" s="9"/>
    </row>
    <row r="16" spans="2:27" x14ac:dyDescent="0.2">
      <c r="D16" s="146" t="s">
        <v>201</v>
      </c>
      <c r="E16" s="146"/>
      <c r="F16" s="146"/>
      <c r="G16" s="146"/>
      <c r="H16" s="146"/>
      <c r="I16" s="146"/>
      <c r="N16" s="146" t="s">
        <v>202</v>
      </c>
      <c r="O16" s="146"/>
      <c r="P16" s="146"/>
      <c r="Q16" s="146"/>
      <c r="X16" s="146" t="s">
        <v>203</v>
      </c>
      <c r="Y16" s="146"/>
      <c r="Z16" s="146"/>
      <c r="AA16" s="146"/>
    </row>
  </sheetData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T35"/>
  <sheetViews>
    <sheetView zoomScaleNormal="100" workbookViewId="0">
      <selection activeCell="H16" sqref="H16"/>
    </sheetView>
  </sheetViews>
  <sheetFormatPr defaultRowHeight="12.75" x14ac:dyDescent="0.2"/>
  <cols>
    <col min="1" max="1" width="2" bestFit="1" customWidth="1"/>
    <col min="2" max="2" width="11.5703125" bestFit="1" customWidth="1"/>
    <col min="3" max="3" width="11.28515625" bestFit="1" customWidth="1"/>
    <col min="4" max="4" width="11.7109375" customWidth="1"/>
    <col min="5" max="5" width="11.42578125" bestFit="1" customWidth="1"/>
    <col min="6" max="6" width="8.28515625" bestFit="1" customWidth="1"/>
    <col min="7" max="7" width="13.7109375" customWidth="1"/>
    <col min="8" max="8" width="8.42578125" bestFit="1" customWidth="1"/>
    <col min="9" max="9" width="13.7109375" bestFit="1" customWidth="1"/>
    <col min="10" max="10" width="2" customWidth="1"/>
    <col min="11" max="11" width="13.7109375" customWidth="1"/>
    <col min="12" max="12" width="7.140625" customWidth="1"/>
    <col min="13" max="13" width="11.42578125" bestFit="1" customWidth="1"/>
    <col min="14" max="14" width="35" bestFit="1" customWidth="1"/>
    <col min="15" max="15" width="6.5703125" customWidth="1"/>
    <col min="16" max="16" width="11.5703125" customWidth="1"/>
    <col min="17" max="17" width="13" customWidth="1"/>
    <col min="18" max="18" width="15.140625" customWidth="1"/>
    <col min="19" max="19" width="7.5703125" bestFit="1" customWidth="1"/>
  </cols>
  <sheetData>
    <row r="1" spans="2:20" ht="30" x14ac:dyDescent="0.25">
      <c r="B1" s="44" t="s">
        <v>94</v>
      </c>
      <c r="C1" s="44" t="s">
        <v>95</v>
      </c>
      <c r="D1" s="44" t="s">
        <v>96</v>
      </c>
      <c r="E1" s="44" t="s">
        <v>98</v>
      </c>
      <c r="F1" s="31"/>
      <c r="G1" s="44" t="s">
        <v>99</v>
      </c>
    </row>
    <row r="2" spans="2:20" ht="15.75" x14ac:dyDescent="0.25">
      <c r="B2" s="20"/>
      <c r="C2" s="20" t="str">
        <f>EnergyBalance!D2</f>
        <v>COA</v>
      </c>
      <c r="D2" s="20" t="str">
        <f>EnergyBalance!D3</f>
        <v>Solid Fuels</v>
      </c>
      <c r="E2" s="20" t="str">
        <f>EnergyBalance!R2</f>
        <v>PJ</v>
      </c>
      <c r="G2" s="20" t="str">
        <f>EnergyBalance!Q2</f>
        <v>M€2005</v>
      </c>
      <c r="K2" s="207" t="s">
        <v>14</v>
      </c>
      <c r="L2" s="207"/>
      <c r="M2" s="208"/>
      <c r="N2" s="208"/>
      <c r="O2" s="208"/>
      <c r="P2" s="208"/>
      <c r="Q2" s="208"/>
      <c r="R2" s="208"/>
      <c r="S2" s="208"/>
    </row>
    <row r="3" spans="2:20" x14ac:dyDescent="0.2">
      <c r="K3" s="209" t="s">
        <v>7</v>
      </c>
      <c r="L3" s="210" t="s">
        <v>30</v>
      </c>
      <c r="M3" s="209" t="s">
        <v>0</v>
      </c>
      <c r="N3" s="209" t="s">
        <v>3</v>
      </c>
      <c r="O3" s="209" t="s">
        <v>4</v>
      </c>
      <c r="P3" s="209" t="s">
        <v>8</v>
      </c>
      <c r="Q3" s="209" t="s">
        <v>9</v>
      </c>
      <c r="R3" s="209" t="s">
        <v>10</v>
      </c>
      <c r="S3" s="209" t="s">
        <v>12</v>
      </c>
    </row>
    <row r="4" spans="2:20" ht="23.25" thickBot="1" x14ac:dyDescent="0.25">
      <c r="C4" s="1"/>
      <c r="K4" s="211" t="s">
        <v>40</v>
      </c>
      <c r="L4" s="211" t="s">
        <v>31</v>
      </c>
      <c r="M4" s="211" t="s">
        <v>26</v>
      </c>
      <c r="N4" s="211" t="s">
        <v>27</v>
      </c>
      <c r="O4" s="211" t="s">
        <v>4</v>
      </c>
      <c r="P4" s="211" t="s">
        <v>43</v>
      </c>
      <c r="Q4" s="211" t="s">
        <v>44</v>
      </c>
      <c r="R4" s="211" t="s">
        <v>28</v>
      </c>
      <c r="S4" s="211" t="s">
        <v>29</v>
      </c>
    </row>
    <row r="5" spans="2:20" x14ac:dyDescent="0.2">
      <c r="K5" s="212" t="s">
        <v>93</v>
      </c>
      <c r="L5" s="213"/>
      <c r="M5" s="212" t="str">
        <f>C2</f>
        <v>COA</v>
      </c>
      <c r="N5" s="212" t="str">
        <f>D2</f>
        <v>Solid Fuels</v>
      </c>
      <c r="O5" s="212" t="str">
        <f>$E$2</f>
        <v>PJ</v>
      </c>
      <c r="P5" s="212"/>
      <c r="Q5" s="212"/>
      <c r="R5" s="212"/>
      <c r="S5" s="212"/>
    </row>
    <row r="6" spans="2:20" x14ac:dyDescent="0.2">
      <c r="K6" s="16"/>
      <c r="L6" s="9"/>
      <c r="M6" s="16"/>
      <c r="N6" s="16"/>
      <c r="O6" s="16"/>
      <c r="P6" s="16"/>
      <c r="Q6" s="16"/>
      <c r="R6" s="16"/>
      <c r="S6" s="16"/>
    </row>
    <row r="7" spans="2:20" x14ac:dyDescent="0.2">
      <c r="F7" s="7" t="s">
        <v>13</v>
      </c>
      <c r="H7" s="7"/>
      <c r="K7" s="207" t="s">
        <v>15</v>
      </c>
      <c r="L7" s="207"/>
      <c r="M7" s="214"/>
      <c r="N7" s="214"/>
      <c r="O7" s="214"/>
      <c r="P7" s="214"/>
      <c r="Q7" s="214"/>
      <c r="R7" s="214"/>
      <c r="S7" s="214"/>
    </row>
    <row r="8" spans="2:20" x14ac:dyDescent="0.2">
      <c r="B8" s="3" t="s">
        <v>1</v>
      </c>
      <c r="C8" s="30" t="s">
        <v>5</v>
      </c>
      <c r="D8" s="3" t="s">
        <v>6</v>
      </c>
      <c r="E8" s="3" t="s">
        <v>156</v>
      </c>
      <c r="F8" s="3" t="s">
        <v>8</v>
      </c>
      <c r="G8" s="164" t="s">
        <v>37</v>
      </c>
      <c r="H8" s="164" t="s">
        <v>38</v>
      </c>
      <c r="I8" s="164" t="s">
        <v>100</v>
      </c>
      <c r="K8" s="209" t="s">
        <v>11</v>
      </c>
      <c r="L8" s="210" t="s">
        <v>30</v>
      </c>
      <c r="M8" s="209" t="s">
        <v>1</v>
      </c>
      <c r="N8" s="209" t="s">
        <v>2</v>
      </c>
      <c r="O8" s="209" t="s">
        <v>16</v>
      </c>
      <c r="P8" s="209" t="s">
        <v>17</v>
      </c>
      <c r="Q8" s="209" t="s">
        <v>18</v>
      </c>
      <c r="R8" s="209" t="s">
        <v>19</v>
      </c>
      <c r="S8" s="209" t="s">
        <v>20</v>
      </c>
    </row>
    <row r="9" spans="2:20" ht="23.25" thickBot="1" x14ac:dyDescent="0.25">
      <c r="B9" s="26" t="s">
        <v>42</v>
      </c>
      <c r="C9" s="26" t="s">
        <v>32</v>
      </c>
      <c r="D9" s="26" t="s">
        <v>33</v>
      </c>
      <c r="E9" s="26"/>
      <c r="F9" s="176"/>
      <c r="G9" s="176" t="s">
        <v>39</v>
      </c>
      <c r="H9" s="176" t="s">
        <v>117</v>
      </c>
      <c r="I9" s="176" t="s">
        <v>116</v>
      </c>
      <c r="K9" s="211" t="s">
        <v>41</v>
      </c>
      <c r="L9" s="211" t="s">
        <v>31</v>
      </c>
      <c r="M9" s="211" t="s">
        <v>21</v>
      </c>
      <c r="N9" s="211" t="s">
        <v>22</v>
      </c>
      <c r="O9" s="211" t="s">
        <v>23</v>
      </c>
      <c r="P9" s="211" t="s">
        <v>24</v>
      </c>
      <c r="Q9" s="211" t="s">
        <v>46</v>
      </c>
      <c r="R9" s="211" t="s">
        <v>45</v>
      </c>
      <c r="S9" s="211" t="s">
        <v>25</v>
      </c>
    </row>
    <row r="10" spans="2:20" ht="13.5" thickBot="1" x14ac:dyDescent="0.25">
      <c r="B10" s="26" t="s">
        <v>114</v>
      </c>
      <c r="C10" s="24"/>
      <c r="D10" s="24"/>
      <c r="E10" s="24"/>
      <c r="F10" s="24"/>
      <c r="G10" s="24" t="str">
        <f>$E$2</f>
        <v>PJ</v>
      </c>
      <c r="H10" s="24" t="str">
        <f>$G$2&amp;"/"&amp;$E$2</f>
        <v>M€2005/PJ</v>
      </c>
      <c r="I10" s="24" t="str">
        <f>$E$2</f>
        <v>PJ</v>
      </c>
      <c r="K10" s="211" t="s">
        <v>103</v>
      </c>
      <c r="L10" s="215"/>
      <c r="M10" s="215"/>
      <c r="N10" s="215"/>
      <c r="O10" s="215"/>
      <c r="P10" s="215"/>
      <c r="Q10" s="215"/>
      <c r="R10" s="215"/>
      <c r="S10" s="215"/>
    </row>
    <row r="11" spans="2:20" x14ac:dyDescent="0.2">
      <c r="B11" s="16" t="str">
        <f>M11</f>
        <v>MINCOA1</v>
      </c>
      <c r="C11" s="16"/>
      <c r="D11" s="16" t="str">
        <f>$M$5</f>
        <v>COA</v>
      </c>
      <c r="E11" s="16"/>
      <c r="F11" s="16"/>
      <c r="G11" s="133">
        <v>80000</v>
      </c>
      <c r="H11" s="135">
        <v>2</v>
      </c>
      <c r="I11" s="128">
        <f>EnergyBalance!$D$5*EnergyBalance!D37</f>
        <v>6073.7685000000001</v>
      </c>
      <c r="J11" s="9"/>
      <c r="K11" s="212" t="str">
        <f>EnergyBalance!$B$5</f>
        <v>MIN</v>
      </c>
      <c r="L11" s="213"/>
      <c r="M11" s="213" t="str">
        <f>$K$11&amp;$C$2&amp;1</f>
        <v>MINCOA1</v>
      </c>
      <c r="N11" s="216" t="str">
        <f>"Domestic Supply of "&amp;$D$2&amp; " Step "&amp;RIGHT(M11,1)</f>
        <v>Domestic Supply of Solid Fuels Step 1</v>
      </c>
      <c r="O11" s="213" t="str">
        <f>$E$2</f>
        <v>PJ</v>
      </c>
      <c r="P11" s="213"/>
      <c r="Q11" s="213"/>
      <c r="R11" s="213"/>
      <c r="S11" s="213"/>
    </row>
    <row r="12" spans="2:20" s="9" customFormat="1" x14ac:dyDescent="0.2">
      <c r="B12" s="16" t="str">
        <f>M12</f>
        <v>MINCOA2</v>
      </c>
      <c r="C12" s="16"/>
      <c r="D12" s="16" t="str">
        <f>$M$5</f>
        <v>COA</v>
      </c>
      <c r="E12" s="16"/>
      <c r="F12" s="16"/>
      <c r="G12" s="133">
        <v>160000</v>
      </c>
      <c r="H12" s="135">
        <v>2.5</v>
      </c>
      <c r="I12" s="128">
        <f>EnergyBalance!$D$5*EnergyBalance!D38</f>
        <v>2024.5895</v>
      </c>
      <c r="K12" s="213"/>
      <c r="L12" s="213"/>
      <c r="M12" s="213" t="str">
        <f>$K$11&amp;$C$2&amp;2</f>
        <v>MINCOA2</v>
      </c>
      <c r="N12" s="216" t="str">
        <f>"Domestic Supply of "&amp;$D$2&amp; " Step "&amp;RIGHT(M12,1)</f>
        <v>Domestic Supply of Solid Fuels Step 2</v>
      </c>
      <c r="O12" s="213" t="str">
        <f>$E$2</f>
        <v>PJ</v>
      </c>
      <c r="P12" s="213"/>
      <c r="Q12" s="213"/>
      <c r="R12" s="213"/>
      <c r="S12" s="213"/>
    </row>
    <row r="13" spans="2:20" s="9" customFormat="1" x14ac:dyDescent="0.2">
      <c r="B13" s="16" t="str">
        <f>M13</f>
        <v>MINCOA3</v>
      </c>
      <c r="C13" s="16"/>
      <c r="D13" s="16" t="str">
        <f>$M$5</f>
        <v>COA</v>
      </c>
      <c r="E13" s="16"/>
      <c r="F13" s="16"/>
      <c r="G13" s="133">
        <v>320000</v>
      </c>
      <c r="H13" s="135">
        <v>3</v>
      </c>
      <c r="I13" s="133"/>
      <c r="K13" s="213"/>
      <c r="L13" s="213"/>
      <c r="M13" s="213" t="str">
        <f>$K$11&amp;$C$2&amp;3</f>
        <v>MINCOA3</v>
      </c>
      <c r="N13" s="216" t="str">
        <f>"Domestic Supply of "&amp;$D$2&amp; " Step "&amp;RIGHT(M13,1)</f>
        <v>Domestic Supply of Solid Fuels Step 3</v>
      </c>
      <c r="O13" s="213" t="str">
        <f>$E$2</f>
        <v>PJ</v>
      </c>
      <c r="P13" s="213"/>
      <c r="Q13" s="213"/>
      <c r="R13" s="213"/>
      <c r="S13" s="213"/>
    </row>
    <row r="14" spans="2:20" s="9" customFormat="1" x14ac:dyDescent="0.2">
      <c r="B14" s="16" t="str">
        <f>M14</f>
        <v>IMPCOA1</v>
      </c>
      <c r="C14" s="16"/>
      <c r="D14" s="16" t="str">
        <f>$M$5</f>
        <v>COA</v>
      </c>
      <c r="E14" s="16"/>
      <c r="F14" s="16"/>
      <c r="G14" s="15"/>
      <c r="H14" s="135">
        <v>2.75</v>
      </c>
      <c r="I14" s="133"/>
      <c r="K14" s="213" t="str">
        <f>EnergyBalance!$B$6</f>
        <v>IMP</v>
      </c>
      <c r="L14" s="213"/>
      <c r="M14" s="213" t="str">
        <f>$K$14&amp;$C$2&amp;1</f>
        <v>IMPCOA1</v>
      </c>
      <c r="N14" s="216" t="str">
        <f>"Import of "&amp;$D$2&amp; " Step "&amp;RIGHT(M14,1)</f>
        <v>Import of Solid Fuels Step 1</v>
      </c>
      <c r="O14" s="213" t="str">
        <f>$E$2</f>
        <v>PJ</v>
      </c>
      <c r="P14" s="213"/>
      <c r="Q14" s="213"/>
      <c r="R14" s="213"/>
      <c r="S14" s="213"/>
    </row>
    <row r="15" spans="2:20" x14ac:dyDescent="0.2">
      <c r="B15" s="16" t="str">
        <f>M15</f>
        <v>EXPCOA1</v>
      </c>
      <c r="C15" s="16" t="str">
        <f>$M$5</f>
        <v>COA</v>
      </c>
      <c r="D15" s="16"/>
      <c r="E15" s="16">
        <v>2005</v>
      </c>
      <c r="F15" s="16" t="s">
        <v>210</v>
      </c>
      <c r="H15" s="135">
        <v>2.75</v>
      </c>
      <c r="I15" s="129">
        <f>-EnergyBalance!D7</f>
        <v>1147.069</v>
      </c>
      <c r="K15" s="213" t="str">
        <f>EnergyBalance!B7</f>
        <v>EXP</v>
      </c>
      <c r="L15" s="213"/>
      <c r="M15" s="213" t="str">
        <f>$K$15&amp;$C$2&amp;1</f>
        <v>EXPCOA1</v>
      </c>
      <c r="N15" s="216" t="str">
        <f>"Export of "&amp;$D$2&amp; " Step "&amp;RIGHT(M15,1)</f>
        <v>Export of Solid Fuels Step 1</v>
      </c>
      <c r="O15" s="213" t="str">
        <f>$E$2</f>
        <v>PJ</v>
      </c>
      <c r="P15" s="213"/>
      <c r="Q15" s="213"/>
      <c r="R15" s="213"/>
      <c r="S15" s="213"/>
      <c r="T15" s="9"/>
    </row>
    <row r="16" spans="2:20" x14ac:dyDescent="0.2">
      <c r="B16" s="16"/>
      <c r="C16" s="16"/>
      <c r="D16" s="9"/>
      <c r="E16" s="16"/>
      <c r="F16" s="16"/>
      <c r="G16" s="15"/>
      <c r="H16" s="9"/>
      <c r="I16" s="23"/>
      <c r="K16" s="9"/>
      <c r="L16" s="9"/>
      <c r="M16" s="9"/>
      <c r="N16" s="9"/>
      <c r="O16" s="9"/>
      <c r="P16" s="9"/>
      <c r="Q16" s="9"/>
      <c r="R16" s="9"/>
      <c r="S16" s="9"/>
    </row>
    <row r="17" spans="2:20" x14ac:dyDescent="0.2">
      <c r="B17" s="9"/>
      <c r="C17" s="9"/>
      <c r="D17" s="9"/>
      <c r="E17" s="9"/>
      <c r="F17" s="16"/>
      <c r="G17" s="9"/>
      <c r="H17" s="9"/>
      <c r="I17" s="22"/>
      <c r="K17" s="9"/>
      <c r="L17" s="9"/>
      <c r="M17" s="9"/>
      <c r="N17" s="9"/>
      <c r="O17" s="9"/>
      <c r="P17" s="9"/>
      <c r="Q17" s="9"/>
      <c r="R17" s="9"/>
      <c r="S17" s="9"/>
    </row>
    <row r="18" spans="2:20" s="9" customFormat="1" x14ac:dyDescent="0.2">
      <c r="B18"/>
      <c r="C18"/>
      <c r="D18"/>
      <c r="E18"/>
      <c r="F18"/>
      <c r="G18"/>
      <c r="H18"/>
      <c r="I18"/>
      <c r="T18"/>
    </row>
    <row r="19" spans="2:20" s="9" customFormat="1" x14ac:dyDescent="0.2">
      <c r="B19"/>
      <c r="C19"/>
      <c r="D19"/>
      <c r="E19"/>
      <c r="F19"/>
      <c r="G19"/>
      <c r="H19"/>
      <c r="I19"/>
    </row>
    <row r="20" spans="2:20" s="9" customFormat="1" x14ac:dyDescent="0.2">
      <c r="B20" s="133"/>
      <c r="C20" s="1" t="s">
        <v>197</v>
      </c>
      <c r="D20"/>
      <c r="E20"/>
      <c r="F20"/>
      <c r="G20"/>
      <c r="H20"/>
      <c r="I20"/>
    </row>
    <row r="21" spans="2:20" s="9" customFormat="1" x14ac:dyDescent="0.2">
      <c r="B21" s="130"/>
      <c r="C21" s="1" t="s">
        <v>198</v>
      </c>
      <c r="D21"/>
      <c r="E21"/>
      <c r="F21"/>
      <c r="G21"/>
      <c r="H21"/>
      <c r="I21"/>
    </row>
    <row r="22" spans="2:20" x14ac:dyDescent="0.2">
      <c r="J22" s="9"/>
      <c r="T22" s="9"/>
    </row>
    <row r="23" spans="2:20" x14ac:dyDescent="0.2">
      <c r="J23" s="9"/>
    </row>
    <row r="24" spans="2:20" x14ac:dyDescent="0.2">
      <c r="J24" s="9"/>
    </row>
    <row r="25" spans="2:20" s="1" customFormat="1" x14ac:dyDescent="0.2"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</row>
    <row r="26" spans="2:20" x14ac:dyDescent="0.2">
      <c r="T26" s="1"/>
    </row>
    <row r="28" spans="2:20" s="9" customFormat="1" x14ac:dyDescent="0.2"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</row>
    <row r="29" spans="2:20" s="9" customFormat="1" x14ac:dyDescent="0.2"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2:20" s="9" customFormat="1" x14ac:dyDescent="0.2"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</row>
    <row r="31" spans="2:20" s="9" customFormat="1" x14ac:dyDescent="0.2">
      <c r="B31"/>
      <c r="C31"/>
      <c r="D31"/>
      <c r="E31"/>
      <c r="F31"/>
      <c r="G31"/>
      <c r="H31"/>
      <c r="I31"/>
      <c r="J31"/>
    </row>
    <row r="32" spans="2:20" s="9" customFormat="1" x14ac:dyDescent="0.2">
      <c r="B32"/>
      <c r="C32"/>
      <c r="D32"/>
      <c r="E32"/>
      <c r="F32"/>
      <c r="G32"/>
      <c r="H32"/>
      <c r="I32"/>
      <c r="J32"/>
    </row>
    <row r="33" spans="2:20" s="9" customFormat="1" x14ac:dyDescent="0.2">
      <c r="B33"/>
      <c r="C33"/>
      <c r="D33"/>
      <c r="E33"/>
      <c r="F33"/>
      <c r="G33"/>
      <c r="H33"/>
      <c r="I33"/>
      <c r="J33"/>
    </row>
    <row r="34" spans="2:20" s="9" customFormat="1" x14ac:dyDescent="0.2"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</row>
    <row r="35" spans="2:20" x14ac:dyDescent="0.2">
      <c r="T35" s="9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T34"/>
  <sheetViews>
    <sheetView zoomScaleNormal="100" workbookViewId="0">
      <selection activeCell="H20" sqref="H20"/>
    </sheetView>
  </sheetViews>
  <sheetFormatPr defaultRowHeight="12.75" x14ac:dyDescent="0.2"/>
  <cols>
    <col min="1" max="1" width="2" bestFit="1" customWidth="1"/>
    <col min="2" max="2" width="11.5703125" bestFit="1" customWidth="1"/>
    <col min="3" max="3" width="13.5703125" customWidth="1"/>
    <col min="4" max="4" width="12" bestFit="1" customWidth="1"/>
    <col min="5" max="5" width="11.140625" bestFit="1" customWidth="1"/>
    <col min="6" max="6" width="8.28515625" bestFit="1" customWidth="1"/>
    <col min="7" max="7" width="14.140625" customWidth="1"/>
    <col min="8" max="8" width="8.7109375" customWidth="1"/>
    <col min="9" max="9" width="14.5703125" customWidth="1"/>
    <col min="10" max="10" width="2" customWidth="1"/>
    <col min="11" max="11" width="13.7109375" customWidth="1"/>
    <col min="12" max="12" width="7.140625" customWidth="1"/>
    <col min="13" max="13" width="11.42578125" bestFit="1" customWidth="1"/>
    <col min="14" max="14" width="35" bestFit="1" customWidth="1"/>
    <col min="15" max="15" width="6.7109375" customWidth="1"/>
    <col min="16" max="16" width="11.5703125" customWidth="1"/>
    <col min="17" max="17" width="13" customWidth="1"/>
    <col min="18" max="18" width="15.140625" customWidth="1"/>
    <col min="19" max="19" width="7.5703125" bestFit="1" customWidth="1"/>
  </cols>
  <sheetData>
    <row r="1" spans="2:20" ht="30" x14ac:dyDescent="0.25">
      <c r="B1" s="44" t="s">
        <v>94</v>
      </c>
      <c r="C1" s="44" t="s">
        <v>95</v>
      </c>
      <c r="D1" s="44" t="s">
        <v>96</v>
      </c>
      <c r="E1" s="44" t="s">
        <v>98</v>
      </c>
      <c r="F1" s="31"/>
      <c r="G1" s="44" t="s">
        <v>99</v>
      </c>
    </row>
    <row r="2" spans="2:20" ht="15.75" x14ac:dyDescent="0.25">
      <c r="B2" s="20"/>
      <c r="C2" s="20" t="str">
        <f>EnergyBalance!E2</f>
        <v>GAS</v>
      </c>
      <c r="D2" s="20" t="str">
        <f>EnergyBalance!E3</f>
        <v>Natural Gas</v>
      </c>
      <c r="E2" s="20" t="str">
        <f>EnergyBalance!R2</f>
        <v>PJ</v>
      </c>
      <c r="G2" s="20" t="str">
        <f>EnergyBalance!Q2</f>
        <v>M€2005</v>
      </c>
      <c r="K2" s="207" t="s">
        <v>14</v>
      </c>
      <c r="L2" s="207"/>
      <c r="M2" s="208"/>
      <c r="N2" s="208"/>
      <c r="O2" s="208"/>
      <c r="P2" s="208"/>
      <c r="Q2" s="208"/>
      <c r="R2" s="208"/>
      <c r="S2" s="208"/>
    </row>
    <row r="3" spans="2:20" x14ac:dyDescent="0.2">
      <c r="K3" s="209" t="s">
        <v>7</v>
      </c>
      <c r="L3" s="210" t="s">
        <v>30</v>
      </c>
      <c r="M3" s="209" t="s">
        <v>0</v>
      </c>
      <c r="N3" s="209" t="s">
        <v>3</v>
      </c>
      <c r="O3" s="209" t="s">
        <v>4</v>
      </c>
      <c r="P3" s="209" t="s">
        <v>8</v>
      </c>
      <c r="Q3" s="209" t="s">
        <v>9</v>
      </c>
      <c r="R3" s="209" t="s">
        <v>10</v>
      </c>
      <c r="S3" s="209" t="s">
        <v>12</v>
      </c>
    </row>
    <row r="4" spans="2:20" ht="23.25" thickBot="1" x14ac:dyDescent="0.25">
      <c r="C4" s="1"/>
      <c r="K4" s="211" t="s">
        <v>40</v>
      </c>
      <c r="L4" s="211" t="s">
        <v>31</v>
      </c>
      <c r="M4" s="211" t="s">
        <v>26</v>
      </c>
      <c r="N4" s="211" t="s">
        <v>27</v>
      </c>
      <c r="O4" s="211" t="s">
        <v>4</v>
      </c>
      <c r="P4" s="211" t="s">
        <v>43</v>
      </c>
      <c r="Q4" s="211" t="s">
        <v>44</v>
      </c>
      <c r="R4" s="211" t="s">
        <v>28</v>
      </c>
      <c r="S4" s="211" t="s">
        <v>29</v>
      </c>
    </row>
    <row r="5" spans="2:20" x14ac:dyDescent="0.2">
      <c r="K5" s="212" t="s">
        <v>93</v>
      </c>
      <c r="L5" s="213"/>
      <c r="M5" s="212" t="str">
        <f>C2</f>
        <v>GAS</v>
      </c>
      <c r="N5" s="212" t="str">
        <f>D2</f>
        <v>Natural Gas</v>
      </c>
      <c r="O5" s="212" t="str">
        <f>$E$2</f>
        <v>PJ</v>
      </c>
      <c r="P5" s="212"/>
      <c r="Q5" s="212"/>
      <c r="R5" s="212"/>
      <c r="S5" s="212"/>
    </row>
    <row r="7" spans="2:20" x14ac:dyDescent="0.2">
      <c r="F7" s="7" t="s">
        <v>13</v>
      </c>
      <c r="H7" s="7"/>
      <c r="K7" s="207" t="s">
        <v>15</v>
      </c>
      <c r="L7" s="207"/>
      <c r="M7" s="214"/>
      <c r="N7" s="214"/>
      <c r="O7" s="214"/>
      <c r="P7" s="214"/>
      <c r="Q7" s="214"/>
      <c r="R7" s="214"/>
      <c r="S7" s="214"/>
    </row>
    <row r="8" spans="2:20" x14ac:dyDescent="0.2">
      <c r="B8" s="3" t="s">
        <v>1</v>
      </c>
      <c r="C8" s="30" t="s">
        <v>5</v>
      </c>
      <c r="D8" s="3" t="s">
        <v>6</v>
      </c>
      <c r="E8" s="3" t="s">
        <v>156</v>
      </c>
      <c r="F8" s="3" t="s">
        <v>8</v>
      </c>
      <c r="G8" s="164" t="s">
        <v>37</v>
      </c>
      <c r="H8" s="164" t="s">
        <v>38</v>
      </c>
      <c r="I8" s="164" t="s">
        <v>100</v>
      </c>
      <c r="K8" s="209" t="s">
        <v>11</v>
      </c>
      <c r="L8" s="210" t="s">
        <v>30</v>
      </c>
      <c r="M8" s="209" t="s">
        <v>1</v>
      </c>
      <c r="N8" s="209" t="s">
        <v>2</v>
      </c>
      <c r="O8" s="209" t="s">
        <v>16</v>
      </c>
      <c r="P8" s="209" t="s">
        <v>17</v>
      </c>
      <c r="Q8" s="209" t="s">
        <v>18</v>
      </c>
      <c r="R8" s="209" t="s">
        <v>19</v>
      </c>
      <c r="S8" s="209" t="s">
        <v>20</v>
      </c>
    </row>
    <row r="9" spans="2:20" s="9" customFormat="1" ht="23.25" thickBot="1" x14ac:dyDescent="0.25">
      <c r="B9" s="26" t="s">
        <v>42</v>
      </c>
      <c r="C9" s="26" t="s">
        <v>32</v>
      </c>
      <c r="D9" s="26" t="s">
        <v>33</v>
      </c>
      <c r="E9" s="26"/>
      <c r="F9" s="26"/>
      <c r="G9" s="26" t="s">
        <v>39</v>
      </c>
      <c r="H9" s="26" t="s">
        <v>117</v>
      </c>
      <c r="I9" s="26" t="s">
        <v>116</v>
      </c>
      <c r="K9" s="211" t="s">
        <v>41</v>
      </c>
      <c r="L9" s="211" t="s">
        <v>31</v>
      </c>
      <c r="M9" s="211" t="s">
        <v>21</v>
      </c>
      <c r="N9" s="211" t="s">
        <v>22</v>
      </c>
      <c r="O9" s="211" t="s">
        <v>23</v>
      </c>
      <c r="P9" s="211" t="s">
        <v>24</v>
      </c>
      <c r="Q9" s="211" t="s">
        <v>46</v>
      </c>
      <c r="R9" s="211" t="s">
        <v>45</v>
      </c>
      <c r="S9" s="211" t="s">
        <v>25</v>
      </c>
    </row>
    <row r="10" spans="2:20" s="9" customFormat="1" ht="13.5" thickBot="1" x14ac:dyDescent="0.25">
      <c r="B10" s="26" t="s">
        <v>114</v>
      </c>
      <c r="C10" s="24"/>
      <c r="D10" s="24"/>
      <c r="E10" s="24"/>
      <c r="F10" s="24"/>
      <c r="G10" s="24" t="str">
        <f>$E$2</f>
        <v>PJ</v>
      </c>
      <c r="H10" s="24" t="str">
        <f>$G$2&amp;"/"&amp;$E$2</f>
        <v>M€2005/PJ</v>
      </c>
      <c r="I10" s="24" t="str">
        <f>$E$2</f>
        <v>PJ</v>
      </c>
      <c r="K10" s="211" t="s">
        <v>103</v>
      </c>
      <c r="L10" s="215"/>
      <c r="M10" s="215"/>
      <c r="N10" s="215"/>
      <c r="O10" s="215"/>
      <c r="P10" s="215"/>
      <c r="Q10" s="215"/>
      <c r="R10" s="215"/>
      <c r="S10" s="215"/>
    </row>
    <row r="11" spans="2:20" s="9" customFormat="1" x14ac:dyDescent="0.2">
      <c r="B11" s="16" t="str">
        <f>M11</f>
        <v>MINGAS1</v>
      </c>
      <c r="C11" s="16"/>
      <c r="D11" s="16" t="str">
        <f>$M$5</f>
        <v>GAS</v>
      </c>
      <c r="E11" s="16"/>
      <c r="F11" s="16"/>
      <c r="G11" s="133">
        <v>15000</v>
      </c>
      <c r="H11" s="135">
        <v>3.6</v>
      </c>
      <c r="I11" s="128">
        <f>EnergyBalance!$E$5*EnergyBalance!E37</f>
        <v>3949.7485000000001</v>
      </c>
      <c r="K11" s="212" t="str">
        <f>EnergyBalance!$B$5</f>
        <v>MIN</v>
      </c>
      <c r="L11" s="213"/>
      <c r="M11" s="213" t="str">
        <f>$K$11&amp;$C$2&amp;1</f>
        <v>MINGAS1</v>
      </c>
      <c r="N11" s="216" t="str">
        <f>"Domestic Supply of "&amp;$D$2&amp; " Step "&amp;RIGHT(M11,1)</f>
        <v>Domestic Supply of Natural Gas Step 1</v>
      </c>
      <c r="O11" s="213" t="str">
        <f>$E$2</f>
        <v>PJ</v>
      </c>
      <c r="P11" s="213"/>
      <c r="Q11" s="213"/>
      <c r="R11" s="213"/>
      <c r="S11" s="213"/>
    </row>
    <row r="12" spans="2:20" x14ac:dyDescent="0.2">
      <c r="B12" s="16" t="str">
        <f>M12</f>
        <v>MINGAS2</v>
      </c>
      <c r="C12" s="16"/>
      <c r="D12" s="16" t="str">
        <f>$M$5</f>
        <v>GAS</v>
      </c>
      <c r="E12" s="16"/>
      <c r="F12" s="16"/>
      <c r="G12" s="133">
        <v>20000</v>
      </c>
      <c r="H12" s="135">
        <v>4.1399999999999997</v>
      </c>
      <c r="I12" s="128">
        <f>EnergyBalance!$E$5*EnergyBalance!E38</f>
        <v>3949.7485000000001</v>
      </c>
      <c r="J12" s="9"/>
      <c r="K12" s="213"/>
      <c r="L12" s="213"/>
      <c r="M12" s="213" t="str">
        <f>$K$11&amp;$C$2&amp;2</f>
        <v>MINGAS2</v>
      </c>
      <c r="N12" s="216" t="str">
        <f>"Domestic Supply of "&amp;$D$2&amp; " Step "&amp;RIGHT(M12,1)</f>
        <v>Domestic Supply of Natural Gas Step 2</v>
      </c>
      <c r="O12" s="213" t="str">
        <f>$E$2</f>
        <v>PJ</v>
      </c>
      <c r="P12" s="213"/>
      <c r="Q12" s="213"/>
      <c r="R12" s="213"/>
      <c r="S12" s="213"/>
      <c r="T12" s="9"/>
    </row>
    <row r="13" spans="2:20" x14ac:dyDescent="0.2">
      <c r="B13" s="16" t="str">
        <f>M13</f>
        <v>MINGAS3</v>
      </c>
      <c r="C13" s="16"/>
      <c r="D13" s="16" t="str">
        <f>$M$5</f>
        <v>GAS</v>
      </c>
      <c r="E13" s="16"/>
      <c r="F13" s="16"/>
      <c r="G13" s="133">
        <v>30000</v>
      </c>
      <c r="H13" s="135">
        <v>5.4</v>
      </c>
      <c r="I13" s="133">
        <v>0</v>
      </c>
      <c r="K13" s="213"/>
      <c r="L13" s="213"/>
      <c r="M13" s="213" t="str">
        <f>$K$11&amp;$C$2&amp;3</f>
        <v>MINGAS3</v>
      </c>
      <c r="N13" s="216" t="str">
        <f>"Domestic Supply of "&amp;$D$2&amp; " Step "&amp;RIGHT(M13,1)</f>
        <v>Domestic Supply of Natural Gas Step 3</v>
      </c>
      <c r="O13" s="213" t="str">
        <f>$E$2</f>
        <v>PJ</v>
      </c>
      <c r="P13" s="213"/>
      <c r="Q13" s="213"/>
      <c r="R13" s="213"/>
      <c r="S13" s="213"/>
    </row>
    <row r="14" spans="2:20" x14ac:dyDescent="0.2">
      <c r="B14" s="16" t="str">
        <f>M14</f>
        <v>IMPGAS1</v>
      </c>
      <c r="C14" s="16"/>
      <c r="D14" s="16" t="str">
        <f>$M$5</f>
        <v>GAS</v>
      </c>
      <c r="E14" s="16"/>
      <c r="F14" s="16"/>
      <c r="G14" s="15"/>
      <c r="H14" s="135">
        <v>4.5</v>
      </c>
      <c r="I14" s="133"/>
      <c r="K14" s="213" t="str">
        <f>EnergyBalance!$B$6</f>
        <v>IMP</v>
      </c>
      <c r="L14" s="213"/>
      <c r="M14" s="213" t="str">
        <f>$K$14&amp;$C$2&amp;1</f>
        <v>IMPGAS1</v>
      </c>
      <c r="N14" s="216" t="str">
        <f>"Import of "&amp;$D$2&amp; " Step "&amp;RIGHT(M14,1)</f>
        <v>Import of Natural Gas Step 1</v>
      </c>
      <c r="O14" s="213" t="str">
        <f>$E$2</f>
        <v>PJ</v>
      </c>
      <c r="P14" s="213"/>
      <c r="Q14" s="213"/>
      <c r="R14" s="213"/>
      <c r="S14" s="213"/>
    </row>
    <row r="15" spans="2:20" s="9" customFormat="1" x14ac:dyDescent="0.2">
      <c r="B15" s="16" t="str">
        <f>M15</f>
        <v>EXPGAS1</v>
      </c>
      <c r="C15" s="16" t="str">
        <f>$M$5</f>
        <v>GAS</v>
      </c>
      <c r="D15" s="16"/>
      <c r="E15" s="16">
        <v>2005</v>
      </c>
      <c r="F15" s="16" t="s">
        <v>210</v>
      </c>
      <c r="G15"/>
      <c r="H15" s="135">
        <v>4.5</v>
      </c>
      <c r="I15" s="129">
        <f>-EnergyBalance!E7</f>
        <v>2516.3310000000001</v>
      </c>
      <c r="J15"/>
      <c r="K15" s="213" t="str">
        <f>EnergyBalance!B7</f>
        <v>EXP</v>
      </c>
      <c r="L15" s="213"/>
      <c r="M15" s="213" t="str">
        <f>$K$15&amp;$C$2&amp;1</f>
        <v>EXPGAS1</v>
      </c>
      <c r="N15" s="216" t="str">
        <f>"Export of "&amp;$D$2&amp; " Step "&amp;RIGHT(M15,1)</f>
        <v>Export of Natural Gas Step 1</v>
      </c>
      <c r="O15" s="213" t="str">
        <f>$E$2</f>
        <v>PJ</v>
      </c>
      <c r="P15" s="213"/>
      <c r="Q15" s="213"/>
      <c r="R15" s="213"/>
      <c r="S15" s="213"/>
      <c r="T15"/>
    </row>
    <row r="16" spans="2:20" s="9" customFormat="1" x14ac:dyDescent="0.2">
      <c r="B16" s="16"/>
      <c r="C16" s="16"/>
      <c r="E16" s="16"/>
      <c r="F16" s="16"/>
      <c r="G16" s="15"/>
      <c r="I16" s="23"/>
    </row>
    <row r="17" spans="2:20" s="9" customFormat="1" x14ac:dyDescent="0.2">
      <c r="F17" s="16"/>
    </row>
    <row r="18" spans="2:20" s="9" customFormat="1" x14ac:dyDescent="0.2"/>
    <row r="19" spans="2:20" s="9" customFormat="1" x14ac:dyDescent="0.2">
      <c r="B19"/>
      <c r="C19"/>
      <c r="D19"/>
      <c r="E19"/>
      <c r="F19"/>
      <c r="G19"/>
      <c r="H19"/>
    </row>
    <row r="20" spans="2:20" x14ac:dyDescent="0.2"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</row>
    <row r="21" spans="2:20" x14ac:dyDescent="0.2">
      <c r="I21" s="9"/>
      <c r="K21" s="9"/>
      <c r="L21" s="9"/>
      <c r="M21" s="9"/>
      <c r="N21" s="9"/>
      <c r="O21" s="9"/>
      <c r="P21" s="9"/>
      <c r="Q21" s="9"/>
      <c r="R21" s="9"/>
      <c r="S21" s="9"/>
    </row>
    <row r="22" spans="2:20" x14ac:dyDescent="0.2">
      <c r="B22" s="133"/>
      <c r="C22" s="1" t="s">
        <v>197</v>
      </c>
      <c r="I22" s="9"/>
    </row>
    <row r="23" spans="2:20" s="1" customFormat="1" x14ac:dyDescent="0.2">
      <c r="B23" s="130"/>
      <c r="C23" s="1" t="s">
        <v>198</v>
      </c>
      <c r="D23"/>
      <c r="E23"/>
      <c r="F23"/>
      <c r="G23"/>
      <c r="H23"/>
      <c r="I23" s="9"/>
      <c r="J23"/>
      <c r="K23"/>
      <c r="L23"/>
      <c r="M23"/>
      <c r="N23"/>
      <c r="O23"/>
      <c r="P23"/>
      <c r="Q23"/>
      <c r="R23"/>
      <c r="S23"/>
      <c r="T23"/>
    </row>
    <row r="24" spans="2:20" x14ac:dyDescent="0.2">
      <c r="I24" s="9"/>
      <c r="J24" s="1"/>
      <c r="T24" s="1"/>
    </row>
    <row r="25" spans="2:20" x14ac:dyDescent="0.2">
      <c r="I25" s="9"/>
    </row>
    <row r="26" spans="2:20" s="9" customFormat="1" x14ac:dyDescent="0.2">
      <c r="B26"/>
      <c r="C26"/>
      <c r="D26"/>
      <c r="E26"/>
      <c r="F26"/>
      <c r="G26"/>
      <c r="H26"/>
      <c r="J26"/>
      <c r="K26"/>
      <c r="L26"/>
      <c r="M26"/>
      <c r="N26"/>
      <c r="O26"/>
      <c r="P26"/>
      <c r="Q26"/>
      <c r="R26"/>
      <c r="S26"/>
      <c r="T26"/>
    </row>
    <row r="27" spans="2:20" s="9" customFormat="1" x14ac:dyDescent="0.2">
      <c r="B27"/>
      <c r="C27"/>
      <c r="D27"/>
      <c r="E27"/>
      <c r="F27"/>
      <c r="G27"/>
      <c r="H27"/>
      <c r="I27"/>
      <c r="K27"/>
      <c r="L27"/>
      <c r="M27"/>
      <c r="N27"/>
      <c r="O27"/>
      <c r="P27"/>
      <c r="Q27"/>
      <c r="R27"/>
      <c r="S27"/>
    </row>
    <row r="28" spans="2:20" s="9" customFormat="1" x14ac:dyDescent="0.2">
      <c r="B28"/>
      <c r="C28"/>
      <c r="D28"/>
      <c r="E28"/>
      <c r="F28"/>
      <c r="G28"/>
      <c r="H28"/>
      <c r="I28"/>
      <c r="K28"/>
      <c r="L28"/>
      <c r="M28"/>
      <c r="N28"/>
      <c r="O28"/>
      <c r="P28"/>
      <c r="Q28"/>
      <c r="R28"/>
      <c r="S28"/>
    </row>
    <row r="29" spans="2:20" s="9" customFormat="1" x14ac:dyDescent="0.2">
      <c r="B29"/>
      <c r="C29"/>
      <c r="D29"/>
      <c r="E29"/>
      <c r="F29"/>
      <c r="G29"/>
      <c r="H29"/>
      <c r="I29"/>
      <c r="K29"/>
      <c r="L29"/>
      <c r="M29"/>
      <c r="N29"/>
      <c r="O29"/>
      <c r="P29"/>
      <c r="Q29"/>
      <c r="R29"/>
      <c r="S29"/>
    </row>
    <row r="30" spans="2:20" s="9" customFormat="1" x14ac:dyDescent="0.2">
      <c r="B30"/>
      <c r="C30"/>
      <c r="D30"/>
      <c r="E30"/>
      <c r="F30"/>
      <c r="G30"/>
      <c r="H30"/>
      <c r="I30"/>
      <c r="K30"/>
      <c r="L30"/>
      <c r="M30"/>
      <c r="N30"/>
      <c r="O30"/>
      <c r="P30"/>
      <c r="Q30"/>
      <c r="R30"/>
      <c r="S30"/>
    </row>
    <row r="31" spans="2:20" s="9" customFormat="1" x14ac:dyDescent="0.2">
      <c r="B31"/>
      <c r="C31"/>
      <c r="D31"/>
      <c r="E31"/>
      <c r="F31"/>
      <c r="G31"/>
      <c r="H31"/>
      <c r="I31"/>
      <c r="K31"/>
      <c r="L31"/>
      <c r="M31"/>
      <c r="N31"/>
      <c r="O31"/>
      <c r="P31"/>
      <c r="Q31"/>
      <c r="R31"/>
      <c r="S31"/>
    </row>
    <row r="32" spans="2:20" s="9" customFormat="1" x14ac:dyDescent="0.2">
      <c r="B32"/>
      <c r="C32"/>
      <c r="D32"/>
      <c r="E32"/>
      <c r="F32"/>
      <c r="G32"/>
      <c r="H32"/>
      <c r="I32"/>
      <c r="K32"/>
      <c r="L32"/>
      <c r="M32"/>
      <c r="N32"/>
      <c r="O32"/>
      <c r="P32"/>
      <c r="Q32"/>
      <c r="R32"/>
      <c r="S32"/>
    </row>
    <row r="33" spans="2:20" s="9" customFormat="1" x14ac:dyDescent="0.2">
      <c r="B33"/>
      <c r="C33"/>
      <c r="D33"/>
      <c r="E33"/>
      <c r="F33"/>
      <c r="G33"/>
      <c r="H33"/>
      <c r="I33"/>
      <c r="K33"/>
      <c r="L33"/>
      <c r="M33"/>
      <c r="N33"/>
      <c r="O33"/>
      <c r="P33"/>
      <c r="Q33"/>
      <c r="R33"/>
      <c r="S33"/>
    </row>
    <row r="34" spans="2:20" x14ac:dyDescent="0.2">
      <c r="J34" s="9"/>
      <c r="T34" s="9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Y34"/>
  <sheetViews>
    <sheetView topLeftCell="A4" zoomScaleNormal="100" workbookViewId="0">
      <selection activeCell="G46" sqref="G46:G49"/>
    </sheetView>
  </sheetViews>
  <sheetFormatPr defaultRowHeight="12.75" x14ac:dyDescent="0.2"/>
  <cols>
    <col min="1" max="1" width="2" bestFit="1" customWidth="1"/>
    <col min="2" max="2" width="13.28515625" bestFit="1" customWidth="1"/>
    <col min="3" max="3" width="11.28515625" bestFit="1" customWidth="1"/>
    <col min="4" max="4" width="11.7109375" customWidth="1"/>
    <col min="5" max="5" width="11.42578125" bestFit="1" customWidth="1"/>
    <col min="6" max="6" width="8.28515625" bestFit="1" customWidth="1"/>
    <col min="7" max="7" width="14.5703125" bestFit="1" customWidth="1"/>
    <col min="8" max="8" width="8.140625" customWidth="1"/>
    <col min="9" max="9" width="13.42578125" customWidth="1"/>
    <col min="10" max="10" width="2" bestFit="1" customWidth="1"/>
    <col min="11" max="11" width="13.7109375" customWidth="1"/>
    <col min="12" max="12" width="7.140625" customWidth="1"/>
    <col min="13" max="13" width="11.42578125" bestFit="1" customWidth="1"/>
    <col min="14" max="14" width="51.85546875" bestFit="1" customWidth="1"/>
    <col min="15" max="15" width="6.5703125" customWidth="1"/>
    <col min="16" max="16" width="11.5703125" customWidth="1"/>
    <col min="17" max="17" width="13" customWidth="1"/>
    <col min="18" max="18" width="15.140625" customWidth="1"/>
    <col min="19" max="19" width="7.5703125" bestFit="1" customWidth="1"/>
  </cols>
  <sheetData>
    <row r="1" spans="2:25" ht="30" x14ac:dyDescent="0.25">
      <c r="B1" s="44" t="s">
        <v>94</v>
      </c>
      <c r="C1" s="44" t="s">
        <v>95</v>
      </c>
      <c r="D1" s="44" t="s">
        <v>96</v>
      </c>
      <c r="E1" s="44" t="s">
        <v>98</v>
      </c>
      <c r="F1" s="31"/>
      <c r="G1" s="44" t="s">
        <v>99</v>
      </c>
    </row>
    <row r="2" spans="2:25" ht="15.75" x14ac:dyDescent="0.25">
      <c r="B2" s="20"/>
      <c r="C2" s="20" t="str">
        <f>EnergyBalance!F2</f>
        <v>OIL</v>
      </c>
      <c r="D2" s="20" t="str">
        <f>EnergyBalance!F3</f>
        <v>Crude Oil</v>
      </c>
      <c r="E2" s="20" t="str">
        <f>EnergyBalance!R2</f>
        <v>PJ</v>
      </c>
      <c r="G2" s="20" t="str">
        <f>EnergyBalance!Q2</f>
        <v>M€2005</v>
      </c>
      <c r="K2" s="207" t="s">
        <v>14</v>
      </c>
      <c r="L2" s="207"/>
      <c r="M2" s="208"/>
      <c r="N2" s="208"/>
      <c r="O2" s="208"/>
      <c r="P2" s="208"/>
      <c r="Q2" s="208"/>
      <c r="R2" s="208"/>
      <c r="S2" s="208"/>
    </row>
    <row r="3" spans="2:25" x14ac:dyDescent="0.2">
      <c r="K3" s="209" t="s">
        <v>7</v>
      </c>
      <c r="L3" s="210" t="s">
        <v>30</v>
      </c>
      <c r="M3" s="209" t="s">
        <v>0</v>
      </c>
      <c r="N3" s="209" t="s">
        <v>3</v>
      </c>
      <c r="O3" s="209" t="s">
        <v>4</v>
      </c>
      <c r="P3" s="209" t="s">
        <v>8</v>
      </c>
      <c r="Q3" s="209" t="s">
        <v>9</v>
      </c>
      <c r="R3" s="209" t="s">
        <v>10</v>
      </c>
      <c r="S3" s="209" t="s">
        <v>12</v>
      </c>
    </row>
    <row r="4" spans="2:25" ht="23.25" thickBot="1" x14ac:dyDescent="0.25">
      <c r="C4" s="1"/>
      <c r="K4" s="211" t="s">
        <v>40</v>
      </c>
      <c r="L4" s="211" t="s">
        <v>31</v>
      </c>
      <c r="M4" s="211" t="s">
        <v>26</v>
      </c>
      <c r="N4" s="211" t="s">
        <v>27</v>
      </c>
      <c r="O4" s="211" t="s">
        <v>4</v>
      </c>
      <c r="P4" s="211" t="s">
        <v>43</v>
      </c>
      <c r="Q4" s="211" t="s">
        <v>44</v>
      </c>
      <c r="R4" s="211" t="s">
        <v>28</v>
      </c>
      <c r="S4" s="211" t="s">
        <v>29</v>
      </c>
      <c r="V4" s="9"/>
      <c r="W4" s="9"/>
    </row>
    <row r="5" spans="2:25" x14ac:dyDescent="0.2">
      <c r="K5" s="212" t="s">
        <v>93</v>
      </c>
      <c r="L5" s="213"/>
      <c r="M5" s="212" t="str">
        <f>C2</f>
        <v>OIL</v>
      </c>
      <c r="N5" s="212" t="str">
        <f>D2</f>
        <v>Crude Oil</v>
      </c>
      <c r="O5" s="212" t="str">
        <f>$E$2</f>
        <v>PJ</v>
      </c>
      <c r="P5" s="212"/>
      <c r="Q5" s="212"/>
      <c r="R5" s="212"/>
      <c r="S5" s="212"/>
      <c r="U5" s="9"/>
      <c r="V5" s="9"/>
      <c r="W5" s="9"/>
      <c r="X5" s="9"/>
      <c r="Y5" s="9"/>
    </row>
    <row r="6" spans="2:25" x14ac:dyDescent="0.2">
      <c r="U6" s="9"/>
      <c r="V6" s="9"/>
      <c r="W6" s="9"/>
      <c r="X6" s="9"/>
      <c r="Y6" s="9"/>
    </row>
    <row r="7" spans="2:25" x14ac:dyDescent="0.2">
      <c r="F7" s="7" t="s">
        <v>13</v>
      </c>
      <c r="H7" s="7"/>
      <c r="K7" s="207" t="s">
        <v>15</v>
      </c>
      <c r="L7" s="207"/>
      <c r="M7" s="214"/>
      <c r="N7" s="214"/>
      <c r="O7" s="214"/>
      <c r="P7" s="214"/>
      <c r="Q7" s="214"/>
      <c r="R7" s="214"/>
      <c r="S7" s="214"/>
      <c r="X7" s="9"/>
      <c r="Y7" s="9"/>
    </row>
    <row r="8" spans="2:25" x14ac:dyDescent="0.2">
      <c r="B8" s="3" t="s">
        <v>1</v>
      </c>
      <c r="C8" s="30" t="s">
        <v>5</v>
      </c>
      <c r="D8" s="3" t="s">
        <v>6</v>
      </c>
      <c r="E8" s="3" t="s">
        <v>156</v>
      </c>
      <c r="F8" s="3" t="s">
        <v>8</v>
      </c>
      <c r="G8" s="164" t="s">
        <v>37</v>
      </c>
      <c r="H8" s="164" t="s">
        <v>38</v>
      </c>
      <c r="I8" s="164" t="s">
        <v>100</v>
      </c>
      <c r="K8" s="209" t="s">
        <v>11</v>
      </c>
      <c r="L8" s="210" t="s">
        <v>30</v>
      </c>
      <c r="M8" s="209" t="s">
        <v>1</v>
      </c>
      <c r="N8" s="209" t="s">
        <v>2</v>
      </c>
      <c r="O8" s="209" t="s">
        <v>16</v>
      </c>
      <c r="P8" s="209" t="s">
        <v>17</v>
      </c>
      <c r="Q8" s="209" t="s">
        <v>18</v>
      </c>
      <c r="R8" s="209" t="s">
        <v>19</v>
      </c>
      <c r="S8" s="209" t="s">
        <v>20</v>
      </c>
    </row>
    <row r="9" spans="2:25" ht="23.25" thickBot="1" x14ac:dyDescent="0.25">
      <c r="B9" s="26" t="s">
        <v>42</v>
      </c>
      <c r="C9" s="26" t="s">
        <v>32</v>
      </c>
      <c r="D9" s="26" t="s">
        <v>33</v>
      </c>
      <c r="E9" s="26"/>
      <c r="F9" s="26"/>
      <c r="G9" s="26" t="s">
        <v>39</v>
      </c>
      <c r="H9" s="26" t="s">
        <v>117</v>
      </c>
      <c r="I9" s="26" t="s">
        <v>116</v>
      </c>
      <c r="J9" s="9"/>
      <c r="K9" s="211" t="s">
        <v>41</v>
      </c>
      <c r="L9" s="211" t="s">
        <v>31</v>
      </c>
      <c r="M9" s="211" t="s">
        <v>21</v>
      </c>
      <c r="N9" s="211" t="s">
        <v>22</v>
      </c>
      <c r="O9" s="211" t="s">
        <v>23</v>
      </c>
      <c r="P9" s="211" t="s">
        <v>24</v>
      </c>
      <c r="Q9" s="211" t="s">
        <v>46</v>
      </c>
      <c r="R9" s="211" t="s">
        <v>45</v>
      </c>
      <c r="S9" s="211" t="s">
        <v>25</v>
      </c>
    </row>
    <row r="10" spans="2:25" s="9" customFormat="1" ht="13.5" thickBot="1" x14ac:dyDescent="0.25">
      <c r="B10" s="26" t="s">
        <v>114</v>
      </c>
      <c r="C10" s="24"/>
      <c r="D10" s="24"/>
      <c r="E10" s="24"/>
      <c r="F10" s="24"/>
      <c r="G10" s="24" t="str">
        <f>$E$2</f>
        <v>PJ</v>
      </c>
      <c r="H10" s="24" t="str">
        <f>$G$2&amp;"/"&amp;$E$2</f>
        <v>M€2005/PJ</v>
      </c>
      <c r="I10" s="24" t="str">
        <f>$E$2</f>
        <v>PJ</v>
      </c>
      <c r="K10" s="211" t="s">
        <v>103</v>
      </c>
      <c r="L10" s="215"/>
      <c r="M10" s="215"/>
      <c r="N10" s="215"/>
      <c r="O10" s="215"/>
      <c r="P10" s="215"/>
      <c r="Q10" s="215"/>
      <c r="R10" s="215"/>
      <c r="S10" s="215"/>
      <c r="T10"/>
      <c r="X10"/>
      <c r="Y10"/>
    </row>
    <row r="11" spans="2:25" s="9" customFormat="1" x14ac:dyDescent="0.2">
      <c r="B11" s="16" t="str">
        <f>M11</f>
        <v>MINOIL1</v>
      </c>
      <c r="C11" s="16"/>
      <c r="D11" s="16" t="str">
        <f>$M$5</f>
        <v>OIL</v>
      </c>
      <c r="E11" s="16"/>
      <c r="F11" s="16"/>
      <c r="G11" s="133">
        <v>24000</v>
      </c>
      <c r="H11" s="135">
        <v>6.4</v>
      </c>
      <c r="I11" s="128">
        <f>EnergyBalance!$F$5*EnergyBalance!F37</f>
        <v>4302.8095999999996</v>
      </c>
      <c r="K11" s="212" t="str">
        <f>EnergyBalance!$B$5</f>
        <v>MIN</v>
      </c>
      <c r="L11" s="213"/>
      <c r="M11" s="213" t="str">
        <f>$K$11&amp;$C$2&amp;1</f>
        <v>MINOIL1</v>
      </c>
      <c r="N11" s="217" t="str">
        <f>"Domestic Supply of "&amp;$D$2&amp; " Step "&amp;RIGHT(M11,1)</f>
        <v>Domestic Supply of Crude Oil Step 1</v>
      </c>
      <c r="O11" s="213" t="str">
        <f>$E$2</f>
        <v>PJ</v>
      </c>
      <c r="P11" s="213"/>
      <c r="Q11" s="213"/>
      <c r="R11" s="213"/>
      <c r="S11" s="213"/>
    </row>
    <row r="12" spans="2:25" s="9" customFormat="1" x14ac:dyDescent="0.2">
      <c r="B12" s="16" t="str">
        <f>M12</f>
        <v>MINOIL2</v>
      </c>
      <c r="C12" s="16"/>
      <c r="D12" s="16" t="str">
        <f>$M$5</f>
        <v>OIL</v>
      </c>
      <c r="E12" s="16"/>
      <c r="F12" s="16"/>
      <c r="G12" s="133">
        <v>6000</v>
      </c>
      <c r="H12" s="135">
        <v>7.36</v>
      </c>
      <c r="I12" s="128">
        <f>EnergyBalance!$F$5*EnergyBalance!F38</f>
        <v>1075.7023999999999</v>
      </c>
      <c r="K12" s="213"/>
      <c r="L12" s="213"/>
      <c r="M12" s="213" t="str">
        <f>$K$11&amp;$C$2&amp;2</f>
        <v>MINOIL2</v>
      </c>
      <c r="N12" s="217" t="str">
        <f>"Domestic Supply of "&amp;$D$2&amp; " Step "&amp;RIGHT(M12,1)</f>
        <v>Domestic Supply of Crude Oil Step 2</v>
      </c>
      <c r="O12" s="213" t="str">
        <f>$E$2</f>
        <v>PJ</v>
      </c>
      <c r="P12" s="213"/>
      <c r="Q12" s="213"/>
      <c r="R12" s="213"/>
      <c r="S12" s="213"/>
    </row>
    <row r="13" spans="2:25" x14ac:dyDescent="0.2">
      <c r="B13" s="16" t="str">
        <f>M13</f>
        <v>MINOIL3</v>
      </c>
      <c r="C13" s="16"/>
      <c r="D13" s="16" t="str">
        <f>$M$5</f>
        <v>OIL</v>
      </c>
      <c r="E13" s="16"/>
      <c r="F13" s="16"/>
      <c r="G13" s="133">
        <v>40000</v>
      </c>
      <c r="H13" s="135">
        <v>9.6</v>
      </c>
      <c r="I13" s="133"/>
      <c r="K13" s="213"/>
      <c r="L13" s="213"/>
      <c r="M13" s="213" t="str">
        <f>$K$11&amp;$C$2&amp;3</f>
        <v>MINOIL3</v>
      </c>
      <c r="N13" s="217" t="str">
        <f>"Domestic Supply of "&amp;$D$2&amp; " Step "&amp;RIGHT(M13,1)</f>
        <v>Domestic Supply of Crude Oil Step 3</v>
      </c>
      <c r="O13" s="213" t="str">
        <f>$E$2</f>
        <v>PJ</v>
      </c>
      <c r="P13" s="213"/>
      <c r="Q13" s="213"/>
      <c r="R13" s="213"/>
      <c r="S13" s="213"/>
      <c r="T13" s="9"/>
      <c r="U13" s="9"/>
      <c r="V13" s="9"/>
      <c r="W13" s="9"/>
      <c r="X13" s="9"/>
      <c r="Y13" s="9"/>
    </row>
    <row r="14" spans="2:25" x14ac:dyDescent="0.2">
      <c r="B14" s="16" t="str">
        <f>M14</f>
        <v>IMPOIL1</v>
      </c>
      <c r="C14" s="16"/>
      <c r="D14" s="16" t="str">
        <f>$M$5</f>
        <v>OIL</v>
      </c>
      <c r="E14" s="16"/>
      <c r="F14" s="16"/>
      <c r="G14" s="15"/>
      <c r="H14" s="135">
        <v>8</v>
      </c>
      <c r="I14" s="133"/>
      <c r="K14" s="213" t="str">
        <f>EnergyBalance!$B$6</f>
        <v>IMP</v>
      </c>
      <c r="L14" s="213"/>
      <c r="M14" s="213" t="str">
        <f>$K$14&amp;$C$2&amp;1</f>
        <v>IMPOIL1</v>
      </c>
      <c r="N14" s="217" t="str">
        <f>"Import of "&amp;$D$2&amp; " Step "&amp;RIGHT(M14,1)</f>
        <v>Import of Crude Oil Step 1</v>
      </c>
      <c r="O14" s="213" t="str">
        <f>$E$2</f>
        <v>PJ</v>
      </c>
      <c r="P14" s="213"/>
      <c r="Q14" s="213"/>
      <c r="R14" s="213"/>
      <c r="S14" s="213"/>
      <c r="U14" s="9"/>
      <c r="V14" s="9"/>
      <c r="W14" s="9"/>
      <c r="X14" s="9"/>
      <c r="Y14" s="9"/>
    </row>
    <row r="15" spans="2:25" x14ac:dyDescent="0.2">
      <c r="B15" s="16" t="str">
        <f>M15</f>
        <v>EXPOIL1</v>
      </c>
      <c r="C15" s="16" t="str">
        <f>$M$5</f>
        <v>OIL</v>
      </c>
      <c r="D15" s="16"/>
      <c r="E15">
        <v>2005</v>
      </c>
      <c r="F15" s="16" t="s">
        <v>210</v>
      </c>
      <c r="G15" s="9"/>
      <c r="H15" s="135">
        <v>8</v>
      </c>
      <c r="I15" s="129">
        <f>-EnergyBalance!F7</f>
        <v>14830.662</v>
      </c>
      <c r="K15" s="213" t="str">
        <f>EnergyBalance!B7</f>
        <v>EXP</v>
      </c>
      <c r="L15" s="213"/>
      <c r="M15" s="213" t="str">
        <f>$K$15&amp;$C$2&amp;1</f>
        <v>EXPOIL1</v>
      </c>
      <c r="N15" s="217" t="str">
        <f>"Export of "&amp;$D$2&amp; " Step "&amp;RIGHT(M15,1)</f>
        <v>Export of Crude Oil Step 1</v>
      </c>
      <c r="O15" s="213" t="str">
        <f>$E$2</f>
        <v>PJ</v>
      </c>
      <c r="P15" s="213"/>
      <c r="Q15" s="213"/>
      <c r="R15" s="213"/>
      <c r="S15" s="213"/>
      <c r="X15" s="9"/>
      <c r="Y15" s="9"/>
    </row>
    <row r="16" spans="2:25" s="9" customFormat="1" x14ac:dyDescent="0.2">
      <c r="F16" s="16"/>
      <c r="I16" s="23"/>
      <c r="T16"/>
      <c r="V16"/>
      <c r="W16"/>
      <c r="X16"/>
      <c r="Y16"/>
    </row>
    <row r="17" spans="2:25" s="9" customFormat="1" x14ac:dyDescent="0.2">
      <c r="F17" s="16"/>
      <c r="H17" s="206"/>
      <c r="U17"/>
      <c r="V17"/>
      <c r="W17"/>
      <c r="X17"/>
      <c r="Y17"/>
    </row>
    <row r="18" spans="2:25" s="9" customFormat="1" x14ac:dyDescent="0.2">
      <c r="B18"/>
      <c r="C18"/>
      <c r="D18"/>
      <c r="G18"/>
      <c r="H18"/>
      <c r="U18"/>
      <c r="V18" s="1"/>
      <c r="W18" s="1"/>
      <c r="X18"/>
      <c r="Y18"/>
    </row>
    <row r="19" spans="2:25" s="9" customFormat="1" x14ac:dyDescent="0.2">
      <c r="B19"/>
      <c r="C19"/>
      <c r="D19"/>
      <c r="E19"/>
      <c r="F19"/>
      <c r="G19"/>
      <c r="H19"/>
      <c r="I19"/>
      <c r="U19" s="1"/>
      <c r="V19"/>
      <c r="W19"/>
      <c r="X19" s="1"/>
      <c r="Y19" s="1"/>
    </row>
    <row r="20" spans="2:25" s="9" customFormat="1" x14ac:dyDescent="0.2">
      <c r="B20"/>
      <c r="C20"/>
      <c r="D20"/>
      <c r="E20"/>
      <c r="F20"/>
      <c r="G20"/>
      <c r="H20"/>
      <c r="I20"/>
      <c r="U20"/>
      <c r="V20"/>
      <c r="W20"/>
      <c r="X20"/>
      <c r="Y20"/>
    </row>
    <row r="21" spans="2:25" s="9" customFormat="1" x14ac:dyDescent="0.2">
      <c r="B21"/>
      <c r="C21"/>
      <c r="D21"/>
      <c r="E21"/>
      <c r="F21"/>
      <c r="G21"/>
      <c r="H21"/>
      <c r="I21"/>
      <c r="J21"/>
      <c r="U21"/>
      <c r="V21"/>
      <c r="W21"/>
      <c r="X21"/>
      <c r="Y21"/>
    </row>
    <row r="22" spans="2:25" s="9" customFormat="1" x14ac:dyDescent="0.2">
      <c r="B22" s="133"/>
      <c r="C22" s="1" t="s">
        <v>197</v>
      </c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U22"/>
      <c r="V22"/>
      <c r="W22"/>
      <c r="X22"/>
      <c r="Y22"/>
    </row>
    <row r="23" spans="2:25" x14ac:dyDescent="0.2">
      <c r="B23" s="130"/>
      <c r="C23" s="1" t="s">
        <v>198</v>
      </c>
      <c r="T23" s="9"/>
    </row>
    <row r="24" spans="2:25" x14ac:dyDescent="0.2">
      <c r="J24" s="1"/>
    </row>
    <row r="27" spans="2:25" x14ac:dyDescent="0.2">
      <c r="J27" s="9"/>
    </row>
    <row r="28" spans="2:25" x14ac:dyDescent="0.2">
      <c r="J28" s="9"/>
    </row>
    <row r="29" spans="2:25" x14ac:dyDescent="0.2">
      <c r="J29" s="9"/>
    </row>
    <row r="30" spans="2:25" x14ac:dyDescent="0.2">
      <c r="J30" s="9"/>
    </row>
    <row r="31" spans="2:25" x14ac:dyDescent="0.2">
      <c r="J31" s="9"/>
    </row>
    <row r="32" spans="2:25" x14ac:dyDescent="0.2">
      <c r="J32" s="9"/>
    </row>
    <row r="33" spans="10:10" x14ac:dyDescent="0.2">
      <c r="J33" s="9"/>
    </row>
    <row r="34" spans="10:10" x14ac:dyDescent="0.2">
      <c r="J34" s="9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T38"/>
  <sheetViews>
    <sheetView zoomScaleNormal="100" workbookViewId="0">
      <selection activeCell="P11" sqref="P11"/>
    </sheetView>
  </sheetViews>
  <sheetFormatPr defaultColWidth="8.85546875" defaultRowHeight="12.75" x14ac:dyDescent="0.2"/>
  <cols>
    <col min="1" max="1" width="2" style="49" bestFit="1" customWidth="1"/>
    <col min="2" max="2" width="13.85546875" customWidth="1"/>
    <col min="3" max="3" width="11.85546875" bestFit="1" customWidth="1"/>
    <col min="4" max="4" width="11" customWidth="1"/>
    <col min="5" max="5" width="11.42578125" bestFit="1" customWidth="1"/>
    <col min="6" max="6" width="8.28515625" bestFit="1" customWidth="1"/>
    <col min="7" max="7" width="13.85546875" customWidth="1"/>
    <col min="8" max="8" width="8.42578125" bestFit="1" customWidth="1"/>
    <col min="9" max="9" width="14.7109375" style="49" customWidth="1"/>
    <col min="10" max="10" width="2.5703125" style="49" customWidth="1"/>
    <col min="11" max="11" width="11.85546875" bestFit="1" customWidth="1"/>
    <col min="12" max="12" width="7.42578125" bestFit="1" customWidth="1"/>
    <col min="13" max="13" width="12.140625" bestFit="1" customWidth="1"/>
    <col min="14" max="14" width="40.5703125" customWidth="1"/>
    <col min="15" max="15" width="6.140625" bestFit="1" customWidth="1"/>
    <col min="16" max="16" width="10.42578125" bestFit="1" customWidth="1"/>
    <col min="17" max="17" width="12.85546875" bestFit="1" customWidth="1"/>
    <col min="18" max="18" width="14.140625" bestFit="1" customWidth="1"/>
    <col min="19" max="19" width="8" bestFit="1" customWidth="1"/>
    <col min="20" max="16384" width="8.85546875" style="49"/>
  </cols>
  <sheetData>
    <row r="1" spans="2:20" ht="30" x14ac:dyDescent="0.25">
      <c r="B1" s="44" t="s">
        <v>94</v>
      </c>
      <c r="C1" s="44" t="s">
        <v>95</v>
      </c>
      <c r="D1" s="44" t="s">
        <v>96</v>
      </c>
      <c r="E1" s="44" t="s">
        <v>98</v>
      </c>
      <c r="F1" s="31"/>
      <c r="G1" s="44" t="s">
        <v>99</v>
      </c>
    </row>
    <row r="2" spans="2:20" ht="15.75" x14ac:dyDescent="0.25">
      <c r="B2" s="20"/>
      <c r="C2" s="20" t="str">
        <f>EnergyBalance!H2</f>
        <v>RNW</v>
      </c>
      <c r="D2" s="20" t="str">
        <f>EnergyBalance!H3</f>
        <v>Renewable Energies</v>
      </c>
      <c r="E2" s="20" t="str">
        <f>EnergyBalance!R2</f>
        <v>PJ</v>
      </c>
      <c r="G2" s="20" t="str">
        <f>EnergyBalance!Q2</f>
        <v>M€2005</v>
      </c>
      <c r="K2" s="207" t="s">
        <v>14</v>
      </c>
      <c r="L2" s="207"/>
      <c r="M2" s="208"/>
      <c r="N2" s="208"/>
      <c r="O2" s="208"/>
      <c r="P2" s="208"/>
      <c r="Q2" s="208"/>
      <c r="R2" s="208"/>
      <c r="S2" s="208"/>
    </row>
    <row r="3" spans="2:20" x14ac:dyDescent="0.2">
      <c r="H3" s="19"/>
      <c r="K3" s="209" t="s">
        <v>7</v>
      </c>
      <c r="L3" s="210" t="s">
        <v>30</v>
      </c>
      <c r="M3" s="209" t="s">
        <v>0</v>
      </c>
      <c r="N3" s="209" t="s">
        <v>3</v>
      </c>
      <c r="O3" s="209" t="s">
        <v>4</v>
      </c>
      <c r="P3" s="209" t="s">
        <v>8</v>
      </c>
      <c r="Q3" s="209" t="s">
        <v>9</v>
      </c>
      <c r="R3" s="209" t="s">
        <v>10</v>
      </c>
      <c r="S3" s="209" t="s">
        <v>12</v>
      </c>
    </row>
    <row r="4" spans="2:20" ht="23.25" thickBot="1" x14ac:dyDescent="0.25">
      <c r="B4" s="1"/>
      <c r="K4" s="211" t="s">
        <v>40</v>
      </c>
      <c r="L4" s="211" t="s">
        <v>31</v>
      </c>
      <c r="M4" s="211" t="s">
        <v>26</v>
      </c>
      <c r="N4" s="211" t="s">
        <v>27</v>
      </c>
      <c r="O4" s="211" t="s">
        <v>4</v>
      </c>
      <c r="P4" s="211" t="s">
        <v>43</v>
      </c>
      <c r="Q4" s="211" t="s">
        <v>44</v>
      </c>
      <c r="R4" s="211" t="s">
        <v>28</v>
      </c>
      <c r="S4" s="211" t="s">
        <v>29</v>
      </c>
    </row>
    <row r="5" spans="2:20" x14ac:dyDescent="0.2">
      <c r="K5" s="212" t="s">
        <v>93</v>
      </c>
      <c r="L5" s="213"/>
      <c r="M5" s="212" t="str">
        <f>C2</f>
        <v>RNW</v>
      </c>
      <c r="N5" s="212" t="str">
        <f>D2</f>
        <v>Renewable Energies</v>
      </c>
      <c r="O5" s="212" t="str">
        <f>$E$2</f>
        <v>PJ</v>
      </c>
      <c r="P5" s="212"/>
      <c r="Q5" s="212"/>
      <c r="R5" s="212"/>
      <c r="S5" s="212"/>
    </row>
    <row r="7" spans="2:20" x14ac:dyDescent="0.2">
      <c r="F7" s="7" t="s">
        <v>13</v>
      </c>
      <c r="H7" s="7"/>
      <c r="I7"/>
      <c r="K7" s="207" t="s">
        <v>15</v>
      </c>
      <c r="L7" s="207"/>
      <c r="M7" s="214"/>
      <c r="N7" s="214"/>
      <c r="O7" s="214"/>
      <c r="P7" s="214"/>
      <c r="Q7" s="214"/>
      <c r="R7" s="214"/>
      <c r="S7" s="214"/>
    </row>
    <row r="8" spans="2:20" x14ac:dyDescent="0.2">
      <c r="B8" s="3" t="s">
        <v>1</v>
      </c>
      <c r="C8" s="30" t="s">
        <v>5</v>
      </c>
      <c r="D8" s="3" t="s">
        <v>6</v>
      </c>
      <c r="E8" s="3" t="s">
        <v>156</v>
      </c>
      <c r="F8" s="3" t="s">
        <v>8</v>
      </c>
      <c r="G8" s="164" t="s">
        <v>37</v>
      </c>
      <c r="H8" s="164" t="s">
        <v>38</v>
      </c>
      <c r="I8" s="164" t="s">
        <v>100</v>
      </c>
      <c r="K8" s="209" t="s">
        <v>11</v>
      </c>
      <c r="L8" s="210" t="s">
        <v>30</v>
      </c>
      <c r="M8" s="209" t="s">
        <v>1</v>
      </c>
      <c r="N8" s="209" t="s">
        <v>2</v>
      </c>
      <c r="O8" s="209" t="s">
        <v>16</v>
      </c>
      <c r="P8" s="209" t="s">
        <v>17</v>
      </c>
      <c r="Q8" s="209" t="s">
        <v>18</v>
      </c>
      <c r="R8" s="209" t="s">
        <v>19</v>
      </c>
      <c r="S8" s="209" t="s">
        <v>20</v>
      </c>
    </row>
    <row r="9" spans="2:20" ht="23.25" thickBot="1" x14ac:dyDescent="0.25">
      <c r="B9" s="26" t="s">
        <v>42</v>
      </c>
      <c r="C9" s="26" t="s">
        <v>32</v>
      </c>
      <c r="D9" s="26" t="s">
        <v>33</v>
      </c>
      <c r="E9" s="26"/>
      <c r="F9" s="26"/>
      <c r="G9" s="26" t="s">
        <v>39</v>
      </c>
      <c r="H9" s="26" t="s">
        <v>117</v>
      </c>
      <c r="I9" s="26" t="s">
        <v>116</v>
      </c>
      <c r="K9" s="211" t="s">
        <v>41</v>
      </c>
      <c r="L9" s="211" t="s">
        <v>31</v>
      </c>
      <c r="M9" s="211" t="s">
        <v>21</v>
      </c>
      <c r="N9" s="211" t="s">
        <v>22</v>
      </c>
      <c r="O9" s="211" t="s">
        <v>23</v>
      </c>
      <c r="P9" s="211" t="s">
        <v>24</v>
      </c>
      <c r="Q9" s="211" t="s">
        <v>46</v>
      </c>
      <c r="R9" s="211" t="s">
        <v>45</v>
      </c>
      <c r="S9" s="211" t="s">
        <v>25</v>
      </c>
    </row>
    <row r="10" spans="2:20" s="51" customFormat="1" ht="13.5" thickBot="1" x14ac:dyDescent="0.25">
      <c r="B10" s="26" t="s">
        <v>114</v>
      </c>
      <c r="C10" s="24"/>
      <c r="D10" s="24"/>
      <c r="E10" s="24"/>
      <c r="F10" s="24"/>
      <c r="G10" s="24" t="str">
        <f>$E$2</f>
        <v>PJ</v>
      </c>
      <c r="H10" s="24" t="str">
        <f>$G$2&amp;"/"&amp;$E$2</f>
        <v>M€2005/PJ</v>
      </c>
      <c r="I10" s="24" t="str">
        <f>$E$2</f>
        <v>PJ</v>
      </c>
      <c r="J10" s="49"/>
      <c r="K10" s="211" t="s">
        <v>103</v>
      </c>
      <c r="L10" s="215"/>
      <c r="M10" s="215"/>
      <c r="N10" s="215"/>
      <c r="O10" s="215"/>
      <c r="P10" s="215"/>
      <c r="Q10" s="215"/>
      <c r="R10" s="215"/>
      <c r="S10" s="215"/>
      <c r="T10" s="49"/>
    </row>
    <row r="11" spans="2:20" s="51" customFormat="1" ht="25.5" x14ac:dyDescent="0.2">
      <c r="B11" s="16" t="str">
        <f>M11</f>
        <v>MINRNW1</v>
      </c>
      <c r="C11" s="16"/>
      <c r="D11" s="16" t="str">
        <f>$M$5</f>
        <v>RNW</v>
      </c>
      <c r="E11" s="16"/>
      <c r="F11" s="16"/>
      <c r="G11" s="21"/>
      <c r="H11" s="45"/>
      <c r="I11" s="9"/>
      <c r="K11" s="212" t="str">
        <f>EnergyBalance!$B$5</f>
        <v>MIN</v>
      </c>
      <c r="L11" s="213"/>
      <c r="M11" s="213" t="str">
        <f>$K$11&amp;$C$2&amp;1</f>
        <v>MINRNW1</v>
      </c>
      <c r="N11" s="216" t="str">
        <f>"Domestic Supply of "&amp;$D$2&amp; " Step "&amp;RIGHT(M11,1)</f>
        <v>Domestic Supply of Renewable Energies Step 1</v>
      </c>
      <c r="O11" s="213" t="str">
        <f>$E$2</f>
        <v>PJ</v>
      </c>
      <c r="P11" s="213"/>
      <c r="Q11" s="213"/>
      <c r="R11" s="213"/>
      <c r="S11" s="213"/>
    </row>
    <row r="12" spans="2:20" s="51" customFormat="1" x14ac:dyDescent="0.2">
      <c r="B12" s="16"/>
      <c r="C12" s="16"/>
      <c r="D12" s="16"/>
      <c r="E12" s="16"/>
      <c r="F12" s="16"/>
      <c r="G12" s="21"/>
      <c r="H12" s="45"/>
      <c r="I12" s="9"/>
      <c r="K12" s="9"/>
      <c r="L12" s="9"/>
      <c r="M12" s="9"/>
      <c r="N12" s="35"/>
      <c r="O12" s="9"/>
      <c r="P12" s="9"/>
      <c r="Q12" s="9"/>
      <c r="R12" s="9"/>
      <c r="S12" s="9"/>
    </row>
    <row r="13" spans="2:20" x14ac:dyDescent="0.2">
      <c r="B13" s="16"/>
      <c r="C13" s="16"/>
      <c r="D13" s="16"/>
      <c r="E13" s="16"/>
      <c r="F13" s="16"/>
      <c r="G13" s="21"/>
      <c r="H13" s="45"/>
      <c r="I13" s="9"/>
      <c r="J13" s="51"/>
      <c r="K13" s="9"/>
      <c r="L13" s="9"/>
      <c r="M13" s="9"/>
      <c r="N13" s="35"/>
      <c r="O13" s="9"/>
      <c r="P13" s="9"/>
      <c r="Q13" s="9"/>
      <c r="R13" s="9"/>
      <c r="S13" s="9"/>
      <c r="T13" s="51"/>
    </row>
    <row r="14" spans="2:20" x14ac:dyDescent="0.2">
      <c r="B14" s="16"/>
      <c r="C14" s="16"/>
      <c r="D14" s="16"/>
      <c r="E14" s="16"/>
      <c r="F14" s="16"/>
      <c r="G14" s="15"/>
      <c r="H14" s="45"/>
      <c r="I14" s="9"/>
      <c r="K14" s="9"/>
      <c r="L14" s="9"/>
      <c r="M14" s="9"/>
      <c r="N14" s="35"/>
      <c r="O14" s="9"/>
      <c r="P14" s="9"/>
      <c r="Q14" s="9"/>
      <c r="R14" s="9"/>
      <c r="S14" s="9"/>
    </row>
    <row r="15" spans="2:20" x14ac:dyDescent="0.2">
      <c r="B15" s="16"/>
      <c r="C15" s="16"/>
      <c r="D15" s="16"/>
      <c r="E15" s="16"/>
      <c r="F15" s="16"/>
      <c r="G15" s="15"/>
      <c r="H15" s="45"/>
      <c r="I15" s="23"/>
      <c r="K15" s="9"/>
      <c r="L15" s="9"/>
      <c r="M15" s="9"/>
      <c r="N15" s="35"/>
      <c r="O15" s="9"/>
      <c r="P15" s="9"/>
      <c r="Q15" s="9"/>
      <c r="R15" s="9"/>
      <c r="S15" s="9"/>
    </row>
    <row r="16" spans="2:20" s="51" customFormat="1" x14ac:dyDescent="0.2">
      <c r="B16" s="16"/>
      <c r="C16" s="16"/>
      <c r="D16" s="9"/>
      <c r="E16" s="9"/>
      <c r="F16" s="16"/>
      <c r="G16" s="15"/>
      <c r="H16" s="15"/>
      <c r="I16" s="49"/>
      <c r="J16" s="49"/>
      <c r="K16" s="9"/>
      <c r="L16" s="9"/>
      <c r="M16" s="9"/>
      <c r="N16" s="9"/>
      <c r="O16" s="9"/>
      <c r="P16" s="9"/>
      <c r="Q16" s="9"/>
      <c r="R16" s="9"/>
      <c r="S16" s="9"/>
      <c r="T16" s="49"/>
    </row>
    <row r="17" spans="2:20" s="51" customFormat="1" x14ac:dyDescent="0.2">
      <c r="B17" s="9"/>
      <c r="C17" s="9"/>
      <c r="D17" s="9"/>
      <c r="E17" s="9"/>
      <c r="F17" s="9"/>
      <c r="G17" s="9"/>
      <c r="H17" s="9"/>
      <c r="K17" s="9"/>
      <c r="L17" s="9"/>
      <c r="M17" s="9"/>
      <c r="N17" s="9"/>
      <c r="O17" s="9"/>
      <c r="P17" s="9"/>
      <c r="Q17" s="9"/>
      <c r="R17" s="9"/>
      <c r="S17" s="9"/>
    </row>
    <row r="18" spans="2:20" x14ac:dyDescent="0.2">
      <c r="B18" s="9"/>
      <c r="C18" s="9"/>
      <c r="D18" s="9"/>
      <c r="E18" s="9"/>
      <c r="F18" s="9"/>
      <c r="G18" s="9"/>
      <c r="H18" s="9"/>
      <c r="I18" s="51"/>
      <c r="J18" s="51"/>
      <c r="K18" s="9"/>
      <c r="L18" s="9"/>
      <c r="M18" s="9"/>
      <c r="N18" s="9"/>
      <c r="O18" s="9"/>
      <c r="P18" s="9"/>
      <c r="Q18" s="9"/>
      <c r="R18" s="9"/>
      <c r="S18" s="9"/>
      <c r="T18" s="51"/>
    </row>
    <row r="19" spans="2:20" x14ac:dyDescent="0.2">
      <c r="B19" s="9"/>
      <c r="C19" s="9"/>
      <c r="D19" s="9"/>
      <c r="E19" s="9"/>
      <c r="F19" s="9"/>
      <c r="G19" s="9"/>
      <c r="H19" s="9"/>
      <c r="K19" s="9"/>
      <c r="L19" s="9"/>
      <c r="M19" s="9"/>
      <c r="N19" s="9"/>
      <c r="O19" s="9"/>
      <c r="P19" s="9"/>
      <c r="Q19" s="9"/>
      <c r="R19" s="9"/>
      <c r="S19" s="9"/>
    </row>
    <row r="20" spans="2:20" s="50" customFormat="1" ht="19.5" customHeight="1" x14ac:dyDescent="0.2">
      <c r="B20" s="9"/>
      <c r="C20" s="9"/>
      <c r="D20" s="9"/>
      <c r="E20" s="9"/>
      <c r="F20" s="9"/>
      <c r="G20" s="9"/>
      <c r="H20" s="9"/>
      <c r="I20" s="49"/>
      <c r="J20" s="49"/>
      <c r="K20" s="9"/>
      <c r="L20" s="9"/>
      <c r="M20" s="9"/>
      <c r="N20" s="9"/>
      <c r="O20" s="9"/>
      <c r="P20" s="9"/>
      <c r="Q20" s="9"/>
      <c r="R20" s="9"/>
      <c r="S20" s="9"/>
      <c r="T20" s="49"/>
    </row>
    <row r="21" spans="2:20" x14ac:dyDescent="0.2">
      <c r="B21" s="9"/>
      <c r="C21" s="9"/>
      <c r="D21" s="9"/>
      <c r="E21" s="9"/>
      <c r="F21" s="9"/>
      <c r="G21" s="9"/>
      <c r="H21" s="9"/>
      <c r="I21" s="50"/>
      <c r="J21" s="50"/>
      <c r="K21" s="9"/>
      <c r="L21" s="9"/>
      <c r="M21" s="9"/>
      <c r="N21" s="9"/>
      <c r="O21" s="9"/>
      <c r="P21" s="9"/>
      <c r="Q21" s="9"/>
      <c r="R21" s="9"/>
      <c r="S21" s="9"/>
      <c r="T21" s="50"/>
    </row>
    <row r="22" spans="2:20" x14ac:dyDescent="0.2">
      <c r="K22" s="9"/>
      <c r="L22" s="9"/>
      <c r="M22" s="9"/>
      <c r="N22" s="9"/>
      <c r="O22" s="9"/>
      <c r="P22" s="9"/>
      <c r="Q22" s="9"/>
      <c r="R22" s="9"/>
      <c r="S22" s="9"/>
    </row>
    <row r="23" spans="2:20" s="51" customFormat="1" x14ac:dyDescent="0.2">
      <c r="B23" s="85"/>
      <c r="C23" s="1" t="s">
        <v>197</v>
      </c>
      <c r="D23"/>
      <c r="E23"/>
      <c r="F23"/>
      <c r="G23"/>
      <c r="H23"/>
      <c r="I23" s="49"/>
      <c r="J23" s="49"/>
      <c r="K23"/>
      <c r="L23"/>
      <c r="M23"/>
      <c r="N23"/>
      <c r="O23"/>
      <c r="P23"/>
      <c r="Q23"/>
      <c r="R23"/>
      <c r="S23"/>
      <c r="T23" s="49"/>
    </row>
    <row r="24" spans="2:20" s="51" customFormat="1" x14ac:dyDescent="0.2">
      <c r="B24" s="130"/>
      <c r="C24" s="1" t="s">
        <v>198</v>
      </c>
      <c r="D24"/>
      <c r="E24"/>
      <c r="F24"/>
      <c r="G24"/>
      <c r="H24"/>
      <c r="K24"/>
      <c r="L24"/>
      <c r="M24"/>
      <c r="N24"/>
      <c r="O24"/>
      <c r="P24"/>
      <c r="Q24"/>
      <c r="R24"/>
      <c r="S24"/>
    </row>
    <row r="25" spans="2:20" s="51" customFormat="1" x14ac:dyDescent="0.2">
      <c r="B25"/>
      <c r="C25"/>
      <c r="D25"/>
      <c r="E25"/>
      <c r="F25"/>
      <c r="G25"/>
      <c r="H25"/>
      <c r="K25"/>
      <c r="L25"/>
      <c r="M25"/>
      <c r="N25"/>
      <c r="O25"/>
      <c r="P25"/>
      <c r="Q25"/>
      <c r="R25"/>
      <c r="S25"/>
    </row>
    <row r="26" spans="2:20" x14ac:dyDescent="0.2">
      <c r="I26" s="51"/>
      <c r="J26" s="51"/>
      <c r="T26" s="51"/>
    </row>
    <row r="30" spans="2:20" x14ac:dyDescent="0.2">
      <c r="I30" s="52"/>
      <c r="J30" s="52"/>
    </row>
    <row r="31" spans="2:20" x14ac:dyDescent="0.2">
      <c r="I31" s="52"/>
      <c r="J31" s="52"/>
    </row>
    <row r="32" spans="2:20" x14ac:dyDescent="0.2">
      <c r="I32" s="52"/>
      <c r="J32" s="52"/>
    </row>
    <row r="33" spans="9:10" x14ac:dyDescent="0.2">
      <c r="I33" s="52"/>
      <c r="J33" s="52"/>
    </row>
    <row r="34" spans="9:10" x14ac:dyDescent="0.2">
      <c r="I34" s="52"/>
      <c r="J34" s="52"/>
    </row>
    <row r="35" spans="9:10" x14ac:dyDescent="0.2">
      <c r="I35" s="52"/>
      <c r="J35" s="52"/>
    </row>
    <row r="36" spans="9:10" x14ac:dyDescent="0.2">
      <c r="I36" s="52"/>
      <c r="J36" s="52"/>
    </row>
    <row r="37" spans="9:10" x14ac:dyDescent="0.2">
      <c r="I37" s="52"/>
      <c r="J37" s="52"/>
    </row>
    <row r="38" spans="9:10" x14ac:dyDescent="0.2">
      <c r="I38" s="52"/>
      <c r="J38" s="52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T38"/>
  <sheetViews>
    <sheetView zoomScaleNormal="100" workbookViewId="0">
      <selection activeCell="P11" sqref="P11"/>
    </sheetView>
  </sheetViews>
  <sheetFormatPr defaultColWidth="8.85546875" defaultRowHeight="12.75" x14ac:dyDescent="0.2"/>
  <cols>
    <col min="1" max="1" width="2" style="49" bestFit="1" customWidth="1"/>
    <col min="2" max="2" width="13.85546875" customWidth="1"/>
    <col min="3" max="3" width="11.85546875" bestFit="1" customWidth="1"/>
    <col min="4" max="4" width="11" customWidth="1"/>
    <col min="5" max="5" width="11.42578125" bestFit="1" customWidth="1"/>
    <col min="6" max="6" width="8.28515625" bestFit="1" customWidth="1"/>
    <col min="7" max="7" width="13.140625" bestFit="1" customWidth="1"/>
    <col min="8" max="8" width="8.42578125" bestFit="1" customWidth="1"/>
    <col min="9" max="9" width="12.5703125" customWidth="1"/>
    <col min="10" max="10" width="2" style="49" bestFit="1" customWidth="1"/>
    <col min="11" max="11" width="11.85546875" bestFit="1" customWidth="1"/>
    <col min="12" max="12" width="7.42578125" bestFit="1" customWidth="1"/>
    <col min="13" max="13" width="12.140625" bestFit="1" customWidth="1"/>
    <col min="14" max="14" width="37.28515625" bestFit="1" customWidth="1"/>
    <col min="15" max="15" width="6.140625" bestFit="1" customWidth="1"/>
    <col min="16" max="16" width="10.42578125" bestFit="1" customWidth="1"/>
    <col min="17" max="17" width="12.85546875" bestFit="1" customWidth="1"/>
    <col min="18" max="18" width="14.140625" bestFit="1" customWidth="1"/>
    <col min="19" max="19" width="8" bestFit="1" customWidth="1"/>
    <col min="20" max="16384" width="8.85546875" style="49"/>
  </cols>
  <sheetData>
    <row r="1" spans="2:20" ht="30" x14ac:dyDescent="0.25">
      <c r="B1" s="44" t="s">
        <v>94</v>
      </c>
      <c r="C1" s="44" t="s">
        <v>95</v>
      </c>
      <c r="D1" s="44" t="s">
        <v>96</v>
      </c>
      <c r="E1" s="44" t="s">
        <v>98</v>
      </c>
      <c r="F1" s="31"/>
      <c r="G1" s="44" t="s">
        <v>99</v>
      </c>
    </row>
    <row r="2" spans="2:20" ht="15.75" x14ac:dyDescent="0.25">
      <c r="B2" s="20"/>
      <c r="C2" s="20" t="str">
        <f>EnergyBalance!G2</f>
        <v>NUC</v>
      </c>
      <c r="D2" s="20" t="str">
        <f>EnergyBalance!G3</f>
        <v>Nuclear Energy</v>
      </c>
      <c r="E2" s="20" t="str">
        <f>EnergyBalance!R2</f>
        <v>PJ</v>
      </c>
      <c r="G2" s="20" t="str">
        <f>EnergyBalance!Q2</f>
        <v>M€2005</v>
      </c>
      <c r="K2" s="207" t="s">
        <v>14</v>
      </c>
      <c r="L2" s="207"/>
      <c r="M2" s="208"/>
      <c r="N2" s="208"/>
      <c r="O2" s="208"/>
      <c r="P2" s="208"/>
      <c r="Q2" s="208"/>
      <c r="R2" s="208"/>
      <c r="S2" s="208"/>
    </row>
    <row r="3" spans="2:20" x14ac:dyDescent="0.2">
      <c r="H3" s="19"/>
      <c r="K3" s="209" t="s">
        <v>7</v>
      </c>
      <c r="L3" s="210" t="s">
        <v>30</v>
      </c>
      <c r="M3" s="209" t="s">
        <v>0</v>
      </c>
      <c r="N3" s="209" t="s">
        <v>3</v>
      </c>
      <c r="O3" s="209" t="s">
        <v>4</v>
      </c>
      <c r="P3" s="209" t="s">
        <v>8</v>
      </c>
      <c r="Q3" s="209" t="s">
        <v>9</v>
      </c>
      <c r="R3" s="209" t="s">
        <v>10</v>
      </c>
      <c r="S3" s="209" t="s">
        <v>12</v>
      </c>
    </row>
    <row r="4" spans="2:20" ht="23.25" thickBot="1" x14ac:dyDescent="0.25">
      <c r="B4" s="1"/>
      <c r="K4" s="211" t="s">
        <v>40</v>
      </c>
      <c r="L4" s="211" t="s">
        <v>31</v>
      </c>
      <c r="M4" s="211" t="s">
        <v>26</v>
      </c>
      <c r="N4" s="211" t="s">
        <v>27</v>
      </c>
      <c r="O4" s="211" t="s">
        <v>4</v>
      </c>
      <c r="P4" s="211" t="s">
        <v>43</v>
      </c>
      <c r="Q4" s="211" t="s">
        <v>44</v>
      </c>
      <c r="R4" s="211" t="s">
        <v>28</v>
      </c>
      <c r="S4" s="211" t="s">
        <v>29</v>
      </c>
    </row>
    <row r="5" spans="2:20" x14ac:dyDescent="0.2">
      <c r="K5" s="212" t="s">
        <v>93</v>
      </c>
      <c r="L5" s="213"/>
      <c r="M5" s="212" t="str">
        <f>C2</f>
        <v>NUC</v>
      </c>
      <c r="N5" s="212" t="str">
        <f>D2</f>
        <v>Nuclear Energy</v>
      </c>
      <c r="O5" s="212" t="str">
        <f>$E$2</f>
        <v>PJ</v>
      </c>
      <c r="P5" s="212"/>
      <c r="Q5" s="212"/>
      <c r="R5" s="212"/>
      <c r="S5" s="212"/>
    </row>
    <row r="7" spans="2:20" x14ac:dyDescent="0.2">
      <c r="F7" s="7" t="s">
        <v>13</v>
      </c>
      <c r="H7" s="7"/>
      <c r="K7" s="207" t="s">
        <v>15</v>
      </c>
      <c r="L7" s="207"/>
      <c r="M7" s="214"/>
      <c r="N7" s="214"/>
      <c r="O7" s="214"/>
      <c r="P7" s="214"/>
      <c r="Q7" s="214"/>
      <c r="R7" s="214"/>
      <c r="S7" s="214"/>
    </row>
    <row r="8" spans="2:20" x14ac:dyDescent="0.2">
      <c r="B8" s="3" t="s">
        <v>1</v>
      </c>
      <c r="C8" s="30" t="s">
        <v>5</v>
      </c>
      <c r="D8" s="3" t="s">
        <v>6</v>
      </c>
      <c r="E8" s="3" t="s">
        <v>156</v>
      </c>
      <c r="F8" s="3" t="s">
        <v>8</v>
      </c>
      <c r="G8" s="164" t="s">
        <v>37</v>
      </c>
      <c r="H8" s="164" t="s">
        <v>38</v>
      </c>
      <c r="I8" s="164" t="s">
        <v>100</v>
      </c>
      <c r="K8" s="209" t="s">
        <v>11</v>
      </c>
      <c r="L8" s="210" t="s">
        <v>30</v>
      </c>
      <c r="M8" s="209" t="s">
        <v>1</v>
      </c>
      <c r="N8" s="209" t="s">
        <v>2</v>
      </c>
      <c r="O8" s="209" t="s">
        <v>16</v>
      </c>
      <c r="P8" s="209" t="s">
        <v>17</v>
      </c>
      <c r="Q8" s="209" t="s">
        <v>18</v>
      </c>
      <c r="R8" s="209" t="s">
        <v>19</v>
      </c>
      <c r="S8" s="209" t="s">
        <v>20</v>
      </c>
    </row>
    <row r="9" spans="2:20" ht="34.5" thickBot="1" x14ac:dyDescent="0.25">
      <c r="B9" s="26" t="s">
        <v>42</v>
      </c>
      <c r="C9" s="26" t="s">
        <v>32</v>
      </c>
      <c r="D9" s="26" t="s">
        <v>33</v>
      </c>
      <c r="E9" s="26"/>
      <c r="F9" s="26"/>
      <c r="G9" s="24" t="s">
        <v>39</v>
      </c>
      <c r="H9" s="24" t="s">
        <v>117</v>
      </c>
      <c r="I9" s="24" t="s">
        <v>116</v>
      </c>
      <c r="K9" s="211" t="s">
        <v>41</v>
      </c>
      <c r="L9" s="211" t="s">
        <v>31</v>
      </c>
      <c r="M9" s="211" t="s">
        <v>21</v>
      </c>
      <c r="N9" s="211" t="s">
        <v>22</v>
      </c>
      <c r="O9" s="211" t="s">
        <v>23</v>
      </c>
      <c r="P9" s="211" t="s">
        <v>24</v>
      </c>
      <c r="Q9" s="211" t="s">
        <v>46</v>
      </c>
      <c r="R9" s="211" t="s">
        <v>45</v>
      </c>
      <c r="S9" s="211" t="s">
        <v>25</v>
      </c>
    </row>
    <row r="10" spans="2:20" s="51" customFormat="1" ht="13.5" thickBot="1" x14ac:dyDescent="0.25">
      <c r="B10" s="26" t="s">
        <v>114</v>
      </c>
      <c r="C10" s="24"/>
      <c r="D10" s="24"/>
      <c r="E10" s="24"/>
      <c r="F10" s="24"/>
      <c r="G10" s="24" t="str">
        <f>$E$2</f>
        <v>PJ</v>
      </c>
      <c r="H10" s="24" t="str">
        <f>$G$2&amp;"/"&amp;$E$2</f>
        <v>M€2005/PJ</v>
      </c>
      <c r="I10" s="24" t="str">
        <f>$E$2</f>
        <v>PJ</v>
      </c>
      <c r="J10" s="49"/>
      <c r="K10" s="211" t="s">
        <v>103</v>
      </c>
      <c r="L10" s="215"/>
      <c r="M10" s="215"/>
      <c r="N10" s="215"/>
      <c r="O10" s="215"/>
      <c r="P10" s="215"/>
      <c r="Q10" s="215"/>
      <c r="R10" s="215"/>
      <c r="S10" s="215"/>
      <c r="T10" s="49"/>
    </row>
    <row r="11" spans="2:20" s="51" customFormat="1" x14ac:dyDescent="0.2">
      <c r="B11" s="16" t="str">
        <f>M11</f>
        <v>MINNUC1</v>
      </c>
      <c r="C11" s="16"/>
      <c r="D11" s="16" t="str">
        <f>$M$5</f>
        <v>NUC</v>
      </c>
      <c r="E11" s="16"/>
      <c r="F11" s="16"/>
      <c r="G11" s="177"/>
      <c r="H11" s="178"/>
      <c r="I11" s="179"/>
      <c r="K11" s="212" t="str">
        <f>EnergyBalance!$B$5</f>
        <v>MIN</v>
      </c>
      <c r="L11" s="213"/>
      <c r="M11" s="213" t="str">
        <f>$K$11&amp;$C$2&amp;1</f>
        <v>MINNUC1</v>
      </c>
      <c r="N11" s="216" t="str">
        <f>"Domestic Supply of "&amp;$D$2&amp; " Step "&amp;RIGHT(M11,1)</f>
        <v>Domestic Supply of Nuclear Energy Step 1</v>
      </c>
      <c r="O11" s="213" t="str">
        <f>$E$2</f>
        <v>PJ</v>
      </c>
      <c r="P11" s="213"/>
      <c r="Q11" s="213"/>
      <c r="R11" s="213"/>
      <c r="S11" s="213"/>
    </row>
    <row r="12" spans="2:20" s="51" customFormat="1" x14ac:dyDescent="0.2">
      <c r="B12" s="16"/>
      <c r="C12" s="16"/>
      <c r="D12" s="16"/>
      <c r="E12" s="16"/>
      <c r="F12" s="16"/>
      <c r="G12" s="21"/>
      <c r="H12" s="45"/>
      <c r="I12" s="9"/>
      <c r="K12" s="9"/>
      <c r="L12" s="9"/>
      <c r="M12" s="9"/>
      <c r="N12" s="35"/>
      <c r="O12" s="9"/>
      <c r="P12" s="9"/>
      <c r="Q12" s="9"/>
      <c r="R12" s="9"/>
      <c r="S12" s="9"/>
    </row>
    <row r="13" spans="2:20" x14ac:dyDescent="0.2">
      <c r="B13" s="16"/>
      <c r="C13" s="16"/>
      <c r="D13" s="16"/>
      <c r="E13" s="16"/>
      <c r="F13" s="16"/>
      <c r="G13" s="21"/>
      <c r="H13" s="45"/>
      <c r="I13" s="9"/>
      <c r="J13" s="51"/>
      <c r="K13" s="9"/>
      <c r="L13" s="9"/>
      <c r="M13" s="9"/>
      <c r="N13" s="35"/>
      <c r="O13" s="9"/>
      <c r="P13" s="9"/>
      <c r="Q13" s="9"/>
      <c r="R13" s="9"/>
      <c r="S13" s="9"/>
      <c r="T13" s="51"/>
    </row>
    <row r="14" spans="2:20" x14ac:dyDescent="0.2">
      <c r="B14" s="16"/>
      <c r="C14" s="16"/>
      <c r="D14" s="16"/>
      <c r="E14" s="16"/>
      <c r="F14" s="16"/>
      <c r="G14" s="15"/>
      <c r="H14" s="45"/>
      <c r="I14" s="9"/>
      <c r="K14" s="9"/>
      <c r="L14" s="9"/>
      <c r="M14" s="9"/>
      <c r="N14" s="35"/>
      <c r="O14" s="9"/>
      <c r="P14" s="9"/>
      <c r="Q14" s="9"/>
      <c r="R14" s="9"/>
      <c r="S14" s="9"/>
    </row>
    <row r="15" spans="2:20" x14ac:dyDescent="0.2">
      <c r="B15" s="16"/>
      <c r="C15" s="16"/>
      <c r="D15" s="16"/>
      <c r="E15" s="16"/>
      <c r="F15" s="16"/>
      <c r="G15" s="15"/>
      <c r="H15" s="45"/>
      <c r="I15" s="23"/>
      <c r="K15" s="9"/>
      <c r="L15" s="9"/>
      <c r="M15" s="9"/>
      <c r="N15" s="35"/>
      <c r="O15" s="9"/>
      <c r="P15" s="9"/>
      <c r="Q15" s="9"/>
      <c r="R15" s="9"/>
      <c r="S15" s="9"/>
    </row>
    <row r="16" spans="2:20" s="51" customFormat="1" x14ac:dyDescent="0.2">
      <c r="B16" s="16"/>
      <c r="C16" s="16"/>
      <c r="D16" s="9"/>
      <c r="E16" s="9"/>
      <c r="F16" s="16"/>
      <c r="G16" s="15"/>
      <c r="H16" s="15"/>
      <c r="I16" s="23"/>
      <c r="J16" s="49"/>
      <c r="K16" s="9"/>
      <c r="L16" s="9"/>
      <c r="M16" s="9"/>
      <c r="N16" s="9"/>
      <c r="O16" s="9"/>
      <c r="P16" s="9"/>
      <c r="Q16" s="9"/>
      <c r="R16" s="9"/>
      <c r="S16" s="9"/>
      <c r="T16" s="49"/>
    </row>
    <row r="17" spans="2:20" s="51" customFormat="1" x14ac:dyDescent="0.2">
      <c r="B17" s="9"/>
      <c r="C17" s="9"/>
      <c r="D17" s="9"/>
      <c r="E17" s="9"/>
      <c r="F17" s="9"/>
      <c r="G17" s="9"/>
      <c r="H17" s="9"/>
      <c r="I17" s="9"/>
      <c r="K17" s="9"/>
      <c r="L17" s="9"/>
      <c r="M17" s="9"/>
      <c r="N17" s="9"/>
      <c r="O17" s="9"/>
      <c r="P17" s="9"/>
      <c r="Q17" s="9"/>
      <c r="R17" s="9"/>
      <c r="S17" s="9"/>
    </row>
    <row r="18" spans="2:20" x14ac:dyDescent="0.2">
      <c r="B18" s="9"/>
      <c r="C18" s="9"/>
      <c r="D18" s="9"/>
      <c r="E18" s="9"/>
      <c r="F18" s="9"/>
      <c r="G18" s="9"/>
      <c r="H18" s="9"/>
      <c r="I18" s="9"/>
      <c r="J18" s="51"/>
      <c r="K18" s="9"/>
      <c r="L18" s="9"/>
      <c r="M18" s="9"/>
      <c r="N18" s="9"/>
      <c r="O18" s="9"/>
      <c r="P18" s="9"/>
      <c r="Q18" s="9"/>
      <c r="R18" s="9"/>
      <c r="S18" s="9"/>
      <c r="T18" s="51"/>
    </row>
    <row r="19" spans="2:20" x14ac:dyDescent="0.2">
      <c r="B19" s="9"/>
      <c r="C19" s="9"/>
      <c r="D19" s="9"/>
      <c r="E19" s="9"/>
      <c r="F19" s="9"/>
      <c r="G19" s="9"/>
      <c r="H19" s="9"/>
      <c r="I19" s="9"/>
      <c r="K19" s="9"/>
      <c r="L19" s="9"/>
      <c r="M19" s="9"/>
      <c r="N19" s="9"/>
      <c r="O19" s="9"/>
      <c r="P19" s="9"/>
      <c r="Q19" s="9"/>
      <c r="R19" s="9"/>
      <c r="S19" s="9"/>
    </row>
    <row r="20" spans="2:20" s="50" customFormat="1" ht="19.5" customHeight="1" x14ac:dyDescent="0.2">
      <c r="B20" s="9"/>
      <c r="C20" s="9"/>
      <c r="D20" s="9"/>
      <c r="E20" s="9"/>
      <c r="F20" s="9"/>
      <c r="G20" s="9"/>
      <c r="H20" s="9"/>
      <c r="I20" s="9"/>
      <c r="J20" s="49"/>
      <c r="K20" s="9"/>
      <c r="L20" s="9"/>
      <c r="M20" s="9"/>
      <c r="N20" s="9"/>
      <c r="O20" s="9"/>
      <c r="P20" s="9"/>
      <c r="Q20" s="9"/>
      <c r="R20" s="9"/>
      <c r="S20" s="9"/>
      <c r="T20" s="49"/>
    </row>
    <row r="21" spans="2:20" x14ac:dyDescent="0.2">
      <c r="B21" s="9"/>
      <c r="C21" s="9"/>
      <c r="D21" s="9"/>
      <c r="E21" s="9"/>
      <c r="F21" s="9"/>
      <c r="G21" s="9"/>
      <c r="H21" s="9"/>
      <c r="I21" s="9"/>
      <c r="J21" s="50"/>
      <c r="K21" s="9"/>
      <c r="L21" s="9"/>
      <c r="M21" s="9"/>
      <c r="N21" s="9"/>
      <c r="O21" s="9"/>
      <c r="P21" s="9"/>
      <c r="Q21" s="9"/>
      <c r="R21" s="9"/>
      <c r="S21" s="9"/>
      <c r="T21" s="50"/>
    </row>
    <row r="22" spans="2:20" x14ac:dyDescent="0.2">
      <c r="K22" s="9"/>
      <c r="L22" s="9"/>
      <c r="M22" s="9"/>
      <c r="N22" s="9"/>
      <c r="O22" s="9"/>
      <c r="P22" s="9"/>
      <c r="Q22" s="9"/>
      <c r="R22" s="9"/>
      <c r="S22" s="9"/>
    </row>
    <row r="23" spans="2:20" s="51" customFormat="1" x14ac:dyDescent="0.2">
      <c r="B23" s="85"/>
      <c r="C23" s="1" t="s">
        <v>197</v>
      </c>
      <c r="D23"/>
      <c r="E23"/>
      <c r="F23"/>
      <c r="G23"/>
      <c r="H23"/>
      <c r="I23"/>
      <c r="J23" s="49"/>
      <c r="K23"/>
      <c r="L23"/>
      <c r="M23"/>
      <c r="N23"/>
      <c r="O23"/>
      <c r="P23"/>
      <c r="Q23"/>
      <c r="R23"/>
      <c r="S23"/>
      <c r="T23" s="49"/>
    </row>
    <row r="24" spans="2:20" s="51" customFormat="1" x14ac:dyDescent="0.2">
      <c r="B24" s="130"/>
      <c r="C24" s="1" t="s">
        <v>198</v>
      </c>
      <c r="D24"/>
      <c r="E24"/>
      <c r="F24"/>
      <c r="G24"/>
      <c r="H24"/>
      <c r="I24"/>
      <c r="K24"/>
      <c r="L24"/>
      <c r="M24"/>
      <c r="N24"/>
      <c r="O24"/>
      <c r="P24"/>
      <c r="Q24"/>
      <c r="R24"/>
      <c r="S24"/>
    </row>
    <row r="25" spans="2:20" s="51" customFormat="1" x14ac:dyDescent="0.2">
      <c r="B25"/>
      <c r="C25"/>
      <c r="D25"/>
      <c r="E25"/>
      <c r="F25"/>
      <c r="G25"/>
      <c r="H25"/>
      <c r="I25"/>
      <c r="K25"/>
      <c r="L25"/>
      <c r="M25"/>
      <c r="N25"/>
      <c r="O25"/>
      <c r="P25"/>
      <c r="Q25"/>
      <c r="R25"/>
      <c r="S25"/>
    </row>
    <row r="26" spans="2:20" x14ac:dyDescent="0.2">
      <c r="J26" s="51"/>
      <c r="T26" s="51"/>
    </row>
    <row r="30" spans="2:20" x14ac:dyDescent="0.2">
      <c r="J30" s="52"/>
    </row>
    <row r="31" spans="2:20" x14ac:dyDescent="0.2">
      <c r="J31" s="52"/>
    </row>
    <row r="32" spans="2:20" x14ac:dyDescent="0.2">
      <c r="J32" s="52"/>
    </row>
    <row r="33" spans="10:10" x14ac:dyDescent="0.2">
      <c r="J33" s="52"/>
    </row>
    <row r="34" spans="10:10" x14ac:dyDescent="0.2">
      <c r="J34" s="52"/>
    </row>
    <row r="35" spans="10:10" x14ac:dyDescent="0.2">
      <c r="J35" s="52"/>
    </row>
    <row r="36" spans="10:10" x14ac:dyDescent="0.2">
      <c r="J36" s="52"/>
    </row>
    <row r="37" spans="10:10" x14ac:dyDescent="0.2">
      <c r="J37" s="52"/>
    </row>
    <row r="38" spans="10:10" x14ac:dyDescent="0.2">
      <c r="J38" s="52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Q28"/>
  <sheetViews>
    <sheetView zoomScaleNormal="100" workbookViewId="0">
      <selection activeCell="B26" sqref="B26:C28"/>
    </sheetView>
  </sheetViews>
  <sheetFormatPr defaultRowHeight="12.75" x14ac:dyDescent="0.2"/>
  <cols>
    <col min="1" max="1" width="3" customWidth="1"/>
    <col min="2" max="2" width="13.5703125" bestFit="1" customWidth="1"/>
    <col min="3" max="3" width="12.28515625" customWidth="1"/>
    <col min="4" max="4" width="11.85546875" bestFit="1" customWidth="1"/>
    <col min="5" max="5" width="14.7109375" customWidth="1"/>
    <col min="6" max="6" width="8.42578125" bestFit="1" customWidth="1"/>
    <col min="7" max="7" width="7.7109375" customWidth="1"/>
    <col min="8" max="8" width="2.140625" bestFit="1" customWidth="1"/>
    <col min="9" max="9" width="12.42578125" customWidth="1"/>
    <col min="10" max="10" width="7.140625" customWidth="1"/>
    <col min="11" max="11" width="14.5703125" bestFit="1" customWidth="1"/>
    <col min="12" max="12" width="64.42578125" customWidth="1"/>
    <col min="13" max="13" width="6.140625" customWidth="1"/>
    <col min="14" max="14" width="10.42578125" bestFit="1" customWidth="1"/>
    <col min="15" max="15" width="12.85546875" bestFit="1" customWidth="1"/>
    <col min="16" max="16" width="14.140625" bestFit="1" customWidth="1"/>
    <col min="17" max="17" width="8.140625" customWidth="1"/>
  </cols>
  <sheetData>
    <row r="1" spans="2:17" ht="15" x14ac:dyDescent="0.25">
      <c r="B1" s="17" t="s">
        <v>94</v>
      </c>
      <c r="C1" s="17" t="s">
        <v>95</v>
      </c>
      <c r="D1" s="17" t="s">
        <v>96</v>
      </c>
      <c r="E1" s="17" t="s">
        <v>151</v>
      </c>
      <c r="F1" s="17" t="s">
        <v>119</v>
      </c>
      <c r="G1" s="17" t="s">
        <v>126</v>
      </c>
    </row>
    <row r="2" spans="2:17" ht="15.75" x14ac:dyDescent="0.25">
      <c r="B2" s="20"/>
      <c r="C2" s="20"/>
      <c r="D2" s="20" t="s">
        <v>149</v>
      </c>
      <c r="E2" s="20" t="str">
        <f>EnergyBalance!R2</f>
        <v>PJ</v>
      </c>
      <c r="F2" s="20" t="str">
        <f>EnergyBalance!Q2</f>
        <v>M€2005</v>
      </c>
      <c r="G2" s="20" t="s">
        <v>127</v>
      </c>
      <c r="I2" s="207" t="s">
        <v>14</v>
      </c>
      <c r="J2" s="207"/>
      <c r="K2" s="208"/>
      <c r="L2" s="208"/>
      <c r="M2" s="208"/>
      <c r="N2" s="208"/>
      <c r="O2" s="208"/>
      <c r="P2" s="208"/>
      <c r="Q2" s="208"/>
    </row>
    <row r="3" spans="2:17" x14ac:dyDescent="0.2">
      <c r="I3" s="209" t="s">
        <v>7</v>
      </c>
      <c r="J3" s="210" t="s">
        <v>30</v>
      </c>
      <c r="K3" s="209" t="s">
        <v>0</v>
      </c>
      <c r="L3" s="209" t="s">
        <v>3</v>
      </c>
      <c r="M3" s="209" t="s">
        <v>4</v>
      </c>
      <c r="N3" s="209" t="s">
        <v>8</v>
      </c>
      <c r="O3" s="209" t="s">
        <v>9</v>
      </c>
      <c r="P3" s="209" t="s">
        <v>10</v>
      </c>
      <c r="Q3" s="209" t="s">
        <v>12</v>
      </c>
    </row>
    <row r="4" spans="2:17" s="9" customFormat="1" ht="24" thickBot="1" x14ac:dyDescent="0.3">
      <c r="B4" s="18"/>
      <c r="C4" s="18"/>
      <c r="D4" s="18"/>
      <c r="E4" s="18"/>
      <c r="G4"/>
      <c r="I4" s="211" t="s">
        <v>40</v>
      </c>
      <c r="J4" s="211" t="s">
        <v>31</v>
      </c>
      <c r="K4" s="211" t="s">
        <v>26</v>
      </c>
      <c r="L4" s="211" t="s">
        <v>27</v>
      </c>
      <c r="M4" s="211" t="s">
        <v>4</v>
      </c>
      <c r="N4" s="211" t="s">
        <v>43</v>
      </c>
      <c r="O4" s="211" t="s">
        <v>44</v>
      </c>
      <c r="P4" s="211" t="s">
        <v>28</v>
      </c>
      <c r="Q4" s="211" t="s">
        <v>29</v>
      </c>
    </row>
    <row r="5" spans="2:17" x14ac:dyDescent="0.2">
      <c r="B5" s="11"/>
      <c r="C5" s="11"/>
      <c r="D5" s="11"/>
      <c r="E5" s="22"/>
      <c r="F5" s="22"/>
      <c r="I5" s="213" t="s">
        <v>93</v>
      </c>
      <c r="J5" s="213"/>
      <c r="K5" s="213" t="str">
        <f>EnergyBalance!$B$16&amp;EnergyBalance!$E$2</f>
        <v>RSDGAS</v>
      </c>
      <c r="L5" s="216" t="str">
        <f>EnergyBalance!$C$16&amp;" "&amp;EnergyBalance!$E$3</f>
        <v>Residential Natural Gas</v>
      </c>
      <c r="M5" s="213" t="str">
        <f t="shared" ref="M5:M11" si="0">$E$2</f>
        <v>PJ</v>
      </c>
      <c r="N5" s="213"/>
      <c r="O5" s="213"/>
      <c r="P5" s="213"/>
      <c r="Q5" s="213"/>
    </row>
    <row r="6" spans="2:17" x14ac:dyDescent="0.2">
      <c r="B6" s="11"/>
      <c r="C6" s="11"/>
      <c r="D6" s="11"/>
      <c r="E6" s="22"/>
      <c r="F6" s="22"/>
      <c r="I6" s="214"/>
      <c r="J6" s="214"/>
      <c r="K6" s="214" t="str">
        <f>EnergyBalance!$B$20&amp;EnergyBalance!$F$2</f>
        <v>TRAOIL</v>
      </c>
      <c r="L6" s="214" t="str">
        <f>EnergyBalance!$C$20&amp;" "&amp;EnergyBalance!$F$3</f>
        <v>Transport Crude Oil</v>
      </c>
      <c r="M6" s="214" t="str">
        <f t="shared" si="0"/>
        <v>PJ</v>
      </c>
      <c r="N6" s="213"/>
      <c r="O6" s="213"/>
      <c r="P6" s="213"/>
      <c r="Q6" s="213"/>
    </row>
    <row r="7" spans="2:17" x14ac:dyDescent="0.2">
      <c r="B7" s="11"/>
      <c r="C7" s="11"/>
      <c r="D7" s="11"/>
      <c r="E7" s="22"/>
      <c r="F7" s="22"/>
      <c r="I7" s="213"/>
      <c r="J7" s="213"/>
      <c r="K7" s="213" t="str">
        <f>Con_ELC!$B$2&amp;EnergyBalance!$D$2</f>
        <v>ELCCOA</v>
      </c>
      <c r="L7" s="216" t="str">
        <f>Con_ELC!$C$2&amp;" "&amp;EnergyBalance!$D$3</f>
        <v>Electricity Plants Solid Fuels</v>
      </c>
      <c r="M7" s="213" t="str">
        <f t="shared" si="0"/>
        <v>PJ</v>
      </c>
      <c r="N7" s="213"/>
      <c r="O7" s="213"/>
      <c r="P7" s="213"/>
      <c r="Q7" s="213"/>
    </row>
    <row r="8" spans="2:17" x14ac:dyDescent="0.2">
      <c r="B8" s="11"/>
      <c r="C8" s="11"/>
      <c r="D8" s="11"/>
      <c r="E8" s="22"/>
      <c r="F8" s="22"/>
      <c r="I8" s="213"/>
      <c r="J8" s="213"/>
      <c r="K8" s="213" t="str">
        <f>Con_ELC!$B$2&amp;EnergyBalance!$E$2</f>
        <v>ELCGAS</v>
      </c>
      <c r="L8" s="216" t="str">
        <f>Con_ELC!$C$2&amp;" "&amp;EnergyBalance!$E$3</f>
        <v>Electricity Plants Natural Gas</v>
      </c>
      <c r="M8" s="213" t="str">
        <f t="shared" si="0"/>
        <v>PJ</v>
      </c>
      <c r="N8" s="213"/>
      <c r="O8" s="213"/>
      <c r="P8" s="213"/>
      <c r="Q8" s="213"/>
    </row>
    <row r="9" spans="2:17" x14ac:dyDescent="0.2">
      <c r="B9" s="11"/>
      <c r="C9" s="11"/>
      <c r="D9" s="11"/>
      <c r="E9" s="22"/>
      <c r="F9" s="22"/>
      <c r="I9" s="213"/>
      <c r="J9" s="213"/>
      <c r="K9" s="213" t="str">
        <f>Con_ELC!$B$2&amp;EnergyBalance!$F$2</f>
        <v>ELCOIL</v>
      </c>
      <c r="L9" s="216" t="str">
        <f>Con_ELC!$C$2&amp;" "&amp;EnergyBalance!$F$3</f>
        <v>Electricity Plants Crude Oil</v>
      </c>
      <c r="M9" s="213" t="str">
        <f t="shared" si="0"/>
        <v>PJ</v>
      </c>
      <c r="N9" s="213"/>
      <c r="O9" s="213"/>
      <c r="P9" s="213"/>
      <c r="Q9" s="213"/>
    </row>
    <row r="10" spans="2:17" x14ac:dyDescent="0.2">
      <c r="B10" s="11"/>
      <c r="C10" s="11"/>
      <c r="D10" s="11"/>
      <c r="E10" s="22"/>
      <c r="F10" s="22"/>
      <c r="I10" s="213"/>
      <c r="J10" s="213"/>
      <c r="K10" s="213" t="str">
        <f>Con_ELC!$B$2&amp;EnergyBalance!$H$2</f>
        <v>ELCRNW</v>
      </c>
      <c r="L10" s="216" t="str">
        <f>Con_ELC!$C$2&amp;" "&amp;EnergyBalance!$H$3</f>
        <v>Electricity Plants Renewable Energies</v>
      </c>
      <c r="M10" s="213" t="str">
        <f t="shared" si="0"/>
        <v>PJ</v>
      </c>
      <c r="N10" s="213"/>
      <c r="O10" s="213"/>
      <c r="P10" s="213"/>
      <c r="Q10" s="213"/>
    </row>
    <row r="11" spans="2:17" x14ac:dyDescent="0.2">
      <c r="B11" s="11"/>
      <c r="C11" s="11"/>
      <c r="D11" s="11"/>
      <c r="E11" s="22"/>
      <c r="F11" s="22"/>
      <c r="I11" s="213"/>
      <c r="J11" s="213"/>
      <c r="K11" s="213" t="str">
        <f>Con_ELC!$B$2&amp;EnergyBalance!$G$2</f>
        <v>ELCNUC</v>
      </c>
      <c r="L11" s="216" t="str">
        <f>Con_ELC!$C$2&amp;" "&amp;EnergyBalance!$G$3</f>
        <v>Electricity Plants Nuclear Energy</v>
      </c>
      <c r="M11" s="213" t="str">
        <f t="shared" si="0"/>
        <v>PJ</v>
      </c>
      <c r="N11" s="213"/>
      <c r="O11" s="213"/>
      <c r="P11" s="213"/>
      <c r="Q11" s="213"/>
    </row>
    <row r="12" spans="2:17" x14ac:dyDescent="0.2">
      <c r="K12" s="52"/>
      <c r="L12" s="54"/>
    </row>
    <row r="13" spans="2:17" x14ac:dyDescent="0.2">
      <c r="D13" s="7" t="s">
        <v>13</v>
      </c>
      <c r="E13" s="7"/>
      <c r="F13" s="7"/>
      <c r="I13" s="207" t="s">
        <v>15</v>
      </c>
      <c r="J13" s="207"/>
      <c r="K13" s="214"/>
      <c r="L13" s="214"/>
      <c r="M13" s="214"/>
      <c r="N13" s="214"/>
      <c r="O13" s="214"/>
      <c r="P13" s="214"/>
      <c r="Q13" s="214"/>
    </row>
    <row r="14" spans="2:17" x14ac:dyDescent="0.2">
      <c r="B14" s="29" t="s">
        <v>1</v>
      </c>
      <c r="C14" s="29" t="s">
        <v>5</v>
      </c>
      <c r="D14" s="29" t="s">
        <v>6</v>
      </c>
      <c r="E14" s="165" t="s">
        <v>208</v>
      </c>
      <c r="F14" s="165" t="s">
        <v>108</v>
      </c>
      <c r="G14" s="165" t="s">
        <v>101</v>
      </c>
      <c r="I14" s="209" t="s">
        <v>11</v>
      </c>
      <c r="J14" s="210" t="s">
        <v>30</v>
      </c>
      <c r="K14" s="209" t="s">
        <v>1</v>
      </c>
      <c r="L14" s="209" t="s">
        <v>2</v>
      </c>
      <c r="M14" s="209" t="s">
        <v>16</v>
      </c>
      <c r="N14" s="209" t="s">
        <v>17</v>
      </c>
      <c r="O14" s="209" t="s">
        <v>18</v>
      </c>
      <c r="P14" s="209" t="s">
        <v>19</v>
      </c>
      <c r="Q14" s="209" t="s">
        <v>20</v>
      </c>
    </row>
    <row r="15" spans="2:17" ht="23.25" thickBot="1" x14ac:dyDescent="0.25">
      <c r="B15" s="27" t="s">
        <v>42</v>
      </c>
      <c r="C15" s="27" t="s">
        <v>32</v>
      </c>
      <c r="D15" s="27" t="s">
        <v>33</v>
      </c>
      <c r="E15" s="27" t="s">
        <v>34</v>
      </c>
      <c r="F15" s="161" t="s">
        <v>113</v>
      </c>
      <c r="G15" s="27" t="s">
        <v>215</v>
      </c>
      <c r="I15" s="211" t="s">
        <v>41</v>
      </c>
      <c r="J15" s="211" t="s">
        <v>31</v>
      </c>
      <c r="K15" s="211" t="s">
        <v>21</v>
      </c>
      <c r="L15" s="211" t="s">
        <v>22</v>
      </c>
      <c r="M15" s="211" t="s">
        <v>23</v>
      </c>
      <c r="N15" s="211" t="s">
        <v>24</v>
      </c>
      <c r="O15" s="211" t="s">
        <v>46</v>
      </c>
      <c r="P15" s="211" t="s">
        <v>45</v>
      </c>
      <c r="Q15" s="211" t="s">
        <v>25</v>
      </c>
    </row>
    <row r="16" spans="2:17" ht="13.5" thickBot="1" x14ac:dyDescent="0.25">
      <c r="B16" s="26" t="s">
        <v>114</v>
      </c>
      <c r="C16" s="26"/>
      <c r="D16" s="26"/>
      <c r="E16" s="24" t="str">
        <f>E2&amp;"a"</f>
        <v>PJa</v>
      </c>
      <c r="F16" s="24"/>
      <c r="G16" s="24" t="s">
        <v>115</v>
      </c>
      <c r="I16" s="211" t="s">
        <v>103</v>
      </c>
      <c r="J16" s="215"/>
      <c r="K16" s="215"/>
      <c r="L16" s="215"/>
      <c r="M16" s="215"/>
      <c r="N16" s="215"/>
      <c r="O16" s="215"/>
      <c r="P16" s="215"/>
      <c r="Q16" s="215"/>
    </row>
    <row r="17" spans="2:17" x14ac:dyDescent="0.2">
      <c r="B17" t="str">
        <f t="shared" ref="B17:B23" si="1">K17</f>
        <v>FTE-RSDGAS</v>
      </c>
      <c r="C17" t="str">
        <f t="shared" ref="C17:C23" si="2">RIGHT(D17,3)</f>
        <v>GAS</v>
      </c>
      <c r="D17" t="str">
        <f>$K$5</f>
        <v>RSDGAS</v>
      </c>
      <c r="E17" s="23"/>
      <c r="F17" s="132">
        <v>1</v>
      </c>
      <c r="G17" s="133">
        <v>30</v>
      </c>
      <c r="I17" s="212" t="s">
        <v>150</v>
      </c>
      <c r="J17" s="213"/>
      <c r="K17" s="213" t="str">
        <f t="shared" ref="K17:K23" si="3">"FT"&amp;$G$2&amp;"-"&amp;K5</f>
        <v>FTE-RSDGAS</v>
      </c>
      <c r="L17" s="216" t="str">
        <f>$D$2&amp;" "&amp;$G$1&amp;" "&amp;EnergyBalance!$C$16&amp; " Sector- "&amp;EnergyBalance!$E$3</f>
        <v>Sector Fuel Existing Residential Sector- Natural Gas</v>
      </c>
      <c r="M17" s="213" t="str">
        <f t="shared" ref="M17:M23" si="4">$E$2</f>
        <v>PJ</v>
      </c>
      <c r="N17" s="213" t="str">
        <f t="shared" ref="N17:N23" si="5">$E$2&amp;"a"</f>
        <v>PJa</v>
      </c>
      <c r="O17" s="213"/>
      <c r="P17" s="213"/>
      <c r="Q17" s="213"/>
    </row>
    <row r="18" spans="2:17" x14ac:dyDescent="0.2">
      <c r="B18" t="str">
        <f t="shared" si="1"/>
        <v>FTE-TRAOIL</v>
      </c>
      <c r="C18" t="str">
        <f t="shared" si="2"/>
        <v>OIL</v>
      </c>
      <c r="D18" t="str">
        <f>$K$6</f>
        <v>TRAOIL</v>
      </c>
      <c r="E18" s="193"/>
      <c r="F18" s="132">
        <v>1</v>
      </c>
      <c r="G18" s="133">
        <v>30</v>
      </c>
      <c r="I18" s="213"/>
      <c r="J18" s="213"/>
      <c r="K18" s="213" t="str">
        <f t="shared" si="3"/>
        <v>FTE-TRAOIL</v>
      </c>
      <c r="L18" s="216" t="str">
        <f>$D$2&amp;" "&amp;$G$1&amp;" "&amp;EnergyBalance!$C$20&amp; " Sector- "&amp;EnergyBalance!$F$3</f>
        <v>Sector Fuel Existing Transport Sector- Crude Oil</v>
      </c>
      <c r="M18" s="213" t="str">
        <f t="shared" si="4"/>
        <v>PJ</v>
      </c>
      <c r="N18" s="213" t="str">
        <f t="shared" si="5"/>
        <v>PJa</v>
      </c>
      <c r="O18" s="213"/>
      <c r="P18" s="213"/>
      <c r="Q18" s="213"/>
    </row>
    <row r="19" spans="2:17" x14ac:dyDescent="0.2">
      <c r="B19" t="str">
        <f t="shared" si="1"/>
        <v>FTE-ELCCOA</v>
      </c>
      <c r="C19" t="str">
        <f t="shared" si="2"/>
        <v>COA</v>
      </c>
      <c r="D19" s="49" t="str">
        <f>K7</f>
        <v>ELCCOA</v>
      </c>
      <c r="E19" s="22"/>
      <c r="F19" s="132">
        <v>1</v>
      </c>
      <c r="G19" s="133">
        <v>30</v>
      </c>
      <c r="I19" s="213"/>
      <c r="J19" s="213"/>
      <c r="K19" s="213" t="str">
        <f t="shared" si="3"/>
        <v>FTE-ELCCOA</v>
      </c>
      <c r="L19" s="216" t="str">
        <f>$D$2&amp;" Technology"&amp;" "&amp;$G$1&amp;" "&amp;L7</f>
        <v>Sector Fuel Technology Existing Electricity Plants Solid Fuels</v>
      </c>
      <c r="M19" s="213" t="str">
        <f t="shared" si="4"/>
        <v>PJ</v>
      </c>
      <c r="N19" s="213" t="str">
        <f t="shared" si="5"/>
        <v>PJa</v>
      </c>
      <c r="O19" s="213"/>
      <c r="P19" s="213"/>
      <c r="Q19" s="213"/>
    </row>
    <row r="20" spans="2:17" x14ac:dyDescent="0.2">
      <c r="B20" t="str">
        <f t="shared" si="1"/>
        <v>FTE-ELCGAS</v>
      </c>
      <c r="C20" t="str">
        <f t="shared" si="2"/>
        <v>GAS</v>
      </c>
      <c r="D20" s="49" t="str">
        <f>K8</f>
        <v>ELCGAS</v>
      </c>
      <c r="E20" s="22"/>
      <c r="F20" s="132">
        <v>1</v>
      </c>
      <c r="G20" s="133">
        <v>30</v>
      </c>
      <c r="I20" s="213"/>
      <c r="J20" s="213"/>
      <c r="K20" s="213" t="str">
        <f t="shared" si="3"/>
        <v>FTE-ELCGAS</v>
      </c>
      <c r="L20" s="216" t="str">
        <f>$D$2&amp;" Technology"&amp;" "&amp;$G$1&amp;" "&amp;L8</f>
        <v>Sector Fuel Technology Existing Electricity Plants Natural Gas</v>
      </c>
      <c r="M20" s="213" t="str">
        <f t="shared" si="4"/>
        <v>PJ</v>
      </c>
      <c r="N20" s="213" t="str">
        <f t="shared" si="5"/>
        <v>PJa</v>
      </c>
      <c r="O20" s="213"/>
      <c r="P20" s="213"/>
      <c r="Q20" s="213"/>
    </row>
    <row r="21" spans="2:17" x14ac:dyDescent="0.2">
      <c r="B21" t="str">
        <f t="shared" si="1"/>
        <v>FTE-ELCOIL</v>
      </c>
      <c r="C21" t="str">
        <f t="shared" si="2"/>
        <v>OIL</v>
      </c>
      <c r="D21" s="49" t="str">
        <f>K9</f>
        <v>ELCOIL</v>
      </c>
      <c r="E21" s="22"/>
      <c r="F21" s="132">
        <v>1</v>
      </c>
      <c r="G21" s="133">
        <v>30</v>
      </c>
      <c r="I21" s="213"/>
      <c r="J21" s="213"/>
      <c r="K21" s="213" t="str">
        <f t="shared" si="3"/>
        <v>FTE-ELCOIL</v>
      </c>
      <c r="L21" s="217" t="str">
        <f>$D$2&amp;" Technology"&amp;" "&amp;$G$1&amp;" "&amp;L9</f>
        <v>Sector Fuel Technology Existing Electricity Plants Crude Oil</v>
      </c>
      <c r="M21" s="213" t="str">
        <f t="shared" si="4"/>
        <v>PJ</v>
      </c>
      <c r="N21" s="213" t="str">
        <f t="shared" si="5"/>
        <v>PJa</v>
      </c>
      <c r="O21" s="213"/>
      <c r="P21" s="213"/>
      <c r="Q21" s="213"/>
    </row>
    <row r="22" spans="2:17" x14ac:dyDescent="0.2">
      <c r="B22" t="str">
        <f t="shared" si="1"/>
        <v>FTE-ELCRNW</v>
      </c>
      <c r="C22" t="str">
        <f t="shared" si="2"/>
        <v>RNW</v>
      </c>
      <c r="D22" s="49" t="str">
        <f>K10</f>
        <v>ELCRNW</v>
      </c>
      <c r="E22" s="22"/>
      <c r="F22" s="132">
        <v>1</v>
      </c>
      <c r="G22" s="133">
        <v>30</v>
      </c>
      <c r="I22" s="213"/>
      <c r="J22" s="213"/>
      <c r="K22" s="213" t="str">
        <f t="shared" si="3"/>
        <v>FTE-ELCRNW</v>
      </c>
      <c r="L22" s="216" t="str">
        <f>$D$2&amp;" Technology"&amp;" "&amp;$G$1&amp;" "&amp;L10</f>
        <v>Sector Fuel Technology Existing Electricity Plants Renewable Energies</v>
      </c>
      <c r="M22" s="213" t="str">
        <f t="shared" si="4"/>
        <v>PJ</v>
      </c>
      <c r="N22" s="213" t="str">
        <f t="shared" si="5"/>
        <v>PJa</v>
      </c>
      <c r="O22" s="213"/>
      <c r="P22" s="213"/>
      <c r="Q22" s="213"/>
    </row>
    <row r="23" spans="2:17" x14ac:dyDescent="0.2">
      <c r="B23" t="str">
        <f t="shared" si="1"/>
        <v>FTE-ELCNUC</v>
      </c>
      <c r="C23" t="str">
        <f t="shared" si="2"/>
        <v>NUC</v>
      </c>
      <c r="D23" s="49" t="str">
        <f>K11</f>
        <v>ELCNUC</v>
      </c>
      <c r="E23" s="22"/>
      <c r="F23" s="132">
        <v>1</v>
      </c>
      <c r="G23" s="133">
        <v>30</v>
      </c>
      <c r="I23" s="218"/>
      <c r="J23" s="219"/>
      <c r="K23" s="213" t="str">
        <f t="shared" si="3"/>
        <v>FTE-ELCNUC</v>
      </c>
      <c r="L23" s="216" t="str">
        <f>$D$2&amp;" Technology"&amp;" "&amp;$G$1&amp;" "&amp;L11</f>
        <v>Sector Fuel Technology Existing Electricity Plants Nuclear Energy</v>
      </c>
      <c r="M23" s="213" t="str">
        <f t="shared" si="4"/>
        <v>PJ</v>
      </c>
      <c r="N23" s="213" t="str">
        <f t="shared" si="5"/>
        <v>PJa</v>
      </c>
      <c r="O23" s="213"/>
      <c r="P23" s="213"/>
      <c r="Q23" s="213"/>
    </row>
    <row r="24" spans="2:17" x14ac:dyDescent="0.2">
      <c r="E24" s="9"/>
      <c r="I24" s="50"/>
      <c r="J24" s="49"/>
      <c r="O24" s="9"/>
      <c r="P24" s="9"/>
      <c r="Q24" s="9"/>
    </row>
    <row r="25" spans="2:17" x14ac:dyDescent="0.2">
      <c r="I25" s="49"/>
      <c r="J25" s="49"/>
      <c r="O25" s="9"/>
      <c r="P25" s="9"/>
      <c r="Q25" s="9"/>
    </row>
    <row r="26" spans="2:17" x14ac:dyDescent="0.2">
      <c r="B26" s="85"/>
      <c r="C26" s="1" t="s">
        <v>197</v>
      </c>
      <c r="I26" s="57"/>
      <c r="J26" s="53"/>
      <c r="O26" s="9"/>
      <c r="P26" s="9"/>
      <c r="Q26" s="9"/>
    </row>
    <row r="27" spans="2:17" x14ac:dyDescent="0.2">
      <c r="B27" s="130"/>
      <c r="C27" s="1" t="s">
        <v>198</v>
      </c>
      <c r="I27" s="58"/>
      <c r="J27" s="58"/>
      <c r="O27" s="58"/>
      <c r="P27" s="58"/>
      <c r="Q27" s="9"/>
    </row>
    <row r="28" spans="2:17" x14ac:dyDescent="0.2">
      <c r="I28" s="9"/>
      <c r="J28" s="9"/>
      <c r="K28" s="9"/>
      <c r="L28" s="9"/>
      <c r="M28" s="9"/>
      <c r="N28" s="9"/>
      <c r="O28" s="9"/>
      <c r="P28" s="9"/>
      <c r="Q28" s="9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B37"/>
  <sheetViews>
    <sheetView tabSelected="1" zoomScale="90" zoomScaleNormal="90" workbookViewId="0">
      <selection activeCell="O36" sqref="O36"/>
    </sheetView>
  </sheetViews>
  <sheetFormatPr defaultColWidth="8.85546875" defaultRowHeight="12.75" x14ac:dyDescent="0.2"/>
  <cols>
    <col min="1" max="1" width="3" style="49" customWidth="1"/>
    <col min="2" max="2" width="16.42578125" style="49" customWidth="1"/>
    <col min="3" max="3" width="12.140625" style="49" bestFit="1" customWidth="1"/>
    <col min="4" max="4" width="11.28515625" style="49" bestFit="1" customWidth="1"/>
    <col min="5" max="5" width="12" style="49" bestFit="1" customWidth="1"/>
    <col min="6" max="6" width="13.140625" style="49" customWidth="1"/>
    <col min="7" max="7" width="10" style="49" customWidth="1"/>
    <col min="8" max="8" width="8.140625" style="49" customWidth="1"/>
    <col min="9" max="9" width="9.7109375" style="49" customWidth="1"/>
    <col min="10" max="10" width="7.140625" style="49" bestFit="1" customWidth="1"/>
    <col min="11" max="11" width="9.28515625" style="49" customWidth="1"/>
    <col min="12" max="12" width="7.85546875" style="49" customWidth="1"/>
    <col min="13" max="13" width="7" style="49" bestFit="1" customWidth="1"/>
    <col min="14" max="14" width="9.5703125" style="49" customWidth="1"/>
    <col min="15" max="15" width="15.140625" style="49" customWidth="1"/>
    <col min="16" max="16" width="11.7109375" style="49" customWidth="1"/>
    <col min="17" max="17" width="2.28515625" style="52" customWidth="1"/>
    <col min="18" max="18" width="13.42578125" style="52" customWidth="1"/>
    <col min="19" max="19" width="2" style="52" customWidth="1"/>
    <col min="20" max="20" width="12.7109375" bestFit="1" customWidth="1"/>
    <col min="21" max="21" width="7.42578125" bestFit="1" customWidth="1"/>
    <col min="22" max="22" width="14.140625" customWidth="1"/>
    <col min="23" max="23" width="55" bestFit="1" customWidth="1"/>
    <col min="24" max="24" width="6.28515625" customWidth="1"/>
    <col min="25" max="25" width="11.42578125" bestFit="1" customWidth="1"/>
    <col min="26" max="26" width="13.5703125" bestFit="1" customWidth="1"/>
    <col min="27" max="27" width="15" bestFit="1" customWidth="1"/>
    <col min="28" max="28" width="8.140625" bestFit="1" customWidth="1"/>
    <col min="29" max="16384" width="8.85546875" style="49"/>
  </cols>
  <sheetData>
    <row r="1" spans="2:28" ht="30" x14ac:dyDescent="0.25">
      <c r="B1" s="44" t="s">
        <v>94</v>
      </c>
      <c r="C1" s="17" t="s">
        <v>96</v>
      </c>
      <c r="D1" s="17" t="s">
        <v>152</v>
      </c>
      <c r="E1" s="44" t="s">
        <v>23</v>
      </c>
      <c r="F1" s="44" t="s">
        <v>159</v>
      </c>
      <c r="G1" s="44" t="s">
        <v>99</v>
      </c>
      <c r="I1" s="44" t="s">
        <v>126</v>
      </c>
      <c r="J1" s="44" t="s">
        <v>207</v>
      </c>
    </row>
    <row r="2" spans="2:28" ht="31.5" x14ac:dyDescent="0.25">
      <c r="B2" s="20" t="str">
        <f>EnergyBalance!B11</f>
        <v>ELC</v>
      </c>
      <c r="C2" s="34" t="str">
        <f>EnergyBalance!C11</f>
        <v>Electricity Plants</v>
      </c>
      <c r="D2" s="34" t="s">
        <v>160</v>
      </c>
      <c r="E2" s="20" t="str">
        <f>EnergyBalance!R2</f>
        <v>PJ</v>
      </c>
      <c r="F2" s="20" t="s">
        <v>161</v>
      </c>
      <c r="G2" s="20" t="str">
        <f>EnergyBalance!Q2</f>
        <v>M€2005</v>
      </c>
      <c r="I2" s="20" t="s">
        <v>127</v>
      </c>
      <c r="J2" s="20" t="s">
        <v>128</v>
      </c>
      <c r="T2" s="207" t="s">
        <v>14</v>
      </c>
      <c r="U2" s="207"/>
      <c r="V2" s="208"/>
      <c r="W2" s="208"/>
      <c r="X2" s="208"/>
      <c r="Y2" s="208"/>
      <c r="Z2" s="208"/>
      <c r="AA2" s="208"/>
      <c r="AB2" s="208"/>
    </row>
    <row r="3" spans="2:28" x14ac:dyDescent="0.2">
      <c r="T3" s="209" t="s">
        <v>7</v>
      </c>
      <c r="U3" s="210" t="s">
        <v>30</v>
      </c>
      <c r="V3" s="209" t="s">
        <v>0</v>
      </c>
      <c r="W3" s="209" t="s">
        <v>3</v>
      </c>
      <c r="X3" s="209" t="s">
        <v>4</v>
      </c>
      <c r="Y3" s="209" t="s">
        <v>8</v>
      </c>
      <c r="Z3" s="209" t="s">
        <v>9</v>
      </c>
      <c r="AA3" s="209" t="s">
        <v>10</v>
      </c>
      <c r="AB3" s="209" t="s">
        <v>12</v>
      </c>
    </row>
    <row r="4" spans="2:28" s="51" customFormat="1" ht="30.75" thickBot="1" x14ac:dyDescent="0.3">
      <c r="B4" s="60" t="s">
        <v>167</v>
      </c>
      <c r="C4" s="17" t="s">
        <v>174</v>
      </c>
      <c r="D4" s="17" t="s">
        <v>168</v>
      </c>
      <c r="E4" s="17" t="s">
        <v>169</v>
      </c>
      <c r="F4" s="17" t="s">
        <v>189</v>
      </c>
      <c r="H4" s="18"/>
      <c r="Q4" s="52"/>
      <c r="R4" s="52"/>
      <c r="S4" s="52"/>
      <c r="T4" s="211" t="s">
        <v>40</v>
      </c>
      <c r="U4" s="211" t="s">
        <v>31</v>
      </c>
      <c r="V4" s="211" t="s">
        <v>26</v>
      </c>
      <c r="W4" s="211" t="s">
        <v>27</v>
      </c>
      <c r="X4" s="211" t="s">
        <v>4</v>
      </c>
      <c r="Y4" s="211" t="s">
        <v>43</v>
      </c>
      <c r="Z4" s="211" t="s">
        <v>44</v>
      </c>
      <c r="AA4" s="211" t="s">
        <v>28</v>
      </c>
      <c r="AB4" s="211" t="s">
        <v>29</v>
      </c>
    </row>
    <row r="5" spans="2:28" s="51" customFormat="1" ht="15.75" x14ac:dyDescent="0.25">
      <c r="B5" s="59" t="s">
        <v>173</v>
      </c>
      <c r="C5" s="20" t="s">
        <v>172</v>
      </c>
      <c r="D5" s="20" t="s">
        <v>171</v>
      </c>
      <c r="E5" s="20" t="s">
        <v>170</v>
      </c>
      <c r="F5" s="20" t="s">
        <v>128</v>
      </c>
      <c r="H5" s="18"/>
      <c r="Q5" s="52"/>
      <c r="R5" s="52"/>
      <c r="S5" s="52"/>
      <c r="T5" s="212" t="s">
        <v>93</v>
      </c>
      <c r="U5" s="213"/>
      <c r="V5" s="212" t="str">
        <f>EnergyBalance!$K$2</f>
        <v>ELC</v>
      </c>
      <c r="W5" s="212" t="str">
        <f>EnergyBalance!$K$3</f>
        <v>Electricity</v>
      </c>
      <c r="X5" s="212" t="str">
        <f>$E$2</f>
        <v>PJ</v>
      </c>
      <c r="Y5" s="212"/>
      <c r="Z5" s="212" t="s">
        <v>183</v>
      </c>
      <c r="AA5" s="224"/>
      <c r="AB5" s="212" t="s">
        <v>54</v>
      </c>
    </row>
    <row r="6" spans="2:28" x14ac:dyDescent="0.2">
      <c r="T6" s="214" t="s">
        <v>143</v>
      </c>
      <c r="U6" s="214"/>
      <c r="V6" s="214" t="str">
        <f>$B$2&amp;EnergyBalance!$C$52</f>
        <v>ELCCO2</v>
      </c>
      <c r="W6" s="214" t="str">
        <f>$C$2&amp;" "&amp;EnergyBalance!$C$53</f>
        <v>Electricity Plants Carbon dioxide</v>
      </c>
      <c r="X6" s="214" t="str">
        <f>EnergyBalance!$S$2</f>
        <v>kt</v>
      </c>
      <c r="Y6" s="214"/>
      <c r="Z6" s="214"/>
      <c r="AA6" s="214"/>
      <c r="AB6" s="214"/>
    </row>
    <row r="7" spans="2:28" x14ac:dyDescent="0.2">
      <c r="T7" s="2"/>
      <c r="U7" s="2"/>
    </row>
    <row r="8" spans="2:28" x14ac:dyDescent="0.2">
      <c r="D8" s="7" t="s">
        <v>13</v>
      </c>
      <c r="E8" s="7"/>
      <c r="F8" s="7"/>
      <c r="G8" s="7"/>
      <c r="H8" s="7"/>
      <c r="I8" s="7"/>
      <c r="K8" s="7"/>
      <c r="L8" s="8"/>
      <c r="M8" s="8"/>
      <c r="N8" s="6"/>
      <c r="O8" s="149"/>
      <c r="Q8" s="51"/>
      <c r="R8" s="49"/>
      <c r="T8" s="207" t="s">
        <v>15</v>
      </c>
      <c r="U8" s="207"/>
      <c r="V8" s="208"/>
      <c r="W8" s="208"/>
      <c r="X8" s="208"/>
      <c r="Y8" s="208"/>
      <c r="Z8" s="208"/>
      <c r="AA8" s="208"/>
      <c r="AB8" s="208"/>
    </row>
    <row r="9" spans="2:28" ht="25.5" customHeight="1" x14ac:dyDescent="0.2">
      <c r="B9" s="29" t="s">
        <v>1</v>
      </c>
      <c r="C9" s="29" t="s">
        <v>5</v>
      </c>
      <c r="D9" s="29" t="s">
        <v>6</v>
      </c>
      <c r="E9" s="160" t="s">
        <v>208</v>
      </c>
      <c r="F9" s="160" t="s">
        <v>209</v>
      </c>
      <c r="G9" s="159" t="s">
        <v>108</v>
      </c>
      <c r="H9" s="159" t="s">
        <v>124</v>
      </c>
      <c r="I9" s="159" t="s">
        <v>106</v>
      </c>
      <c r="J9" s="159" t="s">
        <v>107</v>
      </c>
      <c r="K9" s="159" t="s">
        <v>163</v>
      </c>
      <c r="L9" s="160" t="s">
        <v>101</v>
      </c>
      <c r="M9" s="160" t="s">
        <v>206</v>
      </c>
      <c r="N9" s="160" t="s">
        <v>129</v>
      </c>
      <c r="O9" s="160" t="s">
        <v>216</v>
      </c>
      <c r="P9" s="160" t="s">
        <v>185</v>
      </c>
      <c r="Q9" s="55"/>
      <c r="R9" s="185" t="s">
        <v>175</v>
      </c>
      <c r="S9" s="67"/>
      <c r="T9" s="209" t="s">
        <v>11</v>
      </c>
      <c r="U9" s="210" t="s">
        <v>30</v>
      </c>
      <c r="V9" s="209" t="s">
        <v>1</v>
      </c>
      <c r="W9" s="209" t="s">
        <v>2</v>
      </c>
      <c r="X9" s="209" t="s">
        <v>16</v>
      </c>
      <c r="Y9" s="209" t="s">
        <v>17</v>
      </c>
      <c r="Z9" s="209" t="s">
        <v>18</v>
      </c>
      <c r="AA9" s="209" t="s">
        <v>19</v>
      </c>
      <c r="AB9" s="209" t="s">
        <v>20</v>
      </c>
    </row>
    <row r="10" spans="2:28" ht="23.45" customHeight="1" thickBot="1" x14ac:dyDescent="0.25">
      <c r="B10" s="27" t="s">
        <v>42</v>
      </c>
      <c r="C10" s="27" t="s">
        <v>32</v>
      </c>
      <c r="D10" s="27" t="s">
        <v>33</v>
      </c>
      <c r="E10" s="161" t="s">
        <v>34</v>
      </c>
      <c r="F10" s="162" t="s">
        <v>187</v>
      </c>
      <c r="G10" s="161" t="s">
        <v>113</v>
      </c>
      <c r="H10" s="162" t="s">
        <v>125</v>
      </c>
      <c r="I10" s="161" t="s">
        <v>122</v>
      </c>
      <c r="J10" s="161" t="s">
        <v>121</v>
      </c>
      <c r="K10" s="161" t="s">
        <v>165</v>
      </c>
      <c r="L10" s="27" t="s">
        <v>215</v>
      </c>
      <c r="M10" s="161"/>
      <c r="N10" s="161" t="s">
        <v>142</v>
      </c>
      <c r="O10" s="161" t="s">
        <v>166</v>
      </c>
      <c r="P10" s="161" t="s">
        <v>186</v>
      </c>
      <c r="Q10" s="51"/>
      <c r="R10" s="158" t="s">
        <v>164</v>
      </c>
      <c r="S10" s="68"/>
      <c r="T10" s="211" t="s">
        <v>41</v>
      </c>
      <c r="U10" s="211" t="s">
        <v>31</v>
      </c>
      <c r="V10" s="211" t="s">
        <v>21</v>
      </c>
      <c r="W10" s="211" t="s">
        <v>22</v>
      </c>
      <c r="X10" s="211" t="s">
        <v>23</v>
      </c>
      <c r="Y10" s="211" t="s">
        <v>24</v>
      </c>
      <c r="Z10" s="211" t="s">
        <v>46</v>
      </c>
      <c r="AA10" s="211" t="s">
        <v>45</v>
      </c>
      <c r="AB10" s="211" t="s">
        <v>25</v>
      </c>
    </row>
    <row r="11" spans="2:28" ht="23.25" thickBot="1" x14ac:dyDescent="0.25">
      <c r="B11" s="26" t="s">
        <v>114</v>
      </c>
      <c r="C11" s="26"/>
      <c r="D11" s="26"/>
      <c r="E11" s="24" t="str">
        <f>$F$2</f>
        <v>GW</v>
      </c>
      <c r="F11" s="163" t="str">
        <f>$F$2</f>
        <v>GW</v>
      </c>
      <c r="G11" s="24"/>
      <c r="H11" s="163"/>
      <c r="I11" s="24" t="str">
        <f>$G$2&amp;"/"&amp;$F$2</f>
        <v>M€2005/GW</v>
      </c>
      <c r="J11" s="24" t="str">
        <f>$G$2&amp;"/"&amp;$F$2</f>
        <v>M€2005/GW</v>
      </c>
      <c r="K11" s="24" t="str">
        <f>$G$2&amp;"/"&amp;$E$2</f>
        <v>M€2005/PJ</v>
      </c>
      <c r="L11" s="24" t="s">
        <v>115</v>
      </c>
      <c r="M11" s="24"/>
      <c r="N11" s="24" t="str">
        <f>EnergyBalance!$S$2</f>
        <v>kt</v>
      </c>
      <c r="O11" s="24" t="str">
        <f>$E$2&amp;"/"&amp;$F$2</f>
        <v>PJ/GW</v>
      </c>
      <c r="P11" s="24"/>
      <c r="Q11" s="51"/>
      <c r="R11" s="65" t="s">
        <v>188</v>
      </c>
      <c r="S11" s="68"/>
      <c r="T11" s="211" t="s">
        <v>103</v>
      </c>
      <c r="U11" s="211"/>
      <c r="V11" s="211"/>
      <c r="W11" s="211"/>
      <c r="X11" s="211"/>
      <c r="Y11" s="211"/>
      <c r="Z11" s="211"/>
      <c r="AA11" s="211"/>
      <c r="AB11" s="211"/>
    </row>
    <row r="12" spans="2:28" x14ac:dyDescent="0.2">
      <c r="B12" s="49" t="str">
        <f>V12</f>
        <v>ELCTECOA00</v>
      </c>
      <c r="C12" s="49" t="str">
        <f>$B$2&amp;RIGHT(Sector_Fuels!$K$7,3)</f>
        <v>ELCCOA</v>
      </c>
      <c r="D12" s="49" t="str">
        <f>$V$5</f>
        <v>ELC</v>
      </c>
      <c r="E12" s="152">
        <f>(-EnergyBalance!D11*G12)/(H12*O12)</f>
        <v>137.49657086578924</v>
      </c>
      <c r="F12" s="152"/>
      <c r="G12" s="200">
        <v>0.38400000000000001</v>
      </c>
      <c r="H12" s="140">
        <v>0.85</v>
      </c>
      <c r="I12" s="139"/>
      <c r="J12" s="200">
        <v>40</v>
      </c>
      <c r="K12" s="140">
        <v>0.5</v>
      </c>
      <c r="L12" s="139">
        <v>30</v>
      </c>
      <c r="O12" s="194">
        <v>31.536000000000001</v>
      </c>
      <c r="P12" s="140">
        <v>1</v>
      </c>
      <c r="Q12" s="51"/>
      <c r="R12" s="66">
        <f>E12*$H12*$O12</f>
        <v>3685.6780800000001</v>
      </c>
      <c r="S12" s="68"/>
      <c r="T12" s="213" t="s">
        <v>162</v>
      </c>
      <c r="U12" s="213"/>
      <c r="V12" s="213" t="str">
        <f>$B$2&amp;$C$5&amp;$I$2&amp;RIGHT(Sector_Fuels!$K$7,3)&amp;"00"</f>
        <v>ELCTECOA00</v>
      </c>
      <c r="W12" s="217" t="str">
        <f>$D$2&amp;" "&amp;$I$1&amp;RIGHT(V12,2)&amp;" - "&amp;EnergyBalance!D3</f>
        <v>Power Plants Existing00 - Solid Fuels</v>
      </c>
      <c r="X12" s="213" t="str">
        <f t="shared" ref="X12:X19" si="0">$E$2</f>
        <v>PJ</v>
      </c>
      <c r="Y12" s="213" t="str">
        <f t="shared" ref="Y12:Y19" si="1">$F$2</f>
        <v>GW</v>
      </c>
      <c r="Z12" s="212" t="s">
        <v>184</v>
      </c>
      <c r="AA12" s="213"/>
      <c r="AB12" s="213"/>
    </row>
    <row r="13" spans="2:28" x14ac:dyDescent="0.2">
      <c r="D13" s="49" t="str">
        <f>$V$6</f>
        <v>ELCCO2</v>
      </c>
      <c r="E13" s="152"/>
      <c r="F13" s="152"/>
      <c r="G13" s="200"/>
      <c r="H13" s="140"/>
      <c r="I13" s="139"/>
      <c r="J13" s="200"/>
      <c r="K13" s="140"/>
      <c r="L13" s="139"/>
      <c r="N13" s="155">
        <f>99.8/G12</f>
        <v>259.89583333333331</v>
      </c>
      <c r="P13" s="150"/>
      <c r="Q13" s="51"/>
      <c r="R13" s="66"/>
      <c r="S13" s="69"/>
      <c r="T13" s="213"/>
      <c r="U13" s="213"/>
      <c r="V13" s="213" t="str">
        <f>$B$2&amp;$C$5&amp;$I$2&amp;RIGHT(Sector_Fuels!$K$8,3)&amp;"00"</f>
        <v>ELCTEGAS00</v>
      </c>
      <c r="W13" s="217" t="str">
        <f>$D$2&amp;" "&amp;$I$1&amp;RIGHT(V13,2)&amp;" - "&amp;EnergyBalance!E3</f>
        <v>Power Plants Existing00 - Natural Gas</v>
      </c>
      <c r="X13" s="213" t="str">
        <f t="shared" si="0"/>
        <v>PJ</v>
      </c>
      <c r="Y13" s="213" t="str">
        <f t="shared" si="1"/>
        <v>GW</v>
      </c>
      <c r="Z13" s="213"/>
      <c r="AA13" s="213"/>
      <c r="AB13" s="213"/>
    </row>
    <row r="14" spans="2:28" x14ac:dyDescent="0.2">
      <c r="B14" s="49" t="str">
        <f>V13</f>
        <v>ELCTEGAS00</v>
      </c>
      <c r="C14" s="49" t="str">
        <f>$B$2&amp;RIGHT(Sector_Fuels!$K$8,3)</f>
        <v>ELCGAS</v>
      </c>
      <c r="D14" s="49" t="str">
        <f>$V$5</f>
        <v>ELC</v>
      </c>
      <c r="E14" s="152">
        <f>(-EnergyBalance!E11*G14)/(H14*O14)</f>
        <v>103.62609445787447</v>
      </c>
      <c r="F14" s="152"/>
      <c r="G14" s="201">
        <v>0.4929</v>
      </c>
      <c r="H14" s="140">
        <v>0.85</v>
      </c>
      <c r="I14" s="139"/>
      <c r="J14" s="200">
        <v>35</v>
      </c>
      <c r="K14" s="140">
        <v>0.4</v>
      </c>
      <c r="L14" s="139">
        <v>20</v>
      </c>
      <c r="N14" s="56"/>
      <c r="O14" s="194">
        <v>31.536000000000001</v>
      </c>
      <c r="P14" s="140">
        <v>1</v>
      </c>
      <c r="Q14" s="51"/>
      <c r="R14" s="66">
        <f>E14*H14*O14</f>
        <v>2777.7596376000001</v>
      </c>
      <c r="S14" s="69"/>
      <c r="T14" s="213"/>
      <c r="U14" s="213"/>
      <c r="V14" s="213" t="str">
        <f>$B$2&amp;$C$5&amp;$I$2&amp;RIGHT(Sector_Fuels!$K$9,3)&amp;"00"</f>
        <v>ELCTEOIL00</v>
      </c>
      <c r="W14" s="217" t="str">
        <f>$D$2&amp;" "&amp;$I$1&amp;RIGHT(V14,2)&amp;" - "&amp;EnergyBalance!F3</f>
        <v>Power Plants Existing00 - Crude Oil</v>
      </c>
      <c r="X14" s="213" t="str">
        <f t="shared" si="0"/>
        <v>PJ</v>
      </c>
      <c r="Y14" s="213" t="str">
        <f t="shared" si="1"/>
        <v>GW</v>
      </c>
      <c r="Z14" s="213"/>
      <c r="AA14" s="213"/>
      <c r="AB14" s="213"/>
    </row>
    <row r="15" spans="2:28" x14ac:dyDescent="0.2">
      <c r="D15" s="49" t="str">
        <f>$V$6</f>
        <v>ELCCO2</v>
      </c>
      <c r="E15" s="152"/>
      <c r="F15" s="152"/>
      <c r="G15" s="200"/>
      <c r="H15" s="140"/>
      <c r="I15" s="139"/>
      <c r="J15" s="200"/>
      <c r="K15" s="140"/>
      <c r="L15" s="139"/>
      <c r="N15" s="155">
        <f>56.1/G14</f>
        <v>113.81618989653074</v>
      </c>
      <c r="P15" s="150"/>
      <c r="Q15" s="51"/>
      <c r="R15" s="66"/>
      <c r="S15" s="69"/>
      <c r="T15" s="213"/>
      <c r="U15" s="213"/>
      <c r="V15" s="213" t="str">
        <f>$B$2&amp;$E$5&amp;$I$2&amp;RIGHT(Sector_Fuels!$K$10,3)&amp;"00"</f>
        <v>ELCRERNW00</v>
      </c>
      <c r="W15" s="217" t="str">
        <f>$D$2&amp;" "&amp;$I$1&amp;RIGHT(V15,2)&amp;" - "&amp;EnergyBalance!H3</f>
        <v>Power Plants Existing00 - Renewable Energies</v>
      </c>
      <c r="X15" s="213" t="str">
        <f t="shared" si="0"/>
        <v>PJ</v>
      </c>
      <c r="Y15" s="213" t="str">
        <f t="shared" si="1"/>
        <v>GW</v>
      </c>
      <c r="Z15" s="213"/>
      <c r="AA15" s="213"/>
      <c r="AB15" s="213"/>
    </row>
    <row r="16" spans="2:28" x14ac:dyDescent="0.2">
      <c r="B16" s="49" t="str">
        <f>V14</f>
        <v>ELCTEOIL00</v>
      </c>
      <c r="C16" s="49" t="str">
        <f>$B$2&amp;RIGHT(Sector_Fuels!$K$9,3)</f>
        <v>ELCOIL</v>
      </c>
      <c r="D16" s="49" t="str">
        <f>$V$5</f>
        <v>ELC</v>
      </c>
      <c r="E16" s="152">
        <f>((-EnergyBalance!F11*G16)/(H16*O16))</f>
        <v>11.421204897484106</v>
      </c>
      <c r="F16" s="152"/>
      <c r="G16" s="201">
        <v>0.25</v>
      </c>
      <c r="H16" s="154">
        <v>0.85</v>
      </c>
      <c r="I16" s="141"/>
      <c r="J16" s="201">
        <v>20</v>
      </c>
      <c r="K16" s="154">
        <v>0.2</v>
      </c>
      <c r="L16" s="141">
        <v>30</v>
      </c>
      <c r="M16" s="151"/>
      <c r="N16" s="56"/>
      <c r="O16" s="194">
        <v>31.536000000000001</v>
      </c>
      <c r="P16" s="140">
        <v>1</v>
      </c>
      <c r="Q16" s="51"/>
      <c r="R16" s="66">
        <f>E16*H16*O16</f>
        <v>306.15224999999992</v>
      </c>
      <c r="S16" s="69"/>
      <c r="T16" s="213"/>
      <c r="U16" s="213"/>
      <c r="V16" s="213" t="str">
        <f>$B$2&amp;$C$5&amp;$I$2&amp;RIGHT(Sector_Fuels!$K$11,3)&amp;"00"</f>
        <v>ELCTENUC00</v>
      </c>
      <c r="W16" s="217" t="str">
        <f>$D$2&amp;" "&amp;$I$1&amp;RIGHT(V16,2)&amp;" - "&amp;EnergyBalance!G3</f>
        <v>Power Plants Existing00 - Nuclear Energy</v>
      </c>
      <c r="X16" s="213" t="str">
        <f t="shared" si="0"/>
        <v>PJ</v>
      </c>
      <c r="Y16" s="213" t="str">
        <f t="shared" si="1"/>
        <v>GW</v>
      </c>
      <c r="Z16" s="212" t="s">
        <v>184</v>
      </c>
      <c r="AA16" s="213"/>
      <c r="AB16" s="213"/>
    </row>
    <row r="17" spans="2:28" x14ac:dyDescent="0.2">
      <c r="D17" s="49" t="str">
        <f>$V$6</f>
        <v>ELCCO2</v>
      </c>
      <c r="E17" s="153"/>
      <c r="F17" s="153"/>
      <c r="G17" s="201"/>
      <c r="H17" s="154"/>
      <c r="I17" s="141"/>
      <c r="J17" s="201"/>
      <c r="K17" s="154"/>
      <c r="L17" s="141"/>
      <c r="M17" s="151"/>
      <c r="N17" s="155">
        <f>76.4/G16</f>
        <v>305.60000000000002</v>
      </c>
      <c r="O17" s="53"/>
      <c r="P17" s="197"/>
      <c r="Q17" s="51"/>
      <c r="R17" s="66"/>
      <c r="S17" s="69"/>
      <c r="T17" s="213"/>
      <c r="U17" s="213"/>
      <c r="V17" s="213" t="str">
        <f>$B$2&amp;$C$5&amp;$J$2&amp;RIGHT(Sector_Fuels!$K$7,3)&amp;"00"</f>
        <v>ELCTNCOA00</v>
      </c>
      <c r="W17" s="217" t="str">
        <f>$D$2&amp;" "&amp;$J$1&amp;RIGHT(V17,2)&amp;" - "&amp;EnergyBalance!D3</f>
        <v>Power Plants New00 - Solid Fuels</v>
      </c>
      <c r="X17" s="213" t="str">
        <f t="shared" si="0"/>
        <v>PJ</v>
      </c>
      <c r="Y17" s="213" t="str">
        <f t="shared" si="1"/>
        <v>GW</v>
      </c>
      <c r="Z17" s="212" t="s">
        <v>184</v>
      </c>
      <c r="AA17" s="213"/>
      <c r="AB17" s="213"/>
    </row>
    <row r="18" spans="2:28" x14ac:dyDescent="0.2">
      <c r="B18" s="49" t="str">
        <f>V15</f>
        <v>ELCRERNW00</v>
      </c>
      <c r="C18" s="49" t="str">
        <f>$B$2&amp;RIGHT(Sector_Fuels!$K$10,3)</f>
        <v>ELCRNW</v>
      </c>
      <c r="D18" s="49" t="str">
        <f>$V$5</f>
        <v>ELC</v>
      </c>
      <c r="E18" s="152">
        <f>(-EnergyBalance!H11*G18)/(H18*O18)</f>
        <v>88.483849145949605</v>
      </c>
      <c r="F18" s="152">
        <f>E18</f>
        <v>88.483849145949605</v>
      </c>
      <c r="G18" s="200">
        <v>1</v>
      </c>
      <c r="H18" s="140">
        <v>0.45</v>
      </c>
      <c r="I18" s="139"/>
      <c r="J18" s="200">
        <v>70</v>
      </c>
      <c r="K18" s="140"/>
      <c r="L18" s="156"/>
      <c r="N18" s="56"/>
      <c r="O18" s="194">
        <v>31.536000000000001</v>
      </c>
      <c r="P18" s="140">
        <v>0.5</v>
      </c>
      <c r="Q18" s="49"/>
      <c r="R18" s="66">
        <f>E18*H18*O18</f>
        <v>1255.692</v>
      </c>
      <c r="S18" s="69"/>
      <c r="T18" s="213"/>
      <c r="U18" s="213"/>
      <c r="V18" s="213" t="str">
        <f>$B$2&amp;$C$5&amp;$J$2&amp;RIGHT(Sector_Fuels!$K$8,3)&amp;"00"</f>
        <v>ELCTNGAS00</v>
      </c>
      <c r="W18" s="217" t="str">
        <f>$D$2&amp;" "&amp;$J$1&amp;RIGHT(V18,2)&amp;" - "&amp;EnergyBalance!E3</f>
        <v>Power Plants New00 - Natural Gas</v>
      </c>
      <c r="X18" s="213" t="str">
        <f t="shared" si="0"/>
        <v>PJ</v>
      </c>
      <c r="Y18" s="213" t="str">
        <f t="shared" si="1"/>
        <v>GW</v>
      </c>
      <c r="Z18" s="213"/>
      <c r="AA18" s="213"/>
      <c r="AB18" s="213"/>
    </row>
    <row r="19" spans="2:28" x14ac:dyDescent="0.2">
      <c r="B19" s="188" t="str">
        <f>V16</f>
        <v>ELCTENUC00</v>
      </c>
      <c r="C19" s="188" t="str">
        <f>$B$2&amp;RIGHT(Sector_Fuels!$K$11,3)</f>
        <v>ELCNUC</v>
      </c>
      <c r="D19" s="188" t="str">
        <f>$V$5</f>
        <v>ELC</v>
      </c>
      <c r="E19" s="189">
        <f>(-EnergyBalance!G11*G19)/(H19*O19)</f>
        <v>125.28183557415862</v>
      </c>
      <c r="F19" s="189">
        <f>E19</f>
        <v>125.28183557415862</v>
      </c>
      <c r="G19" s="202">
        <v>0.33</v>
      </c>
      <c r="H19" s="191">
        <v>0.9</v>
      </c>
      <c r="I19" s="202"/>
      <c r="J19" s="191">
        <v>38</v>
      </c>
      <c r="K19" s="190">
        <v>0.27</v>
      </c>
      <c r="L19" s="187"/>
      <c r="M19" s="188"/>
      <c r="N19" s="195"/>
      <c r="O19" s="196">
        <v>31.536000000000001</v>
      </c>
      <c r="P19" s="191">
        <v>1</v>
      </c>
      <c r="Q19" s="188"/>
      <c r="R19" s="192">
        <f>E19*H19*O19</f>
        <v>3555.7991699999998</v>
      </c>
      <c r="S19" s="69"/>
      <c r="T19" s="213"/>
      <c r="U19" s="213"/>
      <c r="V19" s="213" t="str">
        <f>$B$2&amp;$C$5&amp;$J$2&amp;RIGHT(Sector_Fuels!$K$9,3)&amp;"00"</f>
        <v>ELCTNOIL00</v>
      </c>
      <c r="W19" s="217" t="str">
        <f>$D$2&amp;" "&amp;$J$1&amp;RIGHT(V19,2)&amp;" - "&amp;EnergyBalance!F3</f>
        <v>Power Plants New00 - Crude Oil</v>
      </c>
      <c r="X19" s="213" t="str">
        <f t="shared" si="0"/>
        <v>PJ</v>
      </c>
      <c r="Y19" s="213" t="str">
        <f t="shared" si="1"/>
        <v>GW</v>
      </c>
      <c r="Z19" s="213"/>
      <c r="AA19" s="213"/>
      <c r="AB19" s="213"/>
    </row>
    <row r="20" spans="2:28" x14ac:dyDescent="0.2">
      <c r="B20" s="49" t="str">
        <f>V17</f>
        <v>ELCTNCOA00</v>
      </c>
      <c r="C20" s="49" t="str">
        <f>$B$2&amp;RIGHT(Sector_Fuels!$K$7,3)</f>
        <v>ELCCOA</v>
      </c>
      <c r="D20" s="49" t="str">
        <f>$V$5</f>
        <v>ELC</v>
      </c>
      <c r="E20" s="56"/>
      <c r="F20" s="56"/>
      <c r="G20" s="140">
        <v>0.42</v>
      </c>
      <c r="H20" s="140">
        <v>0.85</v>
      </c>
      <c r="I20" s="139">
        <v>1650</v>
      </c>
      <c r="J20" s="200">
        <v>35</v>
      </c>
      <c r="K20" s="140">
        <v>0.4</v>
      </c>
      <c r="L20" s="139">
        <v>40</v>
      </c>
      <c r="M20" s="155">
        <v>2006</v>
      </c>
      <c r="N20" s="56"/>
      <c r="O20" s="194">
        <v>31.536000000000001</v>
      </c>
      <c r="P20" s="140">
        <v>1</v>
      </c>
      <c r="Q20" s="49"/>
      <c r="R20" s="49"/>
      <c r="S20" s="69"/>
      <c r="T20" s="9"/>
      <c r="U20" s="9"/>
      <c r="V20" s="9"/>
      <c r="W20" s="9"/>
      <c r="X20" s="9"/>
      <c r="Y20" s="9"/>
      <c r="Z20" s="9"/>
      <c r="AA20" s="9"/>
      <c r="AB20" s="9"/>
    </row>
    <row r="21" spans="2:28" x14ac:dyDescent="0.2">
      <c r="D21" s="49" t="str">
        <f>$V$6</f>
        <v>ELCCO2</v>
      </c>
      <c r="E21" s="56"/>
      <c r="F21" s="56"/>
      <c r="G21" s="140"/>
      <c r="H21" s="140"/>
      <c r="I21" s="139"/>
      <c r="J21" s="200"/>
      <c r="K21" s="140"/>
      <c r="L21" s="139"/>
      <c r="M21" s="56"/>
      <c r="N21" s="155">
        <f>99.8/G20</f>
        <v>237.61904761904762</v>
      </c>
      <c r="P21" s="150"/>
      <c r="Q21" s="49"/>
      <c r="R21" s="49"/>
    </row>
    <row r="22" spans="2:28" x14ac:dyDescent="0.2">
      <c r="B22" s="49" t="str">
        <f>V18</f>
        <v>ELCTNGAS00</v>
      </c>
      <c r="C22" s="49" t="str">
        <f>$B$2&amp;RIGHT(Sector_Fuels!$K$8,3)</f>
        <v>ELCGAS</v>
      </c>
      <c r="D22" s="49" t="str">
        <f>$V$5</f>
        <v>ELC</v>
      </c>
      <c r="G22" s="139">
        <v>0.52</v>
      </c>
      <c r="H22" s="140">
        <v>0.85</v>
      </c>
      <c r="I22" s="139">
        <v>750</v>
      </c>
      <c r="J22" s="200">
        <v>30</v>
      </c>
      <c r="K22" s="140">
        <v>0.35</v>
      </c>
      <c r="L22" s="139">
        <v>30</v>
      </c>
      <c r="M22" s="155">
        <v>2006</v>
      </c>
      <c r="N22" s="56"/>
      <c r="O22" s="194">
        <v>31.536000000000001</v>
      </c>
      <c r="P22" s="140">
        <v>1</v>
      </c>
      <c r="Q22" s="49"/>
      <c r="R22" s="49"/>
    </row>
    <row r="23" spans="2:28" x14ac:dyDescent="0.2">
      <c r="D23" s="49" t="str">
        <f>$V$6</f>
        <v>ELCCO2</v>
      </c>
      <c r="G23" s="139"/>
      <c r="H23" s="139"/>
      <c r="I23" s="139"/>
      <c r="J23" s="200"/>
      <c r="K23" s="140"/>
      <c r="L23" s="139"/>
      <c r="M23" s="56"/>
      <c r="N23" s="155">
        <f>56.1/G22</f>
        <v>107.88461538461539</v>
      </c>
      <c r="P23" s="150"/>
      <c r="Q23" s="49"/>
      <c r="R23" s="49"/>
    </row>
    <row r="24" spans="2:28" x14ac:dyDescent="0.2">
      <c r="B24" s="49" t="str">
        <f>V19</f>
        <v>ELCTNOIL00</v>
      </c>
      <c r="C24" s="49" t="str">
        <f>$B$2&amp;RIGHT(Sector_Fuels!$K$9,3)</f>
        <v>ELCOIL</v>
      </c>
      <c r="D24" s="49" t="str">
        <f>$V$5</f>
        <v>ELC</v>
      </c>
      <c r="G24" s="140">
        <v>0.3</v>
      </c>
      <c r="H24" s="140">
        <v>0.85</v>
      </c>
      <c r="I24" s="141">
        <v>250</v>
      </c>
      <c r="J24" s="201">
        <v>15</v>
      </c>
      <c r="K24" s="154">
        <v>0.2</v>
      </c>
      <c r="L24" s="139">
        <v>40</v>
      </c>
      <c r="M24" s="155">
        <v>2005</v>
      </c>
      <c r="N24" s="56"/>
      <c r="O24" s="194">
        <v>31.536000000000001</v>
      </c>
      <c r="P24" s="140">
        <v>1</v>
      </c>
      <c r="Q24" s="49"/>
      <c r="R24" s="49"/>
    </row>
    <row r="25" spans="2:28" x14ac:dyDescent="0.2">
      <c r="D25" s="49" t="str">
        <f>$V$6</f>
        <v>ELCCO2</v>
      </c>
      <c r="G25" s="139"/>
      <c r="H25" s="139"/>
      <c r="I25" s="139"/>
      <c r="J25" s="139"/>
      <c r="K25" s="139"/>
      <c r="L25" s="139"/>
      <c r="M25" s="51"/>
      <c r="N25" s="155">
        <f>76.4/G24</f>
        <v>254.66666666666669</v>
      </c>
      <c r="Q25" s="49"/>
      <c r="R25" s="49"/>
    </row>
    <row r="27" spans="2:28" x14ac:dyDescent="0.2">
      <c r="R27" s="186"/>
    </row>
    <row r="28" spans="2:28" x14ac:dyDescent="0.2">
      <c r="R28" s="204"/>
    </row>
    <row r="29" spans="2:28" x14ac:dyDescent="0.2">
      <c r="R29" s="186"/>
    </row>
    <row r="30" spans="2:28" x14ac:dyDescent="0.2">
      <c r="R30" s="205"/>
      <c r="T30" s="9"/>
      <c r="U30" s="9"/>
      <c r="V30" s="9"/>
      <c r="W30" s="35"/>
      <c r="X30" s="9"/>
      <c r="Y30" s="9"/>
      <c r="Z30" s="16"/>
    </row>
    <row r="31" spans="2:28" x14ac:dyDescent="0.2">
      <c r="B31" s="85"/>
      <c r="C31" s="1" t="s">
        <v>197</v>
      </c>
      <c r="T31" s="9"/>
      <c r="U31" s="9"/>
      <c r="V31" s="9"/>
      <c r="W31" s="35"/>
      <c r="X31" s="9"/>
      <c r="Y31" s="9"/>
      <c r="Z31" s="9"/>
    </row>
    <row r="32" spans="2:28" x14ac:dyDescent="0.2">
      <c r="B32" s="130"/>
      <c r="C32" s="1" t="s">
        <v>198</v>
      </c>
      <c r="R32" s="186"/>
      <c r="T32" s="9"/>
      <c r="U32" s="9"/>
      <c r="V32" s="9"/>
      <c r="W32" s="35"/>
      <c r="X32" s="9"/>
      <c r="Y32" s="9"/>
      <c r="Z32" s="9"/>
    </row>
    <row r="33" spans="20:27" x14ac:dyDescent="0.2">
      <c r="T33" s="9"/>
      <c r="U33" s="9"/>
      <c r="V33" s="9"/>
      <c r="W33" s="35"/>
      <c r="X33" s="9"/>
      <c r="Y33" s="9"/>
      <c r="Z33" s="9"/>
    </row>
    <row r="34" spans="20:27" x14ac:dyDescent="0.2">
      <c r="T34" s="9"/>
      <c r="U34" s="9"/>
      <c r="V34" s="9"/>
      <c r="W34" s="35"/>
      <c r="X34" s="9"/>
      <c r="Y34" s="9"/>
      <c r="Z34" s="16"/>
      <c r="AA34" s="212"/>
    </row>
    <row r="35" spans="20:27" x14ac:dyDescent="0.2">
      <c r="T35" s="9"/>
      <c r="U35" s="9"/>
      <c r="V35" s="9"/>
      <c r="W35" s="9"/>
      <c r="X35" s="9"/>
      <c r="Y35" s="9"/>
      <c r="Z35" s="16"/>
    </row>
    <row r="36" spans="20:27" x14ac:dyDescent="0.2">
      <c r="T36" s="9"/>
      <c r="U36" s="9"/>
      <c r="V36" s="9"/>
      <c r="W36" s="9"/>
      <c r="X36" s="9"/>
      <c r="Y36" s="9"/>
      <c r="Z36" s="9"/>
    </row>
    <row r="37" spans="20:27" x14ac:dyDescent="0.2">
      <c r="T37" s="9"/>
      <c r="U37" s="9"/>
      <c r="V37" s="9"/>
      <c r="W37" s="9"/>
      <c r="X37" s="9"/>
      <c r="Y37" s="9"/>
      <c r="Z37" s="9"/>
    </row>
  </sheetData>
  <pageMargins left="0.7" right="0.7" top="0.75" bottom="0.75" header="0.3" footer="0.3"/>
  <pageSetup paperSize="9" orientation="portrait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EnergyBalance</vt:lpstr>
      <vt:lpstr>RES&amp;OBJ</vt:lpstr>
      <vt:lpstr>Pri_COA</vt:lpstr>
      <vt:lpstr>Pri_GAS</vt:lpstr>
      <vt:lpstr>Pri_OIL</vt:lpstr>
      <vt:lpstr>Pri_RNW</vt:lpstr>
      <vt:lpstr>Pri_NUC</vt:lpstr>
      <vt:lpstr>Sector_Fuels</vt:lpstr>
      <vt:lpstr>Con_ELC</vt:lpstr>
      <vt:lpstr>DemTechs_TPS</vt:lpstr>
      <vt:lpstr>DemTechs_ELC</vt:lpstr>
      <vt:lpstr>DemTechs_TRA</vt:lpstr>
      <vt:lpstr>DemTechs_RSD</vt:lpstr>
      <vt:lpstr>Demands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Ravinder</cp:lastModifiedBy>
  <cp:lastPrinted>2004-11-16T14:57:57Z</cp:lastPrinted>
  <dcterms:created xsi:type="dcterms:W3CDTF">2000-12-13T15:53:11Z</dcterms:created>
  <dcterms:modified xsi:type="dcterms:W3CDTF">2020-06-02T14:21:45Z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951494693756104</vt:lpwstr>
  </property>
</Properties>
</file>