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drawings/drawing9.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Rahul\Downloads\"/>
    </mc:Choice>
  </mc:AlternateContent>
  <xr:revisionPtr revIDLastSave="0" documentId="13_ncr:1_{77DFA3D1-FCEC-4543-BCC2-94E03AE532DB}" xr6:coauthVersionLast="47" xr6:coauthVersionMax="47" xr10:uidLastSave="{00000000-0000-0000-0000-000000000000}"/>
  <bookViews>
    <workbookView xWindow="-108" yWindow="-108" windowWidth="23256" windowHeight="12456" tabRatio="896" firstSheet="3" activeTab="8" xr2:uid="{26D4546B-D2A1-4444-8EAF-A6228F96F0C1}"/>
  </bookViews>
  <sheets>
    <sheet name="Data" sheetId="1" r:id="rId1"/>
    <sheet name="India Staff" sheetId="2" r:id="rId2"/>
    <sheet name="Info Finder v2.0" sheetId="4" r:id="rId3"/>
    <sheet name="ALL Staff" sheetId="3" r:id="rId4"/>
    <sheet name="Salary vs. Rating" sheetId="8" r:id="rId5"/>
    <sheet name="Mapping" sheetId="9" r:id="rId6"/>
    <sheet name="Employee Trend" sheetId="10" r:id="rId7"/>
    <sheet name="India vs. NZ" sheetId="11" r:id="rId8"/>
    <sheet name="Sheet11" sheetId="12"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hart.v1.2" hidden="1">'ALL Staff'!$G$2:$G$184</definedName>
    <definedName name="_xlcn.WorksheetConnection_dataanalysis02.xlsxstaff1" hidden="1">staff[]</definedName>
    <definedName name="ExternalData_1" localSheetId="3" hidden="1">'ALL Staff'!$A$1:$H$184</definedName>
    <definedName name="Slicer_Country">#N/A</definedName>
    <definedName name="Slicer_Department">#N/A</definedName>
  </definedNames>
  <calcPr calcId="191029"/>
  <pivotCaches>
    <pivotCache cacheId="0" r:id="rId12"/>
    <pivotCache cacheId="1" r:id="rId13"/>
    <pivotCache cacheId="2" r:id="rId14"/>
    <pivotCache cacheId="3" r:id="rId15"/>
    <pivotCache cacheId="4" r:id="rId16"/>
    <pivotCache cacheId="5" r:id="rId17"/>
    <pivotCache cacheId="86" r:id="rId18"/>
  </pivotCaches>
  <extLst>
    <ext xmlns:x14="http://schemas.microsoft.com/office/spreadsheetml/2009/9/main" uri="{876F7934-8845-4945-9796-88D515C7AA90}">
      <x14:pivotCaches>
        <pivotCache cacheId="6"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12" l="1"/>
  <c r="J4" i="12"/>
  <c r="L4" i="12" s="1"/>
  <c r="G4" i="12"/>
  <c r="E3" i="11"/>
  <c r="C4" i="12"/>
  <c r="E4" i="12" s="1"/>
  <c r="L12" i="8"/>
  <c r="L13" i="8" s="1"/>
  <c r="L14" i="8" s="1"/>
  <c r="L15" i="8" s="1"/>
  <c r="L16" i="8" s="1"/>
  <c r="L17" i="8" s="1"/>
  <c r="L18" i="8" s="1"/>
  <c r="L19" i="8" s="1"/>
  <c r="L20" i="8" s="1"/>
  <c r="L21" i="8" s="1"/>
  <c r="L22" i="8" s="1"/>
  <c r="L23" i="8" s="1"/>
  <c r="L24" i="8" s="1"/>
  <c r="L25" i="8" s="1"/>
  <c r="L26" i="8" s="1"/>
  <c r="L27" i="8" s="1"/>
  <c r="L28" i="8" s="1"/>
  <c r="L29" i="8" s="1"/>
  <c r="L30" i="8" s="1"/>
  <c r="L31" i="8" s="1"/>
  <c r="L32" i="8" s="1"/>
  <c r="L33" i="8" s="1"/>
  <c r="L34" i="8" s="1"/>
  <c r="L35" i="8" s="1"/>
  <c r="L36" i="8" s="1"/>
  <c r="L37" i="8" s="1"/>
  <c r="L38" i="8" s="1"/>
  <c r="L39" i="8" s="1"/>
  <c r="L40" i="8" s="1"/>
  <c r="L41" i="8" s="1"/>
  <c r="L42" i="8" s="1"/>
  <c r="L8" i="8"/>
  <c r="L9" i="8"/>
  <c r="L10" i="8" s="1"/>
  <c r="L11" i="8" s="1"/>
  <c r="L7" i="8"/>
  <c r="L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6" i="8"/>
  <c r="I6" i="8" a="1"/>
  <c r="I6" i="8" s="1"/>
  <c r="J6" i="8" s="1" a="1"/>
  <c r="L151" i="3"/>
  <c r="L3" i="3"/>
  <c r="L7" i="3"/>
  <c r="L120" i="3"/>
  <c r="L133" i="3"/>
  <c r="L10" i="3"/>
  <c r="L19" i="3"/>
  <c r="L148" i="3"/>
  <c r="L166" i="3"/>
  <c r="L118" i="3"/>
  <c r="L130" i="3"/>
  <c r="L14" i="3"/>
  <c r="L27" i="3"/>
  <c r="L170" i="3"/>
  <c r="L179" i="3"/>
  <c r="L74" i="3"/>
  <c r="L72" i="3"/>
  <c r="L90" i="3"/>
  <c r="L30" i="3"/>
  <c r="L44" i="3"/>
  <c r="L4" i="3"/>
  <c r="L9" i="3"/>
  <c r="L138" i="3"/>
  <c r="L157" i="3"/>
  <c r="L100" i="3"/>
  <c r="L112" i="3"/>
  <c r="L110" i="3"/>
  <c r="L121" i="3"/>
  <c r="L144" i="3"/>
  <c r="L163" i="3"/>
  <c r="L77" i="3"/>
  <c r="L95" i="3"/>
  <c r="L59" i="3"/>
  <c r="L75" i="3"/>
  <c r="L91" i="3"/>
  <c r="L73" i="3"/>
  <c r="L105" i="3"/>
  <c r="L92" i="3"/>
  <c r="L99" i="3"/>
  <c r="L111" i="3"/>
  <c r="L13" i="3"/>
  <c r="L25" i="3"/>
  <c r="L51" i="3"/>
  <c r="L68" i="3"/>
  <c r="L158" i="3"/>
  <c r="L172" i="3"/>
  <c r="L126" i="3"/>
  <c r="L145" i="3"/>
  <c r="L124" i="3"/>
  <c r="L143" i="3"/>
  <c r="L43" i="3"/>
  <c r="L56" i="3"/>
  <c r="L35" i="3"/>
  <c r="L47" i="3"/>
  <c r="L119" i="3"/>
  <c r="L131" i="3"/>
  <c r="L128" i="3"/>
  <c r="L149" i="3"/>
  <c r="L17" i="3"/>
  <c r="L29" i="3"/>
  <c r="L114" i="3"/>
  <c r="L125" i="3"/>
  <c r="L58" i="3"/>
  <c r="L5" i="3"/>
  <c r="L12" i="3"/>
  <c r="L65" i="3"/>
  <c r="L81" i="3"/>
  <c r="L49" i="3"/>
  <c r="L63" i="3"/>
  <c r="L67" i="3"/>
  <c r="L86" i="3"/>
  <c r="L139" i="3"/>
  <c r="L159" i="3"/>
  <c r="L107" i="3"/>
  <c r="L115" i="3"/>
  <c r="L140" i="3"/>
  <c r="L160" i="3"/>
  <c r="L42" i="3"/>
  <c r="L54" i="3"/>
  <c r="L175" i="3"/>
  <c r="L180" i="3"/>
  <c r="L150" i="3"/>
  <c r="L167" i="3"/>
  <c r="L156" i="3"/>
  <c r="L171" i="3"/>
  <c r="L53" i="3"/>
  <c r="L69" i="3"/>
  <c r="L66" i="3"/>
  <c r="L84" i="3"/>
  <c r="L162" i="3"/>
  <c r="L174" i="3"/>
  <c r="L48" i="3"/>
  <c r="L60" i="3"/>
  <c r="L61" i="3"/>
  <c r="L76" i="3"/>
  <c r="L33" i="3"/>
  <c r="L46" i="3"/>
  <c r="L23" i="3"/>
  <c r="L37" i="3"/>
  <c r="L85" i="3"/>
  <c r="L101" i="3"/>
  <c r="L106" i="3"/>
  <c r="L113" i="3"/>
  <c r="L94" i="3"/>
  <c r="L109" i="3"/>
  <c r="L152" i="3"/>
  <c r="L168" i="3"/>
  <c r="L137" i="3"/>
  <c r="L155" i="3"/>
  <c r="L134" i="3"/>
  <c r="L153" i="3"/>
  <c r="L88" i="3"/>
  <c r="L103" i="3"/>
  <c r="L169" i="3"/>
  <c r="L178" i="3"/>
  <c r="L55" i="3"/>
  <c r="L70" i="3"/>
  <c r="L57" i="3"/>
  <c r="L71" i="3"/>
  <c r="L41" i="3"/>
  <c r="L52" i="3"/>
  <c r="L161" i="3"/>
  <c r="L173" i="3"/>
  <c r="L32" i="3"/>
  <c r="L45" i="3"/>
  <c r="L82" i="3"/>
  <c r="L97" i="3"/>
  <c r="L26" i="3"/>
  <c r="L40" i="3"/>
  <c r="L24" i="3"/>
  <c r="L38" i="3"/>
  <c r="L116" i="3"/>
  <c r="L127" i="3"/>
  <c r="L39" i="3"/>
  <c r="L50" i="3"/>
  <c r="L122" i="3"/>
  <c r="L136" i="3"/>
  <c r="L135" i="3"/>
  <c r="L154" i="3"/>
  <c r="L146" i="3"/>
  <c r="L164" i="3"/>
  <c r="L123" i="3"/>
  <c r="L142" i="3"/>
  <c r="L64" i="3"/>
  <c r="L80" i="3"/>
  <c r="L93" i="3"/>
  <c r="L108" i="3"/>
  <c r="L79" i="3"/>
  <c r="L96" i="3"/>
  <c r="L89" i="3"/>
  <c r="L104" i="3"/>
  <c r="L62" i="3"/>
  <c r="L78" i="3"/>
  <c r="L147" i="3"/>
  <c r="L165" i="3"/>
  <c r="L20" i="3"/>
  <c r="L34" i="3"/>
  <c r="L177" i="3"/>
  <c r="L182" i="3"/>
  <c r="L21" i="3"/>
  <c r="L141" i="3"/>
  <c r="L36" i="3"/>
  <c r="L83" i="3"/>
  <c r="L98" i="3"/>
  <c r="L117" i="3"/>
  <c r="L129" i="3"/>
  <c r="L176" i="3"/>
  <c r="L181" i="3"/>
  <c r="L183" i="3"/>
  <c r="L184" i="3"/>
  <c r="L8" i="3"/>
  <c r="L15" i="3"/>
  <c r="L16" i="3"/>
  <c r="L28" i="3"/>
  <c r="L18" i="3"/>
  <c r="L31" i="3"/>
  <c r="L87" i="3"/>
  <c r="L102" i="3"/>
  <c r="L2" i="3"/>
  <c r="L6" i="3"/>
  <c r="L11" i="3"/>
  <c r="L22" i="3"/>
  <c r="L132" i="3"/>
  <c r="Q12" i="3"/>
  <c r="J6" i="8" l="1"/>
  <c r="Q7" i="3"/>
  <c r="I21" i="3"/>
  <c r="J21" i="3" s="1"/>
  <c r="K21" i="3" s="1"/>
  <c r="I58" i="3"/>
  <c r="J58" i="3" s="1"/>
  <c r="K58" i="3" s="1"/>
  <c r="I146" i="3"/>
  <c r="J146" i="3" s="1"/>
  <c r="K146" i="3" s="1"/>
  <c r="I72" i="3"/>
  <c r="J72" i="3" s="1"/>
  <c r="K72" i="3" s="1"/>
  <c r="I16" i="3"/>
  <c r="J16" i="3" s="1"/>
  <c r="K16" i="3" s="1"/>
  <c r="I51" i="3"/>
  <c r="J51" i="3" s="1"/>
  <c r="K51" i="3" s="1"/>
  <c r="I26" i="3"/>
  <c r="J26" i="3" s="1"/>
  <c r="K26" i="3" s="1"/>
  <c r="I161" i="3"/>
  <c r="J161" i="3" s="1"/>
  <c r="K161" i="3" s="1"/>
  <c r="I66" i="3"/>
  <c r="J66" i="3" s="1"/>
  <c r="K66" i="3" s="1"/>
  <c r="I147" i="3"/>
  <c r="J147" i="3" s="1"/>
  <c r="K147" i="3" s="1"/>
  <c r="I64" i="3"/>
  <c r="J64" i="3" s="1"/>
  <c r="K64" i="3" s="1"/>
  <c r="I116" i="3"/>
  <c r="J116" i="3" s="1"/>
  <c r="K116" i="3" s="1"/>
  <c r="I4" i="3"/>
  <c r="J4" i="3" s="1"/>
  <c r="K4" i="3" s="1"/>
  <c r="I10" i="3"/>
  <c r="J10" i="3" s="1"/>
  <c r="K10" i="3" s="1"/>
  <c r="I141" i="3"/>
  <c r="J141" i="3" s="1"/>
  <c r="K141" i="3" s="1"/>
  <c r="I144" i="3"/>
  <c r="J144" i="3" s="1"/>
  <c r="K144" i="3" s="1"/>
  <c r="I2" i="3"/>
  <c r="J2" i="3" s="1"/>
  <c r="K2" i="3" s="1"/>
  <c r="I175" i="3"/>
  <c r="J175" i="3" s="1"/>
  <c r="K175" i="3" s="1"/>
  <c r="I152" i="3"/>
  <c r="J152" i="3" s="1"/>
  <c r="K152" i="3" s="1"/>
  <c r="I85" i="3"/>
  <c r="J85" i="3" s="1"/>
  <c r="K85" i="3" s="1"/>
  <c r="I13" i="3"/>
  <c r="J13" i="3" s="1"/>
  <c r="K13" i="3" s="1"/>
  <c r="I57" i="3"/>
  <c r="J57" i="3" s="1"/>
  <c r="K57" i="3" s="1"/>
  <c r="I120" i="3"/>
  <c r="J120" i="3" s="1"/>
  <c r="K120" i="3" s="1"/>
  <c r="I162" i="3"/>
  <c r="J162" i="3" s="1"/>
  <c r="K162" i="3" s="1"/>
  <c r="I148" i="3"/>
  <c r="J148" i="3" s="1"/>
  <c r="K148" i="3" s="1"/>
  <c r="I135" i="3"/>
  <c r="J135" i="3" s="1"/>
  <c r="K135" i="3" s="1"/>
  <c r="I126" i="3"/>
  <c r="J126" i="3" s="1"/>
  <c r="K126" i="3" s="1"/>
  <c r="I183" i="3"/>
  <c r="J183" i="3" s="1"/>
  <c r="K183" i="3" s="1"/>
  <c r="I118" i="3"/>
  <c r="J118" i="3" s="1"/>
  <c r="K118" i="3" s="1"/>
  <c r="I177" i="3"/>
  <c r="J177" i="3" s="1"/>
  <c r="K177" i="3" s="1"/>
  <c r="I30" i="3"/>
  <c r="J30" i="3" s="1"/>
  <c r="K30" i="3" s="1"/>
  <c r="I49" i="3"/>
  <c r="J49" i="3" s="1"/>
  <c r="K49" i="3" s="1"/>
  <c r="I122" i="3"/>
  <c r="J122" i="3" s="1"/>
  <c r="K122" i="3" s="1"/>
  <c r="I137" i="3"/>
  <c r="J137" i="3" s="1"/>
  <c r="K137" i="3" s="1"/>
  <c r="I77" i="3"/>
  <c r="J77" i="3" s="1"/>
  <c r="K77" i="3" s="1"/>
  <c r="I20" i="3"/>
  <c r="J20" i="3" s="1"/>
  <c r="K20" i="3" s="1"/>
  <c r="I11" i="3"/>
  <c r="J11" i="3" s="1"/>
  <c r="K11" i="3" s="1"/>
  <c r="I83" i="3"/>
  <c r="J83" i="3" s="1"/>
  <c r="K83" i="3" s="1"/>
  <c r="I8" i="3"/>
  <c r="J8" i="3" s="1"/>
  <c r="K8" i="3" s="1"/>
  <c r="I110" i="3"/>
  <c r="J110" i="3" s="1"/>
  <c r="K110" i="3" s="1"/>
  <c r="I33" i="3"/>
  <c r="J33" i="3" s="1"/>
  <c r="K33" i="3" s="1"/>
  <c r="I59" i="3"/>
  <c r="J59" i="3" s="1"/>
  <c r="K59" i="3" s="1"/>
  <c r="I88" i="3"/>
  <c r="J88" i="3" s="1"/>
  <c r="K88" i="3" s="1"/>
  <c r="I132" i="3"/>
  <c r="J132" i="3" s="1"/>
  <c r="K132" i="3" s="1"/>
  <c r="I48" i="3"/>
  <c r="J48" i="3" s="1"/>
  <c r="K48" i="3" s="1"/>
  <c r="I124" i="3"/>
  <c r="J124" i="3" s="1"/>
  <c r="K124" i="3" s="1"/>
  <c r="I93" i="3"/>
  <c r="J93" i="3" s="1"/>
  <c r="K93" i="3" s="1"/>
  <c r="I158" i="3"/>
  <c r="J158" i="3" s="1"/>
  <c r="K158" i="3" s="1"/>
  <c r="I32" i="3"/>
  <c r="J32" i="3" s="1"/>
  <c r="K32" i="3" s="1"/>
  <c r="I150" i="3"/>
  <c r="J150" i="3" s="1"/>
  <c r="K150" i="3" s="1"/>
  <c r="I23" i="3"/>
  <c r="J23" i="3" s="1"/>
  <c r="K23" i="3" s="1"/>
  <c r="I41" i="3"/>
  <c r="J41" i="3" s="1"/>
  <c r="K41" i="3" s="1"/>
  <c r="I128" i="3"/>
  <c r="J128" i="3" s="1"/>
  <c r="K128" i="3" s="1"/>
  <c r="I18" i="3"/>
  <c r="J18" i="3" s="1"/>
  <c r="K18" i="3" s="1"/>
  <c r="I5" i="3"/>
  <c r="J5" i="3" s="1"/>
  <c r="K5" i="3" s="1"/>
  <c r="I114" i="3"/>
  <c r="J114" i="3" s="1"/>
  <c r="K114" i="3" s="1"/>
  <c r="I82" i="3"/>
  <c r="J82" i="3" s="1"/>
  <c r="K82" i="3" s="1"/>
  <c r="I100" i="3"/>
  <c r="J100" i="3" s="1"/>
  <c r="K100" i="3" s="1"/>
  <c r="I134" i="3"/>
  <c r="J134" i="3" s="1"/>
  <c r="K134" i="3" s="1"/>
  <c r="I55" i="3"/>
  <c r="J55" i="3" s="1"/>
  <c r="K55" i="3" s="1"/>
  <c r="I107" i="3"/>
  <c r="J107" i="3" s="1"/>
  <c r="K107" i="3" s="1"/>
  <c r="I91" i="3"/>
  <c r="J91" i="3" s="1"/>
  <c r="K91" i="3" s="1"/>
  <c r="I170" i="3"/>
  <c r="J170" i="3" s="1"/>
  <c r="K170" i="3" s="1"/>
  <c r="I62" i="3"/>
  <c r="J62" i="3" s="1"/>
  <c r="K62" i="3" s="1"/>
  <c r="I39" i="3"/>
  <c r="J39" i="3" s="1"/>
  <c r="K39" i="3" s="1"/>
  <c r="I14" i="3"/>
  <c r="J14" i="3" s="1"/>
  <c r="K14" i="3" s="1"/>
  <c r="I53" i="3"/>
  <c r="J53" i="3" s="1"/>
  <c r="K53" i="3" s="1"/>
  <c r="I117" i="3"/>
  <c r="J117" i="3" s="1"/>
  <c r="K117" i="3" s="1"/>
  <c r="I169" i="3"/>
  <c r="J169" i="3" s="1"/>
  <c r="K169" i="3" s="1"/>
  <c r="I73" i="3"/>
  <c r="J73" i="3" s="1"/>
  <c r="K73" i="3" s="1"/>
  <c r="I140" i="3"/>
  <c r="J140" i="3" s="1"/>
  <c r="K140" i="3" s="1"/>
  <c r="I67" i="3"/>
  <c r="J67" i="3" s="1"/>
  <c r="K67" i="3" s="1"/>
  <c r="I42" i="3"/>
  <c r="J42" i="3" s="1"/>
  <c r="K42" i="3" s="1"/>
  <c r="I119" i="3"/>
  <c r="J119" i="3" s="1"/>
  <c r="K119" i="3" s="1"/>
  <c r="I79" i="3"/>
  <c r="J79" i="3" s="1"/>
  <c r="K79" i="3" s="1"/>
  <c r="I87" i="3"/>
  <c r="J87" i="3" s="1"/>
  <c r="K87" i="3" s="1"/>
  <c r="I106" i="3"/>
  <c r="J106" i="3" s="1"/>
  <c r="K106" i="3" s="1"/>
  <c r="I176" i="3"/>
  <c r="J176" i="3" s="1"/>
  <c r="K176" i="3" s="1"/>
  <c r="I123" i="3"/>
  <c r="J123" i="3" s="1"/>
  <c r="K123" i="3" s="1"/>
  <c r="I139" i="3"/>
  <c r="J139" i="3" s="1"/>
  <c r="K139" i="3" s="1"/>
  <c r="I3" i="3"/>
  <c r="J3" i="3" s="1"/>
  <c r="K3" i="3" s="1"/>
  <c r="I17" i="3"/>
  <c r="J17" i="3" s="1"/>
  <c r="K17" i="3" s="1"/>
  <c r="I89" i="3"/>
  <c r="J89" i="3" s="1"/>
  <c r="K89" i="3" s="1"/>
  <c r="I65" i="3"/>
  <c r="J65" i="3" s="1"/>
  <c r="K65" i="3" s="1"/>
  <c r="I61" i="3"/>
  <c r="J61" i="3" s="1"/>
  <c r="K61" i="3" s="1"/>
  <c r="I99" i="3"/>
  <c r="J99" i="3" s="1"/>
  <c r="K99" i="3" s="1"/>
  <c r="I94" i="3"/>
  <c r="J94" i="3" s="1"/>
  <c r="K94" i="3" s="1"/>
  <c r="I43" i="3"/>
  <c r="J43" i="3" s="1"/>
  <c r="K43" i="3" s="1"/>
  <c r="I156" i="3"/>
  <c r="J156" i="3" s="1"/>
  <c r="K156" i="3" s="1"/>
  <c r="I35" i="3"/>
  <c r="J35" i="3" s="1"/>
  <c r="K35" i="3" s="1"/>
  <c r="I138" i="3"/>
  <c r="J138" i="3" s="1"/>
  <c r="K138" i="3" s="1"/>
  <c r="I24" i="3"/>
  <c r="J24" i="3" s="1"/>
  <c r="K24" i="3" s="1"/>
  <c r="I98" i="3"/>
  <c r="J98" i="3" s="1"/>
  <c r="K98" i="3" s="1"/>
  <c r="I171" i="3"/>
  <c r="J171" i="3" s="1"/>
  <c r="K171" i="3" s="1"/>
  <c r="I75" i="3"/>
  <c r="J75" i="3" s="1"/>
  <c r="K75" i="3" s="1"/>
  <c r="I28" i="3"/>
  <c r="J28" i="3" s="1"/>
  <c r="K28" i="3" s="1"/>
  <c r="I105" i="3"/>
  <c r="J105" i="3" s="1"/>
  <c r="K105" i="3" s="1"/>
  <c r="I182" i="3"/>
  <c r="J182" i="3" s="1"/>
  <c r="K182" i="3" s="1"/>
  <c r="I157" i="3"/>
  <c r="J157" i="3" s="1"/>
  <c r="K157" i="3" s="1"/>
  <c r="I29" i="3"/>
  <c r="J29" i="3" s="1"/>
  <c r="K29" i="3" s="1"/>
  <c r="I111" i="3"/>
  <c r="J111" i="3" s="1"/>
  <c r="K111" i="3" s="1"/>
  <c r="I22" i="3"/>
  <c r="J22" i="3" s="1"/>
  <c r="K22" i="3" s="1"/>
  <c r="I34" i="3"/>
  <c r="J34" i="3" s="1"/>
  <c r="K34" i="3" s="1"/>
  <c r="I81" i="3"/>
  <c r="J81" i="3" s="1"/>
  <c r="K81" i="3" s="1"/>
  <c r="I160" i="3"/>
  <c r="J160" i="3" s="1"/>
  <c r="K160" i="3" s="1"/>
  <c r="I104" i="3"/>
  <c r="J104" i="3" s="1"/>
  <c r="K104" i="3" s="1"/>
  <c r="I74" i="3"/>
  <c r="J74" i="3" s="1"/>
  <c r="K74" i="3" s="1"/>
  <c r="I50" i="3"/>
  <c r="J50" i="3" s="1"/>
  <c r="K50" i="3" s="1"/>
  <c r="I19" i="3"/>
  <c r="J19" i="3" s="1"/>
  <c r="K19" i="3" s="1"/>
  <c r="I172" i="3"/>
  <c r="J172" i="3" s="1"/>
  <c r="K172" i="3" s="1"/>
  <c r="I27" i="3"/>
  <c r="J27" i="3" s="1"/>
  <c r="K27" i="3" s="1"/>
  <c r="I46" i="3"/>
  <c r="J46" i="3" s="1"/>
  <c r="K46" i="3" s="1"/>
  <c r="I143" i="3"/>
  <c r="J143" i="3" s="1"/>
  <c r="K143" i="3" s="1"/>
  <c r="I86" i="3"/>
  <c r="J86" i="3" s="1"/>
  <c r="K86" i="3" s="1"/>
  <c r="I145" i="3"/>
  <c r="J145" i="3" s="1"/>
  <c r="K145" i="3" s="1"/>
  <c r="I121" i="3"/>
  <c r="J121" i="3" s="1"/>
  <c r="K121" i="3" s="1"/>
  <c r="I125" i="3"/>
  <c r="J125" i="3" s="1"/>
  <c r="K125" i="3" s="1"/>
  <c r="I174" i="3"/>
  <c r="J174" i="3" s="1"/>
  <c r="K174" i="3" s="1"/>
  <c r="I70" i="3"/>
  <c r="J70" i="3" s="1"/>
  <c r="K70" i="3" s="1"/>
  <c r="I7" i="3"/>
  <c r="J7" i="3" s="1"/>
  <c r="K7" i="3" s="1"/>
  <c r="I37" i="3"/>
  <c r="J37" i="3" s="1"/>
  <c r="K37" i="3" s="1"/>
  <c r="I131" i="3"/>
  <c r="J131" i="3" s="1"/>
  <c r="K131" i="3" s="1"/>
  <c r="I76" i="3"/>
  <c r="J76" i="3" s="1"/>
  <c r="K76" i="3" s="1"/>
  <c r="I31" i="3"/>
  <c r="J31" i="3" s="1"/>
  <c r="K31" i="3" s="1"/>
  <c r="I109" i="3"/>
  <c r="J109" i="3" s="1"/>
  <c r="K109" i="3" s="1"/>
  <c r="I165" i="3"/>
  <c r="J165" i="3" s="1"/>
  <c r="K165" i="3" s="1"/>
  <c r="I163" i="3"/>
  <c r="J163" i="3" s="1"/>
  <c r="K163" i="3" s="1"/>
  <c r="I136" i="3"/>
  <c r="J136" i="3" s="1"/>
  <c r="K136" i="3" s="1"/>
  <c r="I38" i="3"/>
  <c r="J38" i="3" s="1"/>
  <c r="K38" i="3" s="1"/>
  <c r="I164" i="3"/>
  <c r="J164" i="3" s="1"/>
  <c r="K164" i="3" s="1"/>
  <c r="I112" i="3"/>
  <c r="J112" i="3" s="1"/>
  <c r="K112" i="3" s="1"/>
  <c r="I95" i="3"/>
  <c r="J95" i="3" s="1"/>
  <c r="K95" i="3" s="1"/>
  <c r="I113" i="3"/>
  <c r="J113" i="3" s="1"/>
  <c r="K113" i="3" s="1"/>
  <c r="I178" i="3"/>
  <c r="J178" i="3" s="1"/>
  <c r="K178" i="3" s="1"/>
  <c r="I153" i="3"/>
  <c r="J153" i="3" s="1"/>
  <c r="K153" i="3" s="1"/>
  <c r="I97" i="3"/>
  <c r="J97" i="3" s="1"/>
  <c r="K97" i="3" s="1"/>
  <c r="I36" i="3"/>
  <c r="J36" i="3" s="1"/>
  <c r="K36" i="3" s="1"/>
  <c r="I168" i="3"/>
  <c r="J168" i="3" s="1"/>
  <c r="K168" i="3" s="1"/>
  <c r="I115" i="3"/>
  <c r="J115" i="3" s="1"/>
  <c r="K115" i="3" s="1"/>
  <c r="I155" i="3"/>
  <c r="J155" i="3" s="1"/>
  <c r="K155" i="3" s="1"/>
  <c r="I56" i="3"/>
  <c r="J56" i="3" s="1"/>
  <c r="K56" i="3" s="1"/>
  <c r="I6" i="3"/>
  <c r="J6" i="3" s="1"/>
  <c r="K6" i="3" s="1"/>
  <c r="I9" i="3"/>
  <c r="J9" i="3" s="1"/>
  <c r="K9" i="3" s="1"/>
  <c r="I90" i="3"/>
  <c r="J90" i="3" s="1"/>
  <c r="K90" i="3" s="1"/>
  <c r="I15" i="3"/>
  <c r="J15" i="3" s="1"/>
  <c r="K15" i="3" s="1"/>
  <c r="I180" i="3"/>
  <c r="J180" i="3" s="1"/>
  <c r="K180" i="3" s="1"/>
  <c r="I69" i="3"/>
  <c r="J69" i="3" s="1"/>
  <c r="K69" i="3" s="1"/>
  <c r="I78" i="3"/>
  <c r="J78" i="3" s="1"/>
  <c r="K78" i="3" s="1"/>
  <c r="I129" i="3"/>
  <c r="J129" i="3" s="1"/>
  <c r="K129" i="3" s="1"/>
  <c r="I54" i="3"/>
  <c r="J54" i="3" s="1"/>
  <c r="K54" i="3" s="1"/>
  <c r="I102" i="3"/>
  <c r="J102" i="3" s="1"/>
  <c r="K102" i="3" s="1"/>
  <c r="I101" i="3"/>
  <c r="J101" i="3" s="1"/>
  <c r="K101" i="3" s="1"/>
  <c r="I184" i="3"/>
  <c r="J184" i="3" s="1"/>
  <c r="K184" i="3" s="1"/>
  <c r="I173" i="3"/>
  <c r="J173" i="3" s="1"/>
  <c r="K173" i="3" s="1"/>
  <c r="I108" i="3"/>
  <c r="J108" i="3" s="1"/>
  <c r="K108" i="3" s="1"/>
  <c r="I25" i="3"/>
  <c r="J25" i="3" s="1"/>
  <c r="K25" i="3" s="1"/>
  <c r="I52" i="3"/>
  <c r="J52" i="3" s="1"/>
  <c r="K52" i="3" s="1"/>
  <c r="I68" i="3"/>
  <c r="J68" i="3" s="1"/>
  <c r="K68" i="3" s="1"/>
  <c r="I40" i="3"/>
  <c r="J40" i="3" s="1"/>
  <c r="K40" i="3" s="1"/>
  <c r="I63" i="3"/>
  <c r="J63" i="3" s="1"/>
  <c r="K63" i="3" s="1"/>
  <c r="I44" i="3"/>
  <c r="J44" i="3" s="1"/>
  <c r="K44" i="3" s="1"/>
  <c r="I149" i="3"/>
  <c r="J149" i="3" s="1"/>
  <c r="K149" i="3" s="1"/>
  <c r="I142" i="3"/>
  <c r="J142" i="3" s="1"/>
  <c r="K142" i="3" s="1"/>
  <c r="I71" i="3"/>
  <c r="J71" i="3" s="1"/>
  <c r="K71" i="3" s="1"/>
  <c r="I154" i="3"/>
  <c r="J154" i="3" s="1"/>
  <c r="K154" i="3" s="1"/>
  <c r="I181" i="3"/>
  <c r="J181" i="3" s="1"/>
  <c r="K181" i="3" s="1"/>
  <c r="I151" i="3"/>
  <c r="J151" i="3" s="1"/>
  <c r="K151" i="3" s="1"/>
  <c r="I96" i="3"/>
  <c r="J96" i="3" s="1"/>
  <c r="K96" i="3" s="1"/>
  <c r="I166" i="3"/>
  <c r="J166" i="3" s="1"/>
  <c r="K166" i="3" s="1"/>
  <c r="I45" i="3"/>
  <c r="J45" i="3" s="1"/>
  <c r="K45" i="3" s="1"/>
  <c r="I133" i="3"/>
  <c r="J133" i="3" s="1"/>
  <c r="K133" i="3" s="1"/>
  <c r="I80" i="3"/>
  <c r="J80" i="3" s="1"/>
  <c r="K80" i="3" s="1"/>
  <c r="I127" i="3"/>
  <c r="J127" i="3" s="1"/>
  <c r="K127" i="3" s="1"/>
  <c r="I103" i="3"/>
  <c r="J103" i="3" s="1"/>
  <c r="K103" i="3" s="1"/>
  <c r="I179" i="3"/>
  <c r="J179" i="3" s="1"/>
  <c r="K179" i="3" s="1"/>
  <c r="I47" i="3"/>
  <c r="J47" i="3" s="1"/>
  <c r="K47" i="3" s="1"/>
  <c r="I12" i="3"/>
  <c r="J12" i="3" s="1"/>
  <c r="K12" i="3" s="1"/>
  <c r="I130" i="3"/>
  <c r="J130" i="3" s="1"/>
  <c r="K130" i="3" s="1"/>
  <c r="I60" i="3"/>
  <c r="J60" i="3" s="1"/>
  <c r="K60" i="3" s="1"/>
  <c r="I84" i="3"/>
  <c r="J84" i="3" s="1"/>
  <c r="K84" i="3" s="1"/>
  <c r="I159" i="3"/>
  <c r="J159" i="3" s="1"/>
  <c r="K159" i="3" s="1"/>
  <c r="I167" i="3"/>
  <c r="J167" i="3" s="1"/>
  <c r="K167" i="3" s="1"/>
  <c r="I92" i="3"/>
  <c r="J92" i="3" s="1"/>
  <c r="K92" i="3" s="1"/>
  <c r="N3" i="11"/>
  <c r="J3" i="11"/>
  <c r="L3" i="11" s="1"/>
  <c r="G3" i="11"/>
  <c r="C3" i="11"/>
  <c r="R6" i="10"/>
  <c r="R12" i="10"/>
  <c r="R18" i="10"/>
  <c r="R24" i="10"/>
  <c r="R30" i="10"/>
  <c r="R36" i="10"/>
  <c r="P3" i="10" a="1"/>
  <c r="P3" i="10" s="1"/>
  <c r="Q3" i="10" s="1" a="1"/>
  <c r="Q3" i="10" s="1"/>
  <c r="R3" i="10" s="1"/>
  <c r="C8" i="4"/>
  <c r="R4" i="3"/>
  <c r="R3" i="3"/>
  <c r="Q4" i="3"/>
  <c r="Q3" i="3"/>
  <c r="Q2" i="3"/>
  <c r="Q11" i="3" s="1"/>
  <c r="F106" i="1"/>
  <c r="H106" i="1"/>
  <c r="I106" i="1"/>
  <c r="Q8" i="3" l="1"/>
  <c r="P22" i="3" a="1"/>
  <c r="P22" i="3" s="1"/>
  <c r="R33" i="10"/>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3" i="10"/>
  <c r="Q24" i="3" a="1"/>
  <c r="Q24" i="3" s="1"/>
  <c r="Q5" i="3"/>
  <c r="S13" i="10" l="1"/>
  <c r="S4" i="10"/>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<sst xmlns="http://schemas.openxmlformats.org/spreadsheetml/2006/main" count="1984" uniqueCount="269">
  <si>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</si>
  <si>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</si>
  <si>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</si>
  <si>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</si>
  <si>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</si>
  <si>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</si>
  <si>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</si>
  <si>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</si>
  <si>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</si>
  <si>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</si>
  <si>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</si>
  <si>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</si>
  <si>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</si>
  <si>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</si>
  <si>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</si>
  <si>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</si>
  <si>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</si>
  <si>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</si>
  <si>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</si>
  <si>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</si>
  <si>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</si>
  <si>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</si>
  <si>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</si>
  <si>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</si>
  <si>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</si>
  <si>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</si>
  <si>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</si>
  <si>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</si>
  <si>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</si>
  <si>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</si>
  <si>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</si>
  <si>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</si>
  <si>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</si>
  <si>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</si>
  <si>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</si>
  <si>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</si>
  <si>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</si>
  <si>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</si>
  <si>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</si>
  <si>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</si>
  <si>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</si>
  <si>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</si>
  <si>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</si>
  <si>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</si>
  <si>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</si>
  <si>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</si>
  <si>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</si>
  <si>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</si>
  <si>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</si>
  <si>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</si>
  <si>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</si>
  <si>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</si>
  <si>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</si>
  <si>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</si>
  <si>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</si>
  <si>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</si>
  <si>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</si>
  <si>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</si>
  <si>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</si>
  <si>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</si>
  <si>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</si>
  <si>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</si>
  <si>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</si>
  <si>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</si>
  <si>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</si>
  <si>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</si>
  <si>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</si>
  <si>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</si>
  <si>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</si>
  <si>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</si>
  <si>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</si>
  <si>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</si>
  <si>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</si>
  <si>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</si>
  <si>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</si>
  <si>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</si>
  <si>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</si>
  <si>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</si>
  <si>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</si>
  <si>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</si>
  <si>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</si>
  <si>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</si>
  <si>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</si>
  <si>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</si>
  <si>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</si>
  <si>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</si>
  <si>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</si>
  <si>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</si>
  <si>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</si>
  <si>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</si>
  <si>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</si>
  <si>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</si>
  <si>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</si>
  <si>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</si>
  <si>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</si>
  <si>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</si>
  <si>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</si>
  <si>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</si>
  <si>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</si>
  <si>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</si>
  <si>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</si>
  <si>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</si>
  <si>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</si>
  <si>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</si>
  <si>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</si>
  <si>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</si>
  <si>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</si>
  <si>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</si>
  <si>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</si>
  <si>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</si>
  <si>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</si>
  <si>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</si>
  <si>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</si>
  <si>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</si>
  <si>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</si>
  <si>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</si>
  <si>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</si>
  <si>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</si>
  <si>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</si>
  <si>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</si>
  <si>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</si>
  <si>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</si>
  <si>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</si>
  <si>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</si>
  <si>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</si>
  <si>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</si>
  <si>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</si>
  <si>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</si>
  <si>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</si>
  <si>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</si>
  <si>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</si>
  <si>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</si>
  <si>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</si>
  <si>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</si>
  <si>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</si>
  <si>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</si>
  <si>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</si>
  <si>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</si>
  <si>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</si>
  <si>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</si>
  <si>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</si>
  <si>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</si>
  <si>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</si>
  <si>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</si>
  <si>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</si>
  <si>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</si>
  <si>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</si>
  <si>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</si>
  <si>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</si>
  <si>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</si>
  <si>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</si>
  <si>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</si>
  <si>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</si>
  <si>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</si>
  <si>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</si>
  <si>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</si>
  <si>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</si>
  <si>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</si>
  <si>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</si>
  <si>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</si>
  <si>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</si>
  <si>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</si>
  <si>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</si>
  <si>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</si>
  <si>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</si>
  <si>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</si>
  <si>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</si>
  <si>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</si>
  <si>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</si>
  <si>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</si>
  <si>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</si>
  <si>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</si>
  <si>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</si>
  <si>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</si>
  <si>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</si>
  <si>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</si>
  <si>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</si>
  <si>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</si>
  <si>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</si>
  <si>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</si>
  <si>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</si>
  <si>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</si>
  <si>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</si>
  <si>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</si>
  <si>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</si>
  <si>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</si>
  <si>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</si>
  <si>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</si>
  <si>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</si>
  <si>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</si>
  <si>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</si>
  <si>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</si>
  <si>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</si>
  <si>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</si>
  <si>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</si>
  <si>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</si>
  <si>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</si>
  <si>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</si>
  <si>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</si>
  <si>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</si>
  <si>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</si>
  <si>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</si>
  <si>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</si>
  <si>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</si>
  <si>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</si>
  <si>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</si>
  <si>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</si>
  <si>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</si>
  <si>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</si>
  <si>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</si>
  <si>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</si>
  <si>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</si>
  <si>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</si>
  <si>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</si>
  <si>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</si>
  <si>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</si>
  <si>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</si>
  <si>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</si>
  <si>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</si>
  <si>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</si>
  <si>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</si>
  <si>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</si>
  <si>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</si>
  <si>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</si>
  <si>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</si>
  <si>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</si>
  <si>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</si>
  <si>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</si>
  <si>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</si>
  <si>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</si>
  <si>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</si>
  <si>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</si>
  <si>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Row Labels</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</si>
  <si>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</si>
  <si>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</si>
  <si>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</si>
  <si>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</si>
  <si>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</si>
  <si>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</si>
  <si>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</si>
  <si>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</si>
  <si>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</si>
  <si>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</si>
  <si>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</si>
  <si>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</si>
  <si>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</si>
  <si>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</si>
  <si>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</si>
  <si>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</si>
  <si>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</si>
  <si>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</si>
  <si>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</si>
  <si>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</si>
  <si>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</si>
  <si>
    <t>salary</t>
  </si>
  <si>
    <t>&gt;90000</t>
  </si>
  <si>
    <t>count of employee whose salary is &gt;90000</t>
  </si>
  <si>
    <t>Ratting</t>
  </si>
  <si>
    <t>Sum of Salary</t>
  </si>
  <si>
    <t>Bnous</t>
  </si>
  <si>
    <t>Total salary</t>
  </si>
  <si>
    <t>Count of Department</t>
  </si>
  <si>
    <t>Rating INT</t>
  </si>
  <si>
    <t>S.no.</t>
  </si>
  <si>
    <t>Months</t>
  </si>
  <si>
    <t>Heaadcount</t>
  </si>
  <si>
    <t>NEW ZELAND</t>
  </si>
  <si>
    <t>INDIA</t>
  </si>
  <si>
    <t>HEADCOUNT OF DEPATRMENT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</si>
</sst>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 numFmtId="170" formatCode="&quot;₹&quot;\ #,##0.00"/>
    <numFmt numFmtId="171" formatCode="&quot;₹&quot;\ #,##0"/>
  </numFmts>
  <fonts count="19"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
      <sz val="11"/>
      <color theme="0"/>
      <name val="Calibri"/>
      <family val="2"/>
      <scheme val="minor"/>
    </font>
    <font>
      <b/>
      <sz val="12"/>
      <color theme="1"/>
      <name val="Calibri"/>
      <family val="2"/>
      <scheme val="minor"/>
    </font>
    <font>
      <sz val="11"/>
      <name val="Calibri"/>
      <family val="2"/>
      <scheme val="minor"/>
    </font>
    <font>
      <b/>
      <sz val="11"/>
      <color theme="1"/>
      <name val="Calibri"/>
      <family val="2"/>
      <scheme val="minor"/>
    </font>
    <font>
      <sz val="48"/>
      <color theme="1"/>
      <name val="Algerian"/>
      <family val="5"/>
    </font>
    <font>
      <sz val="36"/>
      <color theme="1"/>
      <name val="Algerian"/>
      <family val="5"/>
    </font>
    <font>
      <sz val="24"/>
      <color theme="1"/>
      <name val="Algerian"/>
      <family val="5"/>
    </font>
    <font>
      <sz val="28"/>
      <color theme="0"/>
      <name val="Algerian"/>
      <family val="5"/>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tint="-0.499984740745262"/>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s>
  <cellStyleXfs count="2">
    <xf numFmtId="0" fontId="0" fillId="0" borderId="0"/>
    <xf numFmtId="166" fontId="2" fillId="0" borderId="0" applyFont="0" applyFill="0" applyBorder="0" applyAlignment="0" applyProtection="0"/>
  </cellStyleXfs>
  <cellXfs count="6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0" xfId="0" pivotButton="1"/>
    <xf numFmtId="167" fontId="0" fillId="0" borderId="0" xfId="0" applyNumberFormat="1"/>
    <xf numFmtId="168"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169" fontId="0" fillId="0" borderId="0" xfId="0" applyNumberFormat="1"/>
    <xf numFmtId="0" fontId="0" fillId="7" borderId="0" xfId="0" applyFill="1"/>
    <xf numFmtId="0" fontId="0" fillId="8" borderId="0" xfId="0" applyFill="1"/>
    <xf numFmtId="0" fontId="12" fillId="9" borderId="2" xfId="0" applyFont="1" applyFill="1" applyBorder="1" applyAlignment="1">
      <alignment vertical="center"/>
    </xf>
    <xf numFmtId="0" fontId="12" fillId="5" borderId="0" xfId="0" applyFont="1" applyFill="1"/>
    <xf numFmtId="0" fontId="11" fillId="0" borderId="0" xfId="0" applyFont="1"/>
    <xf numFmtId="0" fontId="13" fillId="0" borderId="0" xfId="0" applyFont="1"/>
    <xf numFmtId="10" fontId="0" fillId="0" borderId="0" xfId="0" applyNumberFormat="1"/>
    <xf numFmtId="170" fontId="0" fillId="0" borderId="0" xfId="0" applyNumberFormat="1"/>
    <xf numFmtId="171" fontId="0" fillId="0" borderId="0" xfId="0" applyNumberFormat="1"/>
    <xf numFmtId="0" fontId="12" fillId="4" borderId="7" xfId="0" applyFont="1" applyFill="1" applyBorder="1" applyAlignment="1">
      <alignment horizontal="center" vertical="center"/>
    </xf>
    <xf numFmtId="0" fontId="12" fillId="4" borderId="0" xfId="0" applyFont="1" applyFill="1" applyAlignment="1">
      <alignment horizontal="center" vertical="center"/>
    </xf>
    <xf numFmtId="0" fontId="10" fillId="3" borderId="0" xfId="0" applyFont="1" applyFill="1" applyAlignment="1">
      <alignment horizontal="center" vertical="center"/>
    </xf>
    <xf numFmtId="0" fontId="1" fillId="0" borderId="0" xfId="0" applyFont="1" applyAlignment="1">
      <alignment horizontal="center" vertical="center"/>
    </xf>
    <xf numFmtId="0" fontId="14" fillId="0" borderId="12" xfId="0" applyFont="1" applyBorder="1"/>
    <xf numFmtId="0" fontId="14" fillId="11" borderId="12" xfId="0" applyFont="1" applyFill="1" applyBorder="1"/>
    <xf numFmtId="0" fontId="15" fillId="10" borderId="1" xfId="0" applyFont="1" applyFill="1" applyBorder="1" applyAlignment="1">
      <alignment horizontal="center" vertical="center"/>
    </xf>
    <xf numFmtId="9" fontId="16" fillId="10" borderId="1" xfId="0" applyNumberFormat="1" applyFont="1" applyFill="1" applyBorder="1" applyAlignment="1">
      <alignment horizontal="center" vertical="center"/>
    </xf>
    <xf numFmtId="171" fontId="17" fillId="10" borderId="1" xfId="0" applyNumberFormat="1" applyFont="1" applyFill="1" applyBorder="1" applyAlignment="1">
      <alignment horizontal="center" vertical="center"/>
    </xf>
    <xf numFmtId="0" fontId="18" fillId="12" borderId="0" xfId="0" applyFont="1" applyFill="1" applyAlignment="1">
      <alignment horizontal="center" vertical="center"/>
    </xf>
    <xf numFmtId="0" fontId="18" fillId="13" borderId="0" xfId="0" applyFont="1" applyFill="1" applyAlignment="1">
      <alignment horizontal="center" vertical="center"/>
    </xf>
    <xf numFmtId="0" fontId="15" fillId="14" borderId="1" xfId="0" applyFont="1" applyFill="1" applyBorder="1" applyAlignment="1">
      <alignment horizontal="center" vertical="center"/>
    </xf>
    <xf numFmtId="9" fontId="16" fillId="14" borderId="1" xfId="0" applyNumberFormat="1" applyFont="1" applyFill="1" applyBorder="1" applyAlignment="1">
      <alignment horizontal="center" vertical="center"/>
    </xf>
    <xf numFmtId="171" fontId="17" fillId="14" borderId="1" xfId="0" applyNumberFormat="1" applyFont="1" applyFill="1" applyBorder="1" applyAlignment="1">
      <alignment horizontal="center" vertical="center"/>
    </xf>
    <xf numFmtId="0" fontId="0" fillId="0" borderId="0" xfId="0" applyNumberFormat="1"/>
    <xf numFmtId="0" fontId="17" fillId="15" borderId="0" xfId="0" applyFont="1" applyFill="1" applyAlignment="1">
      <alignment horizontal="center"/>
    </xf>
  </cellXfs>
  <cellStyles count="2">
    <cellStyle name="Currency" xfId="1" builtinId="4"/>
    <cellStyle name="Normal" xfId="0" builtinId="0"/>
  </cellStyles>
  <dxfs count="19">
    <dxf>
      <fill>
        <patternFill patternType="none">
          <fgColor indexed="64"/>
          <bgColor auto="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ill>
        <patternFill>
          <bgColor rgb="FFFF0000"/>
        </patternFill>
      </fill>
    </dxf>
    <dxf>
      <font>
        <color rgb="FF9C0006"/>
      </font>
      <fill>
        <patternFill>
          <bgColor rgb="FFFFC7CE"/>
        </patternFill>
      </fill>
    </dxf>
    <dxf>
      <numFmt numFmtId="171" formatCode="&quot;₹&quot;\ #,##0"/>
    </dxf>
    <dxf>
      <numFmt numFmtId="169" formatCode="_(&quot;$&quot;* #,##0_);_(&quot;$&quot;* \(#,##0\);_(&quot;$&quot;* &quot;-&quot;??_);_(@_)"/>
    </dxf>
    <dxf>
      <numFmt numFmtId="169" formatCode="_(&quot;$&quot;* #,##0_);_(&quot;$&quot;* \(#,##0\);_(&quot;$&quot;* &quot;-&quot;??_);_(@_)"/>
    </dxf>
    <dxf>
      <numFmt numFmtId="0" formatCode="General"/>
    </dxf>
    <dxf>
      <numFmt numFmtId="2" formatCode="0.00"/>
    </dxf>
    <dxf>
      <numFmt numFmtId="169" formatCode="_(&quot;$&quot;* #,##0_);_(&quot;$&quot;* \(#,##0\);_(&quot;$&quot;* &quot;-&quot;??_);_(@_)"/>
    </dxf>
    <dxf>
      <numFmt numFmtId="173" formatCode="m/d/yyyy"/>
    </dxf>
    <dxf>
      <font>
        <color auto="1"/>
      </font>
    </dxf>
    <dxf>
      <font>
        <color auto="1"/>
      </font>
    </dxf>
    <dxf>
      <font>
        <color theme="0"/>
      </font>
    </dxf>
    <dxf>
      <numFmt numFmtId="174"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[data-analysis-03.xlsx]Salary vs. Rating!PivotTable1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vs. Rating'!$C$13</c:f>
              <c:strCache>
                <c:ptCount val="1"/>
                <c:pt idx="0">
                  <c:v>Count of Name</c:v>
                </c:pt>
              </c:strCache>
            </c:strRef>
          </c:tx>
          <c:spPr>
            <a:solidFill>
              <a:schemeClr val="accent1"/>
            </a:solidFill>
            <a:ln>
              <a:noFill/>
            </a:ln>
            <a:effectLst/>
          </c:spPr>
          <c:invertIfNegative val="0"/>
          <c:cat>
            <c:strRef>
              <c:f>'Salary vs. Rating'!$B$14:$B$19</c:f>
              <c:strCache>
                <c:ptCount val="5"/>
                <c:pt idx="0">
                  <c:v>Exceptional</c:v>
                </c:pt>
                <c:pt idx="1">
                  <c:v>Above average</c:v>
                </c:pt>
                <c:pt idx="2">
                  <c:v>Average</c:v>
                </c:pt>
                <c:pt idx="3">
                  <c:v>Poor</c:v>
                </c:pt>
                <c:pt idx="4">
                  <c:v>Very poor</c:v>
                </c:pt>
              </c:strCache>
            </c:strRef>
          </c:cat>
          <c:val>
            <c:numRef>
              <c:f>'Salary vs. Rating'!$C$14:$C$19</c:f>
              <c:numCache>
                <c:formatCode>General</c:formatCode>
                <c:ptCount val="5"/>
                <c:pt idx="0">
                  <c:v>4</c:v>
                </c:pt>
                <c:pt idx="1">
                  <c:v>20</c:v>
                </c:pt>
                <c:pt idx="2">
                  <c:v>137</c:v>
                </c:pt>
                <c:pt idx="3">
                  <c:v>16</c:v>
                </c:pt>
                <c:pt idx="4">
                  <c:v>6</c:v>
                </c:pt>
              </c:numCache>
            </c:numRef>
          </c:val>
          <c:extLst>
            <c:ext xmlns:c16="http://schemas.microsoft.com/office/drawing/2014/chart" uri="{C3380CC4-5D6E-409C-BE32-E72D297353CC}">
              <c16:uniqueId val="{00000000-C94F-4D9C-8951-72B3BB59B580}"/>
            </c:ext>
          </c:extLst>
        </c:ser>
        <c:ser>
          <c:idx val="1"/>
          <c:order val="1"/>
          <c:tx>
            <c:strRef>
              <c:f>'Salary vs. Rating'!$D$13</c:f>
              <c:strCache>
                <c:ptCount val="1"/>
                <c:pt idx="0">
                  <c:v>Average of Salary</c:v>
                </c:pt>
              </c:strCache>
            </c:strRef>
          </c:tx>
          <c:spPr>
            <a:solidFill>
              <a:schemeClr val="accent2"/>
            </a:solidFill>
            <a:ln>
              <a:noFill/>
            </a:ln>
            <a:effectLst/>
          </c:spPr>
          <c:invertIfNegative val="0"/>
          <c:cat>
            <c:strRef>
              <c:f>'Salary vs. Rating'!$B$14:$B$19</c:f>
              <c:strCache>
                <c:ptCount val="5"/>
                <c:pt idx="0">
                  <c:v>Exceptional</c:v>
                </c:pt>
                <c:pt idx="1">
                  <c:v>Above average</c:v>
                </c:pt>
                <c:pt idx="2">
                  <c:v>Average</c:v>
                </c:pt>
                <c:pt idx="3">
                  <c:v>Poor</c:v>
                </c:pt>
                <c:pt idx="4">
                  <c:v>Very poor</c:v>
                </c:pt>
              </c:strCache>
            </c:strRef>
          </c:cat>
          <c:val>
            <c:numRef>
              <c:f>'Salary vs. Rating'!$D$14:$D$19</c:f>
              <c:numCache>
                <c:formatCode>"₹"\ #,##0</c:formatCode>
                <c:ptCount val="5"/>
                <c:pt idx="0">
                  <c:v>92080</c:v>
                </c:pt>
                <c:pt idx="1">
                  <c:v>76991</c:v>
                </c:pt>
                <c:pt idx="2">
                  <c:v>76798.759124087592</c:v>
                </c:pt>
                <c:pt idx="3">
                  <c:v>78115</c:v>
                </c:pt>
                <c:pt idx="4">
                  <c:v>77423.333333333328</c:v>
                </c:pt>
              </c:numCache>
            </c:numRef>
          </c:val>
          <c:extLst>
            <c:ext xmlns:c16="http://schemas.microsoft.com/office/drawing/2014/chart" uri="{C3380CC4-5D6E-409C-BE32-E72D297353CC}">
              <c16:uniqueId val="{00000001-C94F-4D9C-8951-72B3BB59B580}"/>
            </c:ext>
          </c:extLst>
        </c:ser>
        <c:dLbls>
          <c:showLegendKey val="0"/>
          <c:showVal val="0"/>
          <c:showCatName val="0"/>
          <c:showSerName val="0"/>
          <c:showPercent val="0"/>
          <c:showBubbleSize val="0"/>
        </c:dLbls>
        <c:gapWidth val="219"/>
        <c:overlap val="-27"/>
        <c:axId val="1291732928"/>
        <c:axId val="1291742528"/>
      </c:barChart>
      <c:catAx>
        <c:axId val="129173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742528"/>
        <c:crosses val="autoZero"/>
        <c:auto val="1"/>
        <c:lblAlgn val="ctr"/>
        <c:lblOffset val="100"/>
        <c:noMultiLvlLbl val="0"/>
      </c:catAx>
      <c:valAx>
        <c:axId val="129174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73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sng" strike="noStrike" kern="1200" spc="0" baseline="0">
                <a:solidFill>
                  <a:srgbClr val="002060"/>
                </a:solidFill>
                <a:latin typeface="+mn-lt"/>
                <a:ea typeface="+mn-ea"/>
                <a:cs typeface="+mn-cs"/>
              </a:defRPr>
            </a:pPr>
            <a:r>
              <a:rPr lang="en-US" sz="1600" b="1" u="sng">
                <a:solidFill>
                  <a:srgbClr val="002060"/>
                </a:solidFill>
              </a:rPr>
              <a:t>Employee</a:t>
            </a:r>
            <a:r>
              <a:rPr lang="en-US" sz="1600" b="1" u="sng" baseline="0">
                <a:solidFill>
                  <a:srgbClr val="002060"/>
                </a:solidFill>
              </a:rPr>
              <a:t> Trend</a:t>
            </a:r>
          </a:p>
          <a:p>
            <a:pPr>
              <a:defRPr sz="1600" b="1" u="sng">
                <a:solidFill>
                  <a:srgbClr val="002060"/>
                </a:solidFill>
              </a:defRPr>
            </a:pPr>
            <a:endParaRPr lang="en-US" sz="1600" b="1" u="sng" baseline="0">
              <a:solidFill>
                <a:srgbClr val="002060"/>
              </a:solidFill>
            </a:endParaRPr>
          </a:p>
        </c:rich>
      </c:tx>
      <c:layout>
        <c:manualLayout>
          <c:xMode val="edge"/>
          <c:yMode val="edge"/>
          <c:x val="0.38140266841644793"/>
          <c:y val="3.7037037037037035E-2"/>
        </c:manualLayout>
      </c:layout>
      <c:overlay val="0"/>
      <c:spPr>
        <a:noFill/>
        <a:ln>
          <a:noFill/>
        </a:ln>
        <a:effectLst/>
      </c:spPr>
      <c:txPr>
        <a:bodyPr rot="0" spcFirstLastPara="1" vertOverflow="ellipsis" vert="horz" wrap="square" anchor="ctr" anchorCtr="1"/>
        <a:lstStyle/>
        <a:p>
          <a:pPr>
            <a:defRPr sz="1600" b="1" i="0" u="sng" strike="noStrike" kern="1200" spc="0" baseline="0">
              <a:solidFill>
                <a:srgbClr val="002060"/>
              </a:solidFill>
              <a:latin typeface="+mn-lt"/>
              <a:ea typeface="+mn-ea"/>
              <a:cs typeface="+mn-cs"/>
            </a:defRPr>
          </a:pPr>
          <a:endParaRPr lang="en-US"/>
        </a:p>
      </c:txPr>
    </c:title>
    <c:autoTitleDeleted val="0"/>
    <c:plotArea>
      <c:layout/>
      <c:lineChart>
        <c:grouping val="standard"/>
        <c:varyColors val="0"/>
        <c:ser>
          <c:idx val="0"/>
          <c:order val="0"/>
          <c:tx>
            <c:strRef>
              <c:f>'Salary vs. Rating'!$L$5</c:f>
              <c:strCache>
                <c:ptCount val="1"/>
                <c:pt idx="0">
                  <c:v>Running Total</c:v>
                </c:pt>
              </c:strCache>
            </c:strRef>
          </c:tx>
          <c:spPr>
            <a:ln w="28575" cap="rnd">
              <a:solidFill>
                <a:schemeClr val="accent1"/>
              </a:solidFill>
              <a:round/>
            </a:ln>
            <a:effectLst/>
          </c:spPr>
          <c:marker>
            <c:symbol val="none"/>
          </c:marker>
          <c:cat>
            <c:numRef>
              <c:f>'Salary vs. Rating'!$J$6:$J$42</c:f>
              <c:numCache>
                <c:formatCode>mmm\-yy</c:formatCode>
                <c:ptCount val="37"/>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pt idx="36">
                  <c:v>45047</c:v>
                </c:pt>
              </c:numCache>
            </c:numRef>
          </c:cat>
          <c:val>
            <c:numRef>
              <c:f>'Salary vs. Rating'!$L$6:$L$42</c:f>
              <c:numCache>
                <c:formatCode>General</c:formatCode>
                <c:ptCount val="37"/>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pt idx="36">
                  <c:v>183</c:v>
                </c:pt>
              </c:numCache>
            </c:numRef>
          </c:val>
          <c:smooth val="0"/>
          <c:extLst>
            <c:ext xmlns:c16="http://schemas.microsoft.com/office/drawing/2014/chart" uri="{C3380CC4-5D6E-409C-BE32-E72D297353CC}">
              <c16:uniqueId val="{00000000-A225-4BC6-8886-62F155854039}"/>
            </c:ext>
          </c:extLst>
        </c:ser>
        <c:dLbls>
          <c:showLegendKey val="0"/>
          <c:showVal val="0"/>
          <c:showCatName val="0"/>
          <c:showSerName val="0"/>
          <c:showPercent val="0"/>
          <c:showBubbleSize val="0"/>
        </c:dLbls>
        <c:smooth val="0"/>
        <c:axId val="1291717088"/>
        <c:axId val="1291730048"/>
      </c:lineChart>
      <c:dateAx>
        <c:axId val="129171708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730048"/>
        <c:crosses val="autoZero"/>
        <c:auto val="1"/>
        <c:lblOffset val="100"/>
        <c:baseTimeUnit val="months"/>
      </c:dateAx>
      <c:valAx>
        <c:axId val="129173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7170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2"/>
            </a:solidFill>
            <a:ln>
              <a:noFill/>
            </a:ln>
            <a:effectLst/>
          </c:spPr>
          <c:invertIfNegative val="0"/>
          <c:cat>
            <c:strLit>
              <c:ptCount val="5"/>
              <c:pt idx="0">
                <c:v>Procurement</c:v>
              </c:pt>
              <c:pt idx="1">
                <c:v>Website</c:v>
              </c:pt>
              <c:pt idx="2">
                <c:v>Finance</c:v>
              </c:pt>
              <c:pt idx="3">
                <c:v>Sales</c:v>
              </c:pt>
              <c:pt idx="4">
                <c:v>HR</c:v>
              </c:pt>
            </c:strLit>
          </c:cat>
          <c:val>
            <c:numLit>
              <c:formatCode>General</c:formatCode>
              <c:ptCount val="5"/>
              <c:pt idx="0">
                <c:v>28</c:v>
              </c:pt>
              <c:pt idx="1">
                <c:v>27</c:v>
              </c:pt>
              <c:pt idx="2">
                <c:v>19</c:v>
              </c:pt>
              <c:pt idx="3">
                <c:v>14</c:v>
              </c:pt>
              <c:pt idx="4">
                <c:v>4</c:v>
              </c:pt>
            </c:numLit>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Series1</c:v>
          </c:tx>
          <c:spPr>
            <a:solidFill>
              <a:schemeClr val="accent1"/>
            </a:solidFill>
            <a:ln>
              <a:noFill/>
            </a:ln>
            <a:effectLst/>
          </c:spPr>
          <c:invertIfNegative val="0"/>
          <c:cat>
            <c:strLit>
              <c:ptCount val="5"/>
              <c:pt idx="0">
                <c:v>1</c:v>
              </c:pt>
              <c:pt idx="1">
                <c:v>2</c:v>
              </c:pt>
              <c:pt idx="2">
                <c:v>3</c:v>
              </c:pt>
              <c:pt idx="3">
                <c:v>4</c:v>
              </c:pt>
              <c:pt idx="4">
                <c:v>5</c:v>
              </c:pt>
            </c:strLit>
          </c:cat>
          <c:val>
            <c:numLit>
              <c:formatCode>General</c:formatCode>
              <c:ptCount val="5"/>
              <c:pt idx="0">
                <c:v>55</c:v>
              </c:pt>
              <c:pt idx="1">
                <c:v>54</c:v>
              </c:pt>
              <c:pt idx="2">
                <c:v>38</c:v>
              </c:pt>
              <c:pt idx="3">
                <c:v>28</c:v>
              </c:pt>
              <c:pt idx="4">
                <c:v>8</c:v>
              </c:pt>
            </c:numLit>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'Male vs. Female'!$G$17</c:f>
              <c:strCache>
                <c:ptCount val="1"/>
                <c:pt idx="0">
                  <c:v>Count of Name</c:v>
                </c:pt>
              </c:strCache>
            </c:strRef>
          </c:tx>
          <c:spPr>
            <a:solidFill>
              <a:schemeClr val="accent1"/>
            </a:solidFill>
            <a:ln>
              <a:noFill/>
            </a:ln>
            <a:effectLst/>
          </c:spPr>
          <c:invertIfNegative val="0"/>
          <c:cat>
            <c:strRef>
              <c:f>'Male vs. Female'!$F$18:$F$22</c:f>
              <c:strCache>
                <c:ptCount val="5"/>
                <c:pt idx="0">
                  <c:v>Finance</c:v>
                </c:pt>
                <c:pt idx="1">
                  <c:v>HR</c:v>
                </c:pt>
                <c:pt idx="2">
                  <c:v>Procurement</c:v>
                </c:pt>
                <c:pt idx="3">
                  <c:v>Sales</c:v>
                </c:pt>
                <c:pt idx="4">
                  <c:v>Website</c:v>
                </c:pt>
              </c:strCache>
            </c:strRef>
          </c:cat>
          <c:val>
            <c:numRef>
              <c:f>'Male vs. Female'!$G$18:$G$22</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EFC8-46CE-922C-37B4483E5D26}"/>
            </c:ext>
          </c:extLst>
        </c:ser>
        <c:dLbls>
          <c:showLegendKey val="0"/>
          <c:showVal val="0"/>
          <c:showCatName val="0"/>
          <c:showSerName val="0"/>
          <c:showPercent val="0"/>
          <c:showBubbleSize val="0"/>
        </c:dLbls>
        <c:gapWidth val="182"/>
        <c:axId val="988991311"/>
        <c:axId val="988992271"/>
      </c:barChart>
      <c:catAx>
        <c:axId val="988991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2271"/>
        <c:crosses val="autoZero"/>
        <c:auto val="1"/>
        <c:lblAlgn val="ctr"/>
        <c:lblOffset val="100"/>
        <c:noMultiLvlLbl val="0"/>
      </c:catAx>
      <c:valAx>
        <c:axId val="988992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1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1693174578905792"/>
          <c:y val="6.0321439483458666E-2"/>
          <c:w val="0.78190485564304457"/>
          <c:h val="0.8416746864975212"/>
        </c:manualLayout>
      </c:layout>
      <c:barChart>
        <c:barDir val="bar"/>
        <c:grouping val="clustered"/>
        <c:varyColors val="0"/>
        <c:ser>
          <c:idx val="0"/>
          <c:order val="0"/>
          <c:tx>
            <c:strRef>
              <c:f>'Male vs. Female'!$L$17</c:f>
              <c:strCache>
                <c:ptCount val="1"/>
                <c:pt idx="0">
                  <c:v>Count of Name</c:v>
                </c:pt>
              </c:strCache>
            </c:strRef>
          </c:tx>
          <c:spPr>
            <a:solidFill>
              <a:schemeClr val="accent2"/>
            </a:solidFill>
            <a:ln>
              <a:noFill/>
            </a:ln>
            <a:effectLst/>
          </c:spPr>
          <c:invertIfNegative val="0"/>
          <c:cat>
            <c:strRef>
              <c:f>'Male vs. Female'!$K$18:$K$22</c:f>
              <c:strCache>
                <c:ptCount val="5"/>
                <c:pt idx="0">
                  <c:v>Finance</c:v>
                </c:pt>
                <c:pt idx="1">
                  <c:v>HR</c:v>
                </c:pt>
                <c:pt idx="2">
                  <c:v>Procurement</c:v>
                </c:pt>
                <c:pt idx="3">
                  <c:v>Sales</c:v>
                </c:pt>
                <c:pt idx="4">
                  <c:v>Website</c:v>
                </c:pt>
              </c:strCache>
            </c:strRef>
          </c:cat>
          <c:val>
            <c:numRef>
              <c:f>'Male vs. Female'!$L$18:$L$22</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B3B9-41F8-8311-C35BD63E2D10}"/>
            </c:ext>
          </c:extLst>
        </c:ser>
        <c:dLbls>
          <c:showLegendKey val="0"/>
          <c:showVal val="0"/>
          <c:showCatName val="0"/>
          <c:showSerName val="0"/>
          <c:showPercent val="0"/>
          <c:showBubbleSize val="0"/>
        </c:dLbls>
        <c:gapWidth val="182"/>
        <c:axId val="988995631"/>
        <c:axId val="988992751"/>
      </c:barChart>
      <c:catAx>
        <c:axId val="98899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2751"/>
        <c:crosses val="autoZero"/>
        <c:auto val="1"/>
        <c:lblAlgn val="ctr"/>
        <c:lblOffset val="100"/>
        <c:noMultiLvlLbl val="0"/>
      </c:catAx>
      <c:valAx>
        <c:axId val="988992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9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by-$10k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by-$10k</a:t>
          </a:r>
        </a:p>
      </cx:txPr>
    </cx:title>
    <cx:plotArea>
      <cx:plotAreaRegion>
        <cx:series layoutId="clusteredColumn" uniqueId="{8E07BA7F-2196-402C-8FD6-9B9CE511F703}">
          <cx:dataId val="0"/>
          <cx:layoutPr>
            <cx:binning intervalClosed="r" underflow="40000">
              <cx:binSize val="10000"/>
            </cx:binning>
          </cx:layoutPr>
        </cx:series>
      </cx:plotAreaRegion>
      <cx:axis id="0">
        <cx:catScaling gapWidth="0"/>
        <cx:title>
          <cx:tx>
            <cx:txData>
              <cx:v>Salary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Salary</a:t>
              </a:r>
            </a:p>
          </cx:txPr>
        </cx:title>
        <cx:tickLabels/>
        <cx:numFmt formatCode="₹ #,##0" sourceLinked="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149958</xdr:rowOff>
    </xdr:from>
    <xdr:to>
      <xdr:col>14</xdr:col>
      <xdr:colOff>47625</xdr:colOff>
      <xdr:row>1</xdr:row>
      <xdr:rowOff>190500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0" y="149958"/>
          <a:ext cx="2491280" cy="710576"/>
        </a:xfrm>
        <a:prstGeom prst="rect">
          <a:avLst/>
        </a:prstGeom>
      </xdr:spPr>
    </xdr:pic>
    <xdr:clientData/>
  </xdr:twoCellAnchor>
  <xdr:twoCellAnchor editAs="oneCell">
    <xdr:from>
      <xdr:col>10</xdr:col>
      <xdr:colOff>0</xdr:colOff>
      <xdr:row>3</xdr:row>
      <xdr:rowOff>190500</xdr:rowOff>
    </xdr:from>
    <xdr:to>
      <xdr:col>14</xdr:col>
      <xdr:colOff>0</xdr:colOff>
      <xdr:row>11</xdr:row>
      <xdr:rowOff>41055</xdr:rowOff>
    </xdr:to>
    <xdr:pic>
      <xdr:nvPicPr>
        <xdr:cNvPr id="3" name="Picture 2">
          <a:hlinkClick xmlns:r="http://schemas.openxmlformats.org/officeDocument/2006/relationships" r:id="rId3"/>
          <a:extLst>
            <a:ext uri="{FF2B5EF4-FFF2-40B4-BE49-F238E27FC236}">
              <a16:creationId xmlns:a16="http://schemas.microsoft.com/office/drawing/2014/main" id="{5318A1F6-B953-F05C-954E-2DBE692DAE3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0" y="1241534"/>
          <a:ext cx="2443655" cy="1374555"/>
        </a:xfrm>
        <a:prstGeom prst="rect">
          <a:avLst/>
        </a:prstGeom>
        <a:ln>
          <a:solidFill>
            <a:schemeClr val="tx1"/>
          </a:solidFill>
        </a:ln>
      </xdr:spPr>
    </xdr:pic>
    <xdr:clientData/>
  </xdr:twoCellAnchor>
  <xdr:twoCellAnchor>
    <xdr:from>
      <xdr:col>10</xdr:col>
      <xdr:colOff>548508</xdr:colOff>
      <xdr:row>10</xdr:row>
      <xdr:rowOff>124811</xdr:rowOff>
    </xdr:from>
    <xdr:to>
      <xdr:col>13</xdr:col>
      <xdr:colOff>62405</xdr:colOff>
      <xdr:row>12</xdr:row>
      <xdr:rowOff>19707</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7EA4BFA6-F2DF-BCE6-BB01-18284556D150}"/>
            </a:ext>
          </a:extLst>
        </xdr:cNvPr>
        <xdr:cNvSpPr/>
      </xdr:nvSpPr>
      <xdr:spPr>
        <a:xfrm>
          <a:off x="7597008" y="2509345"/>
          <a:ext cx="1346638"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10</xdr:col>
      <xdr:colOff>0</xdr:colOff>
      <xdr:row>12</xdr:row>
      <xdr:rowOff>190500</xdr:rowOff>
    </xdr:from>
    <xdr:to>
      <xdr:col>14</xdr:col>
      <xdr:colOff>13138</xdr:colOff>
      <xdr:row>25</xdr:row>
      <xdr:rowOff>170793</xdr:rowOff>
    </xdr:to>
    <xdr:pic>
      <xdr:nvPicPr>
        <xdr:cNvPr id="7" name="Picture 6">
          <a:hlinkClick xmlns:r="http://schemas.openxmlformats.org/officeDocument/2006/relationships" r:id="rId5"/>
          <a:extLst>
            <a:ext uri="{FF2B5EF4-FFF2-40B4-BE49-F238E27FC236}">
              <a16:creationId xmlns:a16="http://schemas.microsoft.com/office/drawing/2014/main" id="{FAF01E2A-C634-832C-4D43-FC8BB0E0F32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48500" y="2956034"/>
          <a:ext cx="2456793"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411480</xdr:colOff>
      <xdr:row>11</xdr:row>
      <xdr:rowOff>121921</xdr:rowOff>
    </xdr:from>
    <xdr:to>
      <xdr:col>5</xdr:col>
      <xdr:colOff>662940</xdr:colOff>
      <xdr:row>21</xdr:row>
      <xdr:rowOff>30480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C4ED6B5-9AC8-A816-DBDD-6A97A0D516C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48200" y="2278381"/>
              <a:ext cx="1188720" cy="1737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293414</xdr:colOff>
      <xdr:row>19</xdr:row>
      <xdr:rowOff>117367</xdr:rowOff>
    </xdr:from>
    <xdr:to>
      <xdr:col>6</xdr:col>
      <xdr:colOff>30655</xdr:colOff>
      <xdr:row>34</xdr:row>
      <xdr:rowOff>101602</xdr:rowOff>
    </xdr:to>
    <xdr:graphicFrame macro="">
      <xdr:nvGraphicFramePr>
        <xdr:cNvPr id="4" name="Chart 3">
          <a:extLst>
            <a:ext uri="{FF2B5EF4-FFF2-40B4-BE49-F238E27FC236}">
              <a16:creationId xmlns:a16="http://schemas.microsoft.com/office/drawing/2014/main" id="{7502F345-3699-3958-C2A0-024DB19D1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13136</xdr:colOff>
      <xdr:row>4</xdr:row>
      <xdr:rowOff>161159</xdr:rowOff>
    </xdr:from>
    <xdr:to>
      <xdr:col>21</xdr:col>
      <xdr:colOff>429171</xdr:colOff>
      <xdr:row>19</xdr:row>
      <xdr:rowOff>145393</xdr:rowOff>
    </xdr:to>
    <xdr:graphicFrame macro="">
      <xdr:nvGraphicFramePr>
        <xdr:cNvPr id="5" name="Chart 4">
          <a:extLst>
            <a:ext uri="{FF2B5EF4-FFF2-40B4-BE49-F238E27FC236}">
              <a16:creationId xmlns:a16="http://schemas.microsoft.com/office/drawing/2014/main" id="{88A28777-4D48-E5E2-335E-2C7588D0C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239560</xdr:colOff>
      <xdr:row>6</xdr:row>
      <xdr:rowOff>135040</xdr:rowOff>
    </xdr:from>
    <xdr:to>
      <xdr:col>18</xdr:col>
      <xdr:colOff>268111</xdr:colOff>
      <xdr:row>23</xdr:row>
      <xdr:rowOff>56445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0A6105C-59B3-4B27-8448-991C45F0CE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9560" y="1232320"/>
              <a:ext cx="11458551" cy="30303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91621</xdr:colOff>
      <xdr:row>1</xdr:row>
      <xdr:rowOff>153004</xdr:rowOff>
    </xdr:from>
    <xdr:to>
      <xdr:col>28</xdr:col>
      <xdr:colOff>422728</xdr:colOff>
      <xdr:row>16</xdr:row>
      <xdr:rowOff>47776</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99060</xdr:rowOff>
    </xdr:from>
    <xdr:to>
      <xdr:col>7</xdr:col>
      <xdr:colOff>60960</xdr:colOff>
      <xdr:row>24</xdr:row>
      <xdr:rowOff>95250</xdr:rowOff>
    </xdr:to>
    <xdr:graphicFrame macro="">
      <xdr:nvGraphicFramePr>
        <xdr:cNvPr id="2" name="Chart 6">
          <a:extLst>
            <a:ext uri="{FF2B5EF4-FFF2-40B4-BE49-F238E27FC236}">
              <a16:creationId xmlns:a16="http://schemas.microsoft.com/office/drawing/2014/main" id="{AD181733-609F-7207-DDB8-07D5A71C7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9</xdr:row>
      <xdr:rowOff>80010</xdr:rowOff>
    </xdr:from>
    <xdr:to>
      <xdr:col>14</xdr:col>
      <xdr:colOff>68580</xdr:colOff>
      <xdr:row>24</xdr:row>
      <xdr:rowOff>53340</xdr:rowOff>
    </xdr:to>
    <xdr:graphicFrame macro="">
      <xdr:nvGraphicFramePr>
        <xdr:cNvPr id="3" name="Chart 7">
          <a:extLst>
            <a:ext uri="{FF2B5EF4-FFF2-40B4-BE49-F238E27FC236}">
              <a16:creationId xmlns:a16="http://schemas.microsoft.com/office/drawing/2014/main" id="{C5A5A766-5BFE-388A-B8DD-1520B1BCD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108585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0838"/>
              <a:ext cx="7308605" cy="3655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48640"/>
              <a:ext cx="4572000" cy="5802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5105.535886111109" createdVersion="8" refreshedVersion="8" minRefreshableVersion="3" recordCount="183" xr:uid="{AADEBFC1-C014-47E9-9E91-E9FCE518277F}">
  <cacheSource type="worksheet">
    <worksheetSource name="staff"/>
  </cacheSource>
  <cacheFields count="11">
    <cacheField name="Name" numFmtId="0">
      <sharedItems count="183">
        <s v="Shubhra Potla"/>
        <s v="Gretchen Callow"/>
        <s v="Suchira Bhanupriya Tapti"/>
        <s v="Niall Selesnick"/>
        <s v="Waheeda Vasuman"/>
        <s v="Bili Sizey"/>
        <s v="Akbar Sorabhjee"/>
        <s v="Orton Livick"/>
        <s v="Shobhana Samuel"/>
        <s v="Archibald Filliskirk"/>
        <s v="Prerana Nishita"/>
        <s v="Crissie Cordel"/>
        <s v="Jagajeet Viraj"/>
        <s v="Dotty Strutley"/>
        <s v="Rupak Mehra"/>
        <s v="Drusy MacCombe"/>
        <s v="Kassi Jonson"/>
        <s v="Madhavdas Buhpathi"/>
        <s v="Florinda Crace"/>
        <s v="Shiuli Sapna"/>
        <s v="Dell Molloy"/>
        <s v="Ardhendu Abhichandra Jayakar"/>
        <s v="Jan Morforth"/>
        <s v="Piyali Mahanthapa"/>
        <s v="Erin Androsik"/>
        <s v="Amal Nimesh"/>
        <s v="Gunar Cockshoot"/>
        <s v="Vanmala Shriharsha"/>
        <s v="Esmaria Denecamp"/>
        <s v="Daruka Ghazali"/>
        <s v="Violante Courtonne"/>
        <s v="Gumwant Veera"/>
        <s v="Kaye Crocroft"/>
        <s v="Anumati Shyamari Meherhomji"/>
        <s v="Tatum Hush"/>
        <s v="Geena Raghavanpillai"/>
        <s v="Chitrasen Laul"/>
        <s v="Hoyt D'Alesco"/>
        <s v="Zach Polon"/>
        <s v="Pragya Nilufar"/>
        <s v="William Reeveley"/>
        <s v="Sanchali Shirish"/>
        <s v="Alta Kaszper"/>
        <s v="Mirium Seemantini Shivakumar"/>
        <s v="Oran Buxcy"/>
        <s v="Shattesh Utpat"/>
        <s v="Kelci Walkden"/>
        <s v="Pratigya Rema"/>
        <s v="Brien Boise"/>
        <s v="Krittika Gaekwad"/>
        <s v="Oby Sorrel"/>
        <s v="Vinanti Choudhari"/>
        <s v="Lilyan Klimpt"/>
        <s v="Asija Pothireddy"/>
        <s v="My Hanscome"/>
        <s v="Lalit Kothari"/>
        <s v="Jehu Rudeforth"/>
        <s v="Mardav Ramaswami"/>
        <s v="Mallorie Waber"/>
        <s v="Fullara Sushanti Mokate"/>
        <s v="Vic Radolf"/>
        <s v="Upendra Swati"/>
        <s v="Curtice Advani"/>
        <s v="Yagna Sujeev"/>
        <s v="Kevalkumar Solanki"/>
        <s v="Teressa Udden"/>
        <s v="Abhaya Priyavardhan"/>
        <s v="Kath Bletsoe"/>
        <s v="Agrata Rajarama"/>
        <s v="Marney O'Breen"/>
        <s v="Kantimoy Pritish"/>
        <s v="Husein Augar"/>
        <s v="Mahindra Sreedharan"/>
        <s v="Ebonee Roxburgh"/>
        <s v="Devasree Fullara Saurin"/>
        <s v="Hyacinthie Braybrooke"/>
        <s v="Jaishree Atasi Yavatkar"/>
        <s v="Murry Dryburgh"/>
        <s v="Rameshwari Chikodi"/>
        <s v="Andria Kimpton"/>
        <s v="Shekhar Eswara"/>
        <s v="Myer McCory"/>
        <s v="Chandana Sannidhi Surnilla"/>
        <s v="Shayne Stegel"/>
        <s v="Ranajay Kailashnath Richa"/>
        <s v="Ambros Murthwaite"/>
        <s v="Kulbhushan Moorthy"/>
        <s v="Bennie Pepis"/>
        <s v="Yauvani Tarpa"/>
        <s v="Gigi Bohling"/>
        <s v="Nanak Sapna"/>
        <s v="Barr Faughny"/>
        <s v="Hemavati Muthiah"/>
        <s v="Elia Cockton"/>
        <s v="Ayog Chakrabarti"/>
        <s v="Camilla Castle"/>
        <s v="Sameer Shashank Sapra"/>
        <s v="Shari McNee"/>
        <s v="Indu Varada Sumedh"/>
        <s v="Beverie Moffet"/>
        <s v="Shreela Ramasubraman"/>
        <s v="Virginia McConville"/>
        <s v="Rushil Kripa"/>
        <s v="Allene Gobbet"/>
        <s v="Shulabh Qutub Sundaramoorthy"/>
        <s v="Gray Seamon"/>
        <s v="Udyan Lanka"/>
        <s v="Kellsie Waby"/>
        <s v="Bhuvan Pals"/>
        <s v="Van Tuxwell"/>
        <s v="Kunja Prashanta Vibha"/>
        <s v="Agnes Collicott"/>
        <s v="Tarala Vishaal"/>
        <s v="Karlen McCaffrey"/>
        <s v="Madhumati Gazala Soumitra"/>
        <s v="Sibyl Dunkirk"/>
        <s v="Godavari Veena"/>
        <s v="Merrilee Plenty"/>
        <s v="Gangadutt Ragha"/>
        <s v="Ches Bonnell"/>
        <s v="Karuna Pashupathy"/>
        <s v="Dennison Crosswaite"/>
        <s v="Rukma Vinita"/>
        <s v="Madge McCloughen"/>
        <s v="Kamalakshi Mukundan"/>
        <s v="Enoch Dowrey"/>
        <s v="Deepit Ranjana"/>
        <s v="Leilah Yesinin"/>
        <s v="Purnendu Vijayarangan"/>
        <s v="Hinda Label"/>
        <s v="Sukhdev Nageshwar"/>
        <s v="Torrance Collier"/>
        <s v="Mithil Nadkarni"/>
        <s v="Constantino Espley"/>
        <s v="Baruna Ogale"/>
        <s v="Simon Kembery"/>
        <s v="Vasu Nandin"/>
        <s v="Bernie Gorges"/>
        <s v="Amlankusum Rajabhushan"/>
        <s v="Collin Jagson"/>
        <s v="Satyendra Venkatadri"/>
        <s v="Dyna Doucette"/>
        <s v="Sartaj Probal"/>
        <s v="Cherlyn Barter"/>
        <s v="Manjusri Ruchi"/>
        <s v="Caro Chappel"/>
        <s v="Shevantilal Muppala"/>
        <s v="Janene Hairsine"/>
        <s v="Sahas Sanabhi Shrikant"/>
        <s v="Kissiah Maydway"/>
        <s v="Hridaynath Tendulkar"/>
        <s v="Kaine Padly"/>
        <s v="Sawini Chandan"/>
        <s v="Rafaelita Blaksland"/>
        <s v="Damayanti Thangavadivelu"/>
        <s v="Madelene Upcott"/>
        <s v="Narois Motiwala"/>
        <s v="Bev Lashley"/>
        <s v="Makshi Vinutha"/>
        <s v="Halimeda Kuscha"/>
        <s v="Deepali Charan"/>
        <s v="Bandhula Sathyanna"/>
        <s v="Mollie Hanway"/>
        <s v="Krishnakanta Vellanki"/>
        <s v="Lindy Guillet"/>
        <s v="Ilesh Dasgupta"/>
        <s v="Mahalia Larcher"/>
        <s v="Sarojini Naueshwara"/>
        <s v="Hogan Iles"/>
        <s v="Ramnath Ravuri"/>
        <s v="Wilone O'Kielt"/>
        <s v="Dhruv Manjunath"/>
        <s v="Tracy Renad"/>
        <s v="Sahila Chandrasekhar"/>
        <s v="Benny Karolovsky"/>
        <s v="Sarayu Ragunathan"/>
        <s v="Roddy Speechley"/>
        <s v="Kaishori Harathi Kateel"/>
        <s v="Valentia Etteridge"/>
        <s v="Heer Pennathur"/>
        <s v="Tawnya Tickel"/>
        <s v="Anjushri Chandiramani"/>
        <s v="Ewart Laphorn"/>
      </sharedItems>
    </cacheField>
    <cacheField name="Gender" numFmtId="0">
      <sharedItems/>
    </cacheField>
    <cacheField name="Age" numFmtId="0">
      <sharedItems containsSemiMixedTypes="0" containsString="0" containsNumber="1" containsInteger="1" minValue="19" maxValue="46"/>
    </cacheField>
    <cacheField name="Rating" numFmtId="0">
      <sharedItems count="5">
        <s v="Average"/>
        <s v="Very poor"/>
        <s v="Above average"/>
        <s v="Poor"/>
        <s v="Exceptional"/>
      </sharedItems>
    </cacheField>
    <cacheField name="Date Joined" numFmtId="14">
      <sharedItems containsSemiMixedTypes="0" containsNonDate="0" containsDate="1" containsString="0" minDate="2020-05-07T00:00:00" maxDate="2023-04-30T00:00:00"/>
    </cacheField>
    <cacheField name="Department" numFmtId="0">
      <sharedItems count="5">
        <s v="Website"/>
        <s v="Sales"/>
        <s v="Procurement"/>
        <s v="HR"/>
        <s v="Finance"/>
      </sharedItems>
    </cacheField>
    <cacheField name="Salary" numFmtId="169">
      <sharedItems containsSemiMixedTypes="0" containsString="0" containsNumber="1" containsInteger="1" minValue="33920" maxValue="119110"/>
    </cacheField>
    <cacheField name="Country" numFmtId="0">
      <sharedItems/>
    </cacheField>
    <cacheField name="Tenure" numFmtId="2">
      <sharedItems containsSemiMixedTypes="0" containsString="0" containsNumber="1" minValue="0.16438356164383561" maxValue="3.1424657534246574"/>
    </cacheField>
    <cacheField name="Bonus" numFmtId="164">
      <sharedItems containsSemiMixedTypes="0" containsString="0" containsNumber="1" containsInteger="1" minValue="679" maxValue="3574"/>
    </cacheField>
    <cacheField name="Rating as number"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594484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5">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5">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efreshedDate="45105.915403356485"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5">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efreshedDate="45105.915403703701" backgroundQuery="1" createdVersion="8" refreshedVersion="8" minRefreshableVersion="3" recordCount="0" supportSubquery="1" supportAdvancedDrill="1" xr:uid="{9677CD68-510B-4A86-BC24-8A7657F8A461}">
  <cacheSource type="external" connectionId="4"/>
  <cacheFields count="7">
    <cacheField name="[staff].[Gender].[Gender]" caption="Gender" numFmtId="0" hierarchy="1" level="1">
      <sharedItems count="2">
        <s v="Female"/>
        <s v="Male"/>
      </sharedItems>
    </cacheField>
    <cacheField name="[Measures].[Average of Age]" caption="Average of Age" numFmtId="0" hierarchy="19" level="32767"/>
    <cacheField name="[Measures].[Count of Department]" caption="Count of Department" numFmtId="0" hierarchy="24" level="32767"/>
    <cacheField name="[Measures].[Average of Salary]" caption="Average of Salary" numFmtId="0" hierarchy="21" level="32767"/>
    <cacheField name="[Measures].[Average of Tenure]" caption="Average of Tenure" numFmtId="0" hierarchy="23" level="32767"/>
    <cacheField name="[Measures].[Count of Name]" caption="Count of Name" numFmtId="0" hierarchy="17" level="32767"/>
    <cacheField name="[staff].[Country].[Country]" caption="Country" numFmtId="0" hierarchy="7" level="1">
      <sharedItems containsSemiMixedTypes="0" containsNonDate="0" containsString="0"/>
    </cacheField>
  </cacheFields>
  <cacheHierarchies count="25">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6"/>
      </fieldsUsage>
    </cacheHierarchy>
    <cacheHierarchy uniqueName="[staff].[Tenure]" caption="Tenure" attribute="1" defaultMemberUniqueName="[staff].[Tenure].[All]" allUniqueName="[staff].[Tenure].[All]" dimensionUniqueName="[staff]" displayFolder="" count="2"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cacheHierarchy uniqueName="[staff].[Bonus]" caption="Bonus" attribute="1" defaultMemberUniqueName="[staff].[Bonus].[All]" allUniqueName="[staff].[Bonus].[All]" dimensionUniqueName="[staff]" displayFolder="" count="2" memberValueDatatype="20" unbalanced="0"/>
    <cacheHierarchy uniqueName="[staff].[Rating as number]" caption="Rating as number" attribute="1" defaultMemberUniqueName="[staff].[Rating as number].[All]" allUniqueName="[staff].[Rating as number].[All]" dimensionUniqueName="[staff]" displayFolder="" count="2" memberValueDatatype="20" unbalanced="0"/>
    <cacheHierarchy uniqueName="[staff].[Date Joined (Month Index)]" caption="Date Joined (Month Index)" attribute="1" defaultMemberUniqueName="[staff].[Date Joined (Month Index)].[All]" allUniqueName="[staff].[Date Joined (Month Index)].[All]" dimensionUniqueName="[staff]" displayFolder="" count="2"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5"/>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efreshedDate="45106.476366666669" backgroundQuery="1" createdVersion="8" refreshedVersion="8" minRefreshableVersion="3" recordCount="0" supportSubquery="1" supportAdvancedDrill="1" xr:uid="{28CE2AF5-65FB-49A9-A709-90417A648D12}">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5">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efreshedDate="45110.493619560184" backgroundQuery="1" createdVersion="8" refreshedVersion="8" minRefreshableVersion="3" recordCount="0" supportSubquery="1" supportAdvancedDrill="1" xr:uid="{917294B1-1363-417A-BD23-027ED247FC56}">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17" level="32767"/>
    <cacheField name="[staff].[Country].[Country]" caption="Country" numFmtId="0" hierarchy="7" level="1">
      <sharedItems containsNonDate="0" count="1">
        <s v="IND"/>
      </sharedItems>
    </cacheField>
  </cacheFields>
  <cacheHierarchies count="25">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cacheHierarchy uniqueName="[staff].[Age]" caption="Age" attribute="1" defaultMemberUniqueName="[staff].[Age].[All]" allUniqueName="[staff].[Age].[All]" dimensionUniqueName="[staff]" displayFolder="" count="2" memberValueDatatype="20" unbalanced="0"/>
    <cacheHierarchy uniqueName="[staff].[Rating]" caption="Rating" attribute="1" defaultMemberUniqueName="[staff].[Rating].[All]" allUniqueName="[staff].[Rating].[All]" dimensionUniqueName="[staff]" displayFolder="" count="2"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2"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2"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cacheHierarchy uniqueName="[staff].[Bonus]" caption="Bonus" attribute="1" defaultMemberUniqueName="[staff].[Bonus].[All]" allUniqueName="[staff].[Bonus].[All]" dimensionUniqueName="[staff]" displayFolder="" count="2" memberValueDatatype="20" unbalanced="0"/>
    <cacheHierarchy uniqueName="[staff].[Rating as number]" caption="Rating as number" attribute="1" defaultMemberUniqueName="[staff].[Rating as number].[All]" allUniqueName="[staff].[Rating as number].[All]" dimensionUniqueName="[staff]" displayFolder="" count="2" memberValueDatatype="20" unbalanced="0"/>
    <cacheHierarchy uniqueName="[staff].[Date Joined (Month Index)]" caption="Date Joined (Month Index)" attribute="1" defaultMemberUniqueName="[staff].[Date Joined (Month Index)].[All]" allUniqueName="[staff].[Date Joined (Month Index)].[All]" dimensionUniqueName="[staff]" displayFolder="" count="2"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Department]" caption="Count of Department" measure="1" displayFolder="" measureGroup="staff"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s v="Female"/>
    <n v="21"/>
    <x v="0"/>
    <d v="2022-02-27T00:00:00"/>
    <x v="0"/>
    <n v="33920"/>
    <s v="IND"/>
    <n v="1.3315068493150686"/>
    <n v="679"/>
    <n v="3"/>
  </r>
  <r>
    <x v="1"/>
    <s v="Female"/>
    <n v="21"/>
    <x v="0"/>
    <d v="2022-04-27T00:00:00"/>
    <x v="0"/>
    <n v="33920"/>
    <s v="NZ"/>
    <n v="1.1698630136986301"/>
    <n v="679"/>
    <n v="3"/>
  </r>
  <r>
    <x v="2"/>
    <s v="Female"/>
    <n v="29"/>
    <x v="0"/>
    <d v="2020-05-11T00:00:00"/>
    <x v="0"/>
    <n v="34980"/>
    <s v="IND"/>
    <n v="3.1315068493150684"/>
    <n v="1050"/>
    <n v="3"/>
  </r>
  <r>
    <x v="3"/>
    <s v="Female"/>
    <n v="29"/>
    <x v="0"/>
    <d v="2020-07-11T00:00:00"/>
    <x v="0"/>
    <n v="34980"/>
    <s v="NZ"/>
    <n v="2.9643835616438357"/>
    <n v="1050"/>
    <n v="3"/>
  </r>
  <r>
    <x v="4"/>
    <s v="Male"/>
    <n v="43"/>
    <x v="0"/>
    <d v="2021-12-28T00:00:00"/>
    <x v="1"/>
    <n v="36040"/>
    <s v="IND"/>
    <n v="1.4986301369863013"/>
    <n v="721"/>
    <n v="3"/>
  </r>
  <r>
    <x v="5"/>
    <s v="Male"/>
    <n v="43"/>
    <x v="0"/>
    <d v="2022-02-28T00:00:00"/>
    <x v="1"/>
    <n v="36040"/>
    <s v="NZ"/>
    <n v="1.3287671232876712"/>
    <n v="721"/>
    <n v="3"/>
  </r>
  <r>
    <x v="6"/>
    <s v="Male"/>
    <n v="21"/>
    <x v="0"/>
    <d v="2020-07-30T00:00:00"/>
    <x v="2"/>
    <n v="37920"/>
    <s v="IND"/>
    <n v="2.9123287671232876"/>
    <n v="1138"/>
    <n v="3"/>
  </r>
  <r>
    <x v="7"/>
    <s v="Male"/>
    <n v="21"/>
    <x v="0"/>
    <d v="2020-09-30T00:00:00"/>
    <x v="2"/>
    <n v="37920"/>
    <s v="NZ"/>
    <n v="2.7424657534246575"/>
    <n v="1138"/>
    <n v="3"/>
  </r>
  <r>
    <x v="8"/>
    <s v="Male"/>
    <n v="35"/>
    <x v="0"/>
    <d v="2022-04-15T00:00:00"/>
    <x v="2"/>
    <n v="40400"/>
    <s v="IND"/>
    <n v="1.2027397260273973"/>
    <n v="808"/>
    <n v="3"/>
  </r>
  <r>
    <x v="9"/>
    <s v="Male"/>
    <n v="35"/>
    <x v="0"/>
    <d v="2022-06-15T00:00:00"/>
    <x v="2"/>
    <n v="40400"/>
    <s v="NZ"/>
    <n v="1.0356164383561643"/>
    <n v="808"/>
    <n v="3"/>
  </r>
  <r>
    <x v="10"/>
    <s v="Female"/>
    <n v="32"/>
    <x v="0"/>
    <d v="2021-12-19T00:00:00"/>
    <x v="2"/>
    <n v="41570"/>
    <s v="IND"/>
    <n v="1.5232876712328767"/>
    <n v="832"/>
    <n v="3"/>
  </r>
  <r>
    <x v="11"/>
    <s v="Female"/>
    <n v="32"/>
    <x v="0"/>
    <d v="2022-02-19T00:00:00"/>
    <x v="2"/>
    <n v="41570"/>
    <s v="NZ"/>
    <n v="1.3534246575342466"/>
    <n v="832"/>
    <n v="3"/>
  </r>
  <r>
    <x v="12"/>
    <s v="Female"/>
    <n v="31"/>
    <x v="0"/>
    <d v="2020-09-10T00:00:00"/>
    <x v="0"/>
    <n v="41980"/>
    <s v="IND"/>
    <n v="2.7972602739726029"/>
    <n v="1260"/>
    <n v="3"/>
  </r>
  <r>
    <x v="13"/>
    <s v="Female"/>
    <n v="31"/>
    <x v="0"/>
    <d v="2020-11-10T00:00:00"/>
    <x v="0"/>
    <n v="41980"/>
    <s v="NZ"/>
    <n v="2.6301369863013697"/>
    <n v="1260"/>
    <n v="3"/>
  </r>
  <r>
    <x v="14"/>
    <s v="Male"/>
    <n v="28"/>
    <x v="1"/>
    <d v="2022-07-16T00:00:00"/>
    <x v="1"/>
    <n v="43510"/>
    <s v="IND"/>
    <n v="0.9506849315068493"/>
    <n v="871"/>
    <n v="1"/>
  </r>
  <r>
    <x v="15"/>
    <s v="Male"/>
    <n v="28"/>
    <x v="1"/>
    <d v="2022-09-16T00:00:00"/>
    <x v="1"/>
    <n v="43510"/>
    <s v="NZ"/>
    <n v="0.78082191780821919"/>
    <n v="871"/>
    <n v="1"/>
  </r>
  <r>
    <x v="16"/>
    <s v="Female"/>
    <n v="32"/>
    <x v="2"/>
    <d v="2021-06-07T00:00:00"/>
    <x v="0"/>
    <n v="43840"/>
    <s v="NZ"/>
    <n v="2.0575342465753423"/>
    <n v="1316"/>
    <n v="4"/>
  </r>
  <r>
    <x v="17"/>
    <s v="Female"/>
    <n v="32"/>
    <x v="0"/>
    <d v="2021-05-23T00:00:00"/>
    <x v="3"/>
    <n v="45510"/>
    <s v="IND"/>
    <n v="2.0986301369863014"/>
    <n v="1366"/>
    <n v="3"/>
  </r>
  <r>
    <x v="18"/>
    <s v="Female"/>
    <n v="32"/>
    <x v="0"/>
    <d v="2021-07-23T00:00:00"/>
    <x v="3"/>
    <n v="45510"/>
    <s v="NZ"/>
    <n v="1.9315068493150684"/>
    <n v="911"/>
    <n v="3"/>
  </r>
  <r>
    <x v="19"/>
    <s v="Male"/>
    <n v="26"/>
    <x v="0"/>
    <d v="2020-11-29T00:00:00"/>
    <x v="2"/>
    <n v="47360"/>
    <s v="IND"/>
    <n v="2.5780821917808221"/>
    <n v="1421"/>
    <n v="3"/>
  </r>
  <r>
    <x v="20"/>
    <s v="Male"/>
    <n v="26"/>
    <x v="0"/>
    <d v="2021-01-29T00:00:00"/>
    <x v="2"/>
    <n v="47360"/>
    <s v="NZ"/>
    <n v="2.4109589041095889"/>
    <n v="1421"/>
    <n v="3"/>
  </r>
  <r>
    <x v="21"/>
    <s v="Male"/>
    <n v="28"/>
    <x v="2"/>
    <d v="2020-05-29T00:00:00"/>
    <x v="4"/>
    <n v="48170"/>
    <s v="IND"/>
    <n v="3.0821917808219177"/>
    <n v="1446"/>
    <n v="4"/>
  </r>
  <r>
    <x v="22"/>
    <s v="Male"/>
    <n v="28"/>
    <x v="2"/>
    <d v="2020-07-29T00:00:00"/>
    <x v="4"/>
    <n v="48170"/>
    <s v="NZ"/>
    <n v="2.9150684931506849"/>
    <n v="1446"/>
    <n v="4"/>
  </r>
  <r>
    <x v="23"/>
    <s v="Male"/>
    <n v="33"/>
    <x v="2"/>
    <d v="2022-03-20T00:00:00"/>
    <x v="2"/>
    <n v="48530"/>
    <s v="IND"/>
    <n v="1.273972602739726"/>
    <n v="971"/>
    <n v="4"/>
  </r>
  <r>
    <x v="24"/>
    <s v="Male"/>
    <n v="33"/>
    <x v="2"/>
    <d v="2022-05-20T00:00:00"/>
    <x v="2"/>
    <n v="48530"/>
    <s v="NZ"/>
    <n v="1.106849315068493"/>
    <n v="971"/>
    <n v="4"/>
  </r>
  <r>
    <x v="25"/>
    <s v="Male"/>
    <n v="31"/>
    <x v="0"/>
    <d v="2021-09-11T00:00:00"/>
    <x v="0"/>
    <n v="48950"/>
    <s v="IND"/>
    <n v="1.7945205479452055"/>
    <n v="979"/>
    <n v="3"/>
  </r>
  <r>
    <x v="26"/>
    <s v="Male"/>
    <n v="31"/>
    <x v="0"/>
    <d v="2021-11-11T00:00:00"/>
    <x v="0"/>
    <n v="48950"/>
    <s v="NZ"/>
    <n v="1.6273972602739726"/>
    <n v="979"/>
    <n v="3"/>
  </r>
  <r>
    <x v="27"/>
    <s v="Male"/>
    <n v="27"/>
    <x v="0"/>
    <d v="2021-11-06T00:00:00"/>
    <x v="4"/>
    <n v="48980"/>
    <s v="IND"/>
    <n v="1.6410958904109589"/>
    <n v="980"/>
    <n v="3"/>
  </r>
  <r>
    <x v="28"/>
    <s v="Male"/>
    <n v="27"/>
    <x v="0"/>
    <d v="2022-01-06T00:00:00"/>
    <x v="4"/>
    <n v="48980"/>
    <s v="NZ"/>
    <n v="1.473972602739726"/>
    <n v="980"/>
    <n v="3"/>
  </r>
  <r>
    <x v="29"/>
    <s v="Female"/>
    <n v="34"/>
    <x v="3"/>
    <d v="2022-04-09T00:00:00"/>
    <x v="1"/>
    <n v="49630"/>
    <s v="IND"/>
    <n v="1.2191780821917808"/>
    <n v="993"/>
    <n v="2"/>
  </r>
  <r>
    <x v="30"/>
    <s v="Female"/>
    <n v="34"/>
    <x v="3"/>
    <d v="2022-06-09T00:00:00"/>
    <x v="1"/>
    <n v="49630"/>
    <s v="NZ"/>
    <n v="1.0520547945205478"/>
    <n v="993"/>
    <n v="2"/>
  </r>
  <r>
    <x v="31"/>
    <s v="Male"/>
    <n v="24"/>
    <x v="3"/>
    <d v="2021-06-28T00:00:00"/>
    <x v="4"/>
    <n v="52610"/>
    <s v="IND"/>
    <n v="2"/>
    <n v="1053"/>
    <n v="2"/>
  </r>
  <r>
    <x v="32"/>
    <s v="Male"/>
    <n v="24"/>
    <x v="3"/>
    <d v="2021-08-28T00:00:00"/>
    <x v="4"/>
    <n v="52610"/>
    <s v="NZ"/>
    <n v="1.832876712328767"/>
    <n v="1053"/>
    <n v="2"/>
  </r>
  <r>
    <x v="33"/>
    <s v="Female"/>
    <n v="28"/>
    <x v="0"/>
    <d v="2021-04-10T00:00:00"/>
    <x v="1"/>
    <n v="53240"/>
    <s v="IND"/>
    <n v="2.2164383561643834"/>
    <n v="1598"/>
    <n v="3"/>
  </r>
  <r>
    <x v="34"/>
    <s v="Female"/>
    <n v="28"/>
    <x v="0"/>
    <d v="2021-06-10T00:00:00"/>
    <x v="1"/>
    <n v="53240"/>
    <s v="NZ"/>
    <n v="2.0493150684931507"/>
    <n v="1598"/>
    <n v="3"/>
  </r>
  <r>
    <x v="35"/>
    <s v="Male"/>
    <n v="32"/>
    <x v="0"/>
    <d v="2021-07-26T00:00:00"/>
    <x v="1"/>
    <n v="53540"/>
    <s v="IND"/>
    <n v="1.9232876712328768"/>
    <n v="1071"/>
    <n v="3"/>
  </r>
  <r>
    <x v="36"/>
    <s v="Male"/>
    <n v="26"/>
    <x v="0"/>
    <d v="2021-06-03T00:00:00"/>
    <x v="2"/>
    <n v="53540"/>
    <s v="IND"/>
    <n v="2.0684931506849313"/>
    <n v="1607"/>
    <n v="3"/>
  </r>
  <r>
    <x v="37"/>
    <s v="Male"/>
    <n v="32"/>
    <x v="0"/>
    <d v="2021-09-26T00:00:00"/>
    <x v="1"/>
    <n v="53540"/>
    <s v="NZ"/>
    <n v="1.7534246575342465"/>
    <n v="1071"/>
    <n v="3"/>
  </r>
  <r>
    <x v="38"/>
    <s v="Male"/>
    <n v="26"/>
    <x v="0"/>
    <d v="2021-08-03T00:00:00"/>
    <x v="2"/>
    <n v="53540"/>
    <s v="NZ"/>
    <n v="1.9013698630136986"/>
    <n v="1071"/>
    <n v="3"/>
  </r>
  <r>
    <x v="39"/>
    <s v="Male"/>
    <n v="33"/>
    <x v="0"/>
    <d v="2021-09-09T00:00:00"/>
    <x v="0"/>
    <n v="53870"/>
    <s v="IND"/>
    <n v="1.8"/>
    <n v="1078"/>
    <n v="3"/>
  </r>
  <r>
    <x v="40"/>
    <s v="Male"/>
    <n v="33"/>
    <x v="0"/>
    <d v="2021-11-09T00:00:00"/>
    <x v="0"/>
    <n v="53870"/>
    <s v="NZ"/>
    <n v="1.6328767123287671"/>
    <n v="1078"/>
    <n v="3"/>
  </r>
  <r>
    <x v="41"/>
    <s v="Male"/>
    <n v="27"/>
    <x v="0"/>
    <d v="2020-08-30T00:00:00"/>
    <x v="1"/>
    <n v="54970"/>
    <s v="IND"/>
    <n v="2.8273972602739725"/>
    <n v="1650"/>
    <n v="3"/>
  </r>
  <r>
    <x v="42"/>
    <s v="Male"/>
    <n v="27"/>
    <x v="0"/>
    <d v="2020-10-30T00:00:00"/>
    <x v="1"/>
    <n v="54970"/>
    <s v="NZ"/>
    <n v="2.6602739726027398"/>
    <n v="1650"/>
    <n v="3"/>
  </r>
  <r>
    <x v="43"/>
    <s v="Female"/>
    <n v="38"/>
    <x v="2"/>
    <d v="2021-03-13T00:00:00"/>
    <x v="1"/>
    <n v="56870"/>
    <s v="IND"/>
    <n v="2.2931506849315069"/>
    <n v="1707"/>
    <n v="4"/>
  </r>
  <r>
    <x v="44"/>
    <s v="Female"/>
    <n v="38"/>
    <x v="2"/>
    <d v="2021-05-13T00:00:00"/>
    <x v="1"/>
    <n v="56870"/>
    <s v="NZ"/>
    <n v="2.1260273972602741"/>
    <n v="1707"/>
    <n v="4"/>
  </r>
  <r>
    <x v="45"/>
    <s v="Male"/>
    <n v="21"/>
    <x v="0"/>
    <d v="2022-05-20T00:00:00"/>
    <x v="2"/>
    <n v="57090"/>
    <s v="IND"/>
    <n v="1.106849315068493"/>
    <n v="1142"/>
    <n v="3"/>
  </r>
  <r>
    <x v="46"/>
    <s v="Male"/>
    <n v="21"/>
    <x v="0"/>
    <d v="2022-07-20T00:00:00"/>
    <x v="2"/>
    <n v="57090"/>
    <s v="NZ"/>
    <n v="0.9397260273972603"/>
    <n v="1142"/>
    <n v="3"/>
  </r>
  <r>
    <x v="47"/>
    <s v="Female"/>
    <n v="31"/>
    <x v="0"/>
    <d v="2022-02-12T00:00:00"/>
    <x v="0"/>
    <n v="58100"/>
    <s v="IND"/>
    <n v="1.3726027397260274"/>
    <n v="1162"/>
    <n v="3"/>
  </r>
  <r>
    <x v="48"/>
    <s v="Female"/>
    <n v="31"/>
    <x v="0"/>
    <d v="2022-04-12T00:00:00"/>
    <x v="0"/>
    <n v="58100"/>
    <s v="NZ"/>
    <n v="1.210958904109589"/>
    <n v="1162"/>
    <n v="3"/>
  </r>
  <r>
    <x v="49"/>
    <s v="Female"/>
    <n v="34"/>
    <x v="0"/>
    <d v="2022-02-02T00:00:00"/>
    <x v="4"/>
    <n v="58940"/>
    <s v="IND"/>
    <n v="1.4"/>
    <n v="1179"/>
    <n v="3"/>
  </r>
  <r>
    <x v="50"/>
    <s v="Female"/>
    <n v="34"/>
    <x v="0"/>
    <d v="2022-04-02T00:00:00"/>
    <x v="4"/>
    <n v="58940"/>
    <s v="NZ"/>
    <n v="1.2383561643835617"/>
    <n v="1179"/>
    <n v="3"/>
  </r>
  <r>
    <x v="51"/>
    <s v="Male"/>
    <n v="19"/>
    <x v="0"/>
    <d v="2021-01-22T00:00:00"/>
    <x v="2"/>
    <n v="58960"/>
    <s v="IND"/>
    <n v="2.43013698630137"/>
    <n v="1769"/>
    <n v="3"/>
  </r>
  <r>
    <x v="52"/>
    <s v="Male"/>
    <n v="19"/>
    <x v="0"/>
    <d v="2021-03-22T00:00:00"/>
    <x v="2"/>
    <n v="58960"/>
    <s v="NZ"/>
    <n v="2.2684931506849315"/>
    <n v="1769"/>
    <n v="3"/>
  </r>
  <r>
    <x v="53"/>
    <s v="Male"/>
    <n v="33"/>
    <x v="0"/>
    <d v="2020-12-16T00:00:00"/>
    <x v="4"/>
    <n v="59430"/>
    <s v="IND"/>
    <n v="2.5315068493150683"/>
    <n v="1783"/>
    <n v="3"/>
  </r>
  <r>
    <x v="54"/>
    <s v="Male"/>
    <n v="33"/>
    <x v="0"/>
    <d v="2021-02-16T00:00:00"/>
    <x v="4"/>
    <n v="59430"/>
    <s v="NZ"/>
    <n v="2.3616438356164382"/>
    <n v="1783"/>
    <n v="3"/>
  </r>
  <r>
    <x v="55"/>
    <s v="Female"/>
    <n v="34"/>
    <x v="0"/>
    <d v="2021-12-20T00:00:00"/>
    <x v="4"/>
    <n v="60130"/>
    <s v="IND"/>
    <n v="1.5205479452054795"/>
    <n v="1203"/>
    <n v="3"/>
  </r>
  <r>
    <x v="56"/>
    <s v="Female"/>
    <n v="34"/>
    <x v="0"/>
    <d v="2022-02-20T00:00:00"/>
    <x v="4"/>
    <n v="60130"/>
    <s v="NZ"/>
    <n v="1.3506849315068492"/>
    <n v="1203"/>
    <n v="3"/>
  </r>
  <r>
    <x v="57"/>
    <s v="Male"/>
    <n v="30"/>
    <x v="0"/>
    <d v="2022-02-15T00:00:00"/>
    <x v="2"/>
    <n v="60570"/>
    <s v="IND"/>
    <n v="1.3643835616438356"/>
    <n v="1212"/>
    <n v="3"/>
  </r>
  <r>
    <x v="58"/>
    <s v="Male"/>
    <n v="30"/>
    <x v="0"/>
    <d v="2022-04-15T00:00:00"/>
    <x v="2"/>
    <n v="60570"/>
    <s v="NZ"/>
    <n v="1.2027397260273973"/>
    <n v="1212"/>
    <n v="3"/>
  </r>
  <r>
    <x v="59"/>
    <s v="Female"/>
    <n v="24"/>
    <x v="0"/>
    <d v="2020-09-13T00:00:00"/>
    <x v="0"/>
    <n v="62780"/>
    <s v="IND"/>
    <n v="2.7890410958904108"/>
    <n v="1884"/>
    <n v="3"/>
  </r>
  <r>
    <x v="60"/>
    <s v="Female"/>
    <n v="24"/>
    <x v="0"/>
    <d v="2020-11-13T00:00:00"/>
    <x v="0"/>
    <n v="62780"/>
    <s v="NZ"/>
    <n v="2.6219178082191781"/>
    <n v="1884"/>
    <n v="3"/>
  </r>
  <r>
    <x v="61"/>
    <s v="Other"/>
    <n v="30"/>
    <x v="0"/>
    <d v="2021-12-05T00:00:00"/>
    <x v="4"/>
    <n v="64000"/>
    <s v="IND"/>
    <n v="1.5616438356164384"/>
    <n v="1280"/>
    <n v="3"/>
  </r>
  <r>
    <x v="62"/>
    <s v="Other"/>
    <n v="30"/>
    <x v="0"/>
    <d v="2022-02-05T00:00:00"/>
    <x v="4"/>
    <n v="64000"/>
    <s v="NZ"/>
    <n v="1.3917808219178083"/>
    <n v="1280"/>
    <n v="3"/>
  </r>
  <r>
    <x v="63"/>
    <s v="Female"/>
    <n v="32"/>
    <x v="2"/>
    <d v="2021-04-07T00:00:00"/>
    <x v="0"/>
    <n v="65000"/>
    <s v="IND"/>
    <n v="2.2246575342465755"/>
    <n v="1950"/>
    <n v="4"/>
  </r>
  <r>
    <x v="64"/>
    <s v="Female"/>
    <n v="33"/>
    <x v="0"/>
    <d v="2020-06-24T00:00:00"/>
    <x v="4"/>
    <n v="65360"/>
    <s v="IND"/>
    <n v="3.010958904109589"/>
    <n v="1961"/>
    <n v="3"/>
  </r>
  <r>
    <x v="65"/>
    <s v="Female"/>
    <n v="33"/>
    <x v="0"/>
    <d v="2020-08-24T00:00:00"/>
    <x v="4"/>
    <n v="65360"/>
    <s v="NZ"/>
    <n v="2.8438356164383563"/>
    <n v="1961"/>
    <n v="3"/>
  </r>
  <r>
    <x v="66"/>
    <s v="Male"/>
    <n v="25"/>
    <x v="0"/>
    <d v="2021-05-06T00:00:00"/>
    <x v="1"/>
    <n v="65700"/>
    <s v="IND"/>
    <n v="2.1452054794520548"/>
    <n v="1971"/>
    <n v="3"/>
  </r>
  <r>
    <x v="67"/>
    <s v="Male"/>
    <n v="25"/>
    <x v="0"/>
    <d v="2021-07-06T00:00:00"/>
    <x v="1"/>
    <n v="65700"/>
    <s v="NZ"/>
    <n v="1.978082191780822"/>
    <n v="1314"/>
    <n v="3"/>
  </r>
  <r>
    <x v="68"/>
    <s v="Female"/>
    <n v="21"/>
    <x v="0"/>
    <d v="2021-03-01T00:00:00"/>
    <x v="4"/>
    <n v="65920"/>
    <s v="IND"/>
    <n v="2.3260273972602739"/>
    <n v="1978"/>
    <n v="3"/>
  </r>
  <r>
    <x v="69"/>
    <s v="Female"/>
    <n v="21"/>
    <x v="0"/>
    <d v="2021-05-01T00:00:00"/>
    <x v="4"/>
    <n v="65920"/>
    <s v="NZ"/>
    <n v="2.1589041095890411"/>
    <n v="1978"/>
    <n v="3"/>
  </r>
  <r>
    <x v="70"/>
    <s v="Female"/>
    <n v="30"/>
    <x v="3"/>
    <d v="2021-05-12T00:00:00"/>
    <x v="4"/>
    <n v="67910"/>
    <s v="IND"/>
    <n v="2.128767123287671"/>
    <n v="2038"/>
    <n v="2"/>
  </r>
  <r>
    <x v="71"/>
    <s v="Female"/>
    <n v="30"/>
    <x v="3"/>
    <d v="2021-07-12T00:00:00"/>
    <x v="4"/>
    <n v="67910"/>
    <s v="NZ"/>
    <n v="1.9616438356164383"/>
    <n v="1359"/>
    <n v="2"/>
  </r>
  <r>
    <x v="72"/>
    <s v="Male"/>
    <n v="30"/>
    <x v="0"/>
    <d v="2022-03-20T00:00:00"/>
    <x v="2"/>
    <n v="67950"/>
    <s v="IND"/>
    <n v="1.273972602739726"/>
    <n v="1359"/>
    <n v="3"/>
  </r>
  <r>
    <x v="73"/>
    <s v="Male"/>
    <n v="30"/>
    <x v="0"/>
    <d v="2022-05-20T00:00:00"/>
    <x v="2"/>
    <n v="67950"/>
    <s v="NZ"/>
    <n v="1.106849315068493"/>
    <n v="1359"/>
    <n v="3"/>
  </r>
  <r>
    <x v="74"/>
    <s v="Female"/>
    <n v="20"/>
    <x v="3"/>
    <d v="2021-10-07T00:00:00"/>
    <x v="1"/>
    <n v="68900"/>
    <s v="IND"/>
    <n v="1.7232876712328766"/>
    <n v="1378"/>
    <n v="2"/>
  </r>
  <r>
    <x v="75"/>
    <s v="Female"/>
    <n v="20"/>
    <x v="3"/>
    <d v="2021-12-07T00:00:00"/>
    <x v="1"/>
    <n v="68900"/>
    <s v="NZ"/>
    <n v="1.5561643835616439"/>
    <n v="1378"/>
    <n v="2"/>
  </r>
  <r>
    <x v="76"/>
    <s v="Male"/>
    <n v="37"/>
    <x v="0"/>
    <d v="2022-03-20T00:00:00"/>
    <x v="0"/>
    <n v="69070"/>
    <s v="IND"/>
    <n v="1.273972602739726"/>
    <n v="1382"/>
    <n v="3"/>
  </r>
  <r>
    <x v="77"/>
    <s v="Male"/>
    <n v="37"/>
    <x v="0"/>
    <d v="2022-05-20T00:00:00"/>
    <x v="0"/>
    <n v="69070"/>
    <s v="NZ"/>
    <n v="1.106849315068493"/>
    <n v="1382"/>
    <n v="3"/>
  </r>
  <r>
    <x v="78"/>
    <s v="Male"/>
    <n v="30"/>
    <x v="0"/>
    <d v="2021-01-18T00:00:00"/>
    <x v="0"/>
    <n v="69120"/>
    <s v="IND"/>
    <n v="2.441095890410959"/>
    <n v="2074"/>
    <n v="3"/>
  </r>
  <r>
    <x v="79"/>
    <s v="Male"/>
    <n v="30"/>
    <x v="0"/>
    <d v="2021-03-18T00:00:00"/>
    <x v="0"/>
    <n v="69120"/>
    <s v="NZ"/>
    <n v="2.2794520547945205"/>
    <n v="2074"/>
    <n v="3"/>
  </r>
  <r>
    <x v="80"/>
    <s v="Male"/>
    <n v="30"/>
    <x v="0"/>
    <d v="2022-08-16T00:00:00"/>
    <x v="0"/>
    <n v="69710"/>
    <s v="IND"/>
    <n v="0.86575342465753424"/>
    <n v="1395"/>
    <n v="3"/>
  </r>
  <r>
    <x v="81"/>
    <s v="Male"/>
    <n v="30"/>
    <x v="0"/>
    <d v="2022-10-16T00:00:00"/>
    <x v="0"/>
    <n v="69710"/>
    <s v="NZ"/>
    <n v="0.69863013698630139"/>
    <n v="1395"/>
    <n v="3"/>
  </r>
  <r>
    <x v="82"/>
    <s v="Male"/>
    <n v="42"/>
    <x v="3"/>
    <d v="2022-04-19T00:00:00"/>
    <x v="4"/>
    <n v="70270"/>
    <s v="IND"/>
    <n v="1.1917808219178083"/>
    <n v="1406"/>
    <n v="2"/>
  </r>
  <r>
    <x v="83"/>
    <s v="Male"/>
    <n v="42"/>
    <x v="3"/>
    <d v="2022-06-19T00:00:00"/>
    <x v="4"/>
    <n v="70270"/>
    <s v="NZ"/>
    <n v="1.0246575342465754"/>
    <n v="1406"/>
    <n v="2"/>
  </r>
  <r>
    <x v="84"/>
    <s v="Male"/>
    <n v="46"/>
    <x v="0"/>
    <d v="2022-05-16T00:00:00"/>
    <x v="2"/>
    <n v="70610"/>
    <s v="IND"/>
    <n v="1.1178082191780823"/>
    <n v="1413"/>
    <n v="3"/>
  </r>
  <r>
    <x v="85"/>
    <s v="Male"/>
    <n v="46"/>
    <x v="0"/>
    <d v="2022-07-16T00:00:00"/>
    <x v="2"/>
    <n v="70610"/>
    <s v="NZ"/>
    <n v="0.9506849315068493"/>
    <n v="1413"/>
    <n v="3"/>
  </r>
  <r>
    <x v="86"/>
    <s v="Male"/>
    <n v="36"/>
    <x v="0"/>
    <d v="2021-03-17T00:00:00"/>
    <x v="4"/>
    <n v="71380"/>
    <s v="IND"/>
    <n v="2.2821917808219179"/>
    <n v="2142"/>
    <n v="3"/>
  </r>
  <r>
    <x v="87"/>
    <s v="Male"/>
    <n v="36"/>
    <x v="0"/>
    <d v="2021-05-17T00:00:00"/>
    <x v="4"/>
    <n v="71380"/>
    <s v="NZ"/>
    <n v="2.1150684931506851"/>
    <n v="2142"/>
    <n v="3"/>
  </r>
  <r>
    <x v="88"/>
    <s v="Male"/>
    <n v="33"/>
    <x v="0"/>
    <d v="2021-05-08T00:00:00"/>
    <x v="1"/>
    <n v="74550"/>
    <s v="IND"/>
    <n v="2.1397260273972605"/>
    <n v="2237"/>
    <n v="3"/>
  </r>
  <r>
    <x v="89"/>
    <s v="Male"/>
    <n v="33"/>
    <x v="0"/>
    <d v="2021-07-08T00:00:00"/>
    <x v="1"/>
    <n v="74550"/>
    <s v="NZ"/>
    <n v="1.9726027397260273"/>
    <n v="1491"/>
    <n v="3"/>
  </r>
  <r>
    <x v="90"/>
    <s v="Female"/>
    <n v="42"/>
    <x v="4"/>
    <d v="2022-06-06T00:00:00"/>
    <x v="2"/>
    <n v="75000"/>
    <s v="IND"/>
    <n v="1.0602739726027397"/>
    <n v="1500"/>
    <n v="5"/>
  </r>
  <r>
    <x v="91"/>
    <s v="Female"/>
    <n v="42"/>
    <x v="4"/>
    <d v="2022-08-06T00:00:00"/>
    <x v="2"/>
    <n v="75000"/>
    <s v="NZ"/>
    <n v="0.89315068493150684"/>
    <n v="1500"/>
    <n v="5"/>
  </r>
  <r>
    <x v="92"/>
    <s v="Female"/>
    <n v="33"/>
    <x v="0"/>
    <d v="2021-02-26T00:00:00"/>
    <x v="0"/>
    <n v="75280"/>
    <s v="IND"/>
    <n v="2.3342465753424659"/>
    <n v="2259"/>
    <n v="3"/>
  </r>
  <r>
    <x v="93"/>
    <s v="Female"/>
    <n v="33"/>
    <x v="0"/>
    <d v="2021-04-26T00:00:00"/>
    <x v="0"/>
    <n v="75280"/>
    <s v="NZ"/>
    <n v="2.1726027397260275"/>
    <n v="2259"/>
    <n v="3"/>
  </r>
  <r>
    <x v="94"/>
    <s v="Female"/>
    <n v="33"/>
    <x v="1"/>
    <d v="2021-04-27T00:00:00"/>
    <x v="0"/>
    <n v="75480"/>
    <s v="IND"/>
    <n v="2.1698630136986301"/>
    <n v="2265"/>
    <n v="1"/>
  </r>
  <r>
    <x v="95"/>
    <s v="Female"/>
    <n v="33"/>
    <x v="1"/>
    <d v="2021-06-27T00:00:00"/>
    <x v="0"/>
    <n v="75480"/>
    <s v="NZ"/>
    <n v="2.0027397260273974"/>
    <n v="2265"/>
    <n v="1"/>
  </r>
  <r>
    <x v="96"/>
    <s v="Male"/>
    <n v="21"/>
    <x v="0"/>
    <d v="2020-12-15T00:00:00"/>
    <x v="3"/>
    <n v="75880"/>
    <s v="IND"/>
    <n v="2.5342465753424657"/>
    <n v="2277"/>
    <n v="3"/>
  </r>
  <r>
    <x v="97"/>
    <s v="Male"/>
    <n v="21"/>
    <x v="0"/>
    <d v="2021-02-15T00:00:00"/>
    <x v="3"/>
    <n v="75880"/>
    <s v="NZ"/>
    <n v="2.3643835616438356"/>
    <n v="2277"/>
    <n v="3"/>
  </r>
  <r>
    <x v="98"/>
    <s v="Female"/>
    <n v="28"/>
    <x v="0"/>
    <d v="2020-10-20T00:00:00"/>
    <x v="4"/>
    <n v="75970"/>
    <s v="IND"/>
    <n v="2.6876712328767125"/>
    <n v="2280"/>
    <n v="3"/>
  </r>
  <r>
    <x v="99"/>
    <s v="Female"/>
    <n v="28"/>
    <x v="0"/>
    <d v="2020-12-20T00:00:00"/>
    <x v="4"/>
    <n v="75970"/>
    <s v="NZ"/>
    <n v="2.5205479452054793"/>
    <n v="2280"/>
    <n v="3"/>
  </r>
  <r>
    <x v="100"/>
    <s v="Female"/>
    <n v="22"/>
    <x v="2"/>
    <d v="2021-07-11T00:00:00"/>
    <x v="2"/>
    <n v="76900"/>
    <s v="IND"/>
    <n v="1.9643835616438357"/>
    <n v="1538"/>
    <n v="4"/>
  </r>
  <r>
    <x v="101"/>
    <s v="Female"/>
    <n v="22"/>
    <x v="2"/>
    <d v="2021-09-11T00:00:00"/>
    <x v="2"/>
    <n v="76900"/>
    <s v="NZ"/>
    <n v="1.7945205479452055"/>
    <n v="1538"/>
    <n v="4"/>
  </r>
  <r>
    <x v="102"/>
    <s v="Female"/>
    <n v="36"/>
    <x v="0"/>
    <d v="2021-09-29T00:00:00"/>
    <x v="2"/>
    <n v="78390"/>
    <s v="IND"/>
    <n v="1.7452054794520548"/>
    <n v="1568"/>
    <n v="3"/>
  </r>
  <r>
    <x v="103"/>
    <s v="Female"/>
    <n v="36"/>
    <x v="0"/>
    <d v="2021-11-29T00:00:00"/>
    <x v="2"/>
    <n v="78390"/>
    <s v="NZ"/>
    <n v="1.5780821917808219"/>
    <n v="1568"/>
    <n v="3"/>
  </r>
  <r>
    <x v="104"/>
    <s v="Female"/>
    <n v="36"/>
    <x v="0"/>
    <d v="2021-08-25T00:00:00"/>
    <x v="1"/>
    <n v="78540"/>
    <s v="IND"/>
    <n v="1.8410958904109589"/>
    <n v="1571"/>
    <n v="3"/>
  </r>
  <r>
    <x v="105"/>
    <s v="Female"/>
    <n v="36"/>
    <x v="0"/>
    <d v="2021-10-25T00:00:00"/>
    <x v="1"/>
    <n v="78540"/>
    <s v="NZ"/>
    <n v="1.6739726027397259"/>
    <n v="1571"/>
    <n v="3"/>
  </r>
  <r>
    <x v="106"/>
    <s v="Male"/>
    <n v="20"/>
    <x v="0"/>
    <d v="2022-05-02T00:00:00"/>
    <x v="2"/>
    <n v="79570"/>
    <s v="IND"/>
    <n v="1.1561643835616437"/>
    <n v="1592"/>
    <n v="3"/>
  </r>
  <r>
    <x v="107"/>
    <s v="Male"/>
    <n v="20"/>
    <x v="0"/>
    <d v="2022-07-02T00:00:00"/>
    <x v="2"/>
    <n v="79570"/>
    <s v="NZ"/>
    <n v="0.989041095890411"/>
    <n v="1592"/>
    <n v="3"/>
  </r>
  <r>
    <x v="108"/>
    <s v="Female"/>
    <n v="25"/>
    <x v="2"/>
    <d v="2022-03-13T00:00:00"/>
    <x v="0"/>
    <n v="80700"/>
    <s v="IND"/>
    <n v="1.2931506849315069"/>
    <n v="1614"/>
    <n v="4"/>
  </r>
  <r>
    <x v="109"/>
    <s v="Female"/>
    <n v="25"/>
    <x v="2"/>
    <d v="2022-05-13T00:00:00"/>
    <x v="0"/>
    <n v="80700"/>
    <s v="NZ"/>
    <n v="1.1260273972602739"/>
    <n v="1614"/>
    <n v="4"/>
  </r>
  <r>
    <x v="110"/>
    <s v="Female"/>
    <n v="27"/>
    <x v="0"/>
    <d v="2022-03-05T00:00:00"/>
    <x v="0"/>
    <n v="83750"/>
    <s v="IND"/>
    <n v="1.3150684931506849"/>
    <n v="1675"/>
    <n v="3"/>
  </r>
  <r>
    <x v="111"/>
    <s v="Female"/>
    <n v="27"/>
    <x v="0"/>
    <d v="2022-05-05T00:00:00"/>
    <x v="0"/>
    <n v="83750"/>
    <s v="NZ"/>
    <n v="1.1479452054794521"/>
    <n v="1675"/>
    <n v="3"/>
  </r>
  <r>
    <x v="112"/>
    <s v="Female"/>
    <n v="34"/>
    <x v="0"/>
    <d v="2021-07-20T00:00:00"/>
    <x v="4"/>
    <n v="85000"/>
    <s v="IND"/>
    <n v="1.9397260273972603"/>
    <n v="1700"/>
    <n v="3"/>
  </r>
  <r>
    <x v="113"/>
    <s v="Female"/>
    <n v="34"/>
    <x v="0"/>
    <d v="2021-09-20T00:00:00"/>
    <x v="4"/>
    <n v="85000"/>
    <s v="NZ"/>
    <n v="1.7698630136986302"/>
    <n v="1700"/>
    <n v="3"/>
  </r>
  <r>
    <x v="114"/>
    <s v="Female"/>
    <n v="33"/>
    <x v="0"/>
    <d v="2022-07-05T00:00:00"/>
    <x v="4"/>
    <n v="86570"/>
    <s v="IND"/>
    <n v="0.98082191780821915"/>
    <n v="1732"/>
    <n v="3"/>
  </r>
  <r>
    <x v="115"/>
    <s v="Female"/>
    <n v="33"/>
    <x v="0"/>
    <d v="2022-09-05T00:00:00"/>
    <x v="4"/>
    <n v="86570"/>
    <s v="NZ"/>
    <n v="0.81095890410958904"/>
    <n v="1732"/>
    <n v="3"/>
  </r>
  <r>
    <x v="116"/>
    <s v="Female"/>
    <n v="40"/>
    <x v="0"/>
    <d v="2021-03-21T00:00:00"/>
    <x v="0"/>
    <n v="87620"/>
    <s v="IND"/>
    <n v="2.2712328767123289"/>
    <n v="2629"/>
    <n v="3"/>
  </r>
  <r>
    <x v="117"/>
    <s v="Female"/>
    <n v="40"/>
    <x v="0"/>
    <d v="2021-05-21T00:00:00"/>
    <x v="0"/>
    <n v="87620"/>
    <s v="NZ"/>
    <n v="2.1041095890410957"/>
    <n v="2629"/>
    <n v="3"/>
  </r>
  <r>
    <x v="118"/>
    <s v="Male"/>
    <n v="37"/>
    <x v="3"/>
    <d v="2021-03-22T00:00:00"/>
    <x v="0"/>
    <n v="88050"/>
    <s v="IND"/>
    <n v="2.2684931506849315"/>
    <n v="2642"/>
    <n v="2"/>
  </r>
  <r>
    <x v="119"/>
    <s v="Male"/>
    <n v="37"/>
    <x v="3"/>
    <d v="2021-05-22T00:00:00"/>
    <x v="0"/>
    <n v="88050"/>
    <s v="NZ"/>
    <n v="2.1013698630136988"/>
    <n v="2642"/>
    <n v="2"/>
  </r>
  <r>
    <x v="120"/>
    <s v="Other"/>
    <n v="27"/>
    <x v="2"/>
    <d v="2021-01-16T00:00:00"/>
    <x v="0"/>
    <n v="90700"/>
    <s v="IND"/>
    <n v="2.4465753424657533"/>
    <n v="2721"/>
    <n v="4"/>
  </r>
  <r>
    <x v="121"/>
    <s v="Other"/>
    <n v="26"/>
    <x v="2"/>
    <d v="2021-03-16T00:00:00"/>
    <x v="0"/>
    <n v="90700"/>
    <s v="NZ"/>
    <n v="2.2849315068493152"/>
    <n v="2721"/>
    <n v="4"/>
  </r>
  <r>
    <x v="122"/>
    <s v="Other"/>
    <n v="32"/>
    <x v="0"/>
    <d v="2022-06-01T00:00:00"/>
    <x v="0"/>
    <n v="91310"/>
    <s v="IND"/>
    <n v="1.0739726027397261"/>
    <n v="1827"/>
    <n v="3"/>
  </r>
  <r>
    <x v="123"/>
    <s v="Other"/>
    <n v="32"/>
    <x v="0"/>
    <d v="2022-08-01T00:00:00"/>
    <x v="0"/>
    <n v="91310"/>
    <s v="NZ"/>
    <n v="0.9068493150684932"/>
    <n v="1827"/>
    <n v="3"/>
  </r>
  <r>
    <x v="124"/>
    <s v="Male"/>
    <n v="27"/>
    <x v="2"/>
    <d v="2020-12-09T00:00:00"/>
    <x v="4"/>
    <n v="91650"/>
    <s v="IND"/>
    <n v="2.5506849315068494"/>
    <n v="2750"/>
    <n v="4"/>
  </r>
  <r>
    <x v="125"/>
    <s v="Male"/>
    <n v="27"/>
    <x v="2"/>
    <d v="2021-02-09T00:00:00"/>
    <x v="4"/>
    <n v="91650"/>
    <s v="NZ"/>
    <n v="2.3808219178082193"/>
    <n v="2750"/>
    <n v="4"/>
  </r>
  <r>
    <x v="126"/>
    <s v="Female"/>
    <n v="34"/>
    <x v="0"/>
    <d v="2021-07-06T00:00:00"/>
    <x v="4"/>
    <n v="92450"/>
    <s v="IND"/>
    <n v="1.978082191780822"/>
    <n v="1849"/>
    <n v="3"/>
  </r>
  <r>
    <x v="127"/>
    <s v="Female"/>
    <n v="34"/>
    <x v="0"/>
    <d v="2021-09-06T00:00:00"/>
    <x v="4"/>
    <n v="92450"/>
    <s v="NZ"/>
    <n v="1.8082191780821917"/>
    <n v="1849"/>
    <n v="3"/>
  </r>
  <r>
    <x v="128"/>
    <s v="Female"/>
    <n v="25"/>
    <x v="0"/>
    <d v="2020-11-09T00:00:00"/>
    <x v="1"/>
    <n v="92700"/>
    <s v="IND"/>
    <n v="2.6328767123287671"/>
    <n v="2781"/>
    <n v="3"/>
  </r>
  <r>
    <x v="129"/>
    <s v="Female"/>
    <n v="25"/>
    <x v="0"/>
    <d v="2021-01-09T00:00:00"/>
    <x v="1"/>
    <n v="92700"/>
    <s v="NZ"/>
    <n v="2.4657534246575343"/>
    <n v="2781"/>
    <n v="3"/>
  </r>
  <r>
    <x v="130"/>
    <s v="Female"/>
    <n v="33"/>
    <x v="0"/>
    <d v="2020-10-25T00:00:00"/>
    <x v="0"/>
    <n v="96140"/>
    <s v="IND"/>
    <n v="2.6739726027397261"/>
    <n v="2885"/>
    <n v="3"/>
  </r>
  <r>
    <x v="131"/>
    <s v="Female"/>
    <n v="33"/>
    <x v="0"/>
    <d v="2020-12-25T00:00:00"/>
    <x v="0"/>
    <n v="96140"/>
    <s v="NZ"/>
    <n v="2.506849315068493"/>
    <n v="2885"/>
    <n v="3"/>
  </r>
  <r>
    <x v="132"/>
    <s v="Male"/>
    <n v="30"/>
    <x v="0"/>
    <d v="2021-12-14T00:00:00"/>
    <x v="4"/>
    <n v="96800"/>
    <s v="IND"/>
    <n v="1.536986301369863"/>
    <n v="1936"/>
    <n v="3"/>
  </r>
  <r>
    <x v="133"/>
    <s v="Male"/>
    <n v="30"/>
    <x v="0"/>
    <d v="2022-02-14T00:00:00"/>
    <x v="4"/>
    <n v="96800"/>
    <s v="NZ"/>
    <n v="1.3671232876712329"/>
    <n v="1936"/>
    <n v="3"/>
  </r>
  <r>
    <x v="134"/>
    <s v="Male"/>
    <n v="40"/>
    <x v="0"/>
    <d v="2021-01-08T00:00:00"/>
    <x v="2"/>
    <n v="99750"/>
    <s v="IND"/>
    <n v="2.4684931506849317"/>
    <n v="2993"/>
    <n v="3"/>
  </r>
  <r>
    <x v="135"/>
    <s v="Male"/>
    <n v="40"/>
    <x v="0"/>
    <d v="2021-03-08T00:00:00"/>
    <x v="2"/>
    <n v="99750"/>
    <s v="NZ"/>
    <n v="2.3068493150684932"/>
    <n v="2993"/>
    <n v="3"/>
  </r>
  <r>
    <x v="136"/>
    <s v="Female"/>
    <n v="28"/>
    <x v="0"/>
    <d v="2022-01-10T00:00:00"/>
    <x v="2"/>
    <n v="99970"/>
    <s v="IND"/>
    <n v="1.463013698630137"/>
    <n v="2000"/>
    <n v="3"/>
  </r>
  <r>
    <x v="137"/>
    <s v="Female"/>
    <n v="28"/>
    <x v="0"/>
    <d v="2022-03-10T00:00:00"/>
    <x v="2"/>
    <n v="99970"/>
    <s v="NZ"/>
    <n v="1.3013698630136987"/>
    <n v="2000"/>
    <n v="3"/>
  </r>
  <r>
    <x v="138"/>
    <s v="Male"/>
    <n v="24"/>
    <x v="0"/>
    <d v="2022-03-05T00:00:00"/>
    <x v="0"/>
    <n v="100420"/>
    <s v="IND"/>
    <n v="1.3150684931506849"/>
    <n v="2009"/>
    <n v="3"/>
  </r>
  <r>
    <x v="139"/>
    <s v="Male"/>
    <n v="24"/>
    <x v="0"/>
    <d v="2022-05-05T00:00:00"/>
    <x v="0"/>
    <n v="100420"/>
    <s v="NZ"/>
    <n v="1.1479452054794521"/>
    <n v="2009"/>
    <n v="3"/>
  </r>
  <r>
    <x v="140"/>
    <s v="Male"/>
    <n v="31"/>
    <x v="0"/>
    <d v="2022-04-12T00:00:00"/>
    <x v="2"/>
    <n v="103550"/>
    <s v="IND"/>
    <n v="1.210958904109589"/>
    <n v="2071"/>
    <n v="3"/>
  </r>
  <r>
    <x v="141"/>
    <s v="Male"/>
    <n v="31"/>
    <x v="0"/>
    <d v="2022-06-12T00:00:00"/>
    <x v="2"/>
    <n v="103550"/>
    <s v="NZ"/>
    <n v="1.0438356164383562"/>
    <n v="2071"/>
    <n v="3"/>
  </r>
  <r>
    <x v="142"/>
    <s v="Female"/>
    <n v="28"/>
    <x v="0"/>
    <d v="2022-01-29T00:00:00"/>
    <x v="2"/>
    <n v="104120"/>
    <s v="IND"/>
    <n v="1.4109589041095891"/>
    <n v="2083"/>
    <n v="3"/>
  </r>
  <r>
    <x v="143"/>
    <s v="Female"/>
    <n v="28"/>
    <x v="0"/>
    <d v="2022-03-29T00:00:00"/>
    <x v="2"/>
    <n v="104120"/>
    <s v="NZ"/>
    <n v="1.2493150684931507"/>
    <n v="2083"/>
    <n v="3"/>
  </r>
  <r>
    <x v="144"/>
    <s v="Female"/>
    <n v="40"/>
    <x v="0"/>
    <d v="2021-05-04T00:00:00"/>
    <x v="0"/>
    <n v="104410"/>
    <s v="IND"/>
    <n v="2.1506849315068495"/>
    <n v="3133"/>
    <n v="3"/>
  </r>
  <r>
    <x v="145"/>
    <s v="Female"/>
    <n v="40"/>
    <x v="0"/>
    <d v="2021-07-04T00:00:00"/>
    <x v="0"/>
    <n v="104410"/>
    <s v="NZ"/>
    <n v="1.9835616438356165"/>
    <n v="2089"/>
    <n v="3"/>
  </r>
  <r>
    <x v="146"/>
    <s v="Female"/>
    <n v="28"/>
    <x v="0"/>
    <d v="2021-08-17T00:00:00"/>
    <x v="2"/>
    <n v="104770"/>
    <s v="IND"/>
    <n v="1.8630136986301369"/>
    <n v="2096"/>
    <n v="3"/>
  </r>
  <r>
    <x v="147"/>
    <s v="Female"/>
    <n v="28"/>
    <x v="0"/>
    <d v="2021-10-17T00:00:00"/>
    <x v="2"/>
    <n v="104770"/>
    <s v="NZ"/>
    <n v="1.6958904109589041"/>
    <n v="2096"/>
    <n v="3"/>
  </r>
  <r>
    <x v="148"/>
    <s v="Male"/>
    <n v="23"/>
    <x v="0"/>
    <d v="2021-07-01T00:00:00"/>
    <x v="2"/>
    <n v="106460"/>
    <s v="IND"/>
    <n v="1.9917808219178081"/>
    <n v="2130"/>
    <n v="3"/>
  </r>
  <r>
    <x v="149"/>
    <s v="Male"/>
    <n v="23"/>
    <x v="0"/>
    <d v="2021-09-01T00:00:00"/>
    <x v="2"/>
    <n v="106460"/>
    <s v="NZ"/>
    <n v="1.821917808219178"/>
    <n v="2130"/>
    <n v="3"/>
  </r>
  <r>
    <x v="150"/>
    <s v="Male"/>
    <n v="20"/>
    <x v="0"/>
    <d v="2021-07-20T00:00:00"/>
    <x v="0"/>
    <n v="107700"/>
    <s v="IND"/>
    <n v="1.9397260273972603"/>
    <n v="2154"/>
    <n v="3"/>
  </r>
  <r>
    <x v="151"/>
    <s v="Male"/>
    <n v="20"/>
    <x v="0"/>
    <d v="2021-09-20T00:00:00"/>
    <x v="0"/>
    <n v="107700"/>
    <s v="NZ"/>
    <n v="1.7698630136986302"/>
    <n v="2154"/>
    <n v="3"/>
  </r>
  <r>
    <x v="152"/>
    <s v="Female"/>
    <n v="38"/>
    <x v="4"/>
    <d v="2021-04-30T00:00:00"/>
    <x v="1"/>
    <n v="109160"/>
    <s v="IND"/>
    <n v="2.1616438356164385"/>
    <n v="3275"/>
    <n v="5"/>
  </r>
  <r>
    <x v="153"/>
    <s v="Female"/>
    <n v="38"/>
    <x v="4"/>
    <d v="2021-06-30T00:00:00"/>
    <x v="1"/>
    <n v="109160"/>
    <s v="NZ"/>
    <n v="1.9945205479452055"/>
    <n v="2184"/>
    <n v="5"/>
  </r>
  <r>
    <x v="154"/>
    <s v="Male"/>
    <n v="25"/>
    <x v="2"/>
    <d v="2022-04-14T00:00:00"/>
    <x v="2"/>
    <n v="109190"/>
    <s v="IND"/>
    <n v="1.2054794520547945"/>
    <n v="2184"/>
    <n v="4"/>
  </r>
  <r>
    <x v="155"/>
    <s v="Male"/>
    <n v="25"/>
    <x v="2"/>
    <d v="2022-06-14T00:00:00"/>
    <x v="2"/>
    <n v="109190"/>
    <s v="NZ"/>
    <n v="1.0383561643835617"/>
    <n v="2184"/>
    <n v="4"/>
  </r>
  <r>
    <x v="156"/>
    <s v="Male"/>
    <n v="29"/>
    <x v="3"/>
    <d v="2020-10-15T00:00:00"/>
    <x v="0"/>
    <n v="112110"/>
    <s v="IND"/>
    <n v="2.7013698630136984"/>
    <n v="3364"/>
    <n v="2"/>
  </r>
  <r>
    <x v="157"/>
    <s v="Male"/>
    <n v="29"/>
    <x v="3"/>
    <d v="2020-12-15T00:00:00"/>
    <x v="0"/>
    <n v="112110"/>
    <s v="NZ"/>
    <n v="2.5342465753424657"/>
    <n v="3364"/>
    <n v="2"/>
  </r>
  <r>
    <x v="158"/>
    <s v="Female"/>
    <n v="30"/>
    <x v="0"/>
    <d v="2022-08-27T00:00:00"/>
    <x v="2"/>
    <n v="112570"/>
    <s v="IND"/>
    <n v="0.83561643835616439"/>
    <n v="2252"/>
    <n v="3"/>
  </r>
  <r>
    <x v="159"/>
    <s v="Female"/>
    <n v="30"/>
    <x v="0"/>
    <d v="2022-10-27T00:00:00"/>
    <x v="2"/>
    <n v="112570"/>
    <s v="NZ"/>
    <n v="0.66849315068493154"/>
    <n v="2252"/>
    <n v="3"/>
  </r>
  <r>
    <x v="160"/>
    <s v="Male"/>
    <n v="20"/>
    <x v="0"/>
    <d v="2020-10-18T00:00:00"/>
    <x v="0"/>
    <n v="112650"/>
    <s v="IND"/>
    <n v="2.6931506849315068"/>
    <n v="3380"/>
    <n v="3"/>
  </r>
  <r>
    <x v="161"/>
    <s v="Male"/>
    <n v="34"/>
    <x v="0"/>
    <d v="2022-03-22T00:00:00"/>
    <x v="2"/>
    <n v="112650"/>
    <s v="IND"/>
    <n v="1.2684931506849315"/>
    <n v="2253"/>
    <n v="3"/>
  </r>
  <r>
    <x v="162"/>
    <s v="Male"/>
    <n v="20"/>
    <x v="0"/>
    <d v="2020-12-18T00:00:00"/>
    <x v="0"/>
    <n v="112650"/>
    <s v="NZ"/>
    <n v="2.526027397260274"/>
    <n v="3380"/>
    <n v="3"/>
  </r>
  <r>
    <x v="163"/>
    <s v="Male"/>
    <n v="22"/>
    <x v="2"/>
    <d v="2021-07-07T00:00:00"/>
    <x v="1"/>
    <n v="112780"/>
    <s v="IND"/>
    <n v="1.9753424657534246"/>
    <n v="2256"/>
    <n v="4"/>
  </r>
  <r>
    <x v="164"/>
    <s v="Male"/>
    <n v="22"/>
    <x v="2"/>
    <d v="2021-09-07T00:00:00"/>
    <x v="1"/>
    <n v="112780"/>
    <s v="NZ"/>
    <n v="1.8054794520547945"/>
    <n v="2256"/>
    <n v="4"/>
  </r>
  <r>
    <x v="165"/>
    <s v="Male"/>
    <n v="27"/>
    <x v="1"/>
    <d v="2021-12-17T00:00:00"/>
    <x v="2"/>
    <n v="113280"/>
    <s v="IND"/>
    <n v="1.5287671232876712"/>
    <n v="2266"/>
    <n v="1"/>
  </r>
  <r>
    <x v="166"/>
    <s v="Male"/>
    <n v="27"/>
    <x v="1"/>
    <d v="2022-02-17T00:00:00"/>
    <x v="2"/>
    <n v="113280"/>
    <s v="NZ"/>
    <n v="1.3589041095890411"/>
    <n v="2266"/>
    <n v="1"/>
  </r>
  <r>
    <x v="167"/>
    <s v="Female"/>
    <n v="30"/>
    <x v="0"/>
    <d v="2022-08-16T00:00:00"/>
    <x v="2"/>
    <n v="114180"/>
    <s v="IND"/>
    <n v="0.86575342465753424"/>
    <n v="2284"/>
    <n v="3"/>
  </r>
  <r>
    <x v="168"/>
    <s v="Female"/>
    <n v="30"/>
    <x v="0"/>
    <d v="2022-10-16T00:00:00"/>
    <x v="2"/>
    <n v="114180"/>
    <s v="NZ"/>
    <n v="0.69863013698630139"/>
    <n v="2284"/>
    <n v="3"/>
  </r>
  <r>
    <x v="169"/>
    <s v="Female"/>
    <n v="44"/>
    <x v="0"/>
    <d v="2023-02-28T00:00:00"/>
    <x v="0"/>
    <n v="114870"/>
    <s v="IND"/>
    <n v="0.32876712328767121"/>
    <n v="2298"/>
    <n v="3"/>
  </r>
  <r>
    <x v="170"/>
    <s v="Female"/>
    <n v="43"/>
    <x v="0"/>
    <d v="2023-04-29T00:00:00"/>
    <x v="0"/>
    <n v="114870"/>
    <s v="NZ"/>
    <n v="0.16438356164383561"/>
    <n v="2298"/>
    <n v="3"/>
  </r>
  <r>
    <x v="171"/>
    <s v="Female"/>
    <n v="36"/>
    <x v="0"/>
    <d v="2020-07-11T00:00:00"/>
    <x v="2"/>
    <n v="114890"/>
    <s v="IND"/>
    <n v="2.9643835616438357"/>
    <n v="3447"/>
    <n v="3"/>
  </r>
  <r>
    <x v="172"/>
    <s v="Female"/>
    <n v="36"/>
    <x v="0"/>
    <d v="2020-09-11T00:00:00"/>
    <x v="2"/>
    <n v="114890"/>
    <s v="NZ"/>
    <n v="2.7945205479452055"/>
    <n v="3447"/>
    <n v="3"/>
  </r>
  <r>
    <x v="173"/>
    <s v="Other"/>
    <n v="37"/>
    <x v="3"/>
    <d v="2020-09-11T00:00:00"/>
    <x v="4"/>
    <n v="115440"/>
    <s v="IND"/>
    <n v="2.7945205479452055"/>
    <n v="3464"/>
    <n v="2"/>
  </r>
  <r>
    <x v="174"/>
    <s v="Other"/>
    <n v="37"/>
    <x v="3"/>
    <d v="2020-11-11T00:00:00"/>
    <x v="4"/>
    <n v="115440"/>
    <s v="NZ"/>
    <n v="2.6273972602739728"/>
    <n v="3464"/>
    <n v="2"/>
  </r>
  <r>
    <x v="175"/>
    <s v="Male"/>
    <n v="33"/>
    <x v="0"/>
    <d v="2020-09-29T00:00:00"/>
    <x v="2"/>
    <n v="115920"/>
    <s v="IND"/>
    <n v="2.7452054794520548"/>
    <n v="3478"/>
    <n v="3"/>
  </r>
  <r>
    <x v="176"/>
    <s v="Male"/>
    <n v="33"/>
    <x v="0"/>
    <d v="2020-11-29T00:00:00"/>
    <x v="2"/>
    <n v="115920"/>
    <s v="NZ"/>
    <n v="2.5780821917808221"/>
    <n v="3478"/>
    <n v="3"/>
  </r>
  <r>
    <x v="177"/>
    <s v="Female"/>
    <n v="37"/>
    <x v="0"/>
    <d v="2021-07-12T00:00:00"/>
    <x v="3"/>
    <n v="118100"/>
    <s v="IND"/>
    <n v="1.9616438356164383"/>
    <n v="2362"/>
    <n v="3"/>
  </r>
  <r>
    <x v="178"/>
    <s v="Female"/>
    <n v="37"/>
    <x v="0"/>
    <d v="2021-09-12T00:00:00"/>
    <x v="3"/>
    <n v="118100"/>
    <s v="NZ"/>
    <n v="1.7917808219178082"/>
    <n v="2362"/>
    <n v="3"/>
  </r>
  <r>
    <x v="179"/>
    <s v="Male"/>
    <n v="36"/>
    <x v="0"/>
    <d v="2020-05-07T00:00:00"/>
    <x v="0"/>
    <n v="118840"/>
    <s v="IND"/>
    <n v="3.1424657534246574"/>
    <n v="3566"/>
    <n v="3"/>
  </r>
  <r>
    <x v="180"/>
    <s v="Male"/>
    <n v="36"/>
    <x v="0"/>
    <d v="2020-07-07T00:00:00"/>
    <x v="0"/>
    <n v="118840"/>
    <s v="NZ"/>
    <n v="2.9753424657534246"/>
    <n v="3566"/>
    <n v="3"/>
  </r>
  <r>
    <x v="181"/>
    <s v="Female"/>
    <n v="27"/>
    <x v="0"/>
    <d v="2020-08-18T00:00:00"/>
    <x v="3"/>
    <n v="119110"/>
    <s v="IND"/>
    <n v="2.8602739726027395"/>
    <n v="3574"/>
    <n v="3"/>
  </r>
  <r>
    <x v="182"/>
    <s v="Female"/>
    <n v="27"/>
    <x v="0"/>
    <d v="2020-10-18T00:00:00"/>
    <x v="3"/>
    <n v="119110"/>
    <s v="NZ"/>
    <n v="2.6931506849315068"/>
    <n v="357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11A58F-22FC-4A05-A994-323985A86EE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B12:D40" firstHeaderRow="1" firstDataRow="1" firstDataCol="2"/>
  <pivotFields count="11">
    <pivotField axis="axisRow" compact="0" outline="0" showAll="0" defaultSubtotal="0">
      <items count="183">
        <item x="66"/>
        <item x="111"/>
        <item x="68"/>
        <item x="6"/>
        <item x="103"/>
        <item x="42"/>
        <item x="25"/>
        <item x="85"/>
        <item x="138"/>
        <item x="79"/>
        <item x="181"/>
        <item x="33"/>
        <item x="9"/>
        <item x="21"/>
        <item x="53"/>
        <item x="94"/>
        <item x="161"/>
        <item x="91"/>
        <item x="134"/>
        <item x="87"/>
        <item x="174"/>
        <item x="137"/>
        <item x="157"/>
        <item x="99"/>
        <item x="108"/>
        <item x="5"/>
        <item x="48"/>
        <item x="95"/>
        <item x="145"/>
        <item x="82"/>
        <item x="143"/>
        <item x="119"/>
        <item x="36"/>
        <item x="139"/>
        <item x="133"/>
        <item x="11"/>
        <item x="62"/>
        <item x="154"/>
        <item x="29"/>
        <item x="160"/>
        <item x="126"/>
        <item x="20"/>
        <item x="121"/>
        <item x="74"/>
        <item x="171"/>
        <item x="13"/>
        <item x="15"/>
        <item x="141"/>
        <item x="73"/>
        <item x="93"/>
        <item x="125"/>
        <item x="24"/>
        <item x="28"/>
        <item x="182"/>
        <item x="18"/>
        <item x="59"/>
        <item x="118"/>
        <item x="35"/>
        <item x="89"/>
        <item x="116"/>
        <item x="105"/>
        <item x="1"/>
        <item x="31"/>
        <item x="26"/>
        <item x="159"/>
        <item x="179"/>
        <item x="92"/>
        <item x="129"/>
        <item x="168"/>
        <item x="37"/>
        <item x="150"/>
        <item x="71"/>
        <item x="75"/>
        <item x="165"/>
        <item x="98"/>
        <item x="12"/>
        <item x="76"/>
        <item x="22"/>
        <item x="147"/>
        <item x="56"/>
        <item x="151"/>
        <item x="177"/>
        <item x="124"/>
        <item x="70"/>
        <item x="113"/>
        <item x="120"/>
        <item x="16"/>
        <item x="67"/>
        <item x="32"/>
        <item x="46"/>
        <item x="107"/>
        <item x="64"/>
        <item x="149"/>
        <item x="163"/>
        <item x="49"/>
        <item x="86"/>
        <item x="110"/>
        <item x="55"/>
        <item x="127"/>
        <item x="52"/>
        <item x="164"/>
        <item x="155"/>
        <item x="123"/>
        <item x="17"/>
        <item x="114"/>
        <item x="166"/>
        <item x="72"/>
        <item x="158"/>
        <item x="58"/>
        <item x="144"/>
        <item x="57"/>
        <item x="69"/>
        <item x="117"/>
        <item x="43"/>
        <item x="132"/>
        <item x="162"/>
        <item x="77"/>
        <item x="54"/>
        <item x="81"/>
        <item x="90"/>
        <item x="156"/>
        <item x="3"/>
        <item x="50"/>
        <item x="44"/>
        <item x="7"/>
        <item x="23"/>
        <item x="39"/>
        <item x="47"/>
        <item x="10"/>
        <item x="128"/>
        <item x="153"/>
        <item x="78"/>
        <item x="169"/>
        <item x="84"/>
        <item x="176"/>
        <item x="122"/>
        <item x="14"/>
        <item x="102"/>
        <item x="148"/>
        <item x="173"/>
        <item x="96"/>
        <item x="41"/>
        <item x="175"/>
        <item x="167"/>
        <item x="142"/>
        <item x="140"/>
        <item x="152"/>
        <item x="97"/>
        <item x="45"/>
        <item x="83"/>
        <item x="80"/>
        <item x="146"/>
        <item x="19"/>
        <item x="8"/>
        <item x="100"/>
        <item x="0"/>
        <item x="104"/>
        <item x="115"/>
        <item x="135"/>
        <item x="2"/>
        <item x="130"/>
        <item x="112"/>
        <item x="34"/>
        <item x="180"/>
        <item x="65"/>
        <item x="131"/>
        <item x="172"/>
        <item x="106"/>
        <item x="61"/>
        <item x="178"/>
        <item x="109"/>
        <item x="27"/>
        <item x="136"/>
        <item x="60"/>
        <item x="51"/>
        <item x="30"/>
        <item x="101"/>
        <item x="4"/>
        <item x="40"/>
        <item x="170"/>
        <item x="63"/>
        <item x="88"/>
        <item x="38"/>
      </items>
    </pivotField>
    <pivotField compact="0" outline="0" showAll="0" defaultSubtotal="0"/>
    <pivotField compact="0" outline="0" showAll="0" defaultSubtotal="0"/>
    <pivotField axis="axisRow" compact="0" outline="0" showAll="0" sortType="ascending" defaultSubtotal="0">
      <items count="5">
        <item x="2"/>
        <item x="0"/>
        <item x="4"/>
        <item x="3"/>
        <item x="1"/>
      </items>
    </pivotField>
    <pivotField compact="0" numFmtId="14" outline="0" showAll="0" defaultSubtotal="0"/>
    <pivotField compact="0" outline="0" showAll="0" defaultSubtotal="0">
      <items count="5">
        <item h="1" x="4"/>
        <item h="1" x="3"/>
        <item h="1" x="2"/>
        <item x="1"/>
        <item h="1" x="0"/>
      </items>
    </pivotField>
    <pivotField dataField="1" compact="0" numFmtId="169" outline="0" showAll="0" defaultSubtotal="0"/>
    <pivotField compact="0" outline="0" showAll="0" defaultSubtotal="0"/>
    <pivotField compact="0" numFmtId="2" outline="0" showAll="0" defaultSubtotal="0"/>
    <pivotField compact="0" numFmtId="164" outline="0" showAll="0" defaultSubtotal="0"/>
    <pivotField compact="0" outline="0" showAll="0" defaultSubtotal="0"/>
  </pivotFields>
  <rowFields count="2">
    <field x="0"/>
    <field x="3"/>
  </rowFields>
  <rowItems count="28">
    <i>
      <x/>
      <x v="1"/>
    </i>
    <i>
      <x v="5"/>
      <x v="1"/>
    </i>
    <i>
      <x v="11"/>
      <x v="1"/>
    </i>
    <i>
      <x v="25"/>
      <x v="1"/>
    </i>
    <i>
      <x v="38"/>
      <x v="3"/>
    </i>
    <i>
      <x v="43"/>
      <x v="3"/>
    </i>
    <i>
      <x v="46"/>
      <x v="4"/>
    </i>
    <i>
      <x v="57"/>
      <x v="1"/>
    </i>
    <i>
      <x v="58"/>
      <x v="1"/>
    </i>
    <i>
      <x v="60"/>
      <x v="1"/>
    </i>
    <i>
      <x v="67"/>
      <x v="1"/>
    </i>
    <i>
      <x v="69"/>
      <x v="1"/>
    </i>
    <i>
      <x v="72"/>
      <x v="3"/>
    </i>
    <i>
      <x v="87"/>
      <x v="1"/>
    </i>
    <i>
      <x v="93"/>
      <x/>
    </i>
    <i>
      <x v="100"/>
      <x/>
    </i>
    <i>
      <x v="113"/>
      <x/>
    </i>
    <i>
      <x v="123"/>
      <x/>
    </i>
    <i>
      <x v="129"/>
      <x v="1"/>
    </i>
    <i>
      <x v="130"/>
      <x v="2"/>
    </i>
    <i>
      <x v="136"/>
      <x v="4"/>
    </i>
    <i>
      <x v="141"/>
      <x v="1"/>
    </i>
    <i>
      <x v="146"/>
      <x v="2"/>
    </i>
    <i>
      <x v="156"/>
      <x v="1"/>
    </i>
    <i>
      <x v="162"/>
      <x v="1"/>
    </i>
    <i>
      <x v="175"/>
      <x v="3"/>
    </i>
    <i>
      <x v="177"/>
      <x v="1"/>
    </i>
    <i>
      <x v="181"/>
      <x v="1"/>
    </i>
  </rowItems>
  <colItems count="1">
    <i/>
  </colItems>
  <dataFields count="1">
    <dataField name="Sum of Salary" fld="6" baseField="0" baseItem="0"/>
  </dataFields>
  <formats count="3">
    <format dxfId="16">
      <pivotArea dataOnly="0" labelOnly="1" outline="0" fieldPosition="0">
        <references count="1">
          <reference field="3" count="0"/>
        </references>
      </pivotArea>
    </format>
    <format dxfId="15">
      <pivotArea dataOnly="0" labelOnly="1" outline="0" fieldPosition="0">
        <references count="2">
          <reference field="0" count="1" selected="0">
            <x v="119"/>
          </reference>
          <reference field="3" count="1">
            <x v="2"/>
          </reference>
        </references>
      </pivotArea>
    </format>
    <format dxfId="14">
      <pivotArea dataOnly="0" labelOnly="1" outline="0" fieldPosition="0">
        <references count="2">
          <reference field="0" count="1" selected="0">
            <x v="130"/>
          </reference>
          <reference field="3" count="1">
            <x v="2"/>
          </reference>
        </references>
      </pivotArea>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E94ABC-3F0A-4376-9AA6-215F63AA67C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B13:D1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71"/>
  </dataFields>
  <formats count="1">
    <format dxfId="7">
      <pivotArea outline="0" collapsedLevelsAreSubtotals="1"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2"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2">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1"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EB0BC2-EEAE-4CB2-9046-EA608D127452}" name="PivotTable3" cacheId="8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B17:D23" firstHeaderRow="1" firstDataRow="1" firstDataCol="2"/>
  <pivotFields count="3">
    <pivotField axis="axisRow" compact="0" allDrilled="1" outline="0" subtotalTop="0" showAll="0" dataSourceSort="1" defaultSubtotal="0">
      <items count="5">
        <item x="0" e="0"/>
        <item x="1" e="0"/>
        <item x="2" e="0"/>
        <item x="3" e="0"/>
        <item x="4" e="0"/>
      </items>
    </pivotField>
    <pivotField dataField="1" compact="0" outline="0" subtotalTop="0" showAll="0" defaultSubtotal="0"/>
    <pivotField axis="axisRow" compact="0" allDrilled="1" outline="0" subtotalTop="0" showAll="0" dataSourceSort="1" defaultSubtotal="0" defaultAttributeDrillState="1">
      <items count="1">
        <item s="1" x="0"/>
      </items>
    </pivotField>
  </pivotFields>
  <rowFields count="2">
    <field x="0"/>
    <field x="2"/>
  </rowFields>
  <rowItems count="6">
    <i>
      <x/>
    </i>
    <i>
      <x v="1"/>
    </i>
    <i>
      <x v="2"/>
    </i>
    <i>
      <x v="3"/>
    </i>
    <i>
      <x v="4"/>
    </i>
    <i t="grand">
      <x/>
    </i>
  </rowItems>
  <colItems count="1">
    <i/>
  </colItems>
  <dataFields count="1">
    <dataField name="Count of Name" fld="1" subtotal="count" baseField="0" baseItem="0"/>
  </dataField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06A408-EF13-47AA-9047-9FDE920C52CF}" name="PivotTable2" cacheId="4"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3:M9" firstHeaderRow="1" firstDataRow="2" firstDataCol="1"/>
  <pivotFields count="7">
    <pivotField axis="axisCol" compact="0" allDrilled="1" outline="0" subtotalTop="0" showAll="0" dataSourceSort="1" defaultSubtotal="0" defaultAttributeDrillState="1">
      <items count="2">
        <item s="1" x="0"/>
        <item s="1" x="1"/>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1">
    <field x="-2"/>
  </rowFields>
  <rowItems count="5">
    <i>
      <x/>
    </i>
    <i i="1">
      <x v="1"/>
    </i>
    <i i="2">
      <x v="2"/>
    </i>
    <i i="3">
      <x v="3"/>
    </i>
    <i i="4">
      <x v="4"/>
    </i>
  </rowItems>
  <colFields count="1">
    <field x="0"/>
  </colFields>
  <colItems count="2">
    <i>
      <x/>
    </i>
    <i>
      <x v="1"/>
    </i>
  </colItems>
  <dataFields count="5">
    <dataField name="Count of Name" fld="5" subtotal="count" baseField="0" baseItem="0"/>
    <dataField name="Average of Age" fld="1" subtotal="average" baseField="0" baseItem="0" numFmtId="2"/>
    <dataField name="Count of Department" fld="2" subtotal="count" baseField="0" baseItem="0"/>
    <dataField name="Average of Salary" fld="3" subtotal="average" baseField="0" baseItem="0" numFmtId="170"/>
    <dataField name="Average of Tenure" fld="4" subtotal="average" baseField="0" baseItem="0" numFmtId="2"/>
  </dataField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pivotHierarchy dragToData="1"/>
    <pivotHierarchy dragToData="1"/>
    <pivotHierarchy dragToData="1"/>
  </pivotHierarchies>
  <pivotTableStyleInfo name="PivotStyleLight17"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6" unboundColumnsRight="4">
    <queryTableFields count="12">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3" dataBound="0" tableColumnId="10"/>
      <queryTableField id="14" dataBound="0" tableColumnId="11"/>
      <queryTableField id="15"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 tabId="5" name="PivotTable2"/>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6FB258C-9934-4B00-876F-98360A2D0B2F}" sourceName="Department">
  <pivotTables>
    <pivotTable tabId="4" name="PivotTable1"/>
  </pivotTables>
  <data>
    <tabular pivotCacheId="59448484">
      <items count="5">
        <i x="4"/>
        <i x="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5027A16-2CDE-4AB8-941A-0F89277211C8}"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18"/>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17"/>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L184" tableType="queryTable" totalsRowShown="0">
  <autoFilter ref="A1:L184" xr:uid="{5249FBA1-DC3C-4724-BC4D-A1981AD7A426}"/>
  <sortState xmlns:xlrd2="http://schemas.microsoft.com/office/spreadsheetml/2017/richdata2" ref="A2:L184">
    <sortCondition ref="E1:E184"/>
  </sortState>
  <tableColumns count="12">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13"/>
    <tableColumn id="6" xr3:uid="{91BADAE1-56D6-403C-A7DC-A940C9756F3D}" uniqueName="6" name="Department" queryTableFieldId="6"/>
    <tableColumn id="7" xr3:uid="{207FEB16-82F4-4FBF-8A75-53E87BDE10A9}" uniqueName="7" name="Salary" queryTableFieldId="7" dataDxfId="12" dataCellStyle="Currency"/>
    <tableColumn id="8" xr3:uid="{8F6BA625-5345-4839-91BE-7615B3736FA9}" uniqueName="8" name="Country" queryTableFieldId="8"/>
    <tableColumn id="9" xr3:uid="{7E81229E-C861-4361-8478-171646472B81}" uniqueName="9" name="Tenure" queryTableFieldId="9" dataDxfId="11">
      <calculatedColumnFormula>(TODAY()-staff[[#This Row],[Date Joined]])/365</calculatedColumnFormula>
    </tableColumn>
    <tableColumn id="10" xr3:uid="{C247495A-7E32-4B2F-9EDA-3F6D03634A50}" uniqueName="10" name="Bnous" queryTableFieldId="13" dataDxfId="10">
      <calculatedColumnFormula>IF(I2&gt;2,3%*G2,2%*G2)</calculatedColumnFormula>
    </tableColumn>
    <tableColumn id="11" xr3:uid="{8F136105-3386-4DB0-B6FC-D1370ADF3FBC}" uniqueName="11" name="Total salary" queryTableFieldId="14" dataDxfId="9">
      <calculatedColumnFormula>G2+J2</calculatedColumnFormula>
    </tableColumn>
    <tableColumn id="12" xr3:uid="{63F68548-7B63-4BAF-9ED9-E74940BE81D1}" uniqueName="12" name="Rating INT" queryTableFieldId="15" dataDxfId="8">
      <calculatedColumnFormula>VLOOKUP('ALL Staff'!D2,Mapping!$B$2:$C$6,2,0)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microsoft.com/office/2007/relationships/slicer" Target="../slicers/slicer2.xml"/><Relationship Id="rId5" Type="http://schemas.openxmlformats.org/officeDocument/2006/relationships/drawing" Target="../drawings/drawing8.xm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zoomScale="120" zoomScaleNormal="120" workbookViewId="0">
      <selection activeCell="P15" sqref="P15"/>
    </sheetView>
  </sheetViews>
  <sheetFormatPr defaultRowHeight="14.4" x14ac:dyDescent="0.3"/>
  <cols>
    <col min="1" max="1" width="1.6640625" customWidth="1"/>
    <col min="2" max="2" width="3.6640625" customWidth="1"/>
    <col min="3" max="3" width="20.10937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6"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defaultRowHeight="14.4" x14ac:dyDescent="0.3"/>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546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40"/>
  <sheetViews>
    <sheetView workbookViewId="0">
      <selection activeCell="F5" sqref="F5"/>
    </sheetView>
  </sheetViews>
  <sheetFormatPr defaultRowHeight="14.4" x14ac:dyDescent="0.3"/>
  <cols>
    <col min="2" max="2" width="27.21875" bestFit="1" customWidth="1"/>
    <col min="3" max="3" width="13.109375" bestFit="1" customWidth="1"/>
    <col min="4" max="4" width="12.5546875" bestFit="1" customWidth="1"/>
    <col min="5" max="7" width="13.6640625" bestFit="1" customWidth="1"/>
    <col min="8" max="8" width="10.77734375" bestFit="1" customWidth="1"/>
    <col min="9" max="9" width="12.109375" bestFit="1" customWidth="1"/>
    <col min="10" max="10" width="18.109375" bestFit="1" customWidth="1"/>
    <col min="11" max="11" width="23.88671875" bestFit="1" customWidth="1"/>
    <col min="12" max="12" width="14.33203125" bestFit="1" customWidth="1"/>
    <col min="13" max="13" width="20.44140625" bestFit="1" customWidth="1"/>
    <col min="14" max="14" width="27.88671875" bestFit="1" customWidth="1"/>
    <col min="15" max="15" width="16.109375" bestFit="1" customWidth="1"/>
    <col min="16" max="16" width="27.88671875" bestFit="1" customWidth="1"/>
    <col min="17" max="17" width="14.88671875" bestFit="1" customWidth="1"/>
    <col min="18" max="18" width="15.6640625" bestFit="1" customWidth="1"/>
    <col min="19" max="19" width="18.6640625" bestFit="1" customWidth="1"/>
    <col min="20" max="20" width="12.109375" bestFit="1" customWidth="1"/>
    <col min="21" max="21" width="12.21875" bestFit="1" customWidth="1"/>
    <col min="22" max="22" width="11.6640625" bestFit="1" customWidth="1"/>
    <col min="23" max="23" width="16.109375" bestFit="1" customWidth="1"/>
    <col min="24" max="24" width="12.5546875" bestFit="1" customWidth="1"/>
    <col min="25" max="25" width="10.77734375" bestFit="1" customWidth="1"/>
    <col min="26" max="26" width="13.6640625" bestFit="1" customWidth="1"/>
    <col min="27" max="27" width="11.21875" bestFit="1" customWidth="1"/>
    <col min="28" max="28" width="8.109375" bestFit="1" customWidth="1"/>
    <col min="29" max="29" width="10.21875" bestFit="1" customWidth="1"/>
    <col min="30" max="30" width="12.5546875" bestFit="1" customWidth="1"/>
    <col min="31" max="31" width="12.21875" bestFit="1" customWidth="1"/>
    <col min="32" max="32" width="24.33203125" bestFit="1" customWidth="1"/>
    <col min="33" max="33" width="13.109375" bestFit="1" customWidth="1"/>
    <col min="34" max="34" width="11.77734375" bestFit="1" customWidth="1"/>
    <col min="35" max="35" width="12.77734375" bestFit="1" customWidth="1"/>
    <col min="36" max="36" width="11.77734375" bestFit="1" customWidth="1"/>
    <col min="37" max="37" width="17.21875" bestFit="1" customWidth="1"/>
    <col min="38" max="38" width="12.109375" bestFit="1" customWidth="1"/>
    <col min="39" max="39" width="13.33203125" bestFit="1" customWidth="1"/>
    <col min="40" max="40" width="24.21875" bestFit="1" customWidth="1"/>
    <col min="41" max="41" width="13.5546875" bestFit="1" customWidth="1"/>
    <col min="42" max="42" width="13.77734375" bestFit="1" customWidth="1"/>
    <col min="43" max="43" width="13.88671875" bestFit="1" customWidth="1"/>
    <col min="44" max="44" width="10.44140625" bestFit="1" customWidth="1"/>
    <col min="45" max="45" width="18.5546875" bestFit="1" customWidth="1"/>
    <col min="46" max="46" width="20.6640625" bestFit="1" customWidth="1"/>
    <col min="47" max="47" width="16.109375" bestFit="1" customWidth="1"/>
    <col min="48" max="48" width="12.6640625" bestFit="1" customWidth="1"/>
    <col min="49" max="49" width="16" bestFit="1" customWidth="1"/>
    <col min="50" max="50" width="13.5546875" bestFit="1" customWidth="1"/>
    <col min="51" max="51" width="16" bestFit="1" customWidth="1"/>
    <col min="52" max="52" width="11.33203125" bestFit="1" customWidth="1"/>
    <col min="53" max="53" width="13.21875" bestFit="1" customWidth="1"/>
    <col min="54" max="54" width="12.109375" bestFit="1" customWidth="1"/>
    <col min="55" max="55" width="17.21875" bestFit="1" customWidth="1"/>
    <col min="56" max="56" width="13.33203125" bestFit="1" customWidth="1"/>
    <col min="57" max="57" width="12.88671875" bestFit="1" customWidth="1"/>
    <col min="58" max="58" width="21.5546875" bestFit="1" customWidth="1"/>
    <col min="59" max="59" width="15.6640625" bestFit="1" customWidth="1"/>
    <col min="60" max="60" width="19.21875" bestFit="1" customWidth="1"/>
    <col min="61" max="61" width="10.88671875" bestFit="1" customWidth="1"/>
    <col min="62" max="62" width="14.44140625" bestFit="1" customWidth="1"/>
    <col min="63" max="63" width="12.21875" bestFit="1" customWidth="1"/>
    <col min="64" max="64" width="14.77734375" bestFit="1" customWidth="1"/>
    <col min="65" max="65" width="14.6640625" bestFit="1" customWidth="1"/>
    <col min="66" max="66" width="15.5546875" bestFit="1" customWidth="1"/>
    <col min="67" max="67" width="15.44140625" bestFit="1" customWidth="1"/>
    <col min="68" max="68" width="14.33203125" bestFit="1" customWidth="1"/>
    <col min="69" max="69" width="16.77734375" bestFit="1" customWidth="1"/>
    <col min="70" max="70" width="10.77734375" bestFit="1" customWidth="1"/>
    <col min="71" max="71" width="9.6640625" bestFit="1" customWidth="1"/>
    <col min="72" max="72" width="12.5546875" bestFit="1" customWidth="1"/>
    <col min="73" max="73" width="19.44140625" bestFit="1" customWidth="1"/>
    <col min="74" max="74" width="12.109375" bestFit="1" customWidth="1"/>
    <col min="75" max="75" width="20.33203125" bestFit="1" customWidth="1"/>
    <col min="76" max="76" width="13.33203125" bestFit="1" customWidth="1"/>
    <col min="77" max="77" width="19" bestFit="1" customWidth="1"/>
    <col min="78" max="78" width="12.21875" bestFit="1" customWidth="1"/>
    <col min="79" max="79" width="20.21875" bestFit="1" customWidth="1"/>
    <col min="80" max="80" width="12" bestFit="1" customWidth="1"/>
    <col min="81" max="81" width="14.109375" bestFit="1" customWidth="1"/>
    <col min="82" max="82" width="14" bestFit="1" customWidth="1"/>
    <col min="83" max="83" width="10.77734375" bestFit="1" customWidth="1"/>
    <col min="84" max="84" width="20.109375" bestFit="1" customWidth="1"/>
    <col min="85" max="85" width="20.5546875" bestFit="1" customWidth="1"/>
    <col min="86" max="86" width="14.88671875" bestFit="1" customWidth="1"/>
    <col min="87" max="87" width="15.6640625" bestFit="1" customWidth="1"/>
    <col min="88" max="88" width="17.6640625" bestFit="1" customWidth="1"/>
    <col min="89" max="90" width="11.44140625" bestFit="1" customWidth="1"/>
    <col min="91" max="91" width="12.44140625" bestFit="1" customWidth="1"/>
    <col min="92" max="92" width="12.77734375" bestFit="1" customWidth="1"/>
    <col min="93" max="93" width="11.5546875" bestFit="1" customWidth="1"/>
    <col min="94" max="94" width="17.77734375" bestFit="1" customWidth="1"/>
    <col min="95" max="95" width="15.5546875" bestFit="1" customWidth="1"/>
    <col min="96" max="96" width="19.33203125" bestFit="1" customWidth="1"/>
    <col min="97" max="97" width="15.33203125" bestFit="1" customWidth="1"/>
    <col min="98" max="98" width="19.109375" bestFit="1" customWidth="1"/>
    <col min="99" max="99" width="20.33203125" bestFit="1" customWidth="1"/>
    <col min="100" max="100" width="11" bestFit="1" customWidth="1"/>
    <col min="101" max="101" width="12.21875" bestFit="1" customWidth="1"/>
    <col min="102" max="102" width="11.77734375" bestFit="1" customWidth="1"/>
    <col min="103" max="103" width="11.33203125" bestFit="1" customWidth="1"/>
    <col min="104" max="104" width="15.77734375" bestFit="1" customWidth="1"/>
    <col min="105" max="105" width="18.21875" bestFit="1" customWidth="1"/>
    <col min="106" max="106" width="19.21875" bestFit="1" customWidth="1"/>
    <col min="107" max="107" width="25.21875" bestFit="1" customWidth="1"/>
    <col min="108" max="108" width="14.5546875" bestFit="1" customWidth="1"/>
    <col min="109" max="109" width="19.5546875" bestFit="1" customWidth="1"/>
    <col min="110" max="110" width="14.33203125" bestFit="1" customWidth="1"/>
    <col min="111" max="111" width="14" bestFit="1" customWidth="1"/>
    <col min="112" max="112" width="13.6640625" bestFit="1" customWidth="1"/>
    <col min="113" max="113" width="18.33203125" bestFit="1" customWidth="1"/>
    <col min="114" max="114" width="14.77734375" bestFit="1" customWidth="1"/>
    <col min="115" max="115" width="13.88671875" bestFit="1" customWidth="1"/>
    <col min="116" max="116" width="27.88671875" bestFit="1" customWidth="1"/>
    <col min="117" max="117" width="14.109375" bestFit="1" customWidth="1"/>
    <col min="118" max="118" width="13.5546875" bestFit="1" customWidth="1"/>
    <col min="119" max="119" width="14.6640625" bestFit="1" customWidth="1"/>
    <col min="120" max="120" width="13.109375" bestFit="1" customWidth="1"/>
    <col min="121" max="121" width="12.44140625" bestFit="1" customWidth="1"/>
    <col min="122" max="122" width="12.109375" bestFit="1" customWidth="1"/>
    <col min="123" max="123" width="14.77734375" bestFit="1" customWidth="1"/>
    <col min="124" max="124" width="12.77734375" bestFit="1" customWidth="1"/>
    <col min="125" max="125" width="9.77734375" bestFit="1" customWidth="1"/>
    <col min="126" max="126" width="10.5546875" bestFit="1" customWidth="1"/>
    <col min="127" max="127" width="11" bestFit="1" customWidth="1"/>
    <col min="128" max="128" width="16.88671875" bestFit="1" customWidth="1"/>
    <col min="129" max="129" width="12.88671875" bestFit="1" customWidth="1"/>
    <col min="130" max="130" width="13.21875" bestFit="1" customWidth="1"/>
    <col min="131" max="131" width="13.88671875" bestFit="1" customWidth="1"/>
    <col min="132" max="132" width="21.109375" bestFit="1" customWidth="1"/>
    <col min="133" max="133" width="16.88671875" bestFit="1" customWidth="1"/>
    <col min="134" max="134" width="18.21875" bestFit="1" customWidth="1"/>
    <col min="135" max="135" width="14.5546875" bestFit="1" customWidth="1"/>
    <col min="136" max="136" width="23.33203125" bestFit="1" customWidth="1"/>
    <col min="137" max="137" width="15.5546875" bestFit="1" customWidth="1"/>
    <col min="138" max="138" width="12.21875" bestFit="1" customWidth="1"/>
    <col min="139" max="139" width="12.33203125" bestFit="1" customWidth="1"/>
    <col min="140" max="140" width="10.77734375" bestFit="1" customWidth="1"/>
    <col min="141" max="141" width="20.77734375" bestFit="1" customWidth="1"/>
    <col min="142" max="142" width="19.33203125" bestFit="1" customWidth="1"/>
    <col min="143" max="143" width="21.44140625" bestFit="1" customWidth="1"/>
    <col min="144" max="144" width="14.109375" bestFit="1" customWidth="1"/>
    <col min="145" max="145" width="17.6640625" bestFit="1" customWidth="1"/>
    <col min="146" max="146" width="18.44140625" bestFit="1" customWidth="1"/>
    <col min="147" max="147" width="11.77734375" bestFit="1" customWidth="1"/>
    <col min="148" max="148" width="19.44140625" bestFit="1" customWidth="1"/>
    <col min="149" max="149" width="14.5546875" bestFit="1" customWidth="1"/>
    <col min="150" max="150" width="11.6640625" bestFit="1" customWidth="1"/>
    <col min="151" max="151" width="13.6640625" bestFit="1" customWidth="1"/>
    <col min="152" max="152" width="12.77734375" bestFit="1" customWidth="1"/>
    <col min="153" max="153" width="14.33203125" bestFit="1" customWidth="1"/>
    <col min="154" max="154" width="18.44140625" bestFit="1" customWidth="1"/>
    <col min="155" max="155" width="11.21875" bestFit="1" customWidth="1"/>
    <col min="156" max="156" width="16.33203125" bestFit="1" customWidth="1"/>
    <col min="157" max="157" width="21.109375" bestFit="1" customWidth="1"/>
    <col min="158" max="158" width="12.88671875" bestFit="1" customWidth="1"/>
    <col min="159" max="159" width="28.88671875" bestFit="1" customWidth="1"/>
    <col min="160" max="160" width="12" bestFit="1" customWidth="1"/>
    <col min="161" max="161" width="14.44140625" bestFit="1" customWidth="1"/>
    <col min="162" max="162" width="22.33203125" bestFit="1" customWidth="1"/>
    <col min="163" max="163" width="18.33203125" bestFit="1" customWidth="1"/>
    <col min="164" max="164" width="12.5546875" bestFit="1" customWidth="1"/>
    <col min="165" max="165" width="11.109375" bestFit="1" customWidth="1"/>
    <col min="166" max="166" width="12.77734375" bestFit="1" customWidth="1"/>
    <col min="167" max="167" width="13.44140625" bestFit="1" customWidth="1"/>
    <col min="168" max="168" width="14.21875" bestFit="1" customWidth="1"/>
    <col min="169" max="169" width="11.33203125" bestFit="1" customWidth="1"/>
    <col min="170" max="170" width="12" bestFit="1" customWidth="1"/>
    <col min="171" max="171" width="13.44140625" bestFit="1" customWidth="1"/>
    <col min="172" max="172" width="16" bestFit="1" customWidth="1"/>
    <col min="173" max="173" width="11.109375" bestFit="1" customWidth="1"/>
    <col min="174" max="174" width="18" bestFit="1" customWidth="1"/>
    <col min="175" max="175" width="11.6640625" bestFit="1" customWidth="1"/>
    <col min="176" max="176" width="9.44140625" bestFit="1" customWidth="1"/>
    <col min="177" max="177" width="16.33203125" bestFit="1" customWidth="1"/>
    <col min="178" max="178" width="17.6640625" bestFit="1" customWidth="1"/>
    <col min="179" max="179" width="17.33203125" bestFit="1" customWidth="1"/>
    <col min="180" max="180" width="17.5546875" bestFit="1" customWidth="1"/>
    <col min="181" max="181" width="15.33203125" bestFit="1" customWidth="1"/>
    <col min="182" max="182" width="12.77734375" bestFit="1" customWidth="1"/>
    <col min="183" max="183" width="12.21875" bestFit="1" customWidth="1"/>
    <col min="184" max="184" width="12.88671875" bestFit="1" customWidth="1"/>
    <col min="185" max="185" width="10.33203125" bestFit="1" customWidth="1"/>
    <col min="186" max="186" width="10.77734375" bestFit="1" customWidth="1"/>
    <col min="187" max="187" width="13.33203125" bestFit="1" customWidth="1"/>
    <col min="188" max="188" width="14.5546875" bestFit="1" customWidth="1"/>
    <col min="189" max="189" width="12.33203125" bestFit="1" customWidth="1"/>
    <col min="190" max="190" width="14.109375" bestFit="1" customWidth="1"/>
    <col min="191" max="191" width="10.77734375" bestFit="1" customWidth="1"/>
  </cols>
  <sheetData>
    <row r="2" spans="2:4" ht="21" x14ac:dyDescent="0.3">
      <c r="B2" s="10">
        <v>3</v>
      </c>
      <c r="C2" s="51" t="s">
        <v>220</v>
      </c>
      <c r="D2" s="52"/>
    </row>
    <row r="5" spans="2:4" ht="18" x14ac:dyDescent="0.35">
      <c r="B5" s="44" t="s">
        <v>221</v>
      </c>
      <c r="C5" s="18" t="s">
        <v>12</v>
      </c>
    </row>
    <row r="8" spans="2:4" x14ac:dyDescent="0.3">
      <c r="B8" t="s">
        <v>222</v>
      </c>
      <c r="C8">
        <f>COUNTIFS(staff[Department],C5)</f>
        <v>54</v>
      </c>
    </row>
    <row r="9" spans="2:4" ht="15.6" x14ac:dyDescent="0.3">
      <c r="B9" s="45" t="s">
        <v>0</v>
      </c>
      <c r="C9" s="45" t="s">
        <v>5</v>
      </c>
      <c r="D9" s="45" t="s">
        <v>257</v>
      </c>
    </row>
    <row r="12" spans="2:4" x14ac:dyDescent="0.3">
      <c r="B12" s="19" t="s">
        <v>0</v>
      </c>
      <c r="C12" s="19" t="s">
        <v>6</v>
      </c>
      <c r="D12" t="s">
        <v>258</v>
      </c>
    </row>
    <row r="13" spans="2:4" x14ac:dyDescent="0.3">
      <c r="B13" t="s">
        <v>168</v>
      </c>
      <c r="C13" s="46" t="s">
        <v>16</v>
      </c>
      <c r="D13">
        <v>65700</v>
      </c>
    </row>
    <row r="14" spans="2:4" x14ac:dyDescent="0.3">
      <c r="B14" t="s">
        <v>89</v>
      </c>
      <c r="C14" s="46" t="s">
        <v>16</v>
      </c>
      <c r="D14">
        <v>54970</v>
      </c>
    </row>
    <row r="15" spans="2:4" x14ac:dyDescent="0.3">
      <c r="B15" t="s">
        <v>167</v>
      </c>
      <c r="C15" s="46" t="s">
        <v>16</v>
      </c>
      <c r="D15">
        <v>53240</v>
      </c>
    </row>
    <row r="16" spans="2:4" x14ac:dyDescent="0.3">
      <c r="B16" t="s">
        <v>99</v>
      </c>
      <c r="C16" s="46" t="s">
        <v>16</v>
      </c>
      <c r="D16">
        <v>36040</v>
      </c>
    </row>
    <row r="17" spans="2:4" x14ac:dyDescent="0.3">
      <c r="B17" t="s">
        <v>165</v>
      </c>
      <c r="C17" s="46" t="s">
        <v>24</v>
      </c>
      <c r="D17">
        <v>49630</v>
      </c>
    </row>
    <row r="18" spans="2:4" x14ac:dyDescent="0.3">
      <c r="B18" t="s">
        <v>184</v>
      </c>
      <c r="C18" s="46" t="s">
        <v>24</v>
      </c>
      <c r="D18">
        <v>68900</v>
      </c>
    </row>
    <row r="19" spans="2:4" x14ac:dyDescent="0.3">
      <c r="B19" t="s">
        <v>80</v>
      </c>
      <c r="C19" s="46" t="s">
        <v>42</v>
      </c>
      <c r="D19">
        <v>43510</v>
      </c>
    </row>
    <row r="20" spans="2:4" x14ac:dyDescent="0.3">
      <c r="B20" t="s">
        <v>157</v>
      </c>
      <c r="C20" s="46" t="s">
        <v>16</v>
      </c>
      <c r="D20">
        <v>53540</v>
      </c>
    </row>
    <row r="21" spans="2:4" x14ac:dyDescent="0.3">
      <c r="B21" t="s">
        <v>18</v>
      </c>
      <c r="C21" s="46" t="s">
        <v>16</v>
      </c>
      <c r="D21">
        <v>74550</v>
      </c>
    </row>
    <row r="22" spans="2:4" x14ac:dyDescent="0.3">
      <c r="B22" t="s">
        <v>48</v>
      </c>
      <c r="C22" s="46" t="s">
        <v>16</v>
      </c>
      <c r="D22">
        <v>78540</v>
      </c>
    </row>
    <row r="23" spans="2:4" x14ac:dyDescent="0.3">
      <c r="B23" t="s">
        <v>77</v>
      </c>
      <c r="C23" s="46" t="s">
        <v>16</v>
      </c>
      <c r="D23">
        <v>92700</v>
      </c>
    </row>
    <row r="24" spans="2:4" x14ac:dyDescent="0.3">
      <c r="B24" t="s">
        <v>65</v>
      </c>
      <c r="C24" s="46" t="s">
        <v>16</v>
      </c>
      <c r="D24">
        <v>53540</v>
      </c>
    </row>
    <row r="25" spans="2:4" x14ac:dyDescent="0.3">
      <c r="B25" t="s">
        <v>91</v>
      </c>
      <c r="C25" s="46" t="s">
        <v>24</v>
      </c>
      <c r="D25">
        <v>68900</v>
      </c>
    </row>
    <row r="26" spans="2:4" x14ac:dyDescent="0.3">
      <c r="B26" t="s">
        <v>76</v>
      </c>
      <c r="C26" s="46" t="s">
        <v>16</v>
      </c>
      <c r="D26">
        <v>65700</v>
      </c>
    </row>
    <row r="27" spans="2:4" x14ac:dyDescent="0.3">
      <c r="B27" t="s">
        <v>150</v>
      </c>
      <c r="C27" s="46" t="s">
        <v>13</v>
      </c>
      <c r="D27">
        <v>112780</v>
      </c>
    </row>
    <row r="28" spans="2:4" x14ac:dyDescent="0.3">
      <c r="B28" t="s">
        <v>58</v>
      </c>
      <c r="C28" s="46" t="s">
        <v>13</v>
      </c>
      <c r="D28">
        <v>112780</v>
      </c>
    </row>
    <row r="29" spans="2:4" x14ac:dyDescent="0.3">
      <c r="B29" t="s">
        <v>202</v>
      </c>
      <c r="C29" s="46" t="s">
        <v>13</v>
      </c>
      <c r="D29">
        <v>56870</v>
      </c>
    </row>
    <row r="30" spans="2:4" x14ac:dyDescent="0.3">
      <c r="B30" t="s">
        <v>109</v>
      </c>
      <c r="C30" s="46" t="s">
        <v>13</v>
      </c>
      <c r="D30">
        <v>56870</v>
      </c>
    </row>
    <row r="31" spans="2:4" x14ac:dyDescent="0.3">
      <c r="B31" t="s">
        <v>169</v>
      </c>
      <c r="C31" s="46" t="s">
        <v>16</v>
      </c>
      <c r="D31">
        <v>92700</v>
      </c>
    </row>
    <row r="32" spans="2:4" x14ac:dyDescent="0.3">
      <c r="B32" t="s">
        <v>33</v>
      </c>
      <c r="C32" s="47" t="s">
        <v>10</v>
      </c>
      <c r="D32">
        <v>109160</v>
      </c>
    </row>
    <row r="33" spans="2:4" x14ac:dyDescent="0.3">
      <c r="B33" t="s">
        <v>172</v>
      </c>
      <c r="C33" s="46" t="s">
        <v>42</v>
      </c>
      <c r="D33">
        <v>43510</v>
      </c>
    </row>
    <row r="34" spans="2:4" x14ac:dyDescent="0.3">
      <c r="B34" t="s">
        <v>182</v>
      </c>
      <c r="C34" s="46" t="s">
        <v>16</v>
      </c>
      <c r="D34">
        <v>54970</v>
      </c>
    </row>
    <row r="35" spans="2:4" x14ac:dyDescent="0.3">
      <c r="B35" t="s">
        <v>127</v>
      </c>
      <c r="C35" s="46" t="s">
        <v>10</v>
      </c>
      <c r="D35">
        <v>109160</v>
      </c>
    </row>
    <row r="36" spans="2:4" x14ac:dyDescent="0.3">
      <c r="B36" t="s">
        <v>141</v>
      </c>
      <c r="C36" s="46" t="s">
        <v>16</v>
      </c>
      <c r="D36">
        <v>78540</v>
      </c>
    </row>
    <row r="37" spans="2:4" x14ac:dyDescent="0.3">
      <c r="B37" t="s">
        <v>75</v>
      </c>
      <c r="C37" s="46" t="s">
        <v>16</v>
      </c>
      <c r="D37">
        <v>53240</v>
      </c>
    </row>
    <row r="38" spans="2:4" x14ac:dyDescent="0.3">
      <c r="B38" t="s">
        <v>73</v>
      </c>
      <c r="C38" s="46" t="s">
        <v>24</v>
      </c>
      <c r="D38">
        <v>49630</v>
      </c>
    </row>
    <row r="39" spans="2:4" x14ac:dyDescent="0.3">
      <c r="B39" t="s">
        <v>192</v>
      </c>
      <c r="C39" s="46" t="s">
        <v>16</v>
      </c>
      <c r="D39">
        <v>36040</v>
      </c>
    </row>
    <row r="40" spans="2:4" x14ac:dyDescent="0.3">
      <c r="B40" t="s">
        <v>115</v>
      </c>
      <c r="C40" s="46" t="s">
        <v>16</v>
      </c>
      <c r="D40">
        <v>74550</v>
      </c>
    </row>
  </sheetData>
  <mergeCells count="1">
    <mergeCell ref="C2:D2"/>
  </mergeCells>
  <conditionalFormatting sqref="C13:C195">
    <cfRule type="containsText" dxfId="5" priority="1" operator="containsText" text="very poor">
      <formula>NOT(ISERROR(SEARCH("very poor",C13)))</formula>
    </cfRule>
    <cfRule type="containsText" dxfId="4" priority="2" operator="containsText" text="very poor">
      <formula>NOT(ISERROR(SEARCH("very poor",C13)))</formula>
    </cfRule>
    <cfRule type="containsText" dxfId="3" priority="4" operator="containsText" text="poor">
      <formula>NOT(ISERROR(SEARCH("poor",C13)))</formula>
    </cfRule>
    <cfRule type="containsText" dxfId="2" priority="5" operator="containsText" text="Above average">
      <formula>NOT(ISERROR(SEARCH("Above average",C13)))</formula>
    </cfRule>
    <cfRule type="containsText" dxfId="1" priority="6" operator="containsText" text="Average">
      <formula>NOT(ISERROR(SEARCH("Average",C13)))</formula>
    </cfRule>
    <cfRule type="cellIs" dxfId="0" priority="7" operator="equal">
      <formula>"Average"</formula>
    </cfRule>
    <cfRule type="colorScale" priority="8">
      <colorScale>
        <cfvo type="min"/>
        <cfvo type="percentile" val="50"/>
        <cfvo type="max"/>
        <color rgb="FFF8696B"/>
        <color rgb="FFFCFCFF"/>
        <color rgb="FF5A8AC6"/>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W184"/>
  <sheetViews>
    <sheetView zoomScale="90" zoomScaleNormal="130" workbookViewId="0">
      <selection activeCell="E1" sqref="E1"/>
    </sheetView>
  </sheetViews>
  <sheetFormatPr defaultRowHeight="14.4" x14ac:dyDescent="0.3"/>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1.109375" bestFit="1" customWidth="1"/>
    <col min="8" max="8" width="10.33203125" bestFit="1" customWidth="1"/>
    <col min="9" max="9" width="9.5546875" bestFit="1" customWidth="1"/>
    <col min="10" max="10" width="10.77734375" customWidth="1"/>
    <col min="11" max="11" width="12.77734375" bestFit="1" customWidth="1"/>
    <col min="12" max="13" width="12.77734375" customWidth="1"/>
    <col min="16" max="16" width="35.5546875" customWidth="1"/>
    <col min="17" max="17" width="15" customWidth="1"/>
  </cols>
  <sheetData>
    <row r="1" spans="1:19" x14ac:dyDescent="0.3">
      <c r="A1" t="s">
        <v>0</v>
      </c>
      <c r="B1" t="s">
        <v>1</v>
      </c>
      <c r="C1" t="s">
        <v>3</v>
      </c>
      <c r="D1" t="s">
        <v>6</v>
      </c>
      <c r="E1" t="s">
        <v>4</v>
      </c>
      <c r="F1" t="s">
        <v>2</v>
      </c>
      <c r="G1" t="s">
        <v>5</v>
      </c>
      <c r="H1" t="s">
        <v>204</v>
      </c>
      <c r="I1" t="s">
        <v>213</v>
      </c>
      <c r="J1" t="s">
        <v>259</v>
      </c>
      <c r="K1" t="s">
        <v>260</v>
      </c>
      <c r="L1" t="s">
        <v>262</v>
      </c>
    </row>
    <row r="2" spans="1:19" ht="21" x14ac:dyDescent="0.3">
      <c r="A2" t="s">
        <v>199</v>
      </c>
      <c r="B2" t="s">
        <v>15</v>
      </c>
      <c r="C2">
        <v>36</v>
      </c>
      <c r="D2" t="s">
        <v>16</v>
      </c>
      <c r="E2" s="6">
        <v>43958</v>
      </c>
      <c r="F2" t="s">
        <v>12</v>
      </c>
      <c r="G2" s="22">
        <v>118840</v>
      </c>
      <c r="H2" t="s">
        <v>205</v>
      </c>
      <c r="I2" s="7">
        <f ca="1">(TODAY()-staff[[#This Row],[Date Joined]])/365</f>
        <v>3.1561643835616437</v>
      </c>
      <c r="J2">
        <f t="shared" ref="J2:J33" ca="1" si="0">IF(I2&gt;2,3%*G2,2%*G2)</f>
        <v>3565.2</v>
      </c>
      <c r="K2" s="41">
        <f t="shared" ref="K2:K33" ca="1" si="1">G2+J2</f>
        <v>122405.2</v>
      </c>
      <c r="L2">
        <f>VLOOKUP('ALL Staff'!D181,Mapping!$B$2:$C$6,2,0)</f>
        <v>3</v>
      </c>
      <c r="M2" s="41"/>
      <c r="O2" s="10">
        <v>1</v>
      </c>
      <c r="P2" t="s">
        <v>208</v>
      </c>
      <c r="Q2">
        <f>COUNTA(staff[Name])</f>
        <v>183</v>
      </c>
    </row>
    <row r="3" spans="1:19" x14ac:dyDescent="0.3">
      <c r="A3" t="s">
        <v>137</v>
      </c>
      <c r="B3" t="s">
        <v>8</v>
      </c>
      <c r="C3">
        <v>29</v>
      </c>
      <c r="D3" t="s">
        <v>16</v>
      </c>
      <c r="E3" s="6">
        <v>43962</v>
      </c>
      <c r="F3" t="s">
        <v>12</v>
      </c>
      <c r="G3" s="22">
        <v>34980</v>
      </c>
      <c r="H3" t="s">
        <v>205</v>
      </c>
      <c r="I3" s="7">
        <f ca="1">(TODAY()-staff[[#This Row],[Date Joined]])/365</f>
        <v>3.1452054794520548</v>
      </c>
      <c r="J3">
        <f t="shared" ca="1" si="0"/>
        <v>1049.3999999999999</v>
      </c>
      <c r="K3" s="41">
        <f t="shared" ca="1" si="1"/>
        <v>36029.4</v>
      </c>
      <c r="L3">
        <f>VLOOKUP('ALL Staff'!D4,Mapping!$B$2:$C$6,2,0)</f>
        <v>4</v>
      </c>
      <c r="M3" s="41"/>
      <c r="P3" t="s">
        <v>209</v>
      </c>
      <c r="Q3" s="5">
        <f>AVERAGE(staff[Salary])</f>
        <v>77289.344262295082</v>
      </c>
      <c r="R3">
        <f>MEDIAN(staff[Salary])</f>
        <v>75000</v>
      </c>
    </row>
    <row r="4" spans="1:19" x14ac:dyDescent="0.3">
      <c r="A4" t="s">
        <v>123</v>
      </c>
      <c r="B4" t="s">
        <v>15</v>
      </c>
      <c r="C4">
        <v>28</v>
      </c>
      <c r="D4" t="s">
        <v>13</v>
      </c>
      <c r="E4" s="6">
        <v>43980</v>
      </c>
      <c r="F4" t="s">
        <v>21</v>
      </c>
      <c r="G4" s="22">
        <v>48170</v>
      </c>
      <c r="H4" t="s">
        <v>205</v>
      </c>
      <c r="I4" s="7">
        <f ca="1">(TODAY()-staff[[#This Row],[Date Joined]])/365</f>
        <v>3.095890410958904</v>
      </c>
      <c r="J4">
        <f t="shared" ca="1" si="0"/>
        <v>1445.1</v>
      </c>
      <c r="K4" s="41">
        <f t="shared" ca="1" si="1"/>
        <v>49615.1</v>
      </c>
      <c r="L4">
        <f>VLOOKUP('ALL Staff'!D23,Mapping!$B$2:$C$6,2,0)</f>
        <v>3</v>
      </c>
      <c r="M4" s="41"/>
      <c r="P4" t="s">
        <v>210</v>
      </c>
      <c r="Q4">
        <f>AVERAGE(staff[Age])</f>
        <v>30.42622950819672</v>
      </c>
      <c r="R4">
        <f>MEDIAN(staff[Age])</f>
        <v>30</v>
      </c>
    </row>
    <row r="5" spans="1:19" x14ac:dyDescent="0.3">
      <c r="A5" t="s">
        <v>186</v>
      </c>
      <c r="B5" t="s">
        <v>8</v>
      </c>
      <c r="C5">
        <v>33</v>
      </c>
      <c r="D5" t="s">
        <v>16</v>
      </c>
      <c r="E5" s="6">
        <v>44006</v>
      </c>
      <c r="F5" t="s">
        <v>21</v>
      </c>
      <c r="G5" s="22">
        <v>65360</v>
      </c>
      <c r="H5" t="s">
        <v>205</v>
      </c>
      <c r="I5" s="7">
        <f ca="1">(TODAY()-staff[[#This Row],[Date Joined]])/365</f>
        <v>3.0246575342465754</v>
      </c>
      <c r="J5">
        <f t="shared" ca="1" si="0"/>
        <v>1960.8</v>
      </c>
      <c r="K5" s="41">
        <f t="shared" ca="1" si="1"/>
        <v>67320.800000000003</v>
      </c>
      <c r="L5">
        <f>VLOOKUP('ALL Staff'!D66,Mapping!$B$2:$C$6,2,0)</f>
        <v>3</v>
      </c>
      <c r="M5" s="41"/>
      <c r="P5" t="s">
        <v>211</v>
      </c>
      <c r="Q5">
        <f ca="1">AVERAGE(staff[Tenure])</f>
        <v>1.8547046934650797</v>
      </c>
    </row>
    <row r="6" spans="1:19" x14ac:dyDescent="0.3">
      <c r="A6" t="s">
        <v>106</v>
      </c>
      <c r="B6" t="s">
        <v>15</v>
      </c>
      <c r="C6">
        <v>36</v>
      </c>
      <c r="D6" t="s">
        <v>16</v>
      </c>
      <c r="E6" s="6">
        <v>44019</v>
      </c>
      <c r="F6" t="s">
        <v>12</v>
      </c>
      <c r="G6" s="22">
        <v>118840</v>
      </c>
      <c r="H6" t="s">
        <v>207</v>
      </c>
      <c r="I6" s="7">
        <f ca="1">(TODAY()-staff[[#This Row],[Date Joined]])/365</f>
        <v>2.989041095890411</v>
      </c>
      <c r="J6">
        <f t="shared" ca="1" si="0"/>
        <v>3565.2</v>
      </c>
      <c r="K6" s="41">
        <f t="shared" ca="1" si="1"/>
        <v>122405.2</v>
      </c>
      <c r="L6">
        <f>VLOOKUP('ALL Staff'!D182,Mapping!$B$2:$C$6,2,0)</f>
        <v>3</v>
      </c>
      <c r="M6" s="41"/>
      <c r="P6" t="s">
        <v>212</v>
      </c>
    </row>
    <row r="7" spans="1:19" x14ac:dyDescent="0.3">
      <c r="A7" t="s">
        <v>44</v>
      </c>
      <c r="B7" t="s">
        <v>8</v>
      </c>
      <c r="C7">
        <v>29</v>
      </c>
      <c r="D7" t="s">
        <v>16</v>
      </c>
      <c r="E7" s="6">
        <v>44023</v>
      </c>
      <c r="F7" t="s">
        <v>12</v>
      </c>
      <c r="G7" s="22">
        <v>34980</v>
      </c>
      <c r="H7" t="s">
        <v>207</v>
      </c>
      <c r="I7" s="7">
        <f ca="1">(TODAY()-staff[[#This Row],[Date Joined]])/365</f>
        <v>2.978082191780822</v>
      </c>
      <c r="J7">
        <f t="shared" ca="1" si="0"/>
        <v>1049.3999999999999</v>
      </c>
      <c r="K7" s="41">
        <f t="shared" ca="1" si="1"/>
        <v>36029.4</v>
      </c>
      <c r="L7">
        <f>VLOOKUP('ALL Staff'!D5,Mapping!$B$2:$C$6,2,0)</f>
        <v>3</v>
      </c>
      <c r="M7" s="41"/>
      <c r="P7" t="s">
        <v>214</v>
      </c>
      <c r="Q7">
        <f>COUNTIFS(staff[Gender],"Female")</f>
        <v>86</v>
      </c>
    </row>
    <row r="8" spans="1:19" x14ac:dyDescent="0.3">
      <c r="A8" t="s">
        <v>175</v>
      </c>
      <c r="B8" t="s">
        <v>8</v>
      </c>
      <c r="C8">
        <v>36</v>
      </c>
      <c r="D8" t="s">
        <v>16</v>
      </c>
      <c r="E8" s="6">
        <v>44023</v>
      </c>
      <c r="F8" t="s">
        <v>9</v>
      </c>
      <c r="G8" s="22">
        <v>114890</v>
      </c>
      <c r="H8" t="s">
        <v>205</v>
      </c>
      <c r="I8" s="7">
        <f ca="1">(TODAY()-staff[[#This Row],[Date Joined]])/365</f>
        <v>2.978082191780822</v>
      </c>
      <c r="J8">
        <f t="shared" ca="1" si="0"/>
        <v>3446.7</v>
      </c>
      <c r="K8" s="41">
        <f t="shared" ca="1" si="1"/>
        <v>118336.7</v>
      </c>
      <c r="L8">
        <f>VLOOKUP('ALL Staff'!D173,Mapping!$B$2:$C$6,2,0)</f>
        <v>3</v>
      </c>
      <c r="M8" s="41"/>
      <c r="P8" t="s">
        <v>215</v>
      </c>
      <c r="Q8" s="8">
        <f>Q7/Q2</f>
        <v>0.46994535519125685</v>
      </c>
    </row>
    <row r="9" spans="1:19" x14ac:dyDescent="0.3">
      <c r="A9" t="s">
        <v>29</v>
      </c>
      <c r="B9" t="s">
        <v>15</v>
      </c>
      <c r="C9">
        <v>28</v>
      </c>
      <c r="D9" t="s">
        <v>13</v>
      </c>
      <c r="E9" s="6">
        <v>44041</v>
      </c>
      <c r="F9" t="s">
        <v>21</v>
      </c>
      <c r="G9" s="22">
        <v>48170</v>
      </c>
      <c r="H9" t="s">
        <v>207</v>
      </c>
      <c r="I9" s="7">
        <f ca="1">(TODAY()-staff[[#This Row],[Date Joined]])/365</f>
        <v>2.9287671232876713</v>
      </c>
      <c r="J9">
        <f t="shared" ca="1" si="0"/>
        <v>1445.1</v>
      </c>
      <c r="K9" s="41">
        <f t="shared" ca="1" si="1"/>
        <v>49615.1</v>
      </c>
      <c r="L9">
        <f>VLOOKUP('ALL Staff'!D24,Mapping!$B$2:$C$6,2,0)</f>
        <v>3</v>
      </c>
      <c r="M9" s="41"/>
    </row>
    <row r="10" spans="1:19" x14ac:dyDescent="0.3">
      <c r="A10" t="s">
        <v>140</v>
      </c>
      <c r="B10" t="s">
        <v>15</v>
      </c>
      <c r="C10">
        <v>21</v>
      </c>
      <c r="D10" t="s">
        <v>16</v>
      </c>
      <c r="E10" s="6">
        <v>44042</v>
      </c>
      <c r="F10" t="s">
        <v>9</v>
      </c>
      <c r="G10" s="22">
        <v>37920</v>
      </c>
      <c r="H10" t="s">
        <v>205</v>
      </c>
      <c r="I10" s="7">
        <f ca="1">(TODAY()-staff[[#This Row],[Date Joined]])/365</f>
        <v>2.9260273972602739</v>
      </c>
      <c r="J10">
        <f t="shared" ca="1" si="0"/>
        <v>1137.5999999999999</v>
      </c>
      <c r="K10" s="41">
        <f t="shared" ca="1" si="1"/>
        <v>39057.599999999999</v>
      </c>
      <c r="L10">
        <f>VLOOKUP('ALL Staff'!D8,Mapping!$B$2:$C$6,2,0)</f>
        <v>3</v>
      </c>
      <c r="M10" s="41"/>
      <c r="P10" s="42" t="s">
        <v>254</v>
      </c>
      <c r="Q10" s="42" t="s">
        <v>255</v>
      </c>
    </row>
    <row r="11" spans="1:19" x14ac:dyDescent="0.3">
      <c r="A11" t="s">
        <v>152</v>
      </c>
      <c r="B11" t="s">
        <v>8</v>
      </c>
      <c r="C11">
        <v>27</v>
      </c>
      <c r="D11" t="s">
        <v>16</v>
      </c>
      <c r="E11" s="6">
        <v>44061</v>
      </c>
      <c r="F11" t="s">
        <v>56</v>
      </c>
      <c r="G11" s="22">
        <v>119110</v>
      </c>
      <c r="H11" t="s">
        <v>205</v>
      </c>
      <c r="I11" s="7">
        <f ca="1">(TODAY()-staff[[#This Row],[Date Joined]])/365</f>
        <v>2.8739726027397259</v>
      </c>
      <c r="J11">
        <f t="shared" ca="1" si="0"/>
        <v>3573.2999999999997</v>
      </c>
      <c r="K11" s="41">
        <f t="shared" ca="1" si="1"/>
        <v>122683.3</v>
      </c>
      <c r="L11">
        <f>VLOOKUP('ALL Staff'!D183,Mapping!$B$2:$C$6,2,0)</f>
        <v>3</v>
      </c>
      <c r="M11" s="41"/>
      <c r="P11" s="43" t="s">
        <v>216</v>
      </c>
      <c r="Q11" s="8">
        <f>Q12/Q2</f>
        <v>0.34426229508196721</v>
      </c>
      <c r="S11" s="48"/>
    </row>
    <row r="12" spans="1:19" x14ac:dyDescent="0.3">
      <c r="A12" t="s">
        <v>93</v>
      </c>
      <c r="B12" t="s">
        <v>8</v>
      </c>
      <c r="C12">
        <v>33</v>
      </c>
      <c r="D12" t="s">
        <v>16</v>
      </c>
      <c r="E12" s="6">
        <v>44067</v>
      </c>
      <c r="F12" t="s">
        <v>21</v>
      </c>
      <c r="G12" s="22">
        <v>65360</v>
      </c>
      <c r="H12" t="s">
        <v>207</v>
      </c>
      <c r="I12" s="7">
        <f ca="1">(TODAY()-staff[[#This Row],[Date Joined]])/365</f>
        <v>2.8575342465753426</v>
      </c>
      <c r="J12">
        <f t="shared" ca="1" si="0"/>
        <v>1960.8</v>
      </c>
      <c r="K12" s="41">
        <f t="shared" ca="1" si="1"/>
        <v>67320.800000000003</v>
      </c>
      <c r="L12">
        <f>VLOOKUP('ALL Staff'!D67,Mapping!$B$2:$C$6,2,0)</f>
        <v>2</v>
      </c>
      <c r="M12" s="41"/>
      <c r="P12" t="s">
        <v>256</v>
      </c>
      <c r="Q12">
        <f>COUNTIFS($G$2:$G$184,Q10)</f>
        <v>63</v>
      </c>
    </row>
    <row r="13" spans="1:19" x14ac:dyDescent="0.3">
      <c r="A13" t="s">
        <v>182</v>
      </c>
      <c r="B13" t="s">
        <v>15</v>
      </c>
      <c r="C13">
        <v>27</v>
      </c>
      <c r="D13" t="s">
        <v>16</v>
      </c>
      <c r="E13" s="6">
        <v>44073</v>
      </c>
      <c r="F13" t="s">
        <v>19</v>
      </c>
      <c r="G13" s="22">
        <v>54970</v>
      </c>
      <c r="H13" t="s">
        <v>205</v>
      </c>
      <c r="I13" s="7">
        <f ca="1">(TODAY()-staff[[#This Row],[Date Joined]])/365</f>
        <v>2.8410958904109589</v>
      </c>
      <c r="J13">
        <f t="shared" ca="1" si="0"/>
        <v>1649.1</v>
      </c>
      <c r="K13" s="41">
        <f t="shared" ca="1" si="1"/>
        <v>56619.1</v>
      </c>
      <c r="L13">
        <f>VLOOKUP('ALL Staff'!D43,Mapping!$B$2:$C$6,2,0)</f>
        <v>3</v>
      </c>
      <c r="M13" s="41"/>
      <c r="Q13" s="41"/>
    </row>
    <row r="14" spans="1:19" x14ac:dyDescent="0.3">
      <c r="A14" t="s">
        <v>124</v>
      </c>
      <c r="B14" t="s">
        <v>8</v>
      </c>
      <c r="C14">
        <v>31</v>
      </c>
      <c r="D14" t="s">
        <v>16</v>
      </c>
      <c r="E14" s="6">
        <v>44084</v>
      </c>
      <c r="F14" t="s">
        <v>12</v>
      </c>
      <c r="G14" s="22">
        <v>41980</v>
      </c>
      <c r="H14" t="s">
        <v>205</v>
      </c>
      <c r="I14" s="7">
        <f ca="1">(TODAY()-staff[[#This Row],[Date Joined]])/365</f>
        <v>2.8109589041095893</v>
      </c>
      <c r="J14">
        <f t="shared" ca="1" si="0"/>
        <v>1259.3999999999999</v>
      </c>
      <c r="K14" s="41">
        <f t="shared" ca="1" si="1"/>
        <v>43239.4</v>
      </c>
      <c r="L14">
        <f>VLOOKUP('ALL Staff'!D14,Mapping!$B$2:$C$6,2,0)</f>
        <v>3</v>
      </c>
      <c r="M14" s="41"/>
    </row>
    <row r="15" spans="1:19" x14ac:dyDescent="0.3">
      <c r="A15" t="s">
        <v>83</v>
      </c>
      <c r="B15" t="s">
        <v>8</v>
      </c>
      <c r="C15">
        <v>36</v>
      </c>
      <c r="D15" t="s">
        <v>16</v>
      </c>
      <c r="E15" s="6">
        <v>44085</v>
      </c>
      <c r="F15" t="s">
        <v>9</v>
      </c>
      <c r="G15" s="22">
        <v>114890</v>
      </c>
      <c r="H15" t="s">
        <v>207</v>
      </c>
      <c r="I15" s="7">
        <f ca="1">(TODAY()-staff[[#This Row],[Date Joined]])/365</f>
        <v>2.8082191780821919</v>
      </c>
      <c r="J15">
        <f t="shared" ca="1" si="0"/>
        <v>3446.7</v>
      </c>
      <c r="K15" s="41">
        <f t="shared" ca="1" si="1"/>
        <v>118336.7</v>
      </c>
      <c r="L15">
        <f>VLOOKUP('ALL Staff'!D174,Mapping!$B$2:$C$6,2,0)</f>
        <v>5</v>
      </c>
      <c r="M15" s="41"/>
    </row>
    <row r="16" spans="1:19" ht="21" x14ac:dyDescent="0.3">
      <c r="A16" t="s">
        <v>142</v>
      </c>
      <c r="B16" t="s">
        <v>206</v>
      </c>
      <c r="C16">
        <v>37</v>
      </c>
      <c r="D16" t="s">
        <v>24</v>
      </c>
      <c r="E16" s="6">
        <v>44085</v>
      </c>
      <c r="F16" t="s">
        <v>21</v>
      </c>
      <c r="G16" s="22">
        <v>115440</v>
      </c>
      <c r="H16" t="s">
        <v>205</v>
      </c>
      <c r="I16" s="7">
        <f ca="1">(TODAY()-staff[[#This Row],[Date Joined]])/365</f>
        <v>2.8082191780821919</v>
      </c>
      <c r="J16">
        <f t="shared" ca="1" si="0"/>
        <v>3463.2</v>
      </c>
      <c r="K16" s="41">
        <f t="shared" ca="1" si="1"/>
        <v>118903.2</v>
      </c>
      <c r="L16">
        <f>VLOOKUP('ALL Staff'!D175,Mapping!$B$2:$C$6,2,0)</f>
        <v>3</v>
      </c>
      <c r="M16" s="41"/>
      <c r="O16" s="10">
        <v>2</v>
      </c>
    </row>
    <row r="17" spans="1:23" x14ac:dyDescent="0.3">
      <c r="A17" t="s">
        <v>153</v>
      </c>
      <c r="B17" t="s">
        <v>8</v>
      </c>
      <c r="C17">
        <v>24</v>
      </c>
      <c r="D17" t="s">
        <v>16</v>
      </c>
      <c r="E17" s="6">
        <v>44087</v>
      </c>
      <c r="F17" t="s">
        <v>12</v>
      </c>
      <c r="G17" s="22">
        <v>62780</v>
      </c>
      <c r="H17" t="s">
        <v>205</v>
      </c>
      <c r="I17" s="7">
        <f ca="1">(TODAY()-staff[[#This Row],[Date Joined]])/365</f>
        <v>2.8027397260273972</v>
      </c>
      <c r="J17">
        <f t="shared" ca="1" si="0"/>
        <v>1883.3999999999999</v>
      </c>
      <c r="K17" s="41">
        <f t="shared" ca="1" si="1"/>
        <v>64663.4</v>
      </c>
      <c r="L17">
        <f>VLOOKUP('ALL Staff'!D61,Mapping!$B$2:$C$6,2,0)</f>
        <v>1</v>
      </c>
      <c r="M17" s="41"/>
      <c r="P17" s="11" t="s">
        <v>165</v>
      </c>
    </row>
    <row r="18" spans="1:23" x14ac:dyDescent="0.3">
      <c r="A18" t="s">
        <v>134</v>
      </c>
      <c r="B18" t="s">
        <v>15</v>
      </c>
      <c r="C18">
        <v>33</v>
      </c>
      <c r="D18" t="s">
        <v>16</v>
      </c>
      <c r="E18" s="6">
        <v>44103</v>
      </c>
      <c r="F18" t="s">
        <v>9</v>
      </c>
      <c r="G18" s="22">
        <v>115920</v>
      </c>
      <c r="H18" t="s">
        <v>205</v>
      </c>
      <c r="I18" s="7">
        <f ca="1">(TODAY()-staff[[#This Row],[Date Joined]])/365</f>
        <v>2.7589041095890412</v>
      </c>
      <c r="J18">
        <f t="shared" ca="1" si="0"/>
        <v>3477.6</v>
      </c>
      <c r="K18" s="41">
        <f t="shared" ca="1" si="1"/>
        <v>119397.6</v>
      </c>
      <c r="L18">
        <f>VLOOKUP('ALL Staff'!D177,Mapping!$B$2:$C$6,2,0)</f>
        <v>3</v>
      </c>
      <c r="M18" s="41"/>
    </row>
    <row r="19" spans="1:23" x14ac:dyDescent="0.3">
      <c r="A19" t="s">
        <v>47</v>
      </c>
      <c r="B19" t="s">
        <v>15</v>
      </c>
      <c r="C19">
        <v>21</v>
      </c>
      <c r="D19" t="s">
        <v>16</v>
      </c>
      <c r="E19" s="6">
        <v>44104</v>
      </c>
      <c r="F19" t="s">
        <v>9</v>
      </c>
      <c r="G19" s="22">
        <v>37920</v>
      </c>
      <c r="H19" t="s">
        <v>207</v>
      </c>
      <c r="I19" s="7">
        <f ca="1">(TODAY()-staff[[#This Row],[Date Joined]])/365</f>
        <v>2.7561643835616438</v>
      </c>
      <c r="J19">
        <f t="shared" ca="1" si="0"/>
        <v>1137.5999999999999</v>
      </c>
      <c r="K19" s="41">
        <f t="shared" ca="1" si="1"/>
        <v>39057.599999999999</v>
      </c>
      <c r="L19">
        <f>VLOOKUP('ALL Staff'!D9,Mapping!$B$2:$C$6,2,0)</f>
        <v>4</v>
      </c>
      <c r="M19" s="41"/>
      <c r="P19" t="s">
        <v>217</v>
      </c>
    </row>
    <row r="20" spans="1:23" x14ac:dyDescent="0.3">
      <c r="A20" t="s">
        <v>180</v>
      </c>
      <c r="B20" t="s">
        <v>15</v>
      </c>
      <c r="C20">
        <v>29</v>
      </c>
      <c r="D20" t="s">
        <v>24</v>
      </c>
      <c r="E20" s="6">
        <v>44119</v>
      </c>
      <c r="F20" t="s">
        <v>12</v>
      </c>
      <c r="G20" s="22">
        <v>112110</v>
      </c>
      <c r="H20" t="s">
        <v>205</v>
      </c>
      <c r="I20" s="7">
        <f ca="1">(TODAY()-staff[[#This Row],[Date Joined]])/365</f>
        <v>2.7150684931506848</v>
      </c>
      <c r="J20">
        <f t="shared" ca="1" si="0"/>
        <v>3363.2999999999997</v>
      </c>
      <c r="K20" s="41">
        <f t="shared" ca="1" si="1"/>
        <v>115473.3</v>
      </c>
      <c r="L20">
        <f>VLOOKUP('ALL Staff'!D158,Mapping!$B$2:$C$6,2,0)</f>
        <v>3</v>
      </c>
      <c r="M20" s="41"/>
      <c r="P20" t="s">
        <v>218</v>
      </c>
    </row>
    <row r="21" spans="1:23" x14ac:dyDescent="0.3">
      <c r="A21" t="s">
        <v>156</v>
      </c>
      <c r="B21" t="s">
        <v>15</v>
      </c>
      <c r="C21">
        <v>20</v>
      </c>
      <c r="D21" t="s">
        <v>16</v>
      </c>
      <c r="E21" s="6">
        <v>44122</v>
      </c>
      <c r="F21" t="s">
        <v>12</v>
      </c>
      <c r="G21" s="22">
        <v>112650</v>
      </c>
      <c r="H21" t="s">
        <v>205</v>
      </c>
      <c r="I21" s="7">
        <f ca="1">(TODAY()-staff[[#This Row],[Date Joined]])/365</f>
        <v>2.7068493150684931</v>
      </c>
      <c r="J21">
        <f t="shared" ca="1" si="0"/>
        <v>3379.5</v>
      </c>
      <c r="K21" s="41">
        <f t="shared" ca="1" si="1"/>
        <v>116029.5</v>
      </c>
      <c r="L21">
        <f>VLOOKUP('ALL Staff'!D162,Mapping!$B$2:$C$6,2,0)</f>
        <v>5</v>
      </c>
      <c r="M21" s="41"/>
    </row>
    <row r="22" spans="1:23" x14ac:dyDescent="0.3">
      <c r="A22" t="s">
        <v>60</v>
      </c>
      <c r="B22" t="s">
        <v>8</v>
      </c>
      <c r="C22">
        <v>27</v>
      </c>
      <c r="D22" t="s">
        <v>16</v>
      </c>
      <c r="E22" s="6">
        <v>44122</v>
      </c>
      <c r="F22" t="s">
        <v>56</v>
      </c>
      <c r="G22" s="22">
        <v>119110</v>
      </c>
      <c r="H22" t="s">
        <v>207</v>
      </c>
      <c r="I22" s="7">
        <f ca="1">(TODAY()-staff[[#This Row],[Date Joined]])/365</f>
        <v>2.7068493150684931</v>
      </c>
      <c r="J22">
        <f t="shared" ca="1" si="0"/>
        <v>3573.2999999999997</v>
      </c>
      <c r="K22" s="41">
        <f t="shared" ca="1" si="1"/>
        <v>122683.3</v>
      </c>
      <c r="L22">
        <f>VLOOKUP('ALL Staff'!D184,Mapping!$B$2:$C$6,2,0)</f>
        <v>3</v>
      </c>
      <c r="M22" s="41"/>
      <c r="P22" t="str" cm="1">
        <f t="array" aca="1" ref="P22:W22" ca="1">_xlfn.XLOOKUP(P17,staff[Name], staff[[Gender]:[Tenure]])</f>
        <v>Female</v>
      </c>
      <c r="Q22">
        <f ca="1"/>
        <v>34</v>
      </c>
      <c r="R22" t="str">
        <f ca="1"/>
        <v>Poor</v>
      </c>
      <c r="S22">
        <f ca="1"/>
        <v>44660</v>
      </c>
      <c r="T22" t="str">
        <f ca="1"/>
        <v>Sales</v>
      </c>
      <c r="U22">
        <f ca="1"/>
        <v>49630</v>
      </c>
      <c r="V22" t="str">
        <f ca="1"/>
        <v>IND</v>
      </c>
      <c r="W22">
        <f ca="1"/>
        <v>1.2328767123287672</v>
      </c>
    </row>
    <row r="23" spans="1:23" x14ac:dyDescent="0.3">
      <c r="A23" t="s">
        <v>129</v>
      </c>
      <c r="B23" t="s">
        <v>8</v>
      </c>
      <c r="C23">
        <v>28</v>
      </c>
      <c r="D23" t="s">
        <v>16</v>
      </c>
      <c r="E23" s="6">
        <v>44124</v>
      </c>
      <c r="F23" t="s">
        <v>21</v>
      </c>
      <c r="G23" s="22">
        <v>75970</v>
      </c>
      <c r="H23" t="s">
        <v>205</v>
      </c>
      <c r="I23" s="7">
        <f ca="1">(TODAY()-staff[[#This Row],[Date Joined]])/365</f>
        <v>2.7013698630136984</v>
      </c>
      <c r="J23">
        <f t="shared" ca="1" si="0"/>
        <v>2279.1</v>
      </c>
      <c r="K23" s="41">
        <f t="shared" ca="1" si="1"/>
        <v>78249.100000000006</v>
      </c>
      <c r="L23">
        <f>VLOOKUP('ALL Staff'!D100,Mapping!$B$2:$C$6,2,0)</f>
        <v>3</v>
      </c>
      <c r="M23" s="41"/>
    </row>
    <row r="24" spans="1:23" x14ac:dyDescent="0.3">
      <c r="A24" t="s">
        <v>163</v>
      </c>
      <c r="B24" t="s">
        <v>8</v>
      </c>
      <c r="C24">
        <v>33</v>
      </c>
      <c r="D24" t="s">
        <v>16</v>
      </c>
      <c r="E24" s="6">
        <v>44129</v>
      </c>
      <c r="F24" t="s">
        <v>12</v>
      </c>
      <c r="G24" s="22">
        <v>96140</v>
      </c>
      <c r="H24" t="s">
        <v>205</v>
      </c>
      <c r="I24" s="7">
        <f ca="1">(TODAY()-staff[[#This Row],[Date Joined]])/365</f>
        <v>2.6876712328767125</v>
      </c>
      <c r="J24">
        <f t="shared" ca="1" si="0"/>
        <v>2884.2</v>
      </c>
      <c r="K24" s="41">
        <f t="shared" ca="1" si="1"/>
        <v>99024.2</v>
      </c>
      <c r="L24">
        <f>VLOOKUP('ALL Staff'!D132,Mapping!$B$2:$C$6,2,0)</f>
        <v>3</v>
      </c>
      <c r="M24" s="41"/>
      <c r="P24" s="9" t="s">
        <v>1</v>
      </c>
      <c r="Q24" s="13" t="str" cm="1">
        <f t="array" aca="1" ref="Q24:Q31" ca="1">TRANSPOSE(_xlfn.XLOOKUP(P17,staff[Name],staff[[Gender]:[Tenure]]))</f>
        <v>Female</v>
      </c>
    </row>
    <row r="25" spans="1:23" x14ac:dyDescent="0.3">
      <c r="A25" t="s">
        <v>89</v>
      </c>
      <c r="B25" t="s">
        <v>15</v>
      </c>
      <c r="C25">
        <v>27</v>
      </c>
      <c r="D25" t="s">
        <v>16</v>
      </c>
      <c r="E25" s="6">
        <v>44134</v>
      </c>
      <c r="F25" t="s">
        <v>19</v>
      </c>
      <c r="G25" s="22">
        <v>54970</v>
      </c>
      <c r="H25" t="s">
        <v>207</v>
      </c>
      <c r="I25" s="7">
        <f ca="1">(TODAY()-staff[[#This Row],[Date Joined]])/365</f>
        <v>2.6739726027397261</v>
      </c>
      <c r="J25">
        <f t="shared" ca="1" si="0"/>
        <v>1649.1</v>
      </c>
      <c r="K25" s="41">
        <f t="shared" ca="1" si="1"/>
        <v>56619.1</v>
      </c>
      <c r="L25">
        <f>VLOOKUP('ALL Staff'!D44,Mapping!$B$2:$C$6,2,0)</f>
        <v>3</v>
      </c>
      <c r="M25" s="41"/>
      <c r="P25" s="9" t="s">
        <v>3</v>
      </c>
      <c r="Q25" s="13">
        <f ca="1"/>
        <v>34</v>
      </c>
    </row>
    <row r="26" spans="1:23" x14ac:dyDescent="0.3">
      <c r="A26" t="s">
        <v>169</v>
      </c>
      <c r="B26" t="s">
        <v>8</v>
      </c>
      <c r="C26">
        <v>25</v>
      </c>
      <c r="D26" t="s">
        <v>16</v>
      </c>
      <c r="E26" s="6">
        <v>44144</v>
      </c>
      <c r="F26" t="s">
        <v>19</v>
      </c>
      <c r="G26" s="22">
        <v>92700</v>
      </c>
      <c r="H26" t="s">
        <v>205</v>
      </c>
      <c r="I26" s="7">
        <f ca="1">(TODAY()-staff[[#This Row],[Date Joined]])/365</f>
        <v>2.6465753424657534</v>
      </c>
      <c r="J26">
        <f t="shared" ca="1" si="0"/>
        <v>2781</v>
      </c>
      <c r="K26" s="41">
        <f t="shared" ca="1" si="1"/>
        <v>95481</v>
      </c>
      <c r="L26">
        <f>VLOOKUP('ALL Staff'!D130,Mapping!$B$2:$C$6,2,0)</f>
        <v>3</v>
      </c>
      <c r="M26" s="41"/>
      <c r="P26" s="9" t="s">
        <v>6</v>
      </c>
      <c r="Q26" s="13" t="str">
        <f ca="1"/>
        <v>Poor</v>
      </c>
    </row>
    <row r="27" spans="1:23" x14ac:dyDescent="0.3">
      <c r="A27" t="s">
        <v>30</v>
      </c>
      <c r="B27" t="s">
        <v>8</v>
      </c>
      <c r="C27">
        <v>31</v>
      </c>
      <c r="D27" t="s">
        <v>16</v>
      </c>
      <c r="E27" s="6">
        <v>44145</v>
      </c>
      <c r="F27" t="s">
        <v>12</v>
      </c>
      <c r="G27" s="22">
        <v>41980</v>
      </c>
      <c r="H27" t="s">
        <v>207</v>
      </c>
      <c r="I27" s="7">
        <f ca="1">(TODAY()-staff[[#This Row],[Date Joined]])/365</f>
        <v>2.6438356164383561</v>
      </c>
      <c r="J27">
        <f t="shared" ca="1" si="0"/>
        <v>1259.3999999999999</v>
      </c>
      <c r="K27" s="41">
        <f t="shared" ca="1" si="1"/>
        <v>43239.4</v>
      </c>
      <c r="L27">
        <f>VLOOKUP('ALL Staff'!D15,Mapping!$B$2:$C$6,2,0)</f>
        <v>3</v>
      </c>
      <c r="M27" s="41"/>
      <c r="P27" s="9" t="s">
        <v>219</v>
      </c>
      <c r="Q27" s="14">
        <f ca="1"/>
        <v>44660</v>
      </c>
    </row>
    <row r="28" spans="1:23" x14ac:dyDescent="0.3">
      <c r="A28" t="s">
        <v>49</v>
      </c>
      <c r="B28" t="s">
        <v>206</v>
      </c>
      <c r="C28">
        <v>37</v>
      </c>
      <c r="D28" t="s">
        <v>24</v>
      </c>
      <c r="E28" s="6">
        <v>44146</v>
      </c>
      <c r="F28" t="s">
        <v>21</v>
      </c>
      <c r="G28" s="22">
        <v>115440</v>
      </c>
      <c r="H28" t="s">
        <v>207</v>
      </c>
      <c r="I28" s="7">
        <f ca="1">(TODAY()-staff[[#This Row],[Date Joined]])/365</f>
        <v>2.6410958904109587</v>
      </c>
      <c r="J28">
        <f t="shared" ca="1" si="0"/>
        <v>3463.2</v>
      </c>
      <c r="K28" s="41">
        <f t="shared" ca="1" si="1"/>
        <v>118903.2</v>
      </c>
      <c r="L28">
        <f>VLOOKUP('ALL Staff'!D176,Mapping!$B$2:$C$6,2,0)</f>
        <v>3</v>
      </c>
      <c r="M28" s="41"/>
      <c r="P28" s="9" t="s">
        <v>2</v>
      </c>
      <c r="Q28" s="13" t="str">
        <f ca="1"/>
        <v>Sales</v>
      </c>
    </row>
    <row r="29" spans="1:23" x14ac:dyDescent="0.3">
      <c r="A29" t="s">
        <v>61</v>
      </c>
      <c r="B29" t="s">
        <v>8</v>
      </c>
      <c r="C29">
        <v>24</v>
      </c>
      <c r="D29" t="s">
        <v>16</v>
      </c>
      <c r="E29" s="6">
        <v>44148</v>
      </c>
      <c r="F29" t="s">
        <v>12</v>
      </c>
      <c r="G29" s="22">
        <v>62780</v>
      </c>
      <c r="H29" t="s">
        <v>207</v>
      </c>
      <c r="I29" s="7">
        <f ca="1">(TODAY()-staff[[#This Row],[Date Joined]])/365</f>
        <v>2.6356164383561644</v>
      </c>
      <c r="J29">
        <f t="shared" ca="1" si="0"/>
        <v>1883.3999999999999</v>
      </c>
      <c r="K29" s="41">
        <f t="shared" ca="1" si="1"/>
        <v>64663.4</v>
      </c>
      <c r="L29">
        <f>VLOOKUP('ALL Staff'!D62,Mapping!$B$2:$C$6,2,0)</f>
        <v>5</v>
      </c>
      <c r="M29" s="41"/>
      <c r="P29" s="9" t="s">
        <v>5</v>
      </c>
      <c r="Q29" s="15">
        <f ca="1"/>
        <v>49630</v>
      </c>
    </row>
    <row r="30" spans="1:23" x14ac:dyDescent="0.3">
      <c r="A30" t="s">
        <v>151</v>
      </c>
      <c r="B30" t="s">
        <v>15</v>
      </c>
      <c r="C30">
        <v>26</v>
      </c>
      <c r="D30" t="s">
        <v>16</v>
      </c>
      <c r="E30" s="6">
        <v>44164</v>
      </c>
      <c r="F30" t="s">
        <v>9</v>
      </c>
      <c r="G30" s="22">
        <v>47360</v>
      </c>
      <c r="H30" t="s">
        <v>205</v>
      </c>
      <c r="I30" s="7">
        <f ca="1">(TODAY()-staff[[#This Row],[Date Joined]])/365</f>
        <v>2.591780821917808</v>
      </c>
      <c r="J30">
        <f t="shared" ca="1" si="0"/>
        <v>1420.8</v>
      </c>
      <c r="K30" s="41">
        <f t="shared" ca="1" si="1"/>
        <v>48780.800000000003</v>
      </c>
      <c r="L30">
        <f>VLOOKUP('ALL Staff'!D21,Mapping!$B$2:$C$6,2,0)</f>
        <v>3</v>
      </c>
      <c r="M30" s="41"/>
      <c r="P30" s="9" t="s">
        <v>204</v>
      </c>
      <c r="Q30" s="13" t="str">
        <f ca="1"/>
        <v>IND</v>
      </c>
    </row>
    <row r="31" spans="1:23" x14ac:dyDescent="0.3">
      <c r="A31" t="s">
        <v>40</v>
      </c>
      <c r="B31" t="s">
        <v>15</v>
      </c>
      <c r="C31">
        <v>33</v>
      </c>
      <c r="D31" t="s">
        <v>16</v>
      </c>
      <c r="E31" s="6">
        <v>44164</v>
      </c>
      <c r="F31" t="s">
        <v>9</v>
      </c>
      <c r="G31" s="22">
        <v>115920</v>
      </c>
      <c r="H31" t="s">
        <v>207</v>
      </c>
      <c r="I31" s="7">
        <f ca="1">(TODAY()-staff[[#This Row],[Date Joined]])/365</f>
        <v>2.591780821917808</v>
      </c>
      <c r="J31">
        <f t="shared" ca="1" si="0"/>
        <v>3477.6</v>
      </c>
      <c r="K31" s="41">
        <f t="shared" ca="1" si="1"/>
        <v>119397.6</v>
      </c>
      <c r="L31">
        <f>VLOOKUP('ALL Staff'!D178,Mapping!$B$2:$C$6,2,0)</f>
        <v>3</v>
      </c>
      <c r="M31" s="41"/>
      <c r="P31" s="9" t="s">
        <v>213</v>
      </c>
      <c r="Q31" s="16">
        <f ca="1"/>
        <v>1.2328767123287672</v>
      </c>
    </row>
    <row r="32" spans="1:23" x14ac:dyDescent="0.3">
      <c r="A32" t="s">
        <v>160</v>
      </c>
      <c r="B32" t="s">
        <v>15</v>
      </c>
      <c r="C32">
        <v>27</v>
      </c>
      <c r="D32" t="s">
        <v>13</v>
      </c>
      <c r="E32" s="6">
        <v>44174</v>
      </c>
      <c r="F32" t="s">
        <v>21</v>
      </c>
      <c r="G32" s="22">
        <v>91650</v>
      </c>
      <c r="H32" t="s">
        <v>205</v>
      </c>
      <c r="I32" s="7">
        <f ca="1">(TODAY()-staff[[#This Row],[Date Joined]])/365</f>
        <v>2.5643835616438357</v>
      </c>
      <c r="J32">
        <f t="shared" ca="1" si="0"/>
        <v>2749.5</v>
      </c>
      <c r="K32" s="41">
        <f t="shared" ca="1" si="1"/>
        <v>94399.5</v>
      </c>
      <c r="L32">
        <f>VLOOKUP('ALL Staff'!D126,Mapping!$B$2:$C$6,2,0)</f>
        <v>3</v>
      </c>
      <c r="M32" s="41"/>
    </row>
    <row r="33" spans="1:13" x14ac:dyDescent="0.3">
      <c r="A33" t="s">
        <v>170</v>
      </c>
      <c r="B33" t="s">
        <v>15</v>
      </c>
      <c r="C33">
        <v>21</v>
      </c>
      <c r="D33" t="s">
        <v>16</v>
      </c>
      <c r="E33" s="6">
        <v>44180</v>
      </c>
      <c r="F33" t="s">
        <v>56</v>
      </c>
      <c r="G33" s="22">
        <v>75880</v>
      </c>
      <c r="H33" t="s">
        <v>205</v>
      </c>
      <c r="I33" s="7">
        <f ca="1">(TODAY()-staff[[#This Row],[Date Joined]])/365</f>
        <v>2.547945205479452</v>
      </c>
      <c r="J33">
        <f t="shared" ca="1" si="0"/>
        <v>2276.4</v>
      </c>
      <c r="K33" s="41">
        <f t="shared" ca="1" si="1"/>
        <v>78156.399999999994</v>
      </c>
      <c r="L33">
        <f>VLOOKUP('ALL Staff'!D98,Mapping!$B$2:$C$6,2,0)</f>
        <v>4</v>
      </c>
      <c r="M33" s="41"/>
    </row>
    <row r="34" spans="1:13" x14ac:dyDescent="0.3">
      <c r="A34" t="s">
        <v>87</v>
      </c>
      <c r="B34" t="s">
        <v>15</v>
      </c>
      <c r="C34">
        <v>29</v>
      </c>
      <c r="D34" t="s">
        <v>24</v>
      </c>
      <c r="E34" s="6">
        <v>44180</v>
      </c>
      <c r="F34" t="s">
        <v>12</v>
      </c>
      <c r="G34" s="22">
        <v>112110</v>
      </c>
      <c r="H34" t="s">
        <v>207</v>
      </c>
      <c r="I34" s="7">
        <f ca="1">(TODAY()-staff[[#This Row],[Date Joined]])/365</f>
        <v>2.547945205479452</v>
      </c>
      <c r="J34">
        <f t="shared" ref="J34:J65" ca="1" si="2">IF(I34&gt;2,3%*G34,2%*G34)</f>
        <v>3363.2999999999997</v>
      </c>
      <c r="K34" s="41">
        <f t="shared" ref="K34:K65" ca="1" si="3">G34+J34</f>
        <v>115473.3</v>
      </c>
      <c r="L34">
        <f>VLOOKUP('ALL Staff'!D159,Mapping!$B$2:$C$6,2,0)</f>
        <v>3</v>
      </c>
      <c r="M34" s="41"/>
    </row>
    <row r="35" spans="1:13" x14ac:dyDescent="0.3">
      <c r="A35" t="s">
        <v>171</v>
      </c>
      <c r="B35" t="s">
        <v>15</v>
      </c>
      <c r="C35">
        <v>33</v>
      </c>
      <c r="D35" t="s">
        <v>16</v>
      </c>
      <c r="E35" s="6">
        <v>44181</v>
      </c>
      <c r="F35" t="s">
        <v>21</v>
      </c>
      <c r="G35" s="22">
        <v>59430</v>
      </c>
      <c r="H35" t="s">
        <v>205</v>
      </c>
      <c r="I35" s="7">
        <f ca="1">(TODAY()-staff[[#This Row],[Date Joined]])/365</f>
        <v>2.5452054794520547</v>
      </c>
      <c r="J35">
        <f t="shared" ca="1" si="2"/>
        <v>1782.8999999999999</v>
      </c>
      <c r="K35" s="41">
        <f t="shared" ca="1" si="3"/>
        <v>61212.9</v>
      </c>
      <c r="L35">
        <f>VLOOKUP('ALL Staff'!D55,Mapping!$B$2:$C$6,2,0)</f>
        <v>3</v>
      </c>
      <c r="M35" s="41"/>
    </row>
    <row r="36" spans="1:13" x14ac:dyDescent="0.3">
      <c r="A36" t="s">
        <v>64</v>
      </c>
      <c r="B36" t="s">
        <v>15</v>
      </c>
      <c r="C36">
        <v>20</v>
      </c>
      <c r="D36" t="s">
        <v>16</v>
      </c>
      <c r="E36" s="6">
        <v>44183</v>
      </c>
      <c r="F36" t="s">
        <v>12</v>
      </c>
      <c r="G36" s="22">
        <v>112650</v>
      </c>
      <c r="H36" t="s">
        <v>207</v>
      </c>
      <c r="I36" s="7">
        <f ca="1">(TODAY()-staff[[#This Row],[Date Joined]])/365</f>
        <v>2.5397260273972604</v>
      </c>
      <c r="J36">
        <f t="shared" ca="1" si="2"/>
        <v>3379.5</v>
      </c>
      <c r="K36" s="41">
        <f t="shared" ca="1" si="3"/>
        <v>116029.5</v>
      </c>
      <c r="L36">
        <f>VLOOKUP('ALL Staff'!D164,Mapping!$B$2:$C$6,2,0)</f>
        <v>3</v>
      </c>
      <c r="M36" s="41"/>
    </row>
    <row r="37" spans="1:13" x14ac:dyDescent="0.3">
      <c r="A37" t="s">
        <v>35</v>
      </c>
      <c r="B37" t="s">
        <v>8</v>
      </c>
      <c r="C37">
        <v>28</v>
      </c>
      <c r="D37" t="s">
        <v>16</v>
      </c>
      <c r="E37" s="6">
        <v>44185</v>
      </c>
      <c r="F37" t="s">
        <v>21</v>
      </c>
      <c r="G37" s="22">
        <v>75970</v>
      </c>
      <c r="H37" t="s">
        <v>207</v>
      </c>
      <c r="I37" s="7">
        <f ca="1">(TODAY()-staff[[#This Row],[Date Joined]])/365</f>
        <v>2.5342465753424657</v>
      </c>
      <c r="J37">
        <f t="shared" ca="1" si="2"/>
        <v>2279.1</v>
      </c>
      <c r="K37" s="41">
        <f t="shared" ca="1" si="3"/>
        <v>78249.100000000006</v>
      </c>
      <c r="L37">
        <f>VLOOKUP('ALL Staff'!D101,Mapping!$B$2:$C$6,2,0)</f>
        <v>4</v>
      </c>
      <c r="M37" s="41"/>
    </row>
    <row r="38" spans="1:13" x14ac:dyDescent="0.3">
      <c r="A38" t="s">
        <v>71</v>
      </c>
      <c r="B38" t="s">
        <v>8</v>
      </c>
      <c r="C38">
        <v>33</v>
      </c>
      <c r="D38" t="s">
        <v>16</v>
      </c>
      <c r="E38" s="6">
        <v>44190</v>
      </c>
      <c r="F38" t="s">
        <v>12</v>
      </c>
      <c r="G38" s="22">
        <v>96140</v>
      </c>
      <c r="H38" t="s">
        <v>207</v>
      </c>
      <c r="I38" s="7">
        <f ca="1">(TODAY()-staff[[#This Row],[Date Joined]])/365</f>
        <v>2.5205479452054793</v>
      </c>
      <c r="J38">
        <f t="shared" ca="1" si="2"/>
        <v>2884.2</v>
      </c>
      <c r="K38" s="41">
        <f t="shared" ca="1" si="3"/>
        <v>99024.2</v>
      </c>
      <c r="L38">
        <f>VLOOKUP('ALL Staff'!D133,Mapping!$B$2:$C$6,2,0)</f>
        <v>3</v>
      </c>
      <c r="M38" s="41"/>
    </row>
    <row r="39" spans="1:13" x14ac:dyDescent="0.3">
      <c r="A39" t="s">
        <v>198</v>
      </c>
      <c r="B39" t="s">
        <v>15</v>
      </c>
      <c r="C39">
        <v>40</v>
      </c>
      <c r="D39" t="s">
        <v>16</v>
      </c>
      <c r="E39" s="6">
        <v>44204</v>
      </c>
      <c r="F39" t="s">
        <v>9</v>
      </c>
      <c r="G39" s="22">
        <v>99750</v>
      </c>
      <c r="H39" t="s">
        <v>205</v>
      </c>
      <c r="I39" s="7">
        <f ca="1">(TODAY()-staff[[#This Row],[Date Joined]])/365</f>
        <v>2.4821917808219176</v>
      </c>
      <c r="J39">
        <f t="shared" ca="1" si="2"/>
        <v>2992.5</v>
      </c>
      <c r="K39" s="41">
        <f t="shared" ca="1" si="3"/>
        <v>102742.5</v>
      </c>
      <c r="L39">
        <f>VLOOKUP('ALL Staff'!D136,Mapping!$B$2:$C$6,2,0)</f>
        <v>3</v>
      </c>
      <c r="M39" s="41"/>
    </row>
    <row r="40" spans="1:13" x14ac:dyDescent="0.3">
      <c r="A40" t="s">
        <v>77</v>
      </c>
      <c r="B40" t="s">
        <v>8</v>
      </c>
      <c r="C40">
        <v>25</v>
      </c>
      <c r="D40" t="s">
        <v>16</v>
      </c>
      <c r="E40" s="6">
        <v>44205</v>
      </c>
      <c r="F40" t="s">
        <v>19</v>
      </c>
      <c r="G40" s="22">
        <v>92700</v>
      </c>
      <c r="H40" t="s">
        <v>207</v>
      </c>
      <c r="I40" s="7">
        <f ca="1">(TODAY()-staff[[#This Row],[Date Joined]])/365</f>
        <v>2.4794520547945207</v>
      </c>
      <c r="J40">
        <f t="shared" ca="1" si="2"/>
        <v>2781</v>
      </c>
      <c r="K40" s="41">
        <f t="shared" ca="1" si="3"/>
        <v>95481</v>
      </c>
      <c r="L40">
        <f>VLOOKUP('ALL Staff'!D131,Mapping!$B$2:$C$6,2,0)</f>
        <v>3</v>
      </c>
      <c r="M40" s="41"/>
    </row>
    <row r="41" spans="1:13" x14ac:dyDescent="0.3">
      <c r="A41" t="s">
        <v>112</v>
      </c>
      <c r="B41" t="s">
        <v>206</v>
      </c>
      <c r="C41">
        <v>27</v>
      </c>
      <c r="D41" t="s">
        <v>13</v>
      </c>
      <c r="E41" s="6">
        <v>44212</v>
      </c>
      <c r="F41" t="s">
        <v>12</v>
      </c>
      <c r="G41" s="22">
        <v>90700</v>
      </c>
      <c r="H41" t="s">
        <v>205</v>
      </c>
      <c r="I41" s="7">
        <f ca="1">(TODAY()-staff[[#This Row],[Date Joined]])/365</f>
        <v>2.4602739726027396</v>
      </c>
      <c r="J41">
        <f t="shared" ca="1" si="2"/>
        <v>2721</v>
      </c>
      <c r="K41" s="41">
        <f t="shared" ca="1" si="3"/>
        <v>93421</v>
      </c>
      <c r="L41">
        <f>VLOOKUP('ALL Staff'!D122,Mapping!$B$2:$C$6,2,0)</f>
        <v>3</v>
      </c>
      <c r="M41" s="41"/>
    </row>
    <row r="42" spans="1:13" x14ac:dyDescent="0.3">
      <c r="A42" t="s">
        <v>119</v>
      </c>
      <c r="B42" t="s">
        <v>15</v>
      </c>
      <c r="C42">
        <v>30</v>
      </c>
      <c r="D42" t="s">
        <v>16</v>
      </c>
      <c r="E42" s="6">
        <v>44214</v>
      </c>
      <c r="F42" t="s">
        <v>12</v>
      </c>
      <c r="G42" s="22">
        <v>69120</v>
      </c>
      <c r="H42" t="s">
        <v>205</v>
      </c>
      <c r="I42" s="7">
        <f ca="1">(TODAY()-staff[[#This Row],[Date Joined]])/365</f>
        <v>2.4547945205479453</v>
      </c>
      <c r="J42">
        <f t="shared" ca="1" si="2"/>
        <v>2073.6</v>
      </c>
      <c r="K42" s="41">
        <f t="shared" ca="1" si="3"/>
        <v>71193.600000000006</v>
      </c>
      <c r="L42">
        <f>VLOOKUP('ALL Staff'!D80,Mapping!$B$2:$C$6,2,0)</f>
        <v>3</v>
      </c>
      <c r="M42" s="41"/>
    </row>
    <row r="43" spans="1:13" x14ac:dyDescent="0.3">
      <c r="A43" t="s">
        <v>193</v>
      </c>
      <c r="B43" t="s">
        <v>15</v>
      </c>
      <c r="C43">
        <v>19</v>
      </c>
      <c r="D43" t="s">
        <v>16</v>
      </c>
      <c r="E43" s="6">
        <v>44218</v>
      </c>
      <c r="F43" t="s">
        <v>9</v>
      </c>
      <c r="G43" s="22">
        <v>58960</v>
      </c>
      <c r="H43" t="s">
        <v>205</v>
      </c>
      <c r="I43" s="7">
        <f ca="1">(TODAY()-staff[[#This Row],[Date Joined]])/365</f>
        <v>2.4438356164383563</v>
      </c>
      <c r="J43">
        <f t="shared" ca="1" si="2"/>
        <v>1768.8</v>
      </c>
      <c r="K43" s="41">
        <f t="shared" ca="1" si="3"/>
        <v>60728.800000000003</v>
      </c>
      <c r="L43">
        <f>VLOOKUP('ALL Staff'!D53,Mapping!$B$2:$C$6,2,0)</f>
        <v>3</v>
      </c>
      <c r="M43" s="41"/>
    </row>
    <row r="44" spans="1:13" x14ac:dyDescent="0.3">
      <c r="A44" t="s">
        <v>59</v>
      </c>
      <c r="B44" t="s">
        <v>15</v>
      </c>
      <c r="C44">
        <v>26</v>
      </c>
      <c r="D44" t="s">
        <v>16</v>
      </c>
      <c r="E44" s="6">
        <v>44225</v>
      </c>
      <c r="F44" t="s">
        <v>9</v>
      </c>
      <c r="G44" s="22">
        <v>47360</v>
      </c>
      <c r="H44" t="s">
        <v>207</v>
      </c>
      <c r="I44" s="7">
        <f ca="1">(TODAY()-staff[[#This Row],[Date Joined]])/365</f>
        <v>2.4246575342465753</v>
      </c>
      <c r="J44">
        <f t="shared" ca="1" si="2"/>
        <v>1420.8</v>
      </c>
      <c r="K44" s="41">
        <f t="shared" ca="1" si="3"/>
        <v>48780.800000000003</v>
      </c>
      <c r="L44">
        <f>VLOOKUP('ALL Staff'!D22,Mapping!$B$2:$C$6,2,0)</f>
        <v>3</v>
      </c>
      <c r="M44" s="41"/>
    </row>
    <row r="45" spans="1:13" x14ac:dyDescent="0.3">
      <c r="A45" t="s">
        <v>68</v>
      </c>
      <c r="B45" t="s">
        <v>15</v>
      </c>
      <c r="C45">
        <v>27</v>
      </c>
      <c r="D45" t="s">
        <v>13</v>
      </c>
      <c r="E45" s="6">
        <v>44236</v>
      </c>
      <c r="F45" t="s">
        <v>21</v>
      </c>
      <c r="G45" s="22">
        <v>91650</v>
      </c>
      <c r="H45" t="s">
        <v>207</v>
      </c>
      <c r="I45" s="7">
        <f ca="1">(TODAY()-staff[[#This Row],[Date Joined]])/365</f>
        <v>2.3945205479452056</v>
      </c>
      <c r="J45">
        <f t="shared" ca="1" si="2"/>
        <v>2749.5</v>
      </c>
      <c r="K45" s="41">
        <f t="shared" ca="1" si="3"/>
        <v>94399.5</v>
      </c>
      <c r="L45">
        <f>VLOOKUP('ALL Staff'!D127,Mapping!$B$2:$C$6,2,0)</f>
        <v>3</v>
      </c>
      <c r="M45" s="41"/>
    </row>
    <row r="46" spans="1:13" x14ac:dyDescent="0.3">
      <c r="A46" t="s">
        <v>78</v>
      </c>
      <c r="B46" t="s">
        <v>15</v>
      </c>
      <c r="C46">
        <v>21</v>
      </c>
      <c r="D46" t="s">
        <v>16</v>
      </c>
      <c r="E46" s="6">
        <v>44242</v>
      </c>
      <c r="F46" t="s">
        <v>56</v>
      </c>
      <c r="G46" s="22">
        <v>75880</v>
      </c>
      <c r="H46" t="s">
        <v>207</v>
      </c>
      <c r="I46" s="7">
        <f ca="1">(TODAY()-staff[[#This Row],[Date Joined]])/365</f>
        <v>2.3780821917808219</v>
      </c>
      <c r="J46">
        <f t="shared" ca="1" si="2"/>
        <v>2276.4</v>
      </c>
      <c r="K46" s="41">
        <f t="shared" ca="1" si="3"/>
        <v>78156.399999999994</v>
      </c>
      <c r="L46">
        <f>VLOOKUP('ALL Staff'!D99,Mapping!$B$2:$C$6,2,0)</f>
        <v>3</v>
      </c>
      <c r="M46" s="41"/>
    </row>
    <row r="47" spans="1:13" x14ac:dyDescent="0.3">
      <c r="A47" t="s">
        <v>79</v>
      </c>
      <c r="B47" t="s">
        <v>15</v>
      </c>
      <c r="C47">
        <v>33</v>
      </c>
      <c r="D47" t="s">
        <v>16</v>
      </c>
      <c r="E47" s="6">
        <v>44243</v>
      </c>
      <c r="F47" t="s">
        <v>21</v>
      </c>
      <c r="G47" s="22">
        <v>59430</v>
      </c>
      <c r="H47" t="s">
        <v>207</v>
      </c>
      <c r="I47" s="7">
        <f ca="1">(TODAY()-staff[[#This Row],[Date Joined]])/365</f>
        <v>2.3753424657534246</v>
      </c>
      <c r="J47">
        <f t="shared" ca="1" si="2"/>
        <v>1782.8999999999999</v>
      </c>
      <c r="K47" s="41">
        <f t="shared" ca="1" si="3"/>
        <v>61212.9</v>
      </c>
      <c r="L47">
        <f>VLOOKUP('ALL Staff'!D56,Mapping!$B$2:$C$6,2,0)</f>
        <v>3</v>
      </c>
      <c r="M47" s="41"/>
    </row>
    <row r="48" spans="1:13" x14ac:dyDescent="0.3">
      <c r="A48" t="s">
        <v>188</v>
      </c>
      <c r="B48" t="s">
        <v>8</v>
      </c>
      <c r="C48">
        <v>33</v>
      </c>
      <c r="D48" t="s">
        <v>16</v>
      </c>
      <c r="E48" s="6">
        <v>44253</v>
      </c>
      <c r="F48" t="s">
        <v>12</v>
      </c>
      <c r="G48" s="22">
        <v>75280</v>
      </c>
      <c r="H48" t="s">
        <v>205</v>
      </c>
      <c r="I48" s="7">
        <f ca="1">(TODAY()-staff[[#This Row],[Date Joined]])/365</f>
        <v>2.3479452054794518</v>
      </c>
      <c r="J48">
        <f t="shared" ca="1" si="2"/>
        <v>2258.4</v>
      </c>
      <c r="K48" s="41">
        <f t="shared" ca="1" si="3"/>
        <v>77538.399999999994</v>
      </c>
      <c r="L48">
        <f>VLOOKUP('ALL Staff'!D94,Mapping!$B$2:$C$6,2,0)</f>
        <v>3</v>
      </c>
      <c r="M48" s="41"/>
    </row>
    <row r="49" spans="1:13" x14ac:dyDescent="0.3">
      <c r="A49" t="s">
        <v>126</v>
      </c>
      <c r="B49" t="s">
        <v>8</v>
      </c>
      <c r="C49">
        <v>21</v>
      </c>
      <c r="D49" t="s">
        <v>16</v>
      </c>
      <c r="E49" s="6">
        <v>44256</v>
      </c>
      <c r="F49" t="s">
        <v>21</v>
      </c>
      <c r="G49" s="22">
        <v>65920</v>
      </c>
      <c r="H49" t="s">
        <v>205</v>
      </c>
      <c r="I49" s="7">
        <f ca="1">(TODAY()-staff[[#This Row],[Date Joined]])/365</f>
        <v>2.3397260273972602</v>
      </c>
      <c r="J49">
        <f t="shared" ca="1" si="2"/>
        <v>1977.6</v>
      </c>
      <c r="K49" s="41">
        <f t="shared" ca="1" si="3"/>
        <v>67897.600000000006</v>
      </c>
      <c r="L49">
        <f>VLOOKUP('ALL Staff'!D70,Mapping!$B$2:$C$6,2,0)</f>
        <v>3</v>
      </c>
      <c r="M49" s="41"/>
    </row>
    <row r="50" spans="1:13" x14ac:dyDescent="0.3">
      <c r="A50" t="s">
        <v>105</v>
      </c>
      <c r="B50" t="s">
        <v>15</v>
      </c>
      <c r="C50">
        <v>40</v>
      </c>
      <c r="D50" t="s">
        <v>16</v>
      </c>
      <c r="E50" s="6">
        <v>44263</v>
      </c>
      <c r="F50" t="s">
        <v>9</v>
      </c>
      <c r="G50" s="22">
        <v>99750</v>
      </c>
      <c r="H50" t="s">
        <v>207</v>
      </c>
      <c r="I50" s="7">
        <f ca="1">(TODAY()-staff[[#This Row],[Date Joined]])/365</f>
        <v>2.3205479452054796</v>
      </c>
      <c r="J50">
        <f t="shared" ca="1" si="2"/>
        <v>2992.5</v>
      </c>
      <c r="K50" s="41">
        <f t="shared" ca="1" si="3"/>
        <v>102742.5</v>
      </c>
      <c r="L50">
        <f>VLOOKUP('ALL Staff'!D137,Mapping!$B$2:$C$6,2,0)</f>
        <v>4</v>
      </c>
      <c r="M50" s="41"/>
    </row>
    <row r="51" spans="1:13" x14ac:dyDescent="0.3">
      <c r="A51" t="s">
        <v>202</v>
      </c>
      <c r="B51" t="s">
        <v>8</v>
      </c>
      <c r="C51">
        <v>38</v>
      </c>
      <c r="D51" t="s">
        <v>13</v>
      </c>
      <c r="E51" s="6">
        <v>44268</v>
      </c>
      <c r="F51" t="s">
        <v>19</v>
      </c>
      <c r="G51" s="22">
        <v>56870</v>
      </c>
      <c r="H51" t="s">
        <v>205</v>
      </c>
      <c r="I51" s="7">
        <f ca="1">(TODAY()-staff[[#This Row],[Date Joined]])/365</f>
        <v>2.3068493150684932</v>
      </c>
      <c r="J51">
        <f t="shared" ca="1" si="2"/>
        <v>1706.1</v>
      </c>
      <c r="K51" s="41">
        <f t="shared" ca="1" si="3"/>
        <v>58576.1</v>
      </c>
      <c r="L51">
        <f>VLOOKUP('ALL Staff'!D45,Mapping!$B$2:$C$6,2,0)</f>
        <v>4</v>
      </c>
      <c r="M51" s="41"/>
    </row>
    <row r="52" spans="1:13" x14ac:dyDescent="0.3">
      <c r="A52" t="s">
        <v>11</v>
      </c>
      <c r="B52" t="s">
        <v>206</v>
      </c>
      <c r="C52">
        <v>26</v>
      </c>
      <c r="D52" t="s">
        <v>13</v>
      </c>
      <c r="E52" s="6">
        <v>44271</v>
      </c>
      <c r="F52" t="s">
        <v>12</v>
      </c>
      <c r="G52" s="22">
        <v>90700</v>
      </c>
      <c r="H52" t="s">
        <v>207</v>
      </c>
      <c r="I52" s="7">
        <f ca="1">(TODAY()-staff[[#This Row],[Date Joined]])/365</f>
        <v>2.2986301369863016</v>
      </c>
      <c r="J52">
        <f t="shared" ca="1" si="2"/>
        <v>2721</v>
      </c>
      <c r="K52" s="41">
        <f t="shared" ca="1" si="3"/>
        <v>93421</v>
      </c>
      <c r="L52">
        <f>VLOOKUP('ALL Staff'!D123,Mapping!$B$2:$C$6,2,0)</f>
        <v>3</v>
      </c>
      <c r="M52" s="41"/>
    </row>
    <row r="53" spans="1:13" x14ac:dyDescent="0.3">
      <c r="A53" t="s">
        <v>187</v>
      </c>
      <c r="B53" t="s">
        <v>15</v>
      </c>
      <c r="C53">
        <v>36</v>
      </c>
      <c r="D53" t="s">
        <v>16</v>
      </c>
      <c r="E53" s="6">
        <v>44272</v>
      </c>
      <c r="F53" t="s">
        <v>21</v>
      </c>
      <c r="G53" s="22">
        <v>71380</v>
      </c>
      <c r="H53" t="s">
        <v>205</v>
      </c>
      <c r="I53" s="7">
        <f ca="1">(TODAY()-staff[[#This Row],[Date Joined]])/365</f>
        <v>2.2958904109589042</v>
      </c>
      <c r="J53">
        <f t="shared" ca="1" si="2"/>
        <v>2141.4</v>
      </c>
      <c r="K53" s="41">
        <f t="shared" ca="1" si="3"/>
        <v>73521.399999999994</v>
      </c>
      <c r="L53">
        <f>VLOOKUP('ALL Staff'!D88,Mapping!$B$2:$C$6,2,0)</f>
        <v>3</v>
      </c>
      <c r="M53" s="41"/>
    </row>
    <row r="54" spans="1:13" x14ac:dyDescent="0.3">
      <c r="A54" t="s">
        <v>25</v>
      </c>
      <c r="B54" t="s">
        <v>15</v>
      </c>
      <c r="C54">
        <v>30</v>
      </c>
      <c r="D54" t="s">
        <v>16</v>
      </c>
      <c r="E54" s="6">
        <v>44273</v>
      </c>
      <c r="F54" t="s">
        <v>12</v>
      </c>
      <c r="G54" s="22">
        <v>69120</v>
      </c>
      <c r="H54" t="s">
        <v>207</v>
      </c>
      <c r="I54" s="7">
        <f ca="1">(TODAY()-staff[[#This Row],[Date Joined]])/365</f>
        <v>2.2931506849315069</v>
      </c>
      <c r="J54">
        <f t="shared" ca="1" si="2"/>
        <v>2073.6</v>
      </c>
      <c r="K54" s="41">
        <f t="shared" ca="1" si="3"/>
        <v>71193.600000000006</v>
      </c>
      <c r="L54">
        <f>VLOOKUP('ALL Staff'!D81,Mapping!$B$2:$C$6,2,0)</f>
        <v>3</v>
      </c>
      <c r="M54" s="41"/>
    </row>
    <row r="55" spans="1:13" x14ac:dyDescent="0.3">
      <c r="A55" t="s">
        <v>166</v>
      </c>
      <c r="B55" t="s">
        <v>8</v>
      </c>
      <c r="C55">
        <v>40</v>
      </c>
      <c r="D55" t="s">
        <v>16</v>
      </c>
      <c r="E55" s="6">
        <v>44276</v>
      </c>
      <c r="F55" t="s">
        <v>12</v>
      </c>
      <c r="G55" s="22">
        <v>87620</v>
      </c>
      <c r="H55" t="s">
        <v>205</v>
      </c>
      <c r="I55" s="7">
        <f ca="1">(TODAY()-staff[[#This Row],[Date Joined]])/365</f>
        <v>2.2849315068493152</v>
      </c>
      <c r="J55">
        <f t="shared" ca="1" si="2"/>
        <v>2628.6</v>
      </c>
      <c r="K55" s="41">
        <f t="shared" ca="1" si="3"/>
        <v>90248.6</v>
      </c>
      <c r="L55">
        <f>VLOOKUP('ALL Staff'!D118,Mapping!$B$2:$C$6,2,0)</f>
        <v>3</v>
      </c>
      <c r="M55" s="41"/>
    </row>
    <row r="56" spans="1:13" x14ac:dyDescent="0.3">
      <c r="A56" t="s">
        <v>100</v>
      </c>
      <c r="B56" t="s">
        <v>15</v>
      </c>
      <c r="C56">
        <v>19</v>
      </c>
      <c r="D56" t="s">
        <v>16</v>
      </c>
      <c r="E56" s="6">
        <v>44277</v>
      </c>
      <c r="F56" t="s">
        <v>9</v>
      </c>
      <c r="G56" s="22">
        <v>58960</v>
      </c>
      <c r="H56" t="s">
        <v>207</v>
      </c>
      <c r="I56" s="7">
        <f ca="1">(TODAY()-staff[[#This Row],[Date Joined]])/365</f>
        <v>2.2821917808219179</v>
      </c>
      <c r="J56">
        <f t="shared" ca="1" si="2"/>
        <v>1768.8</v>
      </c>
      <c r="K56" s="41">
        <f t="shared" ca="1" si="3"/>
        <v>60728.800000000003</v>
      </c>
      <c r="L56">
        <f>VLOOKUP('ALL Staff'!D54,Mapping!$B$2:$C$6,2,0)</f>
        <v>3</v>
      </c>
      <c r="M56" s="41"/>
    </row>
    <row r="57" spans="1:13" x14ac:dyDescent="0.3">
      <c r="A57" t="s">
        <v>118</v>
      </c>
      <c r="B57" t="s">
        <v>15</v>
      </c>
      <c r="C57">
        <v>37</v>
      </c>
      <c r="D57" t="s">
        <v>24</v>
      </c>
      <c r="E57" s="6">
        <v>44277</v>
      </c>
      <c r="F57" t="s">
        <v>12</v>
      </c>
      <c r="G57" s="22">
        <v>88050</v>
      </c>
      <c r="H57" t="s">
        <v>205</v>
      </c>
      <c r="I57" s="7">
        <f ca="1">(TODAY()-staff[[#This Row],[Date Joined]])/365</f>
        <v>2.2821917808219179</v>
      </c>
      <c r="J57">
        <f t="shared" ca="1" si="2"/>
        <v>2641.5</v>
      </c>
      <c r="K57" s="41">
        <f t="shared" ca="1" si="3"/>
        <v>90691.5</v>
      </c>
      <c r="L57">
        <f>VLOOKUP('ALL Staff'!D120,Mapping!$B$2:$C$6,2,0)</f>
        <v>3</v>
      </c>
      <c r="M57" s="41"/>
    </row>
    <row r="58" spans="1:13" x14ac:dyDescent="0.3">
      <c r="A58" t="s">
        <v>176</v>
      </c>
      <c r="B58" t="s">
        <v>8</v>
      </c>
      <c r="C58">
        <v>32</v>
      </c>
      <c r="D58" t="s">
        <v>13</v>
      </c>
      <c r="E58" s="6">
        <v>44293</v>
      </c>
      <c r="F58" t="s">
        <v>12</v>
      </c>
      <c r="G58" s="22">
        <v>65000</v>
      </c>
      <c r="H58" t="s">
        <v>205</v>
      </c>
      <c r="I58" s="7">
        <f ca="1">(TODAY()-staff[[#This Row],[Date Joined]])/365</f>
        <v>2.2383561643835614</v>
      </c>
      <c r="J58">
        <f t="shared" ca="1" si="2"/>
        <v>1950</v>
      </c>
      <c r="K58" s="41">
        <f t="shared" ca="1" si="3"/>
        <v>66950</v>
      </c>
      <c r="L58">
        <f>VLOOKUP('ALL Staff'!D65,Mapping!$B$2:$C$6,2,0)</f>
        <v>3</v>
      </c>
      <c r="M58" s="41"/>
    </row>
    <row r="59" spans="1:13" x14ac:dyDescent="0.3">
      <c r="A59" t="s">
        <v>167</v>
      </c>
      <c r="B59" t="s">
        <v>8</v>
      </c>
      <c r="C59">
        <v>28</v>
      </c>
      <c r="D59" t="s">
        <v>16</v>
      </c>
      <c r="E59" s="6">
        <v>44296</v>
      </c>
      <c r="F59" t="s">
        <v>19</v>
      </c>
      <c r="G59" s="22">
        <v>53240</v>
      </c>
      <c r="H59" t="s">
        <v>205</v>
      </c>
      <c r="I59" s="7">
        <f ca="1">(TODAY()-staff[[#This Row],[Date Joined]])/365</f>
        <v>2.2301369863013698</v>
      </c>
      <c r="J59">
        <f t="shared" ca="1" si="2"/>
        <v>1597.2</v>
      </c>
      <c r="K59" s="41">
        <f t="shared" ca="1" si="3"/>
        <v>54837.2</v>
      </c>
      <c r="L59">
        <f>VLOOKUP('ALL Staff'!D35,Mapping!$B$2:$C$6,2,0)</f>
        <v>3</v>
      </c>
      <c r="M59" s="41"/>
    </row>
    <row r="60" spans="1:13" x14ac:dyDescent="0.3">
      <c r="A60" t="s">
        <v>95</v>
      </c>
      <c r="B60" t="s">
        <v>8</v>
      </c>
      <c r="C60">
        <v>33</v>
      </c>
      <c r="D60" t="s">
        <v>16</v>
      </c>
      <c r="E60" s="6">
        <v>44312</v>
      </c>
      <c r="F60" t="s">
        <v>12</v>
      </c>
      <c r="G60" s="22">
        <v>75280</v>
      </c>
      <c r="H60" t="s">
        <v>207</v>
      </c>
      <c r="I60" s="7">
        <f ca="1">(TODAY()-staff[[#This Row],[Date Joined]])/365</f>
        <v>2.1863013698630138</v>
      </c>
      <c r="J60">
        <f t="shared" ca="1" si="2"/>
        <v>2258.4</v>
      </c>
      <c r="K60" s="41">
        <f t="shared" ca="1" si="3"/>
        <v>77538.399999999994</v>
      </c>
      <c r="L60">
        <f>VLOOKUP('ALL Staff'!D95,Mapping!$B$2:$C$6,2,0)</f>
        <v>2</v>
      </c>
      <c r="M60" s="41"/>
    </row>
    <row r="61" spans="1:13" x14ac:dyDescent="0.3">
      <c r="A61" t="s">
        <v>135</v>
      </c>
      <c r="B61" t="s">
        <v>8</v>
      </c>
      <c r="C61">
        <v>33</v>
      </c>
      <c r="D61" t="s">
        <v>42</v>
      </c>
      <c r="E61" s="6">
        <v>44313</v>
      </c>
      <c r="F61" t="s">
        <v>12</v>
      </c>
      <c r="G61" s="22">
        <v>75480</v>
      </c>
      <c r="H61" t="s">
        <v>205</v>
      </c>
      <c r="I61" s="7">
        <f ca="1">(TODAY()-staff[[#This Row],[Date Joined]])/365</f>
        <v>2.1835616438356165</v>
      </c>
      <c r="J61">
        <f t="shared" ca="1" si="2"/>
        <v>2264.4</v>
      </c>
      <c r="K61" s="41">
        <f t="shared" ca="1" si="3"/>
        <v>77744.399999999994</v>
      </c>
      <c r="L61">
        <f>VLOOKUP('ALL Staff'!D96,Mapping!$B$2:$C$6,2,0)</f>
        <v>3</v>
      </c>
      <c r="M61" s="41"/>
    </row>
    <row r="62" spans="1:13" x14ac:dyDescent="0.3">
      <c r="A62" t="s">
        <v>127</v>
      </c>
      <c r="B62" t="s">
        <v>8</v>
      </c>
      <c r="C62">
        <v>38</v>
      </c>
      <c r="D62" t="s">
        <v>10</v>
      </c>
      <c r="E62" s="6">
        <v>44316</v>
      </c>
      <c r="F62" t="s">
        <v>19</v>
      </c>
      <c r="G62" s="22">
        <v>109160</v>
      </c>
      <c r="H62" t="s">
        <v>205</v>
      </c>
      <c r="I62" s="7">
        <f ca="1">(TODAY()-staff[[#This Row],[Date Joined]])/365</f>
        <v>2.1753424657534248</v>
      </c>
      <c r="J62">
        <f t="shared" ca="1" si="2"/>
        <v>3274.7999999999997</v>
      </c>
      <c r="K62" s="41">
        <f t="shared" ca="1" si="3"/>
        <v>112434.8</v>
      </c>
      <c r="L62">
        <f>VLOOKUP('ALL Staff'!D154,Mapping!$B$2:$C$6,2,0)</f>
        <v>3</v>
      </c>
      <c r="M62" s="41"/>
    </row>
    <row r="63" spans="1:13" x14ac:dyDescent="0.3">
      <c r="A63" t="s">
        <v>32</v>
      </c>
      <c r="B63" t="s">
        <v>8</v>
      </c>
      <c r="C63">
        <v>21</v>
      </c>
      <c r="D63" t="s">
        <v>16</v>
      </c>
      <c r="E63" s="6">
        <v>44317</v>
      </c>
      <c r="F63" t="s">
        <v>21</v>
      </c>
      <c r="G63" s="22">
        <v>65920</v>
      </c>
      <c r="H63" t="s">
        <v>207</v>
      </c>
      <c r="I63" s="7">
        <f ca="1">(TODAY()-staff[[#This Row],[Date Joined]])/365</f>
        <v>2.1726027397260275</v>
      </c>
      <c r="J63">
        <f t="shared" ca="1" si="2"/>
        <v>1977.6</v>
      </c>
      <c r="K63" s="41">
        <f t="shared" ca="1" si="3"/>
        <v>67897.600000000006</v>
      </c>
      <c r="L63">
        <f>VLOOKUP('ALL Staff'!D71,Mapping!$B$2:$C$6,2,0)</f>
        <v>2</v>
      </c>
      <c r="M63" s="41"/>
    </row>
    <row r="64" spans="1:13" x14ac:dyDescent="0.3">
      <c r="A64" t="s">
        <v>194</v>
      </c>
      <c r="B64" t="s">
        <v>8</v>
      </c>
      <c r="C64">
        <v>40</v>
      </c>
      <c r="D64" t="s">
        <v>16</v>
      </c>
      <c r="E64" s="6">
        <v>44320</v>
      </c>
      <c r="F64" t="s">
        <v>12</v>
      </c>
      <c r="G64" s="22">
        <v>104410</v>
      </c>
      <c r="H64" t="s">
        <v>205</v>
      </c>
      <c r="I64" s="7">
        <f ca="1">(TODAY()-staff[[#This Row],[Date Joined]])/365</f>
        <v>2.1643835616438358</v>
      </c>
      <c r="J64">
        <f t="shared" ca="1" si="2"/>
        <v>3132.2999999999997</v>
      </c>
      <c r="K64" s="41">
        <f t="shared" ca="1" si="3"/>
        <v>107542.3</v>
      </c>
      <c r="L64">
        <f>VLOOKUP('ALL Staff'!D146,Mapping!$B$2:$C$6,2,0)</f>
        <v>3</v>
      </c>
      <c r="M64" s="41"/>
    </row>
    <row r="65" spans="1:13" x14ac:dyDescent="0.3">
      <c r="A65" t="s">
        <v>168</v>
      </c>
      <c r="B65" t="s">
        <v>15</v>
      </c>
      <c r="C65">
        <v>25</v>
      </c>
      <c r="D65" t="s">
        <v>16</v>
      </c>
      <c r="E65" s="6">
        <v>44322</v>
      </c>
      <c r="F65" t="s">
        <v>19</v>
      </c>
      <c r="G65" s="22">
        <v>65700</v>
      </c>
      <c r="H65" t="s">
        <v>205</v>
      </c>
      <c r="I65" s="7">
        <f ca="1">(TODAY()-staff[[#This Row],[Date Joined]])/365</f>
        <v>2.1589041095890411</v>
      </c>
      <c r="J65">
        <f t="shared" ca="1" si="2"/>
        <v>1971</v>
      </c>
      <c r="K65" s="41">
        <f t="shared" ca="1" si="3"/>
        <v>67671</v>
      </c>
      <c r="L65">
        <f>VLOOKUP('ALL Staff'!D68,Mapping!$B$2:$C$6,2,0)</f>
        <v>4</v>
      </c>
      <c r="M65" s="41"/>
    </row>
    <row r="66" spans="1:13" x14ac:dyDescent="0.3">
      <c r="A66" t="s">
        <v>115</v>
      </c>
      <c r="B66" t="s">
        <v>15</v>
      </c>
      <c r="C66">
        <v>33</v>
      </c>
      <c r="D66" t="s">
        <v>16</v>
      </c>
      <c r="E66" s="6">
        <v>44324</v>
      </c>
      <c r="F66" t="s">
        <v>19</v>
      </c>
      <c r="G66" s="22">
        <v>74550</v>
      </c>
      <c r="H66" t="s">
        <v>205</v>
      </c>
      <c r="I66" s="7">
        <f ca="1">(TODAY()-staff[[#This Row],[Date Joined]])/365</f>
        <v>2.1534246575342464</v>
      </c>
      <c r="J66">
        <f t="shared" ref="J66:J97" ca="1" si="4">IF(I66&gt;2,3%*G66,2%*G66)</f>
        <v>2236.5</v>
      </c>
      <c r="K66" s="41">
        <f t="shared" ref="K66:K97" ca="1" si="5">G66+J66</f>
        <v>76786.5</v>
      </c>
      <c r="L66">
        <f>VLOOKUP('ALL Staff'!D90,Mapping!$B$2:$C$6,2,0)</f>
        <v>3</v>
      </c>
      <c r="M66" s="41"/>
    </row>
    <row r="67" spans="1:13" x14ac:dyDescent="0.3">
      <c r="A67" t="s">
        <v>121</v>
      </c>
      <c r="B67" t="s">
        <v>8</v>
      </c>
      <c r="C67">
        <v>30</v>
      </c>
      <c r="D67" t="s">
        <v>24</v>
      </c>
      <c r="E67" s="6">
        <v>44328</v>
      </c>
      <c r="F67" t="s">
        <v>21</v>
      </c>
      <c r="G67" s="22">
        <v>67910</v>
      </c>
      <c r="H67" t="s">
        <v>205</v>
      </c>
      <c r="I67" s="7">
        <f ca="1">(TODAY()-staff[[#This Row],[Date Joined]])/365</f>
        <v>2.1424657534246574</v>
      </c>
      <c r="J67">
        <f t="shared" ca="1" si="4"/>
        <v>2037.3</v>
      </c>
      <c r="K67" s="41">
        <f t="shared" ca="1" si="5"/>
        <v>69947.3</v>
      </c>
      <c r="L67">
        <f>VLOOKUP('ALL Staff'!D72,Mapping!$B$2:$C$6,2,0)</f>
        <v>3</v>
      </c>
      <c r="M67" s="41"/>
    </row>
    <row r="68" spans="1:13" x14ac:dyDescent="0.3">
      <c r="A68" t="s">
        <v>109</v>
      </c>
      <c r="B68" t="s">
        <v>8</v>
      </c>
      <c r="C68">
        <v>38</v>
      </c>
      <c r="D68" t="s">
        <v>13</v>
      </c>
      <c r="E68" s="6">
        <v>44329</v>
      </c>
      <c r="F68" t="s">
        <v>19</v>
      </c>
      <c r="G68" s="22">
        <v>56870</v>
      </c>
      <c r="H68" t="s">
        <v>207</v>
      </c>
      <c r="I68" s="7">
        <f ca="1">(TODAY()-staff[[#This Row],[Date Joined]])/365</f>
        <v>2.1397260273972605</v>
      </c>
      <c r="J68">
        <f t="shared" ca="1" si="4"/>
        <v>1706.1</v>
      </c>
      <c r="K68" s="41">
        <f t="shared" ca="1" si="5"/>
        <v>58576.1</v>
      </c>
      <c r="L68">
        <f>VLOOKUP('ALL Staff'!D46,Mapping!$B$2:$C$6,2,0)</f>
        <v>3</v>
      </c>
      <c r="M68" s="41"/>
    </row>
    <row r="69" spans="1:13" x14ac:dyDescent="0.3">
      <c r="A69" t="s">
        <v>94</v>
      </c>
      <c r="B69" t="s">
        <v>15</v>
      </c>
      <c r="C69">
        <v>36</v>
      </c>
      <c r="D69" t="s">
        <v>16</v>
      </c>
      <c r="E69" s="6">
        <v>44333</v>
      </c>
      <c r="F69" t="s">
        <v>21</v>
      </c>
      <c r="G69" s="22">
        <v>71380</v>
      </c>
      <c r="H69" t="s">
        <v>207</v>
      </c>
      <c r="I69" s="7">
        <f ca="1">(TODAY()-staff[[#This Row],[Date Joined]])/365</f>
        <v>2.128767123287671</v>
      </c>
      <c r="J69">
        <f t="shared" ca="1" si="4"/>
        <v>2141.4</v>
      </c>
      <c r="K69" s="41">
        <f t="shared" ca="1" si="5"/>
        <v>73521.399999999994</v>
      </c>
      <c r="L69">
        <f>VLOOKUP('ALL Staff'!D89,Mapping!$B$2:$C$6,2,0)</f>
        <v>3</v>
      </c>
      <c r="M69" s="41"/>
    </row>
    <row r="70" spans="1:13" x14ac:dyDescent="0.3">
      <c r="A70" t="s">
        <v>74</v>
      </c>
      <c r="B70" t="s">
        <v>8</v>
      </c>
      <c r="C70">
        <v>40</v>
      </c>
      <c r="D70" t="s">
        <v>16</v>
      </c>
      <c r="E70" s="6">
        <v>44337</v>
      </c>
      <c r="F70" t="s">
        <v>12</v>
      </c>
      <c r="G70" s="22">
        <v>87620</v>
      </c>
      <c r="H70" t="s">
        <v>207</v>
      </c>
      <c r="I70" s="7">
        <f ca="1">(TODAY()-staff[[#This Row],[Date Joined]])/365</f>
        <v>2.117808219178082</v>
      </c>
      <c r="J70">
        <f t="shared" ca="1" si="4"/>
        <v>2628.6</v>
      </c>
      <c r="K70" s="41">
        <f t="shared" ca="1" si="5"/>
        <v>90248.6</v>
      </c>
      <c r="L70">
        <f>VLOOKUP('ALL Staff'!D119,Mapping!$B$2:$C$6,2,0)</f>
        <v>3</v>
      </c>
      <c r="M70" s="41"/>
    </row>
    <row r="71" spans="1:13" x14ac:dyDescent="0.3">
      <c r="A71" t="s">
        <v>23</v>
      </c>
      <c r="B71" t="s">
        <v>15</v>
      </c>
      <c r="C71">
        <v>37</v>
      </c>
      <c r="D71" t="s">
        <v>24</v>
      </c>
      <c r="E71" s="6">
        <v>44338</v>
      </c>
      <c r="F71" t="s">
        <v>12</v>
      </c>
      <c r="G71" s="22">
        <v>88050</v>
      </c>
      <c r="H71" t="s">
        <v>207</v>
      </c>
      <c r="I71" s="7">
        <f ca="1">(TODAY()-staff[[#This Row],[Date Joined]])/365</f>
        <v>2.1150684931506851</v>
      </c>
      <c r="J71">
        <f t="shared" ca="1" si="4"/>
        <v>2641.5</v>
      </c>
      <c r="K71" s="41">
        <f t="shared" ca="1" si="5"/>
        <v>90691.5</v>
      </c>
      <c r="L71">
        <f>VLOOKUP('ALL Staff'!D121,Mapping!$B$2:$C$6,2,0)</f>
        <v>3</v>
      </c>
      <c r="M71" s="41"/>
    </row>
    <row r="72" spans="1:13" x14ac:dyDescent="0.3">
      <c r="A72" t="s">
        <v>201</v>
      </c>
      <c r="B72" t="s">
        <v>8</v>
      </c>
      <c r="C72">
        <v>32</v>
      </c>
      <c r="D72" t="s">
        <v>16</v>
      </c>
      <c r="E72" s="6">
        <v>44339</v>
      </c>
      <c r="F72" t="s">
        <v>56</v>
      </c>
      <c r="G72" s="22">
        <v>45510</v>
      </c>
      <c r="H72" t="s">
        <v>205</v>
      </c>
      <c r="I72" s="7">
        <f ca="1">(TODAY()-staff[[#This Row],[Date Joined]])/365</f>
        <v>2.1123287671232878</v>
      </c>
      <c r="J72">
        <f t="shared" ca="1" si="4"/>
        <v>1365.3</v>
      </c>
      <c r="K72" s="41">
        <f t="shared" ca="1" si="5"/>
        <v>46875.3</v>
      </c>
      <c r="L72">
        <f>VLOOKUP('ALL Staff'!D19,Mapping!$B$2:$C$6,2,0)</f>
        <v>3</v>
      </c>
      <c r="M72" s="41"/>
    </row>
    <row r="73" spans="1:13" x14ac:dyDescent="0.3">
      <c r="A73" t="s">
        <v>139</v>
      </c>
      <c r="B73" t="s">
        <v>15</v>
      </c>
      <c r="C73">
        <v>26</v>
      </c>
      <c r="D73" t="s">
        <v>16</v>
      </c>
      <c r="E73" s="6">
        <v>44350</v>
      </c>
      <c r="F73" t="s">
        <v>9</v>
      </c>
      <c r="G73" s="22">
        <v>53540</v>
      </c>
      <c r="H73" t="s">
        <v>205</v>
      </c>
      <c r="I73" s="7">
        <f ca="1">(TODAY()-staff[[#This Row],[Date Joined]])/365</f>
        <v>2.0821917808219177</v>
      </c>
      <c r="J73">
        <f t="shared" ca="1" si="4"/>
        <v>1606.2</v>
      </c>
      <c r="K73" s="41">
        <f t="shared" ca="1" si="5"/>
        <v>55146.2</v>
      </c>
      <c r="L73">
        <f>VLOOKUP('ALL Staff'!D38,Mapping!$B$2:$C$6,2,0)</f>
        <v>3</v>
      </c>
      <c r="M73" s="41"/>
    </row>
    <row r="74" spans="1:13" x14ac:dyDescent="0.3">
      <c r="A74" t="s">
        <v>84</v>
      </c>
      <c r="B74" t="s">
        <v>8</v>
      </c>
      <c r="C74">
        <v>32</v>
      </c>
      <c r="D74" t="s">
        <v>13</v>
      </c>
      <c r="E74" s="6">
        <v>44354</v>
      </c>
      <c r="F74" t="s">
        <v>12</v>
      </c>
      <c r="G74" s="22">
        <v>43840</v>
      </c>
      <c r="H74" t="s">
        <v>207</v>
      </c>
      <c r="I74" s="7">
        <f ca="1">(TODAY()-staff[[#This Row],[Date Joined]])/365</f>
        <v>2.0712328767123287</v>
      </c>
      <c r="J74">
        <f t="shared" ca="1" si="4"/>
        <v>1315.2</v>
      </c>
      <c r="K74" s="41">
        <f t="shared" ca="1" si="5"/>
        <v>45155.199999999997</v>
      </c>
      <c r="L74">
        <f>VLOOKUP('ALL Staff'!D18,Mapping!$B$2:$C$6,2,0)</f>
        <v>3</v>
      </c>
      <c r="M74" s="41"/>
    </row>
    <row r="75" spans="1:13" x14ac:dyDescent="0.3">
      <c r="A75" t="s">
        <v>75</v>
      </c>
      <c r="B75" t="s">
        <v>8</v>
      </c>
      <c r="C75">
        <v>28</v>
      </c>
      <c r="D75" t="s">
        <v>16</v>
      </c>
      <c r="E75" s="6">
        <v>44357</v>
      </c>
      <c r="F75" t="s">
        <v>19</v>
      </c>
      <c r="G75" s="22">
        <v>53240</v>
      </c>
      <c r="H75" t="s">
        <v>207</v>
      </c>
      <c r="I75" s="7">
        <f ca="1">(TODAY()-staff[[#This Row],[Date Joined]])/365</f>
        <v>2.0630136986301371</v>
      </c>
      <c r="J75">
        <f t="shared" ca="1" si="4"/>
        <v>1597.2</v>
      </c>
      <c r="K75" s="41">
        <f t="shared" ca="1" si="5"/>
        <v>54837.2</v>
      </c>
      <c r="L75">
        <f>VLOOKUP('ALL Staff'!D36,Mapping!$B$2:$C$6,2,0)</f>
        <v>3</v>
      </c>
      <c r="M75" s="41"/>
    </row>
    <row r="76" spans="1:13" x14ac:dyDescent="0.3">
      <c r="A76" t="s">
        <v>41</v>
      </c>
      <c r="B76" t="s">
        <v>8</v>
      </c>
      <c r="C76">
        <v>33</v>
      </c>
      <c r="D76" t="s">
        <v>42</v>
      </c>
      <c r="E76" s="6">
        <v>44374</v>
      </c>
      <c r="F76" t="s">
        <v>12</v>
      </c>
      <c r="G76" s="22">
        <v>75480</v>
      </c>
      <c r="H76" t="s">
        <v>207</v>
      </c>
      <c r="I76" s="7">
        <f ca="1">(TODAY()-staff[[#This Row],[Date Joined]])/365</f>
        <v>2.0164383561643837</v>
      </c>
      <c r="J76">
        <f t="shared" ca="1" si="4"/>
        <v>2264.4</v>
      </c>
      <c r="K76" s="41">
        <f t="shared" ca="1" si="5"/>
        <v>77744.399999999994</v>
      </c>
      <c r="L76">
        <f>VLOOKUP('ALL Staff'!D97,Mapping!$B$2:$C$6,2,0)</f>
        <v>3</v>
      </c>
      <c r="M76" s="41"/>
    </row>
    <row r="77" spans="1:13" x14ac:dyDescent="0.3">
      <c r="A77" t="s">
        <v>155</v>
      </c>
      <c r="B77" t="s">
        <v>15</v>
      </c>
      <c r="C77">
        <v>24</v>
      </c>
      <c r="D77" t="s">
        <v>24</v>
      </c>
      <c r="E77" s="6">
        <v>44375</v>
      </c>
      <c r="F77" t="s">
        <v>21</v>
      </c>
      <c r="G77" s="22">
        <v>52610</v>
      </c>
      <c r="H77" t="s">
        <v>205</v>
      </c>
      <c r="I77" s="7">
        <f ca="1">(TODAY()-staff[[#This Row],[Date Joined]])/365</f>
        <v>2.0136986301369864</v>
      </c>
      <c r="J77">
        <f t="shared" ca="1" si="4"/>
        <v>1578.3</v>
      </c>
      <c r="K77" s="41">
        <f t="shared" ca="1" si="5"/>
        <v>54188.3</v>
      </c>
      <c r="L77">
        <f>VLOOKUP('ALL Staff'!D33,Mapping!$B$2:$C$6,2,0)</f>
        <v>3</v>
      </c>
      <c r="M77" s="41"/>
    </row>
    <row r="78" spans="1:13" x14ac:dyDescent="0.3">
      <c r="A78" t="s">
        <v>33</v>
      </c>
      <c r="B78" t="s">
        <v>8</v>
      </c>
      <c r="C78">
        <v>38</v>
      </c>
      <c r="D78" t="s">
        <v>10</v>
      </c>
      <c r="E78" s="6">
        <v>44377</v>
      </c>
      <c r="F78" t="s">
        <v>19</v>
      </c>
      <c r="G78" s="22">
        <v>109160</v>
      </c>
      <c r="H78" t="s">
        <v>207</v>
      </c>
      <c r="I78" s="7">
        <f ca="1">(TODAY()-staff[[#This Row],[Date Joined]])/365</f>
        <v>2.0082191780821916</v>
      </c>
      <c r="J78">
        <f t="shared" ca="1" si="4"/>
        <v>3274.7999999999997</v>
      </c>
      <c r="K78" s="41">
        <f t="shared" ca="1" si="5"/>
        <v>112434.8</v>
      </c>
      <c r="L78">
        <f>VLOOKUP('ALL Staff'!D155,Mapping!$B$2:$C$6,2,0)</f>
        <v>4</v>
      </c>
      <c r="M78" s="41"/>
    </row>
    <row r="79" spans="1:13" x14ac:dyDescent="0.3">
      <c r="A79" t="s">
        <v>161</v>
      </c>
      <c r="B79" t="s">
        <v>15</v>
      </c>
      <c r="C79">
        <v>23</v>
      </c>
      <c r="D79" t="s">
        <v>16</v>
      </c>
      <c r="E79" s="6">
        <v>44378</v>
      </c>
      <c r="F79" t="s">
        <v>9</v>
      </c>
      <c r="G79" s="22">
        <v>106460</v>
      </c>
      <c r="H79" t="s">
        <v>205</v>
      </c>
      <c r="I79" s="7">
        <f ca="1">(TODAY()-staff[[#This Row],[Date Joined]])/365</f>
        <v>2.0054794520547947</v>
      </c>
      <c r="J79">
        <f t="shared" ca="1" si="4"/>
        <v>3193.7999999999997</v>
      </c>
      <c r="K79" s="41">
        <f t="shared" ca="1" si="5"/>
        <v>109653.8</v>
      </c>
      <c r="L79">
        <f>VLOOKUP('ALL Staff'!D150,Mapping!$B$2:$C$6,2,0)</f>
        <v>2</v>
      </c>
      <c r="M79" s="41"/>
    </row>
    <row r="80" spans="1:13" x14ac:dyDescent="0.3">
      <c r="A80" t="s">
        <v>101</v>
      </c>
      <c r="B80" t="s">
        <v>8</v>
      </c>
      <c r="C80">
        <v>40</v>
      </c>
      <c r="D80" t="s">
        <v>16</v>
      </c>
      <c r="E80" s="6">
        <v>44381</v>
      </c>
      <c r="F80" t="s">
        <v>12</v>
      </c>
      <c r="G80" s="22">
        <v>104410</v>
      </c>
      <c r="H80" t="s">
        <v>207</v>
      </c>
      <c r="I80" s="7">
        <f ca="1">(TODAY()-staff[[#This Row],[Date Joined]])/365</f>
        <v>1.9972602739726026</v>
      </c>
      <c r="J80">
        <f t="shared" ca="1" si="4"/>
        <v>2088.1999999999998</v>
      </c>
      <c r="K80" s="41">
        <f t="shared" ca="1" si="5"/>
        <v>106498.2</v>
      </c>
      <c r="L80">
        <f>VLOOKUP('ALL Staff'!D147,Mapping!$B$2:$C$6,2,0)</f>
        <v>4</v>
      </c>
      <c r="M80" s="41"/>
    </row>
    <row r="81" spans="1:13" x14ac:dyDescent="0.3">
      <c r="A81" t="s">
        <v>76</v>
      </c>
      <c r="B81" t="s">
        <v>15</v>
      </c>
      <c r="C81">
        <v>25</v>
      </c>
      <c r="D81" t="s">
        <v>16</v>
      </c>
      <c r="E81" s="6">
        <v>44383</v>
      </c>
      <c r="F81" t="s">
        <v>19</v>
      </c>
      <c r="G81" s="22">
        <v>65700</v>
      </c>
      <c r="H81" t="s">
        <v>207</v>
      </c>
      <c r="I81" s="7">
        <f ca="1">(TODAY()-staff[[#This Row],[Date Joined]])/365</f>
        <v>1.9917808219178081</v>
      </c>
      <c r="J81">
        <f t="shared" ca="1" si="4"/>
        <v>1314</v>
      </c>
      <c r="K81" s="41">
        <f t="shared" ca="1" si="5"/>
        <v>67014</v>
      </c>
      <c r="L81">
        <f>VLOOKUP('ALL Staff'!D69,Mapping!$B$2:$C$6,2,0)</f>
        <v>3</v>
      </c>
      <c r="M81" s="41"/>
    </row>
    <row r="82" spans="1:13" x14ac:dyDescent="0.3">
      <c r="A82" t="s">
        <v>195</v>
      </c>
      <c r="B82" t="s">
        <v>8</v>
      </c>
      <c r="C82">
        <v>34</v>
      </c>
      <c r="D82" t="s">
        <v>16</v>
      </c>
      <c r="E82" s="6">
        <v>44383</v>
      </c>
      <c r="F82" t="s">
        <v>21</v>
      </c>
      <c r="G82" s="22">
        <v>92450</v>
      </c>
      <c r="H82" t="s">
        <v>205</v>
      </c>
      <c r="I82" s="7">
        <f ca="1">(TODAY()-staff[[#This Row],[Date Joined]])/365</f>
        <v>1.9917808219178081</v>
      </c>
      <c r="J82">
        <f t="shared" ca="1" si="4"/>
        <v>1849</v>
      </c>
      <c r="K82" s="41">
        <f t="shared" ca="1" si="5"/>
        <v>94299</v>
      </c>
      <c r="L82">
        <f>VLOOKUP('ALL Staff'!D128,Mapping!$B$2:$C$6,2,0)</f>
        <v>3</v>
      </c>
      <c r="M82" s="41"/>
    </row>
    <row r="83" spans="1:13" x14ac:dyDescent="0.3">
      <c r="A83" t="s">
        <v>150</v>
      </c>
      <c r="B83" t="s">
        <v>15</v>
      </c>
      <c r="C83">
        <v>22</v>
      </c>
      <c r="D83" t="s">
        <v>13</v>
      </c>
      <c r="E83" s="6">
        <v>44384</v>
      </c>
      <c r="F83" t="s">
        <v>19</v>
      </c>
      <c r="G83" s="22">
        <v>112780</v>
      </c>
      <c r="H83" t="s">
        <v>205</v>
      </c>
      <c r="I83" s="7">
        <f ca="1">(TODAY()-staff[[#This Row],[Date Joined]])/365</f>
        <v>1.989041095890411</v>
      </c>
      <c r="J83">
        <f t="shared" ca="1" si="4"/>
        <v>2255.6</v>
      </c>
      <c r="K83" s="41">
        <f t="shared" ca="1" si="5"/>
        <v>115035.6</v>
      </c>
      <c r="L83">
        <f>VLOOKUP('ALL Staff'!D165,Mapping!$B$2:$C$6,2,0)</f>
        <v>4</v>
      </c>
      <c r="M83" s="41"/>
    </row>
    <row r="84" spans="1:13" x14ac:dyDescent="0.3">
      <c r="A84" t="s">
        <v>18</v>
      </c>
      <c r="B84" t="s">
        <v>15</v>
      </c>
      <c r="C84">
        <v>33</v>
      </c>
      <c r="D84" t="s">
        <v>16</v>
      </c>
      <c r="E84" s="6">
        <v>44385</v>
      </c>
      <c r="F84" t="s">
        <v>19</v>
      </c>
      <c r="G84" s="22">
        <v>74550</v>
      </c>
      <c r="H84" t="s">
        <v>207</v>
      </c>
      <c r="I84" s="7">
        <f ca="1">(TODAY()-staff[[#This Row],[Date Joined]])/365</f>
        <v>1.9863013698630136</v>
      </c>
      <c r="J84">
        <f t="shared" ca="1" si="4"/>
        <v>1491</v>
      </c>
      <c r="K84" s="41">
        <f t="shared" ca="1" si="5"/>
        <v>76041</v>
      </c>
      <c r="L84">
        <f>VLOOKUP('ALL Staff'!D91,Mapping!$B$2:$C$6,2,0)</f>
        <v>3</v>
      </c>
      <c r="M84" s="41"/>
    </row>
    <row r="85" spans="1:13" x14ac:dyDescent="0.3">
      <c r="A85" t="s">
        <v>154</v>
      </c>
      <c r="B85" t="s">
        <v>8</v>
      </c>
      <c r="C85">
        <v>22</v>
      </c>
      <c r="D85" t="s">
        <v>13</v>
      </c>
      <c r="E85" s="6">
        <v>44388</v>
      </c>
      <c r="F85" t="s">
        <v>9</v>
      </c>
      <c r="G85" s="22">
        <v>76900</v>
      </c>
      <c r="H85" t="s">
        <v>205</v>
      </c>
      <c r="I85" s="7">
        <f ca="1">(TODAY()-staff[[#This Row],[Date Joined]])/365</f>
        <v>1.978082191780822</v>
      </c>
      <c r="J85">
        <f t="shared" ca="1" si="4"/>
        <v>1538</v>
      </c>
      <c r="K85" s="41">
        <f t="shared" ca="1" si="5"/>
        <v>78438</v>
      </c>
      <c r="L85">
        <f>VLOOKUP('ALL Staff'!D102,Mapping!$B$2:$C$6,2,0)</f>
        <v>3</v>
      </c>
      <c r="M85" s="41"/>
    </row>
    <row r="86" spans="1:13" x14ac:dyDescent="0.3">
      <c r="A86" t="s">
        <v>27</v>
      </c>
      <c r="B86" t="s">
        <v>8</v>
      </c>
      <c r="C86">
        <v>30</v>
      </c>
      <c r="D86" t="s">
        <v>24</v>
      </c>
      <c r="E86" s="6">
        <v>44389</v>
      </c>
      <c r="F86" t="s">
        <v>21</v>
      </c>
      <c r="G86" s="22">
        <v>67910</v>
      </c>
      <c r="H86" t="s">
        <v>207</v>
      </c>
      <c r="I86" s="7">
        <f ca="1">(TODAY()-staff[[#This Row],[Date Joined]])/365</f>
        <v>1.9753424657534246</v>
      </c>
      <c r="J86">
        <f t="shared" ca="1" si="4"/>
        <v>1358.2</v>
      </c>
      <c r="K86" s="41">
        <f t="shared" ca="1" si="5"/>
        <v>69268.2</v>
      </c>
      <c r="L86">
        <f>VLOOKUP('ALL Staff'!D73,Mapping!$B$2:$C$6,2,0)</f>
        <v>3</v>
      </c>
      <c r="M86" s="41"/>
    </row>
    <row r="87" spans="1:13" x14ac:dyDescent="0.3">
      <c r="A87" t="s">
        <v>148</v>
      </c>
      <c r="B87" t="s">
        <v>8</v>
      </c>
      <c r="C87">
        <v>37</v>
      </c>
      <c r="D87" t="s">
        <v>16</v>
      </c>
      <c r="E87" s="6">
        <v>44389</v>
      </c>
      <c r="F87" t="s">
        <v>56</v>
      </c>
      <c r="G87" s="22">
        <v>118100</v>
      </c>
      <c r="H87" t="s">
        <v>205</v>
      </c>
      <c r="I87" s="7">
        <f ca="1">(TODAY()-staff[[#This Row],[Date Joined]])/365</f>
        <v>1.9753424657534246</v>
      </c>
      <c r="J87">
        <f t="shared" ca="1" si="4"/>
        <v>2362</v>
      </c>
      <c r="K87" s="41">
        <f t="shared" ca="1" si="5"/>
        <v>120462</v>
      </c>
      <c r="L87">
        <f>VLOOKUP('ALL Staff'!D179,Mapping!$B$2:$C$6,2,0)</f>
        <v>1</v>
      </c>
      <c r="M87" s="41"/>
    </row>
    <row r="88" spans="1:13" x14ac:dyDescent="0.3">
      <c r="A88" t="s">
        <v>122</v>
      </c>
      <c r="B88" t="s">
        <v>8</v>
      </c>
      <c r="C88">
        <v>34</v>
      </c>
      <c r="D88" t="s">
        <v>16</v>
      </c>
      <c r="E88" s="6">
        <v>44397</v>
      </c>
      <c r="F88" t="s">
        <v>21</v>
      </c>
      <c r="G88" s="22">
        <v>85000</v>
      </c>
      <c r="H88" t="s">
        <v>205</v>
      </c>
      <c r="I88" s="7">
        <f ca="1">(TODAY()-staff[[#This Row],[Date Joined]])/365</f>
        <v>1.9534246575342467</v>
      </c>
      <c r="J88">
        <f t="shared" ca="1" si="4"/>
        <v>1700</v>
      </c>
      <c r="K88" s="41">
        <f t="shared" ca="1" si="5"/>
        <v>86700</v>
      </c>
      <c r="L88">
        <f>VLOOKUP('ALL Staff'!D114,Mapping!$B$2:$C$6,2,0)</f>
        <v>3</v>
      </c>
      <c r="M88" s="41"/>
    </row>
    <row r="89" spans="1:13" x14ac:dyDescent="0.3">
      <c r="A89" t="s">
        <v>117</v>
      </c>
      <c r="B89" t="s">
        <v>15</v>
      </c>
      <c r="C89">
        <v>20</v>
      </c>
      <c r="D89" t="s">
        <v>16</v>
      </c>
      <c r="E89" s="6">
        <v>44397</v>
      </c>
      <c r="F89" t="s">
        <v>12</v>
      </c>
      <c r="G89" s="22">
        <v>107700</v>
      </c>
      <c r="H89" t="s">
        <v>205</v>
      </c>
      <c r="I89" s="7">
        <f ca="1">(TODAY()-staff[[#This Row],[Date Joined]])/365</f>
        <v>1.9534246575342467</v>
      </c>
      <c r="J89">
        <f t="shared" ca="1" si="4"/>
        <v>2154</v>
      </c>
      <c r="K89" s="41">
        <f t="shared" ca="1" si="5"/>
        <v>109854</v>
      </c>
      <c r="L89">
        <f>VLOOKUP('ALL Staff'!D152,Mapping!$B$2:$C$6,2,0)</f>
        <v>3</v>
      </c>
      <c r="M89" s="41"/>
    </row>
    <row r="90" spans="1:13" x14ac:dyDescent="0.3">
      <c r="A90" t="s">
        <v>108</v>
      </c>
      <c r="B90" t="s">
        <v>8</v>
      </c>
      <c r="C90">
        <v>32</v>
      </c>
      <c r="D90" t="s">
        <v>16</v>
      </c>
      <c r="E90" s="6">
        <v>44400</v>
      </c>
      <c r="F90" t="s">
        <v>56</v>
      </c>
      <c r="G90" s="22">
        <v>45510</v>
      </c>
      <c r="H90" t="s">
        <v>207</v>
      </c>
      <c r="I90" s="7">
        <f ca="1">(TODAY()-staff[[#This Row],[Date Joined]])/365</f>
        <v>1.9452054794520548</v>
      </c>
      <c r="J90">
        <f t="shared" ca="1" si="4"/>
        <v>910.2</v>
      </c>
      <c r="K90" s="41">
        <f t="shared" ca="1" si="5"/>
        <v>46420.2</v>
      </c>
      <c r="L90">
        <f>VLOOKUP('ALL Staff'!D20,Mapping!$B$2:$C$6,2,0)</f>
        <v>2</v>
      </c>
      <c r="M90" s="41"/>
    </row>
    <row r="91" spans="1:13" x14ac:dyDescent="0.3">
      <c r="A91" t="s">
        <v>157</v>
      </c>
      <c r="B91" t="s">
        <v>15</v>
      </c>
      <c r="C91">
        <v>32</v>
      </c>
      <c r="D91" t="s">
        <v>16</v>
      </c>
      <c r="E91" s="6">
        <v>44403</v>
      </c>
      <c r="F91" t="s">
        <v>19</v>
      </c>
      <c r="G91" s="22">
        <v>53540</v>
      </c>
      <c r="H91" t="s">
        <v>205</v>
      </c>
      <c r="I91" s="7">
        <f ca="1">(TODAY()-staff[[#This Row],[Date Joined]])/365</f>
        <v>1.9369863013698629</v>
      </c>
      <c r="J91">
        <f t="shared" ca="1" si="4"/>
        <v>1070.8</v>
      </c>
      <c r="K91" s="41">
        <f t="shared" ca="1" si="5"/>
        <v>54610.8</v>
      </c>
      <c r="L91">
        <f>VLOOKUP('ALL Staff'!D37,Mapping!$B$2:$C$6,2,0)</f>
        <v>3</v>
      </c>
      <c r="M91" s="41"/>
    </row>
    <row r="92" spans="1:13" x14ac:dyDescent="0.3">
      <c r="A92" t="s">
        <v>46</v>
      </c>
      <c r="B92" t="s">
        <v>15</v>
      </c>
      <c r="C92">
        <v>26</v>
      </c>
      <c r="D92" t="s">
        <v>16</v>
      </c>
      <c r="E92" s="6">
        <v>44411</v>
      </c>
      <c r="F92" t="s">
        <v>9</v>
      </c>
      <c r="G92" s="22">
        <v>53540</v>
      </c>
      <c r="H92" t="s">
        <v>207</v>
      </c>
      <c r="I92" s="7">
        <f ca="1">(TODAY()-staff[[#This Row],[Date Joined]])/365</f>
        <v>1.9150684931506849</v>
      </c>
      <c r="J92">
        <f t="shared" ca="1" si="4"/>
        <v>1070.8</v>
      </c>
      <c r="K92" s="41">
        <f t="shared" ca="1" si="5"/>
        <v>54610.8</v>
      </c>
      <c r="L92">
        <f>VLOOKUP('ALL Staff'!D40,Mapping!$B$2:$C$6,2,0)</f>
        <v>3</v>
      </c>
      <c r="M92" s="41"/>
    </row>
    <row r="93" spans="1:13" x14ac:dyDescent="0.3">
      <c r="A93" t="s">
        <v>136</v>
      </c>
      <c r="B93" t="s">
        <v>8</v>
      </c>
      <c r="C93">
        <v>28</v>
      </c>
      <c r="D93" t="s">
        <v>16</v>
      </c>
      <c r="E93" s="6">
        <v>44425</v>
      </c>
      <c r="F93" t="s">
        <v>9</v>
      </c>
      <c r="G93" s="22">
        <v>104770</v>
      </c>
      <c r="H93" t="s">
        <v>205</v>
      </c>
      <c r="I93" s="7">
        <f ca="1">(TODAY()-staff[[#This Row],[Date Joined]])/365</f>
        <v>1.8767123287671232</v>
      </c>
      <c r="J93">
        <f t="shared" ca="1" si="4"/>
        <v>2095.4</v>
      </c>
      <c r="K93" s="41">
        <f t="shared" ca="1" si="5"/>
        <v>106865.4</v>
      </c>
      <c r="L93">
        <f>VLOOKUP('ALL Staff'!D148,Mapping!$B$2:$C$6,2,0)</f>
        <v>3</v>
      </c>
      <c r="M93" s="41"/>
    </row>
    <row r="94" spans="1:13" x14ac:dyDescent="0.3">
      <c r="A94" t="s">
        <v>141</v>
      </c>
      <c r="B94" t="s">
        <v>8</v>
      </c>
      <c r="C94">
        <v>36</v>
      </c>
      <c r="D94" t="s">
        <v>16</v>
      </c>
      <c r="E94" s="6">
        <v>44433</v>
      </c>
      <c r="F94" t="s">
        <v>19</v>
      </c>
      <c r="G94" s="22">
        <v>78540</v>
      </c>
      <c r="H94" t="s">
        <v>205</v>
      </c>
      <c r="I94" s="7">
        <f ca="1">(TODAY()-staff[[#This Row],[Date Joined]])/365</f>
        <v>1.8547945205479452</v>
      </c>
      <c r="J94">
        <f t="shared" ca="1" si="4"/>
        <v>1570.8</v>
      </c>
      <c r="K94" s="41">
        <f t="shared" ca="1" si="5"/>
        <v>80110.8</v>
      </c>
      <c r="L94">
        <f>VLOOKUP('ALL Staff'!D106,Mapping!$B$2:$C$6,2,0)</f>
        <v>3</v>
      </c>
      <c r="M94" s="41"/>
    </row>
    <row r="95" spans="1:13" x14ac:dyDescent="0.3">
      <c r="A95" t="s">
        <v>63</v>
      </c>
      <c r="B95" t="s">
        <v>15</v>
      </c>
      <c r="C95">
        <v>24</v>
      </c>
      <c r="D95" t="s">
        <v>24</v>
      </c>
      <c r="E95" s="6">
        <v>44436</v>
      </c>
      <c r="F95" t="s">
        <v>21</v>
      </c>
      <c r="G95" s="22">
        <v>52610</v>
      </c>
      <c r="H95" t="s">
        <v>207</v>
      </c>
      <c r="I95" s="7">
        <f ca="1">(TODAY()-staff[[#This Row],[Date Joined]])/365</f>
        <v>1.8465753424657534</v>
      </c>
      <c r="J95">
        <f t="shared" ca="1" si="4"/>
        <v>1052.2</v>
      </c>
      <c r="K95" s="41">
        <f t="shared" ca="1" si="5"/>
        <v>53662.2</v>
      </c>
      <c r="L95">
        <f>VLOOKUP('ALL Staff'!D34,Mapping!$B$2:$C$6,2,0)</f>
        <v>2</v>
      </c>
      <c r="M95" s="41"/>
    </row>
    <row r="96" spans="1:13" x14ac:dyDescent="0.3">
      <c r="A96" t="s">
        <v>69</v>
      </c>
      <c r="B96" t="s">
        <v>15</v>
      </c>
      <c r="C96">
        <v>23</v>
      </c>
      <c r="D96" t="s">
        <v>16</v>
      </c>
      <c r="E96" s="6">
        <v>44440</v>
      </c>
      <c r="F96" t="s">
        <v>9</v>
      </c>
      <c r="G96" s="22">
        <v>106460</v>
      </c>
      <c r="H96" t="s">
        <v>207</v>
      </c>
      <c r="I96" s="7">
        <f ca="1">(TODAY()-staff[[#This Row],[Date Joined]])/365</f>
        <v>1.8356164383561644</v>
      </c>
      <c r="J96">
        <f t="shared" ca="1" si="4"/>
        <v>2129.1999999999998</v>
      </c>
      <c r="K96" s="41">
        <f t="shared" ca="1" si="5"/>
        <v>108589.2</v>
      </c>
      <c r="L96">
        <f>VLOOKUP('ALL Staff'!D151,Mapping!$B$2:$C$6,2,0)</f>
        <v>3</v>
      </c>
      <c r="M96" s="41"/>
    </row>
    <row r="97" spans="1:13" x14ac:dyDescent="0.3">
      <c r="A97" t="s">
        <v>102</v>
      </c>
      <c r="B97" t="s">
        <v>8</v>
      </c>
      <c r="C97">
        <v>34</v>
      </c>
      <c r="D97" t="s">
        <v>16</v>
      </c>
      <c r="E97" s="6">
        <v>44445</v>
      </c>
      <c r="F97" t="s">
        <v>21</v>
      </c>
      <c r="G97" s="22">
        <v>92450</v>
      </c>
      <c r="H97" t="s">
        <v>207</v>
      </c>
      <c r="I97" s="7">
        <f ca="1">(TODAY()-staff[[#This Row],[Date Joined]])/365</f>
        <v>1.821917808219178</v>
      </c>
      <c r="J97">
        <f t="shared" ca="1" si="4"/>
        <v>1849</v>
      </c>
      <c r="K97" s="41">
        <f t="shared" ca="1" si="5"/>
        <v>94299</v>
      </c>
      <c r="L97">
        <f>VLOOKUP('ALL Staff'!D129,Mapping!$B$2:$C$6,2,0)</f>
        <v>1</v>
      </c>
      <c r="M97" s="41"/>
    </row>
    <row r="98" spans="1:13" x14ac:dyDescent="0.3">
      <c r="A98" t="s">
        <v>58</v>
      </c>
      <c r="B98" t="s">
        <v>15</v>
      </c>
      <c r="C98">
        <v>22</v>
      </c>
      <c r="D98" t="s">
        <v>13</v>
      </c>
      <c r="E98" s="6">
        <v>44446</v>
      </c>
      <c r="F98" t="s">
        <v>19</v>
      </c>
      <c r="G98" s="22">
        <v>112780</v>
      </c>
      <c r="H98" t="s">
        <v>207</v>
      </c>
      <c r="I98" s="7">
        <f ca="1">(TODAY()-staff[[#This Row],[Date Joined]])/365</f>
        <v>1.8191780821917809</v>
      </c>
      <c r="J98">
        <f t="shared" ref="J98:J129" ca="1" si="6">IF(I98&gt;2,3%*G98,2%*G98)</f>
        <v>2255.6</v>
      </c>
      <c r="K98" s="41">
        <f t="shared" ref="K98:K129" ca="1" si="7">G98+J98</f>
        <v>115035.6</v>
      </c>
      <c r="L98">
        <f>VLOOKUP('ALL Staff'!D166,Mapping!$B$2:$C$6,2,0)</f>
        <v>3</v>
      </c>
      <c r="M98" s="41"/>
    </row>
    <row r="99" spans="1:13" x14ac:dyDescent="0.3">
      <c r="A99" t="s">
        <v>174</v>
      </c>
      <c r="B99" t="s">
        <v>15</v>
      </c>
      <c r="C99">
        <v>33</v>
      </c>
      <c r="D99" t="s">
        <v>16</v>
      </c>
      <c r="E99" s="6">
        <v>44448</v>
      </c>
      <c r="F99" t="s">
        <v>12</v>
      </c>
      <c r="G99" s="22">
        <v>53870</v>
      </c>
      <c r="H99" t="s">
        <v>205</v>
      </c>
      <c r="I99" s="7">
        <f ca="1">(TODAY()-staff[[#This Row],[Date Joined]])/365</f>
        <v>1.8136986301369864</v>
      </c>
      <c r="J99">
        <f t="shared" ca="1" si="6"/>
        <v>1077.4000000000001</v>
      </c>
      <c r="K99" s="41">
        <f t="shared" ca="1" si="7"/>
        <v>54947.4</v>
      </c>
      <c r="L99">
        <f>VLOOKUP('ALL Staff'!D41,Mapping!$B$2:$C$6,2,0)</f>
        <v>4</v>
      </c>
      <c r="M99" s="41"/>
    </row>
    <row r="100" spans="1:13" x14ac:dyDescent="0.3">
      <c r="A100" t="s">
        <v>113</v>
      </c>
      <c r="B100" t="s">
        <v>15</v>
      </c>
      <c r="C100">
        <v>31</v>
      </c>
      <c r="D100" t="s">
        <v>16</v>
      </c>
      <c r="E100" s="6">
        <v>44450</v>
      </c>
      <c r="F100" t="s">
        <v>12</v>
      </c>
      <c r="G100" s="22">
        <v>48950</v>
      </c>
      <c r="H100" t="s">
        <v>205</v>
      </c>
      <c r="I100" s="7">
        <f ca="1">(TODAY()-staff[[#This Row],[Date Joined]])/365</f>
        <v>1.8082191780821917</v>
      </c>
      <c r="J100">
        <f t="shared" ca="1" si="6"/>
        <v>979</v>
      </c>
      <c r="K100" s="41">
        <f t="shared" ca="1" si="7"/>
        <v>49929</v>
      </c>
      <c r="L100">
        <f>VLOOKUP('ALL Staff'!D27,Mapping!$B$2:$C$6,2,0)</f>
        <v>3</v>
      </c>
      <c r="M100" s="41"/>
    </row>
    <row r="101" spans="1:13" x14ac:dyDescent="0.3">
      <c r="A101" t="s">
        <v>62</v>
      </c>
      <c r="B101" t="s">
        <v>8</v>
      </c>
      <c r="C101">
        <v>22</v>
      </c>
      <c r="D101" t="s">
        <v>13</v>
      </c>
      <c r="E101" s="6">
        <v>44450</v>
      </c>
      <c r="F101" t="s">
        <v>9</v>
      </c>
      <c r="G101" s="22">
        <v>76900</v>
      </c>
      <c r="H101" t="s">
        <v>207</v>
      </c>
      <c r="I101" s="7">
        <f ca="1">(TODAY()-staff[[#This Row],[Date Joined]])/365</f>
        <v>1.8082191780821917</v>
      </c>
      <c r="J101">
        <f t="shared" ca="1" si="6"/>
        <v>1538</v>
      </c>
      <c r="K101" s="41">
        <f t="shared" ca="1" si="7"/>
        <v>78438</v>
      </c>
      <c r="L101">
        <f>VLOOKUP('ALL Staff'!D103,Mapping!$B$2:$C$6,2,0)</f>
        <v>3</v>
      </c>
      <c r="M101" s="41"/>
    </row>
    <row r="102" spans="1:13" x14ac:dyDescent="0.3">
      <c r="A102" t="s">
        <v>55</v>
      </c>
      <c r="B102" t="s">
        <v>8</v>
      </c>
      <c r="C102">
        <v>37</v>
      </c>
      <c r="D102" t="s">
        <v>16</v>
      </c>
      <c r="E102" s="6">
        <v>44451</v>
      </c>
      <c r="F102" t="s">
        <v>56</v>
      </c>
      <c r="G102" s="22">
        <v>118100</v>
      </c>
      <c r="H102" t="s">
        <v>207</v>
      </c>
      <c r="I102" s="7">
        <f ca="1">(TODAY()-staff[[#This Row],[Date Joined]])/365</f>
        <v>1.8054794520547945</v>
      </c>
      <c r="J102">
        <f t="shared" ca="1" si="6"/>
        <v>2362</v>
      </c>
      <c r="K102" s="41">
        <f t="shared" ca="1" si="7"/>
        <v>120462</v>
      </c>
      <c r="L102">
        <f>VLOOKUP('ALL Staff'!D180,Mapping!$B$2:$C$6,2,0)</f>
        <v>3</v>
      </c>
      <c r="M102" s="41"/>
    </row>
    <row r="103" spans="1:13" x14ac:dyDescent="0.3">
      <c r="A103" t="s">
        <v>28</v>
      </c>
      <c r="B103" t="s">
        <v>8</v>
      </c>
      <c r="C103">
        <v>34</v>
      </c>
      <c r="D103" t="s">
        <v>16</v>
      </c>
      <c r="E103" s="6">
        <v>44459</v>
      </c>
      <c r="F103" t="s">
        <v>21</v>
      </c>
      <c r="G103" s="22">
        <v>85000</v>
      </c>
      <c r="H103" t="s">
        <v>207</v>
      </c>
      <c r="I103" s="7">
        <f ca="1">(TODAY()-staff[[#This Row],[Date Joined]])/365</f>
        <v>1.7835616438356163</v>
      </c>
      <c r="J103">
        <f t="shared" ca="1" si="6"/>
        <v>1700</v>
      </c>
      <c r="K103" s="41">
        <f t="shared" ca="1" si="7"/>
        <v>86700</v>
      </c>
      <c r="L103">
        <f>VLOOKUP('ALL Staff'!D115,Mapping!$B$2:$C$6,2,0)</f>
        <v>2</v>
      </c>
      <c r="M103" s="41"/>
    </row>
    <row r="104" spans="1:13" x14ac:dyDescent="0.3">
      <c r="A104" t="s">
        <v>22</v>
      </c>
      <c r="B104" t="s">
        <v>15</v>
      </c>
      <c r="C104">
        <v>20</v>
      </c>
      <c r="D104" t="s">
        <v>16</v>
      </c>
      <c r="E104" s="6">
        <v>44459</v>
      </c>
      <c r="F104" t="s">
        <v>12</v>
      </c>
      <c r="G104" s="22">
        <v>107700</v>
      </c>
      <c r="H104" t="s">
        <v>207</v>
      </c>
      <c r="I104" s="7">
        <f ca="1">(TODAY()-staff[[#This Row],[Date Joined]])/365</f>
        <v>1.7835616438356163</v>
      </c>
      <c r="J104">
        <f t="shared" ca="1" si="6"/>
        <v>2154</v>
      </c>
      <c r="K104" s="41">
        <f t="shared" ca="1" si="7"/>
        <v>109854</v>
      </c>
      <c r="L104">
        <f>VLOOKUP('ALL Staff'!D153,Mapping!$B$2:$C$6,2,0)</f>
        <v>3</v>
      </c>
      <c r="M104" s="41"/>
    </row>
    <row r="105" spans="1:13" x14ac:dyDescent="0.3">
      <c r="A105" t="s">
        <v>65</v>
      </c>
      <c r="B105" t="s">
        <v>15</v>
      </c>
      <c r="C105">
        <v>32</v>
      </c>
      <c r="D105" t="s">
        <v>16</v>
      </c>
      <c r="E105" s="6">
        <v>44465</v>
      </c>
      <c r="F105" t="s">
        <v>19</v>
      </c>
      <c r="G105" s="22">
        <v>53540</v>
      </c>
      <c r="H105" t="s">
        <v>207</v>
      </c>
      <c r="I105" s="7">
        <f ca="1">(TODAY()-staff[[#This Row],[Date Joined]])/365</f>
        <v>1.7671232876712328</v>
      </c>
      <c r="J105">
        <f t="shared" ca="1" si="6"/>
        <v>1070.8</v>
      </c>
      <c r="K105" s="41">
        <f t="shared" ca="1" si="7"/>
        <v>54610.8</v>
      </c>
      <c r="L105">
        <f>VLOOKUP('ALL Staff'!D39,Mapping!$B$2:$C$6,2,0)</f>
        <v>3</v>
      </c>
      <c r="M105" s="41"/>
    </row>
    <row r="106" spans="1:13" x14ac:dyDescent="0.3">
      <c r="A106" t="s">
        <v>164</v>
      </c>
      <c r="B106" t="s">
        <v>8</v>
      </c>
      <c r="C106">
        <v>36</v>
      </c>
      <c r="D106" t="s">
        <v>16</v>
      </c>
      <c r="E106" s="6">
        <v>44468</v>
      </c>
      <c r="F106" t="s">
        <v>9</v>
      </c>
      <c r="G106" s="22">
        <v>78390</v>
      </c>
      <c r="H106" t="s">
        <v>205</v>
      </c>
      <c r="I106" s="7">
        <f ca="1">(TODAY()-staff[[#This Row],[Date Joined]])/365</f>
        <v>1.7589041095890412</v>
      </c>
      <c r="J106">
        <f t="shared" ca="1" si="6"/>
        <v>1567.8</v>
      </c>
      <c r="K106" s="41">
        <f t="shared" ca="1" si="7"/>
        <v>79957.8</v>
      </c>
      <c r="L106">
        <f>VLOOKUP('ALL Staff'!D104,Mapping!$B$2:$C$6,2,0)</f>
        <v>3</v>
      </c>
      <c r="M106" s="41"/>
    </row>
    <row r="107" spans="1:13" x14ac:dyDescent="0.3">
      <c r="A107" t="s">
        <v>184</v>
      </c>
      <c r="B107" t="s">
        <v>8</v>
      </c>
      <c r="C107">
        <v>20</v>
      </c>
      <c r="D107" t="s">
        <v>24</v>
      </c>
      <c r="E107" s="6">
        <v>44476</v>
      </c>
      <c r="F107" t="s">
        <v>19</v>
      </c>
      <c r="G107" s="22">
        <v>68900</v>
      </c>
      <c r="H107" t="s">
        <v>205</v>
      </c>
      <c r="I107" s="7">
        <f ca="1">(TODAY()-staff[[#This Row],[Date Joined]])/365</f>
        <v>1.736986301369863</v>
      </c>
      <c r="J107">
        <f t="shared" ca="1" si="6"/>
        <v>1378</v>
      </c>
      <c r="K107" s="41">
        <f t="shared" ca="1" si="7"/>
        <v>70278</v>
      </c>
      <c r="L107">
        <f>VLOOKUP('ALL Staff'!D76,Mapping!$B$2:$C$6,2,0)</f>
        <v>1</v>
      </c>
      <c r="M107" s="41"/>
    </row>
    <row r="108" spans="1:13" x14ac:dyDescent="0.3">
      <c r="A108" t="s">
        <v>43</v>
      </c>
      <c r="B108" t="s">
        <v>8</v>
      </c>
      <c r="C108">
        <v>28</v>
      </c>
      <c r="D108" t="s">
        <v>16</v>
      </c>
      <c r="E108" s="6">
        <v>44486</v>
      </c>
      <c r="F108" t="s">
        <v>9</v>
      </c>
      <c r="G108" s="22">
        <v>104770</v>
      </c>
      <c r="H108" t="s">
        <v>207</v>
      </c>
      <c r="I108" s="7">
        <f ca="1">(TODAY()-staff[[#This Row],[Date Joined]])/365</f>
        <v>1.7095890410958905</v>
      </c>
      <c r="J108">
        <f t="shared" ca="1" si="6"/>
        <v>2095.4</v>
      </c>
      <c r="K108" s="41">
        <f t="shared" ca="1" si="7"/>
        <v>106865.4</v>
      </c>
      <c r="L108">
        <f>VLOOKUP('ALL Staff'!D149,Mapping!$B$2:$C$6,2,0)</f>
        <v>3</v>
      </c>
      <c r="M108" s="41"/>
    </row>
    <row r="109" spans="1:13" x14ac:dyDescent="0.3">
      <c r="A109" t="s">
        <v>48</v>
      </c>
      <c r="B109" t="s">
        <v>8</v>
      </c>
      <c r="C109">
        <v>36</v>
      </c>
      <c r="D109" t="s">
        <v>16</v>
      </c>
      <c r="E109" s="6">
        <v>44494</v>
      </c>
      <c r="F109" t="s">
        <v>19</v>
      </c>
      <c r="G109" s="22">
        <v>78540</v>
      </c>
      <c r="H109" t="s">
        <v>207</v>
      </c>
      <c r="I109" s="7">
        <f ca="1">(TODAY()-staff[[#This Row],[Date Joined]])/365</f>
        <v>1.6876712328767123</v>
      </c>
      <c r="J109">
        <f t="shared" ca="1" si="6"/>
        <v>1570.8</v>
      </c>
      <c r="K109" s="41">
        <f t="shared" ca="1" si="7"/>
        <v>80110.8</v>
      </c>
      <c r="L109">
        <f>VLOOKUP('ALL Staff'!D107,Mapping!$B$2:$C$6,2,0)</f>
        <v>2</v>
      </c>
      <c r="M109" s="41"/>
    </row>
    <row r="110" spans="1:13" x14ac:dyDescent="0.3">
      <c r="A110" t="s">
        <v>146</v>
      </c>
      <c r="B110" t="s">
        <v>15</v>
      </c>
      <c r="C110">
        <v>27</v>
      </c>
      <c r="D110" t="s">
        <v>16</v>
      </c>
      <c r="E110" s="6">
        <v>44506</v>
      </c>
      <c r="F110" t="s">
        <v>21</v>
      </c>
      <c r="G110" s="22">
        <v>48980</v>
      </c>
      <c r="H110" t="s">
        <v>205</v>
      </c>
      <c r="I110" s="7">
        <f ca="1">(TODAY()-staff[[#This Row],[Date Joined]])/365</f>
        <v>1.6547945205479453</v>
      </c>
      <c r="J110">
        <f t="shared" ca="1" si="6"/>
        <v>979.6</v>
      </c>
      <c r="K110" s="41">
        <f t="shared" ca="1" si="7"/>
        <v>49959.6</v>
      </c>
      <c r="L110">
        <f>VLOOKUP('ALL Staff'!D29,Mapping!$B$2:$C$6,2,0)</f>
        <v>3</v>
      </c>
      <c r="M110" s="41"/>
    </row>
    <row r="111" spans="1:13" x14ac:dyDescent="0.3">
      <c r="A111" t="s">
        <v>82</v>
      </c>
      <c r="B111" t="s">
        <v>15</v>
      </c>
      <c r="C111">
        <v>33</v>
      </c>
      <c r="D111" t="s">
        <v>16</v>
      </c>
      <c r="E111" s="6">
        <v>44509</v>
      </c>
      <c r="F111" t="s">
        <v>12</v>
      </c>
      <c r="G111" s="22">
        <v>53870</v>
      </c>
      <c r="H111" t="s">
        <v>207</v>
      </c>
      <c r="I111" s="7">
        <f ca="1">(TODAY()-staff[[#This Row],[Date Joined]])/365</f>
        <v>1.6465753424657534</v>
      </c>
      <c r="J111">
        <f t="shared" ca="1" si="6"/>
        <v>1077.4000000000001</v>
      </c>
      <c r="K111" s="41">
        <f t="shared" ca="1" si="7"/>
        <v>54947.4</v>
      </c>
      <c r="L111">
        <f>VLOOKUP('ALL Staff'!D42,Mapping!$B$2:$C$6,2,0)</f>
        <v>3</v>
      </c>
      <c r="M111" s="41"/>
    </row>
    <row r="112" spans="1:13" x14ac:dyDescent="0.3">
      <c r="A112" t="s">
        <v>14</v>
      </c>
      <c r="B112" t="s">
        <v>15</v>
      </c>
      <c r="C112">
        <v>31</v>
      </c>
      <c r="D112" t="s">
        <v>16</v>
      </c>
      <c r="E112" s="6">
        <v>44511</v>
      </c>
      <c r="F112" t="s">
        <v>12</v>
      </c>
      <c r="G112" s="22">
        <v>48950</v>
      </c>
      <c r="H112" t="s">
        <v>207</v>
      </c>
      <c r="I112" s="7">
        <f ca="1">(TODAY()-staff[[#This Row],[Date Joined]])/365</f>
        <v>1.6410958904109589</v>
      </c>
      <c r="J112">
        <f t="shared" ca="1" si="6"/>
        <v>979</v>
      </c>
      <c r="K112" s="41">
        <f t="shared" ca="1" si="7"/>
        <v>49929</v>
      </c>
      <c r="L112">
        <f>VLOOKUP('ALL Staff'!D28,Mapping!$B$2:$C$6,2,0)</f>
        <v>2</v>
      </c>
      <c r="M112" s="41"/>
    </row>
    <row r="113" spans="1:13" x14ac:dyDescent="0.3">
      <c r="A113" t="s">
        <v>72</v>
      </c>
      <c r="B113" t="s">
        <v>8</v>
      </c>
      <c r="C113">
        <v>36</v>
      </c>
      <c r="D113" t="s">
        <v>16</v>
      </c>
      <c r="E113" s="6">
        <v>44529</v>
      </c>
      <c r="F113" t="s">
        <v>9</v>
      </c>
      <c r="G113" s="22">
        <v>78390</v>
      </c>
      <c r="H113" t="s">
        <v>207</v>
      </c>
      <c r="I113" s="7">
        <f ca="1">(TODAY()-staff[[#This Row],[Date Joined]])/365</f>
        <v>1.5917808219178082</v>
      </c>
      <c r="J113">
        <f t="shared" ca="1" si="6"/>
        <v>1567.8</v>
      </c>
      <c r="K113" s="41">
        <f t="shared" ca="1" si="7"/>
        <v>79957.8</v>
      </c>
      <c r="L113">
        <f>VLOOKUP('ALL Staff'!D105,Mapping!$B$2:$C$6,2,0)</f>
        <v>3</v>
      </c>
      <c r="M113" s="41"/>
    </row>
    <row r="114" spans="1:13" x14ac:dyDescent="0.3">
      <c r="A114" t="s">
        <v>116</v>
      </c>
      <c r="B114" t="s">
        <v>206</v>
      </c>
      <c r="C114">
        <v>30</v>
      </c>
      <c r="D114" t="s">
        <v>16</v>
      </c>
      <c r="E114" s="6">
        <v>44535</v>
      </c>
      <c r="F114" t="s">
        <v>21</v>
      </c>
      <c r="G114" s="22">
        <v>64000</v>
      </c>
      <c r="H114" t="s">
        <v>205</v>
      </c>
      <c r="I114" s="7">
        <f ca="1">(TODAY()-staff[[#This Row],[Date Joined]])/365</f>
        <v>1.5753424657534247</v>
      </c>
      <c r="J114">
        <f t="shared" ca="1" si="6"/>
        <v>1280</v>
      </c>
      <c r="K114" s="41">
        <f t="shared" ca="1" si="7"/>
        <v>65280</v>
      </c>
      <c r="L114">
        <f>VLOOKUP('ALL Staff'!D63,Mapping!$B$2:$C$6,2,0)</f>
        <v>3</v>
      </c>
      <c r="M114" s="41"/>
    </row>
    <row r="115" spans="1:13" x14ac:dyDescent="0.3">
      <c r="A115" t="s">
        <v>91</v>
      </c>
      <c r="B115" t="s">
        <v>8</v>
      </c>
      <c r="C115">
        <v>20</v>
      </c>
      <c r="D115" t="s">
        <v>24</v>
      </c>
      <c r="E115" s="6">
        <v>44537</v>
      </c>
      <c r="F115" t="s">
        <v>19</v>
      </c>
      <c r="G115" s="22">
        <v>68900</v>
      </c>
      <c r="H115" t="s">
        <v>207</v>
      </c>
      <c r="I115" s="7">
        <f ca="1">(TODAY()-staff[[#This Row],[Date Joined]])/365</f>
        <v>1.5698630136986302</v>
      </c>
      <c r="J115">
        <f t="shared" ca="1" si="6"/>
        <v>1378</v>
      </c>
      <c r="K115" s="41">
        <f t="shared" ca="1" si="7"/>
        <v>70278</v>
      </c>
      <c r="L115">
        <f>VLOOKUP('ALL Staff'!D77,Mapping!$B$2:$C$6,2,0)</f>
        <v>2</v>
      </c>
      <c r="M115" s="41"/>
    </row>
    <row r="116" spans="1:13" x14ac:dyDescent="0.3">
      <c r="A116" t="s">
        <v>177</v>
      </c>
      <c r="B116" t="s">
        <v>15</v>
      </c>
      <c r="C116">
        <v>30</v>
      </c>
      <c r="D116" t="s">
        <v>16</v>
      </c>
      <c r="E116" s="6">
        <v>44544</v>
      </c>
      <c r="F116" t="s">
        <v>21</v>
      </c>
      <c r="G116" s="22">
        <v>96800</v>
      </c>
      <c r="H116" t="s">
        <v>205</v>
      </c>
      <c r="I116" s="7">
        <f ca="1">(TODAY()-staff[[#This Row],[Date Joined]])/365</f>
        <v>1.5506849315068494</v>
      </c>
      <c r="J116">
        <f t="shared" ca="1" si="6"/>
        <v>1936</v>
      </c>
      <c r="K116" s="41">
        <f t="shared" ca="1" si="7"/>
        <v>98736</v>
      </c>
      <c r="L116">
        <f>VLOOKUP('ALL Staff'!D134,Mapping!$B$2:$C$6,2,0)</f>
        <v>3</v>
      </c>
      <c r="M116" s="41"/>
    </row>
    <row r="117" spans="1:13" x14ac:dyDescent="0.3">
      <c r="A117" t="s">
        <v>191</v>
      </c>
      <c r="B117" t="s">
        <v>15</v>
      </c>
      <c r="C117">
        <v>27</v>
      </c>
      <c r="D117" t="s">
        <v>42</v>
      </c>
      <c r="E117" s="6">
        <v>44547</v>
      </c>
      <c r="F117" t="s">
        <v>9</v>
      </c>
      <c r="G117" s="22">
        <v>113280</v>
      </c>
      <c r="H117" t="s">
        <v>205</v>
      </c>
      <c r="I117" s="7">
        <f ca="1">(TODAY()-staff[[#This Row],[Date Joined]])/365</f>
        <v>1.5424657534246575</v>
      </c>
      <c r="J117">
        <f t="shared" ca="1" si="6"/>
        <v>2265.6</v>
      </c>
      <c r="K117" s="41">
        <f t="shared" ca="1" si="7"/>
        <v>115545.60000000001</v>
      </c>
      <c r="L117">
        <f>VLOOKUP('ALL Staff'!D167,Mapping!$B$2:$C$6,2,0)</f>
        <v>2</v>
      </c>
      <c r="M117" s="41"/>
    </row>
    <row r="118" spans="1:13" x14ac:dyDescent="0.3">
      <c r="A118" t="s">
        <v>158</v>
      </c>
      <c r="B118" t="s">
        <v>8</v>
      </c>
      <c r="C118">
        <v>32</v>
      </c>
      <c r="D118" t="s">
        <v>16</v>
      </c>
      <c r="E118" s="6">
        <v>44549</v>
      </c>
      <c r="F118" t="s">
        <v>9</v>
      </c>
      <c r="G118" s="22">
        <v>41570</v>
      </c>
      <c r="H118" t="s">
        <v>205</v>
      </c>
      <c r="I118" s="7">
        <f ca="1">(TODAY()-staff[[#This Row],[Date Joined]])/365</f>
        <v>1.536986301369863</v>
      </c>
      <c r="J118">
        <f t="shared" ca="1" si="6"/>
        <v>831.4</v>
      </c>
      <c r="K118" s="41">
        <f t="shared" ca="1" si="7"/>
        <v>42401.4</v>
      </c>
      <c r="L118">
        <f>VLOOKUP('ALL Staff'!D12,Mapping!$B$2:$C$6,2,0)</f>
        <v>3</v>
      </c>
      <c r="M118" s="41"/>
    </row>
    <row r="119" spans="1:13" x14ac:dyDescent="0.3">
      <c r="A119" t="s">
        <v>132</v>
      </c>
      <c r="B119" t="s">
        <v>8</v>
      </c>
      <c r="C119">
        <v>34</v>
      </c>
      <c r="D119" t="s">
        <v>16</v>
      </c>
      <c r="E119" s="6">
        <v>44550</v>
      </c>
      <c r="F119" t="s">
        <v>21</v>
      </c>
      <c r="G119" s="22">
        <v>60130</v>
      </c>
      <c r="H119" t="s">
        <v>205</v>
      </c>
      <c r="I119" s="7">
        <f ca="1">(TODAY()-staff[[#This Row],[Date Joined]])/365</f>
        <v>1.5342465753424657</v>
      </c>
      <c r="J119">
        <f t="shared" ca="1" si="6"/>
        <v>1202.6000000000001</v>
      </c>
      <c r="K119" s="41">
        <f t="shared" ca="1" si="7"/>
        <v>61332.6</v>
      </c>
      <c r="L119">
        <f>VLOOKUP('ALL Staff'!D57,Mapping!$B$2:$C$6,2,0)</f>
        <v>2</v>
      </c>
      <c r="M119" s="41"/>
    </row>
    <row r="120" spans="1:13" x14ac:dyDescent="0.3">
      <c r="A120" t="s">
        <v>192</v>
      </c>
      <c r="B120" t="s">
        <v>15</v>
      </c>
      <c r="C120">
        <v>43</v>
      </c>
      <c r="D120" t="s">
        <v>16</v>
      </c>
      <c r="E120" s="6">
        <v>44558</v>
      </c>
      <c r="F120" t="s">
        <v>19</v>
      </c>
      <c r="G120" s="22">
        <v>36040</v>
      </c>
      <c r="H120" t="s">
        <v>205</v>
      </c>
      <c r="I120" s="7">
        <f ca="1">(TODAY()-staff[[#This Row],[Date Joined]])/365</f>
        <v>1.5123287671232877</v>
      </c>
      <c r="J120">
        <f t="shared" ca="1" si="6"/>
        <v>720.80000000000007</v>
      </c>
      <c r="K120" s="41">
        <f t="shared" ca="1" si="7"/>
        <v>36760.800000000003</v>
      </c>
      <c r="L120">
        <f>VLOOKUP('ALL Staff'!D6,Mapping!$B$2:$C$6,2,0)</f>
        <v>3</v>
      </c>
      <c r="M120" s="41"/>
    </row>
    <row r="121" spans="1:13" x14ac:dyDescent="0.3">
      <c r="A121" t="s">
        <v>53</v>
      </c>
      <c r="B121" t="s">
        <v>15</v>
      </c>
      <c r="C121">
        <v>27</v>
      </c>
      <c r="D121" t="s">
        <v>16</v>
      </c>
      <c r="E121" s="6">
        <v>44567</v>
      </c>
      <c r="F121" t="s">
        <v>21</v>
      </c>
      <c r="G121" s="22">
        <v>48980</v>
      </c>
      <c r="H121" t="s">
        <v>207</v>
      </c>
      <c r="I121" s="7">
        <f ca="1">(TODAY()-staff[[#This Row],[Date Joined]])/365</f>
        <v>1.4876712328767123</v>
      </c>
      <c r="J121">
        <f t="shared" ca="1" si="6"/>
        <v>979.6</v>
      </c>
      <c r="K121" s="41">
        <f t="shared" ca="1" si="7"/>
        <v>49959.6</v>
      </c>
      <c r="L121">
        <f>VLOOKUP('ALL Staff'!D30,Mapping!$B$2:$C$6,2,0)</f>
        <v>3</v>
      </c>
      <c r="M121" s="41"/>
    </row>
    <row r="122" spans="1:13" x14ac:dyDescent="0.3">
      <c r="A122" t="s">
        <v>200</v>
      </c>
      <c r="B122" t="s">
        <v>8</v>
      </c>
      <c r="C122">
        <v>28</v>
      </c>
      <c r="D122" t="s">
        <v>16</v>
      </c>
      <c r="E122" s="6">
        <v>44571</v>
      </c>
      <c r="F122" t="s">
        <v>9</v>
      </c>
      <c r="G122" s="22">
        <v>99970</v>
      </c>
      <c r="H122" t="s">
        <v>205</v>
      </c>
      <c r="I122" s="7">
        <f ca="1">(TODAY()-staff[[#This Row],[Date Joined]])/365</f>
        <v>1.4767123287671233</v>
      </c>
      <c r="J122">
        <f t="shared" ca="1" si="6"/>
        <v>1999.4</v>
      </c>
      <c r="K122" s="41">
        <f t="shared" ca="1" si="7"/>
        <v>101969.4</v>
      </c>
      <c r="L122">
        <f>VLOOKUP('ALL Staff'!D138,Mapping!$B$2:$C$6,2,0)</f>
        <v>4</v>
      </c>
      <c r="M122" s="41"/>
    </row>
    <row r="123" spans="1:13" x14ac:dyDescent="0.3">
      <c r="A123" t="s">
        <v>189</v>
      </c>
      <c r="B123" t="s">
        <v>8</v>
      </c>
      <c r="C123">
        <v>28</v>
      </c>
      <c r="D123" t="s">
        <v>16</v>
      </c>
      <c r="E123" s="6">
        <v>44590</v>
      </c>
      <c r="F123" t="s">
        <v>9</v>
      </c>
      <c r="G123" s="22">
        <v>104120</v>
      </c>
      <c r="H123" t="s">
        <v>205</v>
      </c>
      <c r="I123" s="7">
        <f ca="1">(TODAY()-staff[[#This Row],[Date Joined]])/365</f>
        <v>1.4246575342465753</v>
      </c>
      <c r="J123">
        <f t="shared" ca="1" si="6"/>
        <v>2082.4</v>
      </c>
      <c r="K123" s="41">
        <f t="shared" ca="1" si="7"/>
        <v>106202.4</v>
      </c>
      <c r="L123">
        <f>VLOOKUP('ALL Staff'!D144,Mapping!$B$2:$C$6,2,0)</f>
        <v>2</v>
      </c>
      <c r="M123" s="41"/>
    </row>
    <row r="124" spans="1:13" x14ac:dyDescent="0.3">
      <c r="A124" t="s">
        <v>130</v>
      </c>
      <c r="B124" t="s">
        <v>8</v>
      </c>
      <c r="C124">
        <v>34</v>
      </c>
      <c r="D124" t="s">
        <v>16</v>
      </c>
      <c r="E124" s="6">
        <v>44594</v>
      </c>
      <c r="F124" t="s">
        <v>21</v>
      </c>
      <c r="G124" s="22">
        <v>58940</v>
      </c>
      <c r="H124" t="s">
        <v>205</v>
      </c>
      <c r="I124" s="7">
        <f ca="1">(TODAY()-staff[[#This Row],[Date Joined]])/365</f>
        <v>1.4136986301369863</v>
      </c>
      <c r="J124">
        <f t="shared" ca="1" si="6"/>
        <v>1178.8</v>
      </c>
      <c r="K124" s="41">
        <f t="shared" ca="1" si="7"/>
        <v>60118.8</v>
      </c>
      <c r="L124">
        <f>VLOOKUP('ALL Staff'!D51,Mapping!$B$2:$C$6,2,0)</f>
        <v>4</v>
      </c>
      <c r="M124" s="41"/>
    </row>
    <row r="125" spans="1:13" x14ac:dyDescent="0.3">
      <c r="A125" t="s">
        <v>20</v>
      </c>
      <c r="B125" t="s">
        <v>206</v>
      </c>
      <c r="C125">
        <v>30</v>
      </c>
      <c r="D125" t="s">
        <v>16</v>
      </c>
      <c r="E125" s="6">
        <v>44597</v>
      </c>
      <c r="F125" t="s">
        <v>21</v>
      </c>
      <c r="G125" s="22">
        <v>64000</v>
      </c>
      <c r="H125" t="s">
        <v>207</v>
      </c>
      <c r="I125" s="7">
        <f ca="1">(TODAY()-staff[[#This Row],[Date Joined]])/365</f>
        <v>1.4054794520547946</v>
      </c>
      <c r="J125">
        <f t="shared" ca="1" si="6"/>
        <v>1280</v>
      </c>
      <c r="K125" s="41">
        <f t="shared" ca="1" si="7"/>
        <v>65280</v>
      </c>
      <c r="L125">
        <f>VLOOKUP('ALL Staff'!D64,Mapping!$B$2:$C$6,2,0)</f>
        <v>3</v>
      </c>
      <c r="M125" s="41"/>
    </row>
    <row r="126" spans="1:13" x14ac:dyDescent="0.3">
      <c r="A126" t="s">
        <v>120</v>
      </c>
      <c r="B126" t="s">
        <v>8</v>
      </c>
      <c r="C126">
        <v>31</v>
      </c>
      <c r="D126" t="s">
        <v>16</v>
      </c>
      <c r="E126" s="6">
        <v>44604</v>
      </c>
      <c r="F126" t="s">
        <v>12</v>
      </c>
      <c r="G126" s="22">
        <v>58100</v>
      </c>
      <c r="H126" t="s">
        <v>205</v>
      </c>
      <c r="I126" s="7">
        <f ca="1">(TODAY()-staff[[#This Row],[Date Joined]])/365</f>
        <v>1.3863013698630138</v>
      </c>
      <c r="J126">
        <f t="shared" ca="1" si="6"/>
        <v>1162</v>
      </c>
      <c r="K126" s="41">
        <f t="shared" ca="1" si="7"/>
        <v>59262</v>
      </c>
      <c r="L126">
        <f>VLOOKUP('ALL Staff'!D49,Mapping!$B$2:$C$6,2,0)</f>
        <v>3</v>
      </c>
      <c r="M126" s="41"/>
    </row>
    <row r="127" spans="1:13" x14ac:dyDescent="0.3">
      <c r="A127" t="s">
        <v>85</v>
      </c>
      <c r="B127" t="s">
        <v>15</v>
      </c>
      <c r="C127">
        <v>30</v>
      </c>
      <c r="D127" t="s">
        <v>16</v>
      </c>
      <c r="E127" s="6">
        <v>44606</v>
      </c>
      <c r="F127" t="s">
        <v>21</v>
      </c>
      <c r="G127" s="22">
        <v>96800</v>
      </c>
      <c r="H127" t="s">
        <v>207</v>
      </c>
      <c r="I127" s="7">
        <f ca="1">(TODAY()-staff[[#This Row],[Date Joined]])/365</f>
        <v>1.3808219178082193</v>
      </c>
      <c r="J127">
        <f t="shared" ca="1" si="6"/>
        <v>1936</v>
      </c>
      <c r="K127" s="41">
        <f t="shared" ca="1" si="7"/>
        <v>98736</v>
      </c>
      <c r="L127">
        <f>VLOOKUP('ALL Staff'!D135,Mapping!$B$2:$C$6,2,0)</f>
        <v>3</v>
      </c>
      <c r="M127" s="41"/>
    </row>
    <row r="128" spans="1:13" x14ac:dyDescent="0.3">
      <c r="A128" t="s">
        <v>131</v>
      </c>
      <c r="B128" t="s">
        <v>15</v>
      </c>
      <c r="C128">
        <v>30</v>
      </c>
      <c r="D128" t="s">
        <v>16</v>
      </c>
      <c r="E128" s="6">
        <v>44607</v>
      </c>
      <c r="F128" t="s">
        <v>9</v>
      </c>
      <c r="G128" s="22">
        <v>60570</v>
      </c>
      <c r="H128" t="s">
        <v>205</v>
      </c>
      <c r="I128" s="7">
        <f ca="1">(TODAY()-staff[[#This Row],[Date Joined]])/365</f>
        <v>1.3780821917808219</v>
      </c>
      <c r="J128">
        <f t="shared" ca="1" si="6"/>
        <v>1211.4000000000001</v>
      </c>
      <c r="K128" s="41">
        <f t="shared" ca="1" si="7"/>
        <v>61781.4</v>
      </c>
      <c r="L128">
        <f>VLOOKUP('ALL Staff'!D59,Mapping!$B$2:$C$6,2,0)</f>
        <v>3</v>
      </c>
      <c r="M128" s="41"/>
    </row>
    <row r="129" spans="1:13" x14ac:dyDescent="0.3">
      <c r="A129" t="s">
        <v>98</v>
      </c>
      <c r="B129" t="s">
        <v>15</v>
      </c>
      <c r="C129">
        <v>27</v>
      </c>
      <c r="D129" t="s">
        <v>42</v>
      </c>
      <c r="E129" s="6">
        <v>44609</v>
      </c>
      <c r="F129" t="s">
        <v>9</v>
      </c>
      <c r="G129" s="22">
        <v>113280</v>
      </c>
      <c r="H129" t="s">
        <v>207</v>
      </c>
      <c r="I129" s="7">
        <f ca="1">(TODAY()-staff[[#This Row],[Date Joined]])/365</f>
        <v>1.3726027397260274</v>
      </c>
      <c r="J129">
        <f t="shared" ca="1" si="6"/>
        <v>2265.6</v>
      </c>
      <c r="K129" s="41">
        <f t="shared" ca="1" si="7"/>
        <v>115545.60000000001</v>
      </c>
      <c r="L129">
        <f>VLOOKUP('ALL Staff'!D168,Mapping!$B$2:$C$6,2,0)</f>
        <v>3</v>
      </c>
      <c r="M129" s="41"/>
    </row>
    <row r="130" spans="1:13" x14ac:dyDescent="0.3">
      <c r="A130" t="s">
        <v>66</v>
      </c>
      <c r="B130" t="s">
        <v>8</v>
      </c>
      <c r="C130">
        <v>32</v>
      </c>
      <c r="D130" t="s">
        <v>16</v>
      </c>
      <c r="E130" s="6">
        <v>44611</v>
      </c>
      <c r="F130" t="s">
        <v>9</v>
      </c>
      <c r="G130" s="22">
        <v>41570</v>
      </c>
      <c r="H130" t="s">
        <v>207</v>
      </c>
      <c r="I130" s="7">
        <f ca="1">(TODAY()-staff[[#This Row],[Date Joined]])/365</f>
        <v>1.3671232876712329</v>
      </c>
      <c r="J130">
        <f t="shared" ref="J130:J161" ca="1" si="8">IF(I130&gt;2,3%*G130,2%*G130)</f>
        <v>831.4</v>
      </c>
      <c r="K130" s="41">
        <f t="shared" ref="K130:K161" ca="1" si="9">G130+J130</f>
        <v>42401.4</v>
      </c>
      <c r="L130">
        <f>VLOOKUP('ALL Staff'!D13,Mapping!$B$2:$C$6,2,0)</f>
        <v>3</v>
      </c>
      <c r="M130" s="41"/>
    </row>
    <row r="131" spans="1:13" x14ac:dyDescent="0.3">
      <c r="A131" t="s">
        <v>38</v>
      </c>
      <c r="B131" t="s">
        <v>8</v>
      </c>
      <c r="C131">
        <v>34</v>
      </c>
      <c r="D131" t="s">
        <v>16</v>
      </c>
      <c r="E131" s="6">
        <v>44612</v>
      </c>
      <c r="F131" t="s">
        <v>21</v>
      </c>
      <c r="G131" s="22">
        <v>60130</v>
      </c>
      <c r="H131" t="s">
        <v>207</v>
      </c>
      <c r="I131" s="7">
        <f ca="1">(TODAY()-staff[[#This Row],[Date Joined]])/365</f>
        <v>1.3643835616438356</v>
      </c>
      <c r="J131">
        <f t="shared" ca="1" si="8"/>
        <v>1202.6000000000001</v>
      </c>
      <c r="K131" s="41">
        <f t="shared" ca="1" si="9"/>
        <v>61332.6</v>
      </c>
      <c r="L131">
        <f>VLOOKUP('ALL Staff'!D58,Mapping!$B$2:$C$6,2,0)</f>
        <v>4</v>
      </c>
      <c r="M131" s="41"/>
    </row>
    <row r="132" spans="1:13" x14ac:dyDescent="0.3">
      <c r="A132" t="s">
        <v>179</v>
      </c>
      <c r="B132" t="s">
        <v>8</v>
      </c>
      <c r="C132">
        <v>21</v>
      </c>
      <c r="D132" t="s">
        <v>16</v>
      </c>
      <c r="E132" s="6">
        <v>44619</v>
      </c>
      <c r="F132" t="s">
        <v>12</v>
      </c>
      <c r="G132" s="22">
        <v>33920</v>
      </c>
      <c r="H132" t="s">
        <v>205</v>
      </c>
      <c r="I132" s="7">
        <f ca="1">(TODAY()-staff[[#This Row],[Date Joined]])/365</f>
        <v>1.3452054794520547</v>
      </c>
      <c r="J132">
        <f t="shared" ca="1" si="8"/>
        <v>678.4</v>
      </c>
      <c r="K132" s="41">
        <f t="shared" ca="1" si="9"/>
        <v>34598.400000000001</v>
      </c>
      <c r="L132">
        <f>VLOOKUP('ALL Staff'!D2,Mapping!$B$2:$C$6,2,0)</f>
        <v>3</v>
      </c>
      <c r="M132" s="41"/>
    </row>
    <row r="133" spans="1:13" x14ac:dyDescent="0.3">
      <c r="A133" t="s">
        <v>99</v>
      </c>
      <c r="B133" t="s">
        <v>15</v>
      </c>
      <c r="C133">
        <v>43</v>
      </c>
      <c r="D133" t="s">
        <v>16</v>
      </c>
      <c r="E133" s="6">
        <v>44620</v>
      </c>
      <c r="F133" t="s">
        <v>19</v>
      </c>
      <c r="G133" s="22">
        <v>36040</v>
      </c>
      <c r="H133" t="s">
        <v>207</v>
      </c>
      <c r="I133" s="7">
        <f ca="1">(TODAY()-staff[[#This Row],[Date Joined]])/365</f>
        <v>1.3424657534246576</v>
      </c>
      <c r="J133">
        <f t="shared" ca="1" si="8"/>
        <v>720.80000000000007</v>
      </c>
      <c r="K133" s="41">
        <f t="shared" ca="1" si="9"/>
        <v>36760.800000000003</v>
      </c>
      <c r="L133">
        <f>VLOOKUP('ALL Staff'!D7,Mapping!$B$2:$C$6,2,0)</f>
        <v>3</v>
      </c>
      <c r="M133" s="41"/>
    </row>
    <row r="134" spans="1:13" x14ac:dyDescent="0.3">
      <c r="A134" t="s">
        <v>185</v>
      </c>
      <c r="B134" t="s">
        <v>8</v>
      </c>
      <c r="C134">
        <v>27</v>
      </c>
      <c r="D134" t="s">
        <v>16</v>
      </c>
      <c r="E134" s="6">
        <v>44625</v>
      </c>
      <c r="F134" t="s">
        <v>12</v>
      </c>
      <c r="G134" s="22">
        <v>83750</v>
      </c>
      <c r="H134" t="s">
        <v>205</v>
      </c>
      <c r="I134" s="7">
        <f ca="1">(TODAY()-staff[[#This Row],[Date Joined]])/365</f>
        <v>1.3287671232876712</v>
      </c>
      <c r="J134">
        <f t="shared" ca="1" si="8"/>
        <v>1675</v>
      </c>
      <c r="K134" s="41">
        <f t="shared" ca="1" si="9"/>
        <v>85425</v>
      </c>
      <c r="L134">
        <f>VLOOKUP('ALL Staff'!D112,Mapping!$B$2:$C$6,2,0)</f>
        <v>3</v>
      </c>
      <c r="M134" s="41"/>
    </row>
    <row r="135" spans="1:13" x14ac:dyDescent="0.3">
      <c r="A135" t="s">
        <v>196</v>
      </c>
      <c r="B135" t="s">
        <v>15</v>
      </c>
      <c r="C135">
        <v>24</v>
      </c>
      <c r="D135" t="s">
        <v>16</v>
      </c>
      <c r="E135" s="6">
        <v>44625</v>
      </c>
      <c r="F135" t="s">
        <v>12</v>
      </c>
      <c r="G135" s="22">
        <v>100420</v>
      </c>
      <c r="H135" t="s">
        <v>205</v>
      </c>
      <c r="I135" s="7">
        <f ca="1">(TODAY()-staff[[#This Row],[Date Joined]])/365</f>
        <v>1.3287671232876712</v>
      </c>
      <c r="J135">
        <f t="shared" ca="1" si="8"/>
        <v>2008.4</v>
      </c>
      <c r="K135" s="41">
        <f t="shared" ca="1" si="9"/>
        <v>102428.4</v>
      </c>
      <c r="L135">
        <f>VLOOKUP('ALL Staff'!D140,Mapping!$B$2:$C$6,2,0)</f>
        <v>3</v>
      </c>
      <c r="M135" s="41"/>
    </row>
    <row r="136" spans="1:13" x14ac:dyDescent="0.3">
      <c r="A136" t="s">
        <v>107</v>
      </c>
      <c r="B136" t="s">
        <v>8</v>
      </c>
      <c r="C136">
        <v>28</v>
      </c>
      <c r="D136" t="s">
        <v>16</v>
      </c>
      <c r="E136" s="6">
        <v>44630</v>
      </c>
      <c r="F136" t="s">
        <v>9</v>
      </c>
      <c r="G136" s="22">
        <v>99970</v>
      </c>
      <c r="H136" t="s">
        <v>207</v>
      </c>
      <c r="I136" s="7">
        <f ca="1">(TODAY()-staff[[#This Row],[Date Joined]])/365</f>
        <v>1.3150684931506849</v>
      </c>
      <c r="J136">
        <f t="shared" ca="1" si="8"/>
        <v>1999.4</v>
      </c>
      <c r="K136" s="41">
        <f t="shared" ca="1" si="9"/>
        <v>101969.4</v>
      </c>
      <c r="L136">
        <f>VLOOKUP('ALL Staff'!D139,Mapping!$B$2:$C$6,2,0)</f>
        <v>3</v>
      </c>
      <c r="M136" s="41"/>
    </row>
    <row r="137" spans="1:13" x14ac:dyDescent="0.3">
      <c r="A137" t="s">
        <v>133</v>
      </c>
      <c r="B137" t="s">
        <v>8</v>
      </c>
      <c r="C137">
        <v>25</v>
      </c>
      <c r="D137" t="s">
        <v>13</v>
      </c>
      <c r="E137" s="6">
        <v>44633</v>
      </c>
      <c r="F137" t="s">
        <v>12</v>
      </c>
      <c r="G137" s="22">
        <v>80700</v>
      </c>
      <c r="H137" t="s">
        <v>205</v>
      </c>
      <c r="I137" s="7">
        <f ca="1">(TODAY()-staff[[#This Row],[Date Joined]])/365</f>
        <v>1.3068493150684932</v>
      </c>
      <c r="J137">
        <f t="shared" ca="1" si="8"/>
        <v>1614</v>
      </c>
      <c r="K137" s="41">
        <f t="shared" ca="1" si="9"/>
        <v>82314</v>
      </c>
      <c r="L137">
        <f>VLOOKUP('ALL Staff'!D110,Mapping!$B$2:$C$6,2,0)</f>
        <v>3</v>
      </c>
      <c r="M137" s="41"/>
    </row>
    <row r="138" spans="1:13" x14ac:dyDescent="0.3">
      <c r="A138" t="s">
        <v>144</v>
      </c>
      <c r="B138" t="s">
        <v>15</v>
      </c>
      <c r="C138">
        <v>33</v>
      </c>
      <c r="D138" t="s">
        <v>13</v>
      </c>
      <c r="E138" s="6">
        <v>44640</v>
      </c>
      <c r="F138" t="s">
        <v>9</v>
      </c>
      <c r="G138" s="22">
        <v>48530</v>
      </c>
      <c r="H138" t="s">
        <v>205</v>
      </c>
      <c r="I138" s="7">
        <f ca="1">(TODAY()-staff[[#This Row],[Date Joined]])/365</f>
        <v>1.2876712328767124</v>
      </c>
      <c r="J138">
        <f t="shared" ca="1" si="8"/>
        <v>970.6</v>
      </c>
      <c r="K138" s="41">
        <f t="shared" ca="1" si="9"/>
        <v>49500.6</v>
      </c>
      <c r="L138">
        <f>VLOOKUP('ALL Staff'!D25,Mapping!$B$2:$C$6,2,0)</f>
        <v>3</v>
      </c>
      <c r="M138" s="41"/>
    </row>
    <row r="139" spans="1:13" x14ac:dyDescent="0.3">
      <c r="A139" t="s">
        <v>138</v>
      </c>
      <c r="B139" t="s">
        <v>15</v>
      </c>
      <c r="C139">
        <v>30</v>
      </c>
      <c r="D139" t="s">
        <v>16</v>
      </c>
      <c r="E139" s="6">
        <v>44640</v>
      </c>
      <c r="F139" t="s">
        <v>9</v>
      </c>
      <c r="G139" s="22">
        <v>67950</v>
      </c>
      <c r="H139" t="s">
        <v>205</v>
      </c>
      <c r="I139" s="7">
        <f ca="1">(TODAY()-staff[[#This Row],[Date Joined]])/365</f>
        <v>1.2876712328767124</v>
      </c>
      <c r="J139">
        <f t="shared" ca="1" si="8"/>
        <v>1359</v>
      </c>
      <c r="K139" s="41">
        <f t="shared" ca="1" si="9"/>
        <v>69309</v>
      </c>
      <c r="L139">
        <f>VLOOKUP('ALL Staff'!D74,Mapping!$B$2:$C$6,2,0)</f>
        <v>4</v>
      </c>
      <c r="M139" s="41"/>
    </row>
    <row r="140" spans="1:13" x14ac:dyDescent="0.3">
      <c r="A140" t="s">
        <v>190</v>
      </c>
      <c r="B140" t="s">
        <v>15</v>
      </c>
      <c r="C140">
        <v>37</v>
      </c>
      <c r="D140" t="s">
        <v>16</v>
      </c>
      <c r="E140" s="6">
        <v>44640</v>
      </c>
      <c r="F140" t="s">
        <v>12</v>
      </c>
      <c r="G140" s="22">
        <v>69070</v>
      </c>
      <c r="H140" t="s">
        <v>205</v>
      </c>
      <c r="I140" s="7">
        <f ca="1">(TODAY()-staff[[#This Row],[Date Joined]])/365</f>
        <v>1.2876712328767124</v>
      </c>
      <c r="J140">
        <f t="shared" ca="1" si="8"/>
        <v>1381.4</v>
      </c>
      <c r="K140" s="41">
        <f t="shared" ca="1" si="9"/>
        <v>70451.399999999994</v>
      </c>
      <c r="L140">
        <f>VLOOKUP('ALL Staff'!D78,Mapping!$B$2:$C$6,2,0)</f>
        <v>5</v>
      </c>
      <c r="M140" s="41"/>
    </row>
    <row r="141" spans="1:13" x14ac:dyDescent="0.3">
      <c r="A141" t="s">
        <v>178</v>
      </c>
      <c r="B141" t="s">
        <v>15</v>
      </c>
      <c r="C141">
        <v>34</v>
      </c>
      <c r="D141" t="s">
        <v>16</v>
      </c>
      <c r="E141" s="6">
        <v>44642</v>
      </c>
      <c r="F141" t="s">
        <v>9</v>
      </c>
      <c r="G141" s="22">
        <v>112650</v>
      </c>
      <c r="H141" t="s">
        <v>205</v>
      </c>
      <c r="I141" s="7">
        <f ca="1">(TODAY()-staff[[#This Row],[Date Joined]])/365</f>
        <v>1.2821917808219179</v>
      </c>
      <c r="J141">
        <f t="shared" ca="1" si="8"/>
        <v>2253</v>
      </c>
      <c r="K141" s="41">
        <f t="shared" ca="1" si="9"/>
        <v>114903</v>
      </c>
      <c r="L141">
        <f>VLOOKUP('ALL Staff'!D163,Mapping!$B$2:$C$6,2,0)</f>
        <v>2</v>
      </c>
      <c r="M141" s="41"/>
    </row>
    <row r="142" spans="1:13" x14ac:dyDescent="0.3">
      <c r="A142" t="s">
        <v>96</v>
      </c>
      <c r="B142" t="s">
        <v>8</v>
      </c>
      <c r="C142">
        <v>28</v>
      </c>
      <c r="D142" t="s">
        <v>16</v>
      </c>
      <c r="E142" s="6">
        <v>44649</v>
      </c>
      <c r="F142" t="s">
        <v>9</v>
      </c>
      <c r="G142" s="22">
        <v>104120</v>
      </c>
      <c r="H142" t="s">
        <v>207</v>
      </c>
      <c r="I142" s="7">
        <f ca="1">(TODAY()-staff[[#This Row],[Date Joined]])/365</f>
        <v>1.263013698630137</v>
      </c>
      <c r="J142">
        <f t="shared" ca="1" si="8"/>
        <v>2082.4</v>
      </c>
      <c r="K142" s="41">
        <f t="shared" ca="1" si="9"/>
        <v>106202.4</v>
      </c>
      <c r="L142">
        <f>VLOOKUP('ALL Staff'!D145,Mapping!$B$2:$C$6,2,0)</f>
        <v>3</v>
      </c>
      <c r="M142" s="41"/>
    </row>
    <row r="143" spans="1:13" x14ac:dyDescent="0.3">
      <c r="A143" t="s">
        <v>36</v>
      </c>
      <c r="B143" t="s">
        <v>8</v>
      </c>
      <c r="C143">
        <v>34</v>
      </c>
      <c r="D143" t="s">
        <v>16</v>
      </c>
      <c r="E143" s="6">
        <v>44653</v>
      </c>
      <c r="F143" t="s">
        <v>21</v>
      </c>
      <c r="G143" s="22">
        <v>58940</v>
      </c>
      <c r="H143" t="s">
        <v>207</v>
      </c>
      <c r="I143" s="7">
        <f ca="1">(TODAY()-staff[[#This Row],[Date Joined]])/365</f>
        <v>1.252054794520548</v>
      </c>
      <c r="J143">
        <f t="shared" ca="1" si="8"/>
        <v>1178.8</v>
      </c>
      <c r="K143" s="41">
        <f t="shared" ca="1" si="9"/>
        <v>60118.8</v>
      </c>
      <c r="L143">
        <f>VLOOKUP('ALL Staff'!D52,Mapping!$B$2:$C$6,2,0)</f>
        <v>4</v>
      </c>
      <c r="M143" s="41"/>
    </row>
    <row r="144" spans="1:13" x14ac:dyDescent="0.3">
      <c r="A144" t="s">
        <v>165</v>
      </c>
      <c r="B144" t="s">
        <v>8</v>
      </c>
      <c r="C144">
        <v>34</v>
      </c>
      <c r="D144" t="s">
        <v>24</v>
      </c>
      <c r="E144" s="6">
        <v>44660</v>
      </c>
      <c r="F144" t="s">
        <v>19</v>
      </c>
      <c r="G144" s="22">
        <v>49630</v>
      </c>
      <c r="H144" t="s">
        <v>205</v>
      </c>
      <c r="I144" s="7">
        <f ca="1">(TODAY()-staff[[#This Row],[Date Joined]])/365</f>
        <v>1.2328767123287672</v>
      </c>
      <c r="J144">
        <f t="shared" ca="1" si="8"/>
        <v>992.6</v>
      </c>
      <c r="K144" s="41">
        <f t="shared" ca="1" si="9"/>
        <v>50622.6</v>
      </c>
      <c r="L144">
        <f>VLOOKUP('ALL Staff'!D31,Mapping!$B$2:$C$6,2,0)</f>
        <v>3</v>
      </c>
      <c r="M144" s="41"/>
    </row>
    <row r="145" spans="1:13" x14ac:dyDescent="0.3">
      <c r="A145" t="s">
        <v>26</v>
      </c>
      <c r="B145" t="s">
        <v>8</v>
      </c>
      <c r="C145">
        <v>31</v>
      </c>
      <c r="D145" t="s">
        <v>16</v>
      </c>
      <c r="E145" s="6">
        <v>44663</v>
      </c>
      <c r="F145" t="s">
        <v>12</v>
      </c>
      <c r="G145" s="22">
        <v>58100</v>
      </c>
      <c r="H145" t="s">
        <v>207</v>
      </c>
      <c r="I145" s="7">
        <f ca="1">(TODAY()-staff[[#This Row],[Date Joined]])/365</f>
        <v>1.2246575342465753</v>
      </c>
      <c r="J145">
        <f t="shared" ca="1" si="8"/>
        <v>1162</v>
      </c>
      <c r="K145" s="41">
        <f t="shared" ca="1" si="9"/>
        <v>59262</v>
      </c>
      <c r="L145">
        <f>VLOOKUP('ALL Staff'!D50,Mapping!$B$2:$C$6,2,0)</f>
        <v>3</v>
      </c>
      <c r="M145" s="41"/>
    </row>
    <row r="146" spans="1:13" x14ac:dyDescent="0.3">
      <c r="A146" t="s">
        <v>143</v>
      </c>
      <c r="B146" t="s">
        <v>15</v>
      </c>
      <c r="C146">
        <v>31</v>
      </c>
      <c r="D146" t="s">
        <v>16</v>
      </c>
      <c r="E146" s="6">
        <v>44663</v>
      </c>
      <c r="F146" t="s">
        <v>9</v>
      </c>
      <c r="G146" s="22">
        <v>103550</v>
      </c>
      <c r="H146" t="s">
        <v>205</v>
      </c>
      <c r="I146" s="7">
        <f ca="1">(TODAY()-staff[[#This Row],[Date Joined]])/365</f>
        <v>1.2246575342465753</v>
      </c>
      <c r="J146">
        <f t="shared" ca="1" si="8"/>
        <v>2071</v>
      </c>
      <c r="K146" s="41">
        <f t="shared" ca="1" si="9"/>
        <v>105621</v>
      </c>
      <c r="L146">
        <f>VLOOKUP('ALL Staff'!D142,Mapping!$B$2:$C$6,2,0)</f>
        <v>3</v>
      </c>
      <c r="M146" s="41"/>
    </row>
    <row r="147" spans="1:13" x14ac:dyDescent="0.3">
      <c r="A147" t="s">
        <v>128</v>
      </c>
      <c r="B147" t="s">
        <v>15</v>
      </c>
      <c r="C147">
        <v>25</v>
      </c>
      <c r="D147" t="s">
        <v>13</v>
      </c>
      <c r="E147" s="6">
        <v>44665</v>
      </c>
      <c r="F147" t="s">
        <v>9</v>
      </c>
      <c r="G147" s="22">
        <v>109190</v>
      </c>
      <c r="H147" t="s">
        <v>205</v>
      </c>
      <c r="I147" s="7">
        <f ca="1">(TODAY()-staff[[#This Row],[Date Joined]])/365</f>
        <v>1.2191780821917808</v>
      </c>
      <c r="J147">
        <f t="shared" ca="1" si="8"/>
        <v>2183.8000000000002</v>
      </c>
      <c r="K147" s="41">
        <f t="shared" ca="1" si="9"/>
        <v>111373.8</v>
      </c>
      <c r="L147">
        <f>VLOOKUP('ALL Staff'!D156,Mapping!$B$2:$C$6,2,0)</f>
        <v>3</v>
      </c>
      <c r="M147" s="41"/>
    </row>
    <row r="148" spans="1:13" x14ac:dyDescent="0.3">
      <c r="A148" t="s">
        <v>149</v>
      </c>
      <c r="B148" t="s">
        <v>15</v>
      </c>
      <c r="C148">
        <v>35</v>
      </c>
      <c r="D148" t="s">
        <v>16</v>
      </c>
      <c r="E148" s="6">
        <v>44666</v>
      </c>
      <c r="F148" t="s">
        <v>9</v>
      </c>
      <c r="G148" s="22">
        <v>40400</v>
      </c>
      <c r="H148" t="s">
        <v>205</v>
      </c>
      <c r="I148" s="7">
        <f ca="1">(TODAY()-staff[[#This Row],[Date Joined]])/365</f>
        <v>1.2164383561643837</v>
      </c>
      <c r="J148">
        <f t="shared" ca="1" si="8"/>
        <v>808</v>
      </c>
      <c r="K148" s="41">
        <f t="shared" ca="1" si="9"/>
        <v>41208</v>
      </c>
      <c r="L148">
        <f>VLOOKUP('ALL Staff'!D10,Mapping!$B$2:$C$6,2,0)</f>
        <v>3</v>
      </c>
      <c r="M148" s="41"/>
    </row>
    <row r="149" spans="1:13" x14ac:dyDescent="0.3">
      <c r="A149" t="s">
        <v>37</v>
      </c>
      <c r="B149" t="s">
        <v>15</v>
      </c>
      <c r="C149">
        <v>30</v>
      </c>
      <c r="D149" t="s">
        <v>16</v>
      </c>
      <c r="E149" s="6">
        <v>44666</v>
      </c>
      <c r="F149" t="s">
        <v>9</v>
      </c>
      <c r="G149" s="22">
        <v>60570</v>
      </c>
      <c r="H149" t="s">
        <v>207</v>
      </c>
      <c r="I149" s="7">
        <f ca="1">(TODAY()-staff[[#This Row],[Date Joined]])/365</f>
        <v>1.2164383561643837</v>
      </c>
      <c r="J149">
        <f t="shared" ca="1" si="8"/>
        <v>1211.4000000000001</v>
      </c>
      <c r="K149" s="41">
        <f t="shared" ca="1" si="9"/>
        <v>61781.4</v>
      </c>
      <c r="L149">
        <f>VLOOKUP('ALL Staff'!D60,Mapping!$B$2:$C$6,2,0)</f>
        <v>3</v>
      </c>
      <c r="M149" s="41"/>
    </row>
    <row r="150" spans="1:13" x14ac:dyDescent="0.3">
      <c r="A150" t="s">
        <v>183</v>
      </c>
      <c r="B150" t="s">
        <v>15</v>
      </c>
      <c r="C150">
        <v>42</v>
      </c>
      <c r="D150" t="s">
        <v>24</v>
      </c>
      <c r="E150" s="6">
        <v>44670</v>
      </c>
      <c r="F150" t="s">
        <v>21</v>
      </c>
      <c r="G150" s="22">
        <v>70270</v>
      </c>
      <c r="H150" t="s">
        <v>205</v>
      </c>
      <c r="I150" s="7">
        <f ca="1">(TODAY()-staff[[#This Row],[Date Joined]])/365</f>
        <v>1.2054794520547945</v>
      </c>
      <c r="J150">
        <f t="shared" ca="1" si="8"/>
        <v>1405.4</v>
      </c>
      <c r="K150" s="41">
        <f t="shared" ca="1" si="9"/>
        <v>71675.399999999994</v>
      </c>
      <c r="L150">
        <f>VLOOKUP('ALL Staff'!D84,Mapping!$B$2:$C$6,2,0)</f>
        <v>3</v>
      </c>
      <c r="M150" s="41"/>
    </row>
    <row r="151" spans="1:13" x14ac:dyDescent="0.3">
      <c r="A151" t="s">
        <v>86</v>
      </c>
      <c r="B151" t="s">
        <v>8</v>
      </c>
      <c r="C151">
        <v>21</v>
      </c>
      <c r="D151" t="s">
        <v>16</v>
      </c>
      <c r="E151" s="6">
        <v>44678</v>
      </c>
      <c r="F151" t="s">
        <v>12</v>
      </c>
      <c r="G151" s="22">
        <v>33920</v>
      </c>
      <c r="H151" t="s">
        <v>207</v>
      </c>
      <c r="I151" s="7">
        <f ca="1">(TODAY()-staff[[#This Row],[Date Joined]])/365</f>
        <v>1.1835616438356165</v>
      </c>
      <c r="J151">
        <f t="shared" ca="1" si="8"/>
        <v>678.4</v>
      </c>
      <c r="K151" s="41">
        <f t="shared" ca="1" si="9"/>
        <v>34598.400000000001</v>
      </c>
      <c r="L151">
        <f>VLOOKUP('ALL Staff'!D3,Mapping!$B$2:$C$6,2,0)</f>
        <v>3</v>
      </c>
      <c r="M151" s="41"/>
    </row>
    <row r="152" spans="1:13" x14ac:dyDescent="0.3">
      <c r="A152" t="s">
        <v>197</v>
      </c>
      <c r="B152" t="s">
        <v>15</v>
      </c>
      <c r="C152">
        <v>20</v>
      </c>
      <c r="D152" t="s">
        <v>16</v>
      </c>
      <c r="E152" s="6">
        <v>44683</v>
      </c>
      <c r="F152" t="s">
        <v>9</v>
      </c>
      <c r="G152" s="22">
        <v>79570</v>
      </c>
      <c r="H152" t="s">
        <v>205</v>
      </c>
      <c r="I152" s="7">
        <f ca="1">(TODAY()-staff[[#This Row],[Date Joined]])/365</f>
        <v>1.1698630136986301</v>
      </c>
      <c r="J152">
        <f t="shared" ca="1" si="8"/>
        <v>1591.4</v>
      </c>
      <c r="K152" s="41">
        <f t="shared" ca="1" si="9"/>
        <v>81161.399999999994</v>
      </c>
      <c r="L152">
        <f>VLOOKUP('ALL Staff'!D108,Mapping!$B$2:$C$6,2,0)</f>
        <v>3</v>
      </c>
      <c r="M152" s="41"/>
    </row>
    <row r="153" spans="1:13" x14ac:dyDescent="0.3">
      <c r="A153" t="s">
        <v>92</v>
      </c>
      <c r="B153" t="s">
        <v>8</v>
      </c>
      <c r="C153">
        <v>27</v>
      </c>
      <c r="D153" t="s">
        <v>16</v>
      </c>
      <c r="E153" s="6">
        <v>44686</v>
      </c>
      <c r="F153" t="s">
        <v>12</v>
      </c>
      <c r="G153" s="22">
        <v>83750</v>
      </c>
      <c r="H153" t="s">
        <v>207</v>
      </c>
      <c r="I153" s="7">
        <f ca="1">(TODAY()-staff[[#This Row],[Date Joined]])/365</f>
        <v>1.1616438356164382</v>
      </c>
      <c r="J153">
        <f t="shared" ca="1" si="8"/>
        <v>1675</v>
      </c>
      <c r="K153" s="41">
        <f t="shared" ca="1" si="9"/>
        <v>85425</v>
      </c>
      <c r="L153">
        <f>VLOOKUP('ALL Staff'!D113,Mapping!$B$2:$C$6,2,0)</f>
        <v>3</v>
      </c>
      <c r="M153" s="41"/>
    </row>
    <row r="154" spans="1:13" x14ac:dyDescent="0.3">
      <c r="A154" t="s">
        <v>103</v>
      </c>
      <c r="B154" t="s">
        <v>15</v>
      </c>
      <c r="C154">
        <v>24</v>
      </c>
      <c r="D154" t="s">
        <v>16</v>
      </c>
      <c r="E154" s="6">
        <v>44686</v>
      </c>
      <c r="F154" t="s">
        <v>12</v>
      </c>
      <c r="G154" s="22">
        <v>100420</v>
      </c>
      <c r="H154" t="s">
        <v>207</v>
      </c>
      <c r="I154" s="7">
        <f ca="1">(TODAY()-staff[[#This Row],[Date Joined]])/365</f>
        <v>1.1616438356164382</v>
      </c>
      <c r="J154">
        <f t="shared" ca="1" si="8"/>
        <v>2008.4</v>
      </c>
      <c r="K154" s="41">
        <f t="shared" ca="1" si="9"/>
        <v>102428.4</v>
      </c>
      <c r="L154">
        <f>VLOOKUP('ALL Staff'!D141,Mapping!$B$2:$C$6,2,0)</f>
        <v>3</v>
      </c>
      <c r="M154" s="41"/>
    </row>
    <row r="155" spans="1:13" x14ac:dyDescent="0.3">
      <c r="A155" t="s">
        <v>39</v>
      </c>
      <c r="B155" t="s">
        <v>8</v>
      </c>
      <c r="C155">
        <v>25</v>
      </c>
      <c r="D155" t="s">
        <v>13</v>
      </c>
      <c r="E155" s="6">
        <v>44694</v>
      </c>
      <c r="F155" t="s">
        <v>12</v>
      </c>
      <c r="G155" s="22">
        <v>80700</v>
      </c>
      <c r="H155" t="s">
        <v>207</v>
      </c>
      <c r="I155" s="7">
        <f ca="1">(TODAY()-staff[[#This Row],[Date Joined]])/365</f>
        <v>1.1397260273972603</v>
      </c>
      <c r="J155">
        <f t="shared" ca="1" si="8"/>
        <v>1614</v>
      </c>
      <c r="K155" s="41">
        <f t="shared" ca="1" si="9"/>
        <v>82314</v>
      </c>
      <c r="L155">
        <f>VLOOKUP('ALL Staff'!D111,Mapping!$B$2:$C$6,2,0)</f>
        <v>3</v>
      </c>
      <c r="M155" s="41"/>
    </row>
    <row r="156" spans="1:13" x14ac:dyDescent="0.3">
      <c r="A156" t="s">
        <v>162</v>
      </c>
      <c r="B156" t="s">
        <v>15</v>
      </c>
      <c r="C156">
        <v>46</v>
      </c>
      <c r="D156" t="s">
        <v>16</v>
      </c>
      <c r="E156" s="6">
        <v>44697</v>
      </c>
      <c r="F156" t="s">
        <v>9</v>
      </c>
      <c r="G156" s="22">
        <v>70610</v>
      </c>
      <c r="H156" t="s">
        <v>205</v>
      </c>
      <c r="I156" s="7">
        <f ca="1">(TODAY()-staff[[#This Row],[Date Joined]])/365</f>
        <v>1.1315068493150684</v>
      </c>
      <c r="J156">
        <f t="shared" ca="1" si="8"/>
        <v>1412.2</v>
      </c>
      <c r="K156" s="41">
        <f t="shared" ca="1" si="9"/>
        <v>72022.2</v>
      </c>
      <c r="L156">
        <f>VLOOKUP('ALL Staff'!D86,Mapping!$B$2:$C$6,2,0)</f>
        <v>2</v>
      </c>
      <c r="M156" s="41"/>
    </row>
    <row r="157" spans="1:13" x14ac:dyDescent="0.3">
      <c r="A157" t="s">
        <v>51</v>
      </c>
      <c r="B157" t="s">
        <v>15</v>
      </c>
      <c r="C157">
        <v>33</v>
      </c>
      <c r="D157" t="s">
        <v>13</v>
      </c>
      <c r="E157" s="6">
        <v>44701</v>
      </c>
      <c r="F157" t="s">
        <v>9</v>
      </c>
      <c r="G157" s="22">
        <v>48530</v>
      </c>
      <c r="H157" t="s">
        <v>207</v>
      </c>
      <c r="I157" s="7">
        <f ca="1">(TODAY()-staff[[#This Row],[Date Joined]])/365</f>
        <v>1.1205479452054794</v>
      </c>
      <c r="J157">
        <f t="shared" ca="1" si="8"/>
        <v>970.6</v>
      </c>
      <c r="K157" s="41">
        <f t="shared" ca="1" si="9"/>
        <v>49500.6</v>
      </c>
      <c r="L157">
        <f>VLOOKUP('ALL Staff'!D26,Mapping!$B$2:$C$6,2,0)</f>
        <v>3</v>
      </c>
      <c r="M157" s="41"/>
    </row>
    <row r="158" spans="1:13" x14ac:dyDescent="0.3">
      <c r="A158" t="s">
        <v>125</v>
      </c>
      <c r="B158" t="s">
        <v>15</v>
      </c>
      <c r="C158">
        <v>21</v>
      </c>
      <c r="D158" t="s">
        <v>16</v>
      </c>
      <c r="E158" s="6">
        <v>44701</v>
      </c>
      <c r="F158" t="s">
        <v>9</v>
      </c>
      <c r="G158" s="22">
        <v>57090</v>
      </c>
      <c r="H158" t="s">
        <v>205</v>
      </c>
      <c r="I158" s="7">
        <f ca="1">(TODAY()-staff[[#This Row],[Date Joined]])/365</f>
        <v>1.1205479452054794</v>
      </c>
      <c r="J158">
        <f t="shared" ca="1" si="8"/>
        <v>1141.8</v>
      </c>
      <c r="K158" s="41">
        <f t="shared" ca="1" si="9"/>
        <v>58231.8</v>
      </c>
      <c r="L158">
        <f>VLOOKUP('ALL Staff'!D47,Mapping!$B$2:$C$6,2,0)</f>
        <v>3</v>
      </c>
      <c r="M158" s="41"/>
    </row>
    <row r="159" spans="1:13" x14ac:dyDescent="0.3">
      <c r="A159" t="s">
        <v>45</v>
      </c>
      <c r="B159" t="s">
        <v>15</v>
      </c>
      <c r="C159">
        <v>30</v>
      </c>
      <c r="D159" t="s">
        <v>16</v>
      </c>
      <c r="E159" s="6">
        <v>44701</v>
      </c>
      <c r="F159" t="s">
        <v>9</v>
      </c>
      <c r="G159" s="22">
        <v>67950</v>
      </c>
      <c r="H159" t="s">
        <v>207</v>
      </c>
      <c r="I159" s="7">
        <f ca="1">(TODAY()-staff[[#This Row],[Date Joined]])/365</f>
        <v>1.1205479452054794</v>
      </c>
      <c r="J159">
        <f t="shared" ca="1" si="8"/>
        <v>1359</v>
      </c>
      <c r="K159" s="41">
        <f t="shared" ca="1" si="9"/>
        <v>69309</v>
      </c>
      <c r="L159">
        <f>VLOOKUP('ALL Staff'!D75,Mapping!$B$2:$C$6,2,0)</f>
        <v>3</v>
      </c>
      <c r="M159" s="41"/>
    </row>
    <row r="160" spans="1:13" x14ac:dyDescent="0.3">
      <c r="A160" t="s">
        <v>97</v>
      </c>
      <c r="B160" t="s">
        <v>15</v>
      </c>
      <c r="C160">
        <v>37</v>
      </c>
      <c r="D160" t="s">
        <v>16</v>
      </c>
      <c r="E160" s="6">
        <v>44701</v>
      </c>
      <c r="F160" t="s">
        <v>12</v>
      </c>
      <c r="G160" s="22">
        <v>69070</v>
      </c>
      <c r="H160" t="s">
        <v>207</v>
      </c>
      <c r="I160" s="7">
        <f ca="1">(TODAY()-staff[[#This Row],[Date Joined]])/365</f>
        <v>1.1205479452054794</v>
      </c>
      <c r="J160">
        <f t="shared" ca="1" si="8"/>
        <v>1381.4</v>
      </c>
      <c r="K160" s="41">
        <f t="shared" ca="1" si="9"/>
        <v>70451.399999999994</v>
      </c>
      <c r="L160">
        <f>VLOOKUP('ALL Staff'!D79,Mapping!$B$2:$C$6,2,0)</f>
        <v>3</v>
      </c>
      <c r="M160" s="41"/>
    </row>
    <row r="161" spans="1:13" x14ac:dyDescent="0.3">
      <c r="A161" t="s">
        <v>145</v>
      </c>
      <c r="B161" t="s">
        <v>206</v>
      </c>
      <c r="C161">
        <v>32</v>
      </c>
      <c r="D161" t="s">
        <v>16</v>
      </c>
      <c r="E161" s="6">
        <v>44713</v>
      </c>
      <c r="F161" t="s">
        <v>12</v>
      </c>
      <c r="G161" s="22">
        <v>91310</v>
      </c>
      <c r="H161" t="s">
        <v>205</v>
      </c>
      <c r="I161" s="7">
        <f ca="1">(TODAY()-staff[[#This Row],[Date Joined]])/365</f>
        <v>1.0876712328767124</v>
      </c>
      <c r="J161">
        <f t="shared" ca="1" si="8"/>
        <v>1826.2</v>
      </c>
      <c r="K161" s="41">
        <f t="shared" ca="1" si="9"/>
        <v>93136.2</v>
      </c>
      <c r="L161">
        <f>VLOOKUP('ALL Staff'!D124,Mapping!$B$2:$C$6,2,0)</f>
        <v>3</v>
      </c>
      <c r="M161" s="41"/>
    </row>
    <row r="162" spans="1:13" x14ac:dyDescent="0.3">
      <c r="A162" t="s">
        <v>111</v>
      </c>
      <c r="B162" t="s">
        <v>8</v>
      </c>
      <c r="C162">
        <v>42</v>
      </c>
      <c r="D162" t="s">
        <v>10</v>
      </c>
      <c r="E162" s="6">
        <v>44718</v>
      </c>
      <c r="F162" t="s">
        <v>9</v>
      </c>
      <c r="G162" s="22">
        <v>75000</v>
      </c>
      <c r="H162" t="s">
        <v>205</v>
      </c>
      <c r="I162" s="7">
        <f ca="1">(TODAY()-staff[[#This Row],[Date Joined]])/365</f>
        <v>1.0739726027397261</v>
      </c>
      <c r="J162">
        <f t="shared" ref="J162:J193" ca="1" si="10">IF(I162&gt;2,3%*G162,2%*G162)</f>
        <v>1500</v>
      </c>
      <c r="K162" s="41">
        <f t="shared" ref="K162:K193" ca="1" si="11">G162+J162</f>
        <v>76500</v>
      </c>
      <c r="L162">
        <f>VLOOKUP('ALL Staff'!D92,Mapping!$B$2:$C$6,2,0)</f>
        <v>3</v>
      </c>
      <c r="M162" s="41"/>
    </row>
    <row r="163" spans="1:13" x14ac:dyDescent="0.3">
      <c r="A163" t="s">
        <v>73</v>
      </c>
      <c r="B163" t="s">
        <v>8</v>
      </c>
      <c r="C163">
        <v>34</v>
      </c>
      <c r="D163" t="s">
        <v>24</v>
      </c>
      <c r="E163" s="6">
        <v>44721</v>
      </c>
      <c r="F163" t="s">
        <v>19</v>
      </c>
      <c r="G163" s="22">
        <v>49630</v>
      </c>
      <c r="H163" t="s">
        <v>207</v>
      </c>
      <c r="I163" s="7">
        <f ca="1">(TODAY()-staff[[#This Row],[Date Joined]])/365</f>
        <v>1.0657534246575342</v>
      </c>
      <c r="J163">
        <f t="shared" ca="1" si="10"/>
        <v>992.6</v>
      </c>
      <c r="K163" s="41">
        <f t="shared" ca="1" si="11"/>
        <v>50622.6</v>
      </c>
      <c r="L163">
        <f>VLOOKUP('ALL Staff'!D32,Mapping!$B$2:$C$6,2,0)</f>
        <v>4</v>
      </c>
      <c r="M163" s="41"/>
    </row>
    <row r="164" spans="1:13" x14ac:dyDescent="0.3">
      <c r="A164" t="s">
        <v>50</v>
      </c>
      <c r="B164" t="s">
        <v>15</v>
      </c>
      <c r="C164">
        <v>31</v>
      </c>
      <c r="D164" t="s">
        <v>16</v>
      </c>
      <c r="E164" s="6">
        <v>44724</v>
      </c>
      <c r="F164" t="s">
        <v>9</v>
      </c>
      <c r="G164" s="22">
        <v>103550</v>
      </c>
      <c r="H164" t="s">
        <v>207</v>
      </c>
      <c r="I164" s="7">
        <f ca="1">(TODAY()-staff[[#This Row],[Date Joined]])/365</f>
        <v>1.0575342465753426</v>
      </c>
      <c r="J164">
        <f t="shared" ca="1" si="10"/>
        <v>2071</v>
      </c>
      <c r="K164" s="41">
        <f t="shared" ca="1" si="11"/>
        <v>105621</v>
      </c>
      <c r="L164">
        <f>VLOOKUP('ALL Staff'!D143,Mapping!$B$2:$C$6,2,0)</f>
        <v>3</v>
      </c>
      <c r="M164" s="41"/>
    </row>
    <row r="165" spans="1:13" x14ac:dyDescent="0.3">
      <c r="A165" t="s">
        <v>34</v>
      </c>
      <c r="B165" t="s">
        <v>15</v>
      </c>
      <c r="C165">
        <v>25</v>
      </c>
      <c r="D165" t="s">
        <v>13</v>
      </c>
      <c r="E165" s="6">
        <v>44726</v>
      </c>
      <c r="F165" t="s">
        <v>9</v>
      </c>
      <c r="G165" s="22">
        <v>109190</v>
      </c>
      <c r="H165" t="s">
        <v>207</v>
      </c>
      <c r="I165" s="7">
        <f ca="1">(TODAY()-staff[[#This Row],[Date Joined]])/365</f>
        <v>1.0520547945205478</v>
      </c>
      <c r="J165">
        <f t="shared" ca="1" si="10"/>
        <v>2183.8000000000002</v>
      </c>
      <c r="K165" s="41">
        <f t="shared" ca="1" si="11"/>
        <v>111373.8</v>
      </c>
      <c r="L165">
        <f>VLOOKUP('ALL Staff'!D157,Mapping!$B$2:$C$6,2,0)</f>
        <v>4</v>
      </c>
      <c r="M165" s="41"/>
    </row>
    <row r="166" spans="1:13" x14ac:dyDescent="0.3">
      <c r="A166" t="s">
        <v>57</v>
      </c>
      <c r="B166" t="s">
        <v>15</v>
      </c>
      <c r="C166">
        <v>35</v>
      </c>
      <c r="D166" t="s">
        <v>16</v>
      </c>
      <c r="E166" s="6">
        <v>44727</v>
      </c>
      <c r="F166" t="s">
        <v>9</v>
      </c>
      <c r="G166" s="22">
        <v>40400</v>
      </c>
      <c r="H166" t="s">
        <v>207</v>
      </c>
      <c r="I166" s="7">
        <f ca="1">(TODAY()-staff[[#This Row],[Date Joined]])/365</f>
        <v>1.0493150684931507</v>
      </c>
      <c r="J166">
        <f t="shared" ca="1" si="10"/>
        <v>808</v>
      </c>
      <c r="K166" s="41">
        <f t="shared" ca="1" si="11"/>
        <v>41208</v>
      </c>
      <c r="L166">
        <f>VLOOKUP('ALL Staff'!D11,Mapping!$B$2:$C$6,2,0)</f>
        <v>3</v>
      </c>
      <c r="M166" s="41"/>
    </row>
    <row r="167" spans="1:13" x14ac:dyDescent="0.3">
      <c r="A167" t="s">
        <v>90</v>
      </c>
      <c r="B167" t="s">
        <v>15</v>
      </c>
      <c r="C167">
        <v>42</v>
      </c>
      <c r="D167" t="s">
        <v>24</v>
      </c>
      <c r="E167" s="6">
        <v>44731</v>
      </c>
      <c r="F167" t="s">
        <v>21</v>
      </c>
      <c r="G167" s="22">
        <v>70270</v>
      </c>
      <c r="H167" t="s">
        <v>207</v>
      </c>
      <c r="I167" s="7">
        <f ca="1">(TODAY()-staff[[#This Row],[Date Joined]])/365</f>
        <v>1.0383561643835617</v>
      </c>
      <c r="J167">
        <f t="shared" ca="1" si="10"/>
        <v>1405.4</v>
      </c>
      <c r="K167" s="41">
        <f t="shared" ca="1" si="11"/>
        <v>71675.399999999994</v>
      </c>
      <c r="L167">
        <f>VLOOKUP('ALL Staff'!D85,Mapping!$B$2:$C$6,2,0)</f>
        <v>4</v>
      </c>
      <c r="M167" s="41"/>
    </row>
    <row r="168" spans="1:13" x14ac:dyDescent="0.3">
      <c r="A168" t="s">
        <v>104</v>
      </c>
      <c r="B168" t="s">
        <v>15</v>
      </c>
      <c r="C168">
        <v>20</v>
      </c>
      <c r="D168" t="s">
        <v>16</v>
      </c>
      <c r="E168" s="6">
        <v>44744</v>
      </c>
      <c r="F168" t="s">
        <v>9</v>
      </c>
      <c r="G168" s="22">
        <v>79570</v>
      </c>
      <c r="H168" t="s">
        <v>207</v>
      </c>
      <c r="I168" s="7">
        <f ca="1">(TODAY()-staff[[#This Row],[Date Joined]])/365</f>
        <v>1.0027397260273974</v>
      </c>
      <c r="J168">
        <f t="shared" ca="1" si="10"/>
        <v>1591.4</v>
      </c>
      <c r="K168" s="41">
        <f t="shared" ca="1" si="11"/>
        <v>81161.399999999994</v>
      </c>
      <c r="L168">
        <f>VLOOKUP('ALL Staff'!D109,Mapping!$B$2:$C$6,2,0)</f>
        <v>3</v>
      </c>
      <c r="M168" s="41"/>
    </row>
    <row r="169" spans="1:13" x14ac:dyDescent="0.3">
      <c r="A169" t="s">
        <v>181</v>
      </c>
      <c r="B169" t="s">
        <v>8</v>
      </c>
      <c r="C169">
        <v>33</v>
      </c>
      <c r="D169" t="s">
        <v>16</v>
      </c>
      <c r="E169" s="6">
        <v>44747</v>
      </c>
      <c r="F169" t="s">
        <v>21</v>
      </c>
      <c r="G169" s="22">
        <v>86570</v>
      </c>
      <c r="H169" t="s">
        <v>205</v>
      </c>
      <c r="I169" s="7">
        <f ca="1">(TODAY()-staff[[#This Row],[Date Joined]])/365</f>
        <v>0.9945205479452055</v>
      </c>
      <c r="J169">
        <f t="shared" ca="1" si="10"/>
        <v>1731.4</v>
      </c>
      <c r="K169" s="41">
        <f t="shared" ca="1" si="11"/>
        <v>88301.4</v>
      </c>
      <c r="L169">
        <f>VLOOKUP('ALL Staff'!D116,Mapping!$B$2:$C$6,2,0)</f>
        <v>3</v>
      </c>
      <c r="M169" s="41"/>
    </row>
    <row r="170" spans="1:13" x14ac:dyDescent="0.3">
      <c r="A170" t="s">
        <v>172</v>
      </c>
      <c r="B170" t="s">
        <v>15</v>
      </c>
      <c r="C170">
        <v>28</v>
      </c>
      <c r="D170" t="s">
        <v>42</v>
      </c>
      <c r="E170" s="6">
        <v>44758</v>
      </c>
      <c r="F170" t="s">
        <v>19</v>
      </c>
      <c r="G170" s="22">
        <v>43510</v>
      </c>
      <c r="H170" t="s">
        <v>205</v>
      </c>
      <c r="I170" s="7">
        <f ca="1">(TODAY()-staff[[#This Row],[Date Joined]])/365</f>
        <v>0.96438356164383565</v>
      </c>
      <c r="J170">
        <f t="shared" ca="1" si="10"/>
        <v>870.2</v>
      </c>
      <c r="K170" s="41">
        <f t="shared" ca="1" si="11"/>
        <v>44380.2</v>
      </c>
      <c r="L170">
        <f>VLOOKUP('ALL Staff'!D16,Mapping!$B$2:$C$6,2,0)</f>
        <v>2</v>
      </c>
      <c r="M170" s="41"/>
    </row>
    <row r="171" spans="1:13" x14ac:dyDescent="0.3">
      <c r="A171" t="s">
        <v>70</v>
      </c>
      <c r="B171" t="s">
        <v>15</v>
      </c>
      <c r="C171">
        <v>46</v>
      </c>
      <c r="D171" t="s">
        <v>16</v>
      </c>
      <c r="E171" s="6">
        <v>44758</v>
      </c>
      <c r="F171" t="s">
        <v>9</v>
      </c>
      <c r="G171" s="22">
        <v>70610</v>
      </c>
      <c r="H171" t="s">
        <v>207</v>
      </c>
      <c r="I171" s="7">
        <f ca="1">(TODAY()-staff[[#This Row],[Date Joined]])/365</f>
        <v>0.96438356164383565</v>
      </c>
      <c r="J171">
        <f t="shared" ca="1" si="10"/>
        <v>1412.2</v>
      </c>
      <c r="K171" s="41">
        <f t="shared" ca="1" si="11"/>
        <v>72022.2</v>
      </c>
      <c r="L171">
        <f>VLOOKUP('ALL Staff'!D87,Mapping!$B$2:$C$6,2,0)</f>
        <v>3</v>
      </c>
      <c r="M171" s="41"/>
    </row>
    <row r="172" spans="1:13" x14ac:dyDescent="0.3">
      <c r="A172" t="s">
        <v>31</v>
      </c>
      <c r="B172" t="s">
        <v>15</v>
      </c>
      <c r="C172">
        <v>21</v>
      </c>
      <c r="D172" t="s">
        <v>16</v>
      </c>
      <c r="E172" s="6">
        <v>44762</v>
      </c>
      <c r="F172" t="s">
        <v>9</v>
      </c>
      <c r="G172" s="22">
        <v>57090</v>
      </c>
      <c r="H172" t="s">
        <v>207</v>
      </c>
      <c r="I172" s="7">
        <f ca="1">(TODAY()-staff[[#This Row],[Date Joined]])/365</f>
        <v>0.95342465753424654</v>
      </c>
      <c r="J172">
        <f t="shared" ca="1" si="10"/>
        <v>1141.8</v>
      </c>
      <c r="K172" s="41">
        <f t="shared" ca="1" si="11"/>
        <v>58231.8</v>
      </c>
      <c r="L172">
        <f>VLOOKUP('ALL Staff'!D48,Mapping!$B$2:$C$6,2,0)</f>
        <v>3</v>
      </c>
      <c r="M172" s="41"/>
    </row>
    <row r="173" spans="1:13" x14ac:dyDescent="0.3">
      <c r="A173" t="s">
        <v>52</v>
      </c>
      <c r="B173" t="s">
        <v>206</v>
      </c>
      <c r="C173">
        <v>32</v>
      </c>
      <c r="D173" t="s">
        <v>16</v>
      </c>
      <c r="E173" s="6">
        <v>44774</v>
      </c>
      <c r="F173" t="s">
        <v>12</v>
      </c>
      <c r="G173" s="22">
        <v>91310</v>
      </c>
      <c r="H173" t="s">
        <v>207</v>
      </c>
      <c r="I173" s="7">
        <f ca="1">(TODAY()-staff[[#This Row],[Date Joined]])/365</f>
        <v>0.92054794520547945</v>
      </c>
      <c r="J173">
        <f t="shared" ca="1" si="10"/>
        <v>1826.2</v>
      </c>
      <c r="K173" s="41">
        <f t="shared" ca="1" si="11"/>
        <v>93136.2</v>
      </c>
      <c r="L173">
        <f>VLOOKUP('ALL Staff'!D125,Mapping!$B$2:$C$6,2,0)</f>
        <v>3</v>
      </c>
      <c r="M173" s="41"/>
    </row>
    <row r="174" spans="1:13" x14ac:dyDescent="0.3">
      <c r="A174" t="s">
        <v>7</v>
      </c>
      <c r="B174" t="s">
        <v>8</v>
      </c>
      <c r="C174">
        <v>42</v>
      </c>
      <c r="D174" t="s">
        <v>10</v>
      </c>
      <c r="E174" s="6">
        <v>44779</v>
      </c>
      <c r="F174" t="s">
        <v>9</v>
      </c>
      <c r="G174" s="22">
        <v>75000</v>
      </c>
      <c r="H174" t="s">
        <v>207</v>
      </c>
      <c r="I174" s="7">
        <f ca="1">(TODAY()-staff[[#This Row],[Date Joined]])/365</f>
        <v>0.9068493150684932</v>
      </c>
      <c r="J174">
        <f t="shared" ca="1" si="10"/>
        <v>1500</v>
      </c>
      <c r="K174" s="41">
        <f t="shared" ca="1" si="11"/>
        <v>76500</v>
      </c>
      <c r="L174">
        <f>VLOOKUP('ALL Staff'!D93,Mapping!$B$2:$C$6,2,0)</f>
        <v>3</v>
      </c>
      <c r="M174" s="41"/>
    </row>
    <row r="175" spans="1:13" x14ac:dyDescent="0.3">
      <c r="A175" t="s">
        <v>159</v>
      </c>
      <c r="B175" t="s">
        <v>15</v>
      </c>
      <c r="C175">
        <v>30</v>
      </c>
      <c r="D175" t="s">
        <v>16</v>
      </c>
      <c r="E175" s="6">
        <v>44789</v>
      </c>
      <c r="F175" t="s">
        <v>12</v>
      </c>
      <c r="G175" s="22">
        <v>69710</v>
      </c>
      <c r="H175" t="s">
        <v>205</v>
      </c>
      <c r="I175" s="7">
        <f ca="1">(TODAY()-staff[[#This Row],[Date Joined]])/365</f>
        <v>0.8794520547945206</v>
      </c>
      <c r="J175">
        <f t="shared" ca="1" si="10"/>
        <v>1394.2</v>
      </c>
      <c r="K175" s="41">
        <f t="shared" ca="1" si="11"/>
        <v>71104.2</v>
      </c>
      <c r="L175">
        <f>VLOOKUP('ALL Staff'!D82,Mapping!$B$2:$C$6,2,0)</f>
        <v>3</v>
      </c>
      <c r="M175" s="41"/>
    </row>
    <row r="176" spans="1:13" x14ac:dyDescent="0.3">
      <c r="A176" t="s">
        <v>147</v>
      </c>
      <c r="B176" t="s">
        <v>8</v>
      </c>
      <c r="C176">
        <v>30</v>
      </c>
      <c r="D176" t="s">
        <v>16</v>
      </c>
      <c r="E176" s="6">
        <v>44789</v>
      </c>
      <c r="F176" t="s">
        <v>9</v>
      </c>
      <c r="G176" s="22">
        <v>114180</v>
      </c>
      <c r="H176" t="s">
        <v>205</v>
      </c>
      <c r="I176" s="7">
        <f ca="1">(TODAY()-staff[[#This Row],[Date Joined]])/365</f>
        <v>0.8794520547945206</v>
      </c>
      <c r="J176">
        <f t="shared" ca="1" si="10"/>
        <v>2283.6</v>
      </c>
      <c r="K176" s="41">
        <f t="shared" ca="1" si="11"/>
        <v>116463.6</v>
      </c>
      <c r="L176">
        <f>VLOOKUP('ALL Staff'!D169,Mapping!$B$2:$C$6,2,0)</f>
        <v>3</v>
      </c>
      <c r="M176" s="41"/>
    </row>
    <row r="177" spans="1:13" x14ac:dyDescent="0.3">
      <c r="A177" t="s">
        <v>173</v>
      </c>
      <c r="B177" t="s">
        <v>8</v>
      </c>
      <c r="C177">
        <v>30</v>
      </c>
      <c r="D177" t="s">
        <v>16</v>
      </c>
      <c r="E177" s="6">
        <v>44800</v>
      </c>
      <c r="F177" t="s">
        <v>9</v>
      </c>
      <c r="G177" s="22">
        <v>112570</v>
      </c>
      <c r="H177" t="s">
        <v>205</v>
      </c>
      <c r="I177" s="7">
        <f ca="1">(TODAY()-staff[[#This Row],[Date Joined]])/365</f>
        <v>0.84931506849315064</v>
      </c>
      <c r="J177">
        <f t="shared" ca="1" si="10"/>
        <v>2251.4</v>
      </c>
      <c r="K177" s="41">
        <f t="shared" ca="1" si="11"/>
        <v>114821.4</v>
      </c>
      <c r="L177">
        <f>VLOOKUP('ALL Staff'!D160,Mapping!$B$2:$C$6,2,0)</f>
        <v>3</v>
      </c>
      <c r="M177" s="41"/>
    </row>
    <row r="178" spans="1:13" x14ac:dyDescent="0.3">
      <c r="A178" t="s">
        <v>88</v>
      </c>
      <c r="B178" t="s">
        <v>8</v>
      </c>
      <c r="C178">
        <v>33</v>
      </c>
      <c r="D178" t="s">
        <v>16</v>
      </c>
      <c r="E178" s="6">
        <v>44809</v>
      </c>
      <c r="F178" t="s">
        <v>21</v>
      </c>
      <c r="G178" s="22">
        <v>86570</v>
      </c>
      <c r="H178" t="s">
        <v>207</v>
      </c>
      <c r="I178" s="7">
        <f ca="1">(TODAY()-staff[[#This Row],[Date Joined]])/365</f>
        <v>0.8246575342465754</v>
      </c>
      <c r="J178">
        <f t="shared" ca="1" si="10"/>
        <v>1731.4</v>
      </c>
      <c r="K178" s="41">
        <f t="shared" ca="1" si="11"/>
        <v>88301.4</v>
      </c>
      <c r="L178">
        <f>VLOOKUP('ALL Staff'!D117,Mapping!$B$2:$C$6,2,0)</f>
        <v>1</v>
      </c>
      <c r="M178" s="41"/>
    </row>
    <row r="179" spans="1:13" x14ac:dyDescent="0.3">
      <c r="A179" t="s">
        <v>80</v>
      </c>
      <c r="B179" t="s">
        <v>15</v>
      </c>
      <c r="C179">
        <v>28</v>
      </c>
      <c r="D179" t="s">
        <v>42</v>
      </c>
      <c r="E179" s="6">
        <v>44820</v>
      </c>
      <c r="F179" t="s">
        <v>19</v>
      </c>
      <c r="G179" s="22">
        <v>43510</v>
      </c>
      <c r="H179" t="s">
        <v>207</v>
      </c>
      <c r="I179" s="7">
        <f ca="1">(TODAY()-staff[[#This Row],[Date Joined]])/365</f>
        <v>0.79452054794520544</v>
      </c>
      <c r="J179">
        <f t="shared" ca="1" si="10"/>
        <v>870.2</v>
      </c>
      <c r="K179" s="41">
        <f t="shared" ca="1" si="11"/>
        <v>44380.2</v>
      </c>
      <c r="L179">
        <f>VLOOKUP('ALL Staff'!D17,Mapping!$B$2:$C$6,2,0)</f>
        <v>3</v>
      </c>
      <c r="M179" s="41"/>
    </row>
    <row r="180" spans="1:13" x14ac:dyDescent="0.3">
      <c r="A180" t="s">
        <v>67</v>
      </c>
      <c r="B180" t="s">
        <v>15</v>
      </c>
      <c r="C180">
        <v>30</v>
      </c>
      <c r="D180" t="s">
        <v>16</v>
      </c>
      <c r="E180" s="6">
        <v>44850</v>
      </c>
      <c r="F180" t="s">
        <v>12</v>
      </c>
      <c r="G180" s="22">
        <v>69710</v>
      </c>
      <c r="H180" t="s">
        <v>207</v>
      </c>
      <c r="I180" s="7">
        <f ca="1">(TODAY()-staff[[#This Row],[Date Joined]])/365</f>
        <v>0.71232876712328763</v>
      </c>
      <c r="J180">
        <f t="shared" ca="1" si="10"/>
        <v>1394.2</v>
      </c>
      <c r="K180" s="41">
        <f t="shared" ca="1" si="11"/>
        <v>71104.2</v>
      </c>
      <c r="L180">
        <f>VLOOKUP('ALL Staff'!D83,Mapping!$B$2:$C$6,2,0)</f>
        <v>4</v>
      </c>
      <c r="M180" s="41"/>
    </row>
    <row r="181" spans="1:13" x14ac:dyDescent="0.3">
      <c r="A181" t="s">
        <v>54</v>
      </c>
      <c r="B181" t="s">
        <v>8</v>
      </c>
      <c r="C181">
        <v>30</v>
      </c>
      <c r="D181" t="s">
        <v>16</v>
      </c>
      <c r="E181" s="6">
        <v>44850</v>
      </c>
      <c r="F181" t="s">
        <v>9</v>
      </c>
      <c r="G181" s="22">
        <v>114180</v>
      </c>
      <c r="H181" t="s">
        <v>207</v>
      </c>
      <c r="I181" s="7">
        <f ca="1">(TODAY()-staff[[#This Row],[Date Joined]])/365</f>
        <v>0.71232876712328763</v>
      </c>
      <c r="J181">
        <f t="shared" ca="1" si="10"/>
        <v>2283.6</v>
      </c>
      <c r="K181" s="41">
        <f t="shared" ca="1" si="11"/>
        <v>116463.6</v>
      </c>
      <c r="L181">
        <f>VLOOKUP('ALL Staff'!D170,Mapping!$B$2:$C$6,2,0)</f>
        <v>1</v>
      </c>
      <c r="M181" s="41"/>
    </row>
    <row r="182" spans="1:13" x14ac:dyDescent="0.3">
      <c r="A182" t="s">
        <v>81</v>
      </c>
      <c r="B182" t="s">
        <v>8</v>
      </c>
      <c r="C182">
        <v>30</v>
      </c>
      <c r="D182" t="s">
        <v>16</v>
      </c>
      <c r="E182" s="6">
        <v>44861</v>
      </c>
      <c r="F182" t="s">
        <v>9</v>
      </c>
      <c r="G182" s="22">
        <v>112570</v>
      </c>
      <c r="H182" t="s">
        <v>207</v>
      </c>
      <c r="I182" s="7">
        <f ca="1">(TODAY()-staff[[#This Row],[Date Joined]])/365</f>
        <v>0.68219178082191778</v>
      </c>
      <c r="J182">
        <f t="shared" ca="1" si="10"/>
        <v>2251.4</v>
      </c>
      <c r="K182" s="41">
        <f t="shared" ca="1" si="11"/>
        <v>114821.4</v>
      </c>
      <c r="L182">
        <f>VLOOKUP('ALL Staff'!D161,Mapping!$B$2:$C$6,2,0)</f>
        <v>3</v>
      </c>
      <c r="M182" s="41"/>
    </row>
    <row r="183" spans="1:13" x14ac:dyDescent="0.3">
      <c r="A183" t="s">
        <v>114</v>
      </c>
      <c r="B183" t="s">
        <v>8</v>
      </c>
      <c r="C183">
        <v>44</v>
      </c>
      <c r="D183" t="s">
        <v>16</v>
      </c>
      <c r="E183" s="6">
        <v>44985</v>
      </c>
      <c r="F183" t="s">
        <v>12</v>
      </c>
      <c r="G183" s="22">
        <v>114870</v>
      </c>
      <c r="H183" t="s">
        <v>205</v>
      </c>
      <c r="I183" s="7">
        <f ca="1">(TODAY()-staff[[#This Row],[Date Joined]])/365</f>
        <v>0.34246575342465752</v>
      </c>
      <c r="J183">
        <f t="shared" ca="1" si="10"/>
        <v>2297.4</v>
      </c>
      <c r="K183" s="41">
        <f t="shared" ca="1" si="11"/>
        <v>117167.4</v>
      </c>
      <c r="L183">
        <f>VLOOKUP('ALL Staff'!D171,Mapping!$B$2:$C$6,2,0)</f>
        <v>3</v>
      </c>
      <c r="M183" s="41"/>
    </row>
    <row r="184" spans="1:13" x14ac:dyDescent="0.3">
      <c r="A184" t="s">
        <v>17</v>
      </c>
      <c r="B184" t="s">
        <v>8</v>
      </c>
      <c r="C184">
        <v>43</v>
      </c>
      <c r="D184" t="s">
        <v>16</v>
      </c>
      <c r="E184" s="6">
        <v>45045</v>
      </c>
      <c r="F184" t="s">
        <v>12</v>
      </c>
      <c r="G184" s="22">
        <v>114870</v>
      </c>
      <c r="H184" t="s">
        <v>207</v>
      </c>
      <c r="I184" s="7">
        <f ca="1">(TODAY()-staff[[#This Row],[Date Joined]])/365</f>
        <v>0.17808219178082191</v>
      </c>
      <c r="J184">
        <f t="shared" ca="1" si="10"/>
        <v>2297.4</v>
      </c>
      <c r="K184" s="41">
        <f t="shared" ca="1" si="11"/>
        <v>117167.4</v>
      </c>
      <c r="L184">
        <f>VLOOKUP('ALL Staff'!D172,Mapping!$B$2:$C$6,2,0)</f>
        <v>3</v>
      </c>
      <c r="M184" s="41"/>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L188"/>
  <sheetViews>
    <sheetView zoomScale="87" zoomScaleNormal="160" workbookViewId="0">
      <selection activeCell="Y12" sqref="Y12"/>
    </sheetView>
  </sheetViews>
  <sheetFormatPr defaultRowHeight="14.4" x14ac:dyDescent="0.3"/>
  <cols>
    <col min="2" max="2" width="13.21875" bestFit="1" customWidth="1"/>
    <col min="3" max="3" width="14.109375" bestFit="1" customWidth="1"/>
    <col min="4" max="4" width="16.33203125" bestFit="1" customWidth="1"/>
    <col min="9" max="9" width="10.33203125" bestFit="1" customWidth="1"/>
    <col min="10" max="10" width="14.5546875" customWidth="1"/>
    <col min="11" max="11" width="10.88671875" bestFit="1" customWidth="1"/>
    <col min="12" max="12" width="12.33203125" bestFit="1" customWidth="1"/>
  </cols>
  <sheetData>
    <row r="3" spans="2:12" x14ac:dyDescent="0.3">
      <c r="B3" s="19" t="s">
        <v>232</v>
      </c>
      <c r="C3" t="s">
        <v>227</v>
      </c>
      <c r="D3" t="s">
        <v>230</v>
      </c>
    </row>
    <row r="4" spans="2:12" x14ac:dyDescent="0.3">
      <c r="B4" s="12" t="s">
        <v>10</v>
      </c>
      <c r="C4">
        <v>4</v>
      </c>
      <c r="D4" s="21">
        <v>92080</v>
      </c>
    </row>
    <row r="5" spans="2:12" x14ac:dyDescent="0.3">
      <c r="B5" s="12" t="s">
        <v>13</v>
      </c>
      <c r="C5">
        <v>20</v>
      </c>
      <c r="D5" s="21">
        <v>76991</v>
      </c>
      <c r="I5" s="42" t="s">
        <v>263</v>
      </c>
      <c r="J5" s="42" t="s">
        <v>264</v>
      </c>
      <c r="K5" s="42" t="s">
        <v>265</v>
      </c>
      <c r="L5" s="42" t="s">
        <v>250</v>
      </c>
    </row>
    <row r="6" spans="2:12" x14ac:dyDescent="0.3">
      <c r="B6" s="12" t="s">
        <v>16</v>
      </c>
      <c r="C6">
        <v>137</v>
      </c>
      <c r="D6" s="21">
        <v>76798.759124087592</v>
      </c>
      <c r="I6" cm="1">
        <f t="array" ref="I6:I42">_xlfn.SEQUENCE(37)</f>
        <v>1</v>
      </c>
      <c r="J6" s="24" cm="1">
        <f t="array" ref="J6:J42">EDATE(DATE(2020,4,1),_xlfn.ANCHORARRAY(I6)+0)</f>
        <v>43952</v>
      </c>
      <c r="K6">
        <f>COUNTIFS(staff[Date Joined],"&gt;="&amp;J6,staff[Date Joined],"&lt;="&amp;EOMONTH(J6,0))</f>
        <v>3</v>
      </c>
      <c r="L6">
        <f>K6</f>
        <v>3</v>
      </c>
    </row>
    <row r="7" spans="2:12" x14ac:dyDescent="0.3">
      <c r="B7" s="12" t="s">
        <v>24</v>
      </c>
      <c r="C7">
        <v>16</v>
      </c>
      <c r="D7" s="21">
        <v>78115</v>
      </c>
      <c r="I7">
        <v>2</v>
      </c>
      <c r="J7" s="24">
        <v>43983</v>
      </c>
      <c r="K7">
        <f>COUNTIFS(staff[Date Joined],"&gt;="&amp;J7,staff[Date Joined],"&lt;="&amp;EOMONTH(J7,0))</f>
        <v>1</v>
      </c>
      <c r="L7">
        <f>L6+K7</f>
        <v>4</v>
      </c>
    </row>
    <row r="8" spans="2:12" x14ac:dyDescent="0.3">
      <c r="B8" s="12" t="s">
        <v>42</v>
      </c>
      <c r="C8">
        <v>6</v>
      </c>
      <c r="D8" s="21">
        <v>77423.333333333328</v>
      </c>
      <c r="I8">
        <v>3</v>
      </c>
      <c r="J8" s="24">
        <v>44013</v>
      </c>
      <c r="K8">
        <f>COUNTIFS(staff[Date Joined],"&gt;="&amp;J8,staff[Date Joined],"&lt;="&amp;EOMONTH(J8,0))</f>
        <v>5</v>
      </c>
      <c r="L8">
        <f t="shared" ref="L8:L42" si="0">L7+K8</f>
        <v>9</v>
      </c>
    </row>
    <row r="9" spans="2:12" x14ac:dyDescent="0.3">
      <c r="B9" s="12" t="s">
        <v>226</v>
      </c>
      <c r="C9">
        <v>183</v>
      </c>
      <c r="D9" s="21">
        <v>77289.344262295082</v>
      </c>
      <c r="I9">
        <v>4</v>
      </c>
      <c r="J9" s="24">
        <v>44044</v>
      </c>
      <c r="K9">
        <f>COUNTIFS(staff[Date Joined],"&gt;="&amp;J9,staff[Date Joined],"&lt;="&amp;EOMONTH(J9,0))</f>
        <v>3</v>
      </c>
      <c r="L9">
        <f t="shared" si="0"/>
        <v>12</v>
      </c>
    </row>
    <row r="10" spans="2:12" x14ac:dyDescent="0.3">
      <c r="I10">
        <v>5</v>
      </c>
      <c r="J10" s="24">
        <v>44075</v>
      </c>
      <c r="K10">
        <f>COUNTIFS(staff[Date Joined],"&gt;="&amp;J10,staff[Date Joined],"&lt;="&amp;EOMONTH(J10,0))</f>
        <v>6</v>
      </c>
      <c r="L10">
        <f t="shared" si="0"/>
        <v>18</v>
      </c>
    </row>
    <row r="11" spans="2:12" x14ac:dyDescent="0.3">
      <c r="I11">
        <v>6</v>
      </c>
      <c r="J11" s="24">
        <v>44105</v>
      </c>
      <c r="K11">
        <f>COUNTIFS(staff[Date Joined],"&gt;="&amp;J11,staff[Date Joined],"&lt;="&amp;EOMONTH(J11,0))</f>
        <v>6</v>
      </c>
      <c r="L11">
        <f t="shared" si="0"/>
        <v>24</v>
      </c>
    </row>
    <row r="12" spans="2:12" x14ac:dyDescent="0.3">
      <c r="I12">
        <v>7</v>
      </c>
      <c r="J12" s="24">
        <v>44136</v>
      </c>
      <c r="K12">
        <f>COUNTIFS(staff[Date Joined],"&gt;="&amp;J12,staff[Date Joined],"&lt;="&amp;EOMONTH(J12,0))</f>
        <v>6</v>
      </c>
      <c r="L12">
        <f t="shared" si="0"/>
        <v>30</v>
      </c>
    </row>
    <row r="13" spans="2:12" x14ac:dyDescent="0.3">
      <c r="B13" s="19" t="s">
        <v>232</v>
      </c>
      <c r="C13" t="s">
        <v>227</v>
      </c>
      <c r="D13" t="s">
        <v>230</v>
      </c>
      <c r="I13">
        <v>8</v>
      </c>
      <c r="J13" s="24">
        <v>44166</v>
      </c>
      <c r="K13">
        <f>COUNTIFS(staff[Date Joined],"&gt;="&amp;J13,staff[Date Joined],"&lt;="&amp;EOMONTH(J13,0))</f>
        <v>7</v>
      </c>
      <c r="L13">
        <f t="shared" si="0"/>
        <v>37</v>
      </c>
    </row>
    <row r="14" spans="2:12" x14ac:dyDescent="0.3">
      <c r="B14" s="12" t="s">
        <v>10</v>
      </c>
      <c r="C14">
        <v>4</v>
      </c>
      <c r="D14" s="50">
        <v>92080</v>
      </c>
      <c r="I14">
        <v>9</v>
      </c>
      <c r="J14" s="24">
        <v>44197</v>
      </c>
      <c r="K14">
        <f>COUNTIFS(staff[Date Joined],"&gt;="&amp;J14,staff[Date Joined],"&lt;="&amp;EOMONTH(J14,0))</f>
        <v>6</v>
      </c>
      <c r="L14">
        <f t="shared" si="0"/>
        <v>43</v>
      </c>
    </row>
    <row r="15" spans="2:12" x14ac:dyDescent="0.3">
      <c r="B15" s="12" t="s">
        <v>13</v>
      </c>
      <c r="C15">
        <v>20</v>
      </c>
      <c r="D15" s="50">
        <v>76991</v>
      </c>
      <c r="I15">
        <v>10</v>
      </c>
      <c r="J15" s="24">
        <v>44228</v>
      </c>
      <c r="K15">
        <f>COUNTIFS(staff[Date Joined],"&gt;="&amp;J15,staff[Date Joined],"&lt;="&amp;EOMONTH(J15,0))</f>
        <v>4</v>
      </c>
      <c r="L15">
        <f t="shared" si="0"/>
        <v>47</v>
      </c>
    </row>
    <row r="16" spans="2:12" x14ac:dyDescent="0.3">
      <c r="B16" s="12" t="s">
        <v>16</v>
      </c>
      <c r="C16">
        <v>137</v>
      </c>
      <c r="D16" s="50">
        <v>76798.759124087592</v>
      </c>
      <c r="I16">
        <v>11</v>
      </c>
      <c r="J16" s="24">
        <v>44256</v>
      </c>
      <c r="K16">
        <f>COUNTIFS(staff[Date Joined],"&gt;="&amp;J16,staff[Date Joined],"&lt;="&amp;EOMONTH(J16,0))</f>
        <v>9</v>
      </c>
      <c r="L16">
        <f t="shared" si="0"/>
        <v>56</v>
      </c>
    </row>
    <row r="17" spans="2:12" x14ac:dyDescent="0.3">
      <c r="B17" s="12" t="s">
        <v>24</v>
      </c>
      <c r="C17">
        <v>16</v>
      </c>
      <c r="D17" s="50">
        <v>78115</v>
      </c>
      <c r="I17">
        <v>12</v>
      </c>
      <c r="J17" s="24">
        <v>44287</v>
      </c>
      <c r="K17">
        <f>COUNTIFS(staff[Date Joined],"&gt;="&amp;J17,staff[Date Joined],"&lt;="&amp;EOMONTH(J17,0))</f>
        <v>5</v>
      </c>
      <c r="L17">
        <f t="shared" si="0"/>
        <v>61</v>
      </c>
    </row>
    <row r="18" spans="2:12" x14ac:dyDescent="0.3">
      <c r="B18" s="12" t="s">
        <v>42</v>
      </c>
      <c r="C18">
        <v>6</v>
      </c>
      <c r="D18" s="50">
        <v>77423.333333333328</v>
      </c>
      <c r="I18">
        <v>13</v>
      </c>
      <c r="J18" s="24">
        <v>44317</v>
      </c>
      <c r="K18">
        <f>COUNTIFS(staff[Date Joined],"&gt;="&amp;J18,staff[Date Joined],"&lt;="&amp;EOMONTH(J18,0))</f>
        <v>10</v>
      </c>
      <c r="L18">
        <f t="shared" si="0"/>
        <v>71</v>
      </c>
    </row>
    <row r="19" spans="2:12" x14ac:dyDescent="0.3">
      <c r="B19" s="12" t="s">
        <v>226</v>
      </c>
      <c r="C19">
        <v>183</v>
      </c>
      <c r="D19" s="50">
        <v>77289.344262295082</v>
      </c>
      <c r="I19">
        <v>14</v>
      </c>
      <c r="J19" s="24">
        <v>44348</v>
      </c>
      <c r="K19">
        <f>COUNTIFS(staff[Date Joined],"&gt;="&amp;J19,staff[Date Joined],"&lt;="&amp;EOMONTH(J19,0))</f>
        <v>6</v>
      </c>
      <c r="L19">
        <f t="shared" si="0"/>
        <v>77</v>
      </c>
    </row>
    <row r="20" spans="2:12" x14ac:dyDescent="0.3">
      <c r="I20">
        <v>15</v>
      </c>
      <c r="J20" s="24">
        <v>44378</v>
      </c>
      <c r="K20">
        <f>COUNTIFS(staff[Date Joined],"&gt;="&amp;J20,staff[Date Joined],"&lt;="&amp;EOMONTH(J20,0))</f>
        <v>13</v>
      </c>
      <c r="L20">
        <f t="shared" si="0"/>
        <v>90</v>
      </c>
    </row>
    <row r="21" spans="2:12" x14ac:dyDescent="0.3">
      <c r="I21">
        <v>16</v>
      </c>
      <c r="J21" s="24">
        <v>44409</v>
      </c>
      <c r="K21">
        <f>COUNTIFS(staff[Date Joined],"&gt;="&amp;J21,staff[Date Joined],"&lt;="&amp;EOMONTH(J21,0))</f>
        <v>4</v>
      </c>
      <c r="L21">
        <f t="shared" si="0"/>
        <v>94</v>
      </c>
    </row>
    <row r="22" spans="2:12" x14ac:dyDescent="0.3">
      <c r="I22">
        <v>17</v>
      </c>
      <c r="J22" s="24">
        <v>44440</v>
      </c>
      <c r="K22">
        <f>COUNTIFS(staff[Date Joined],"&gt;="&amp;J22,staff[Date Joined],"&lt;="&amp;EOMONTH(J22,0))</f>
        <v>11</v>
      </c>
      <c r="L22">
        <f t="shared" si="0"/>
        <v>105</v>
      </c>
    </row>
    <row r="23" spans="2:12" x14ac:dyDescent="0.3">
      <c r="I23">
        <v>18</v>
      </c>
      <c r="J23" s="24">
        <v>44470</v>
      </c>
      <c r="K23">
        <f>COUNTIFS(staff[Date Joined],"&gt;="&amp;J23,staff[Date Joined],"&lt;="&amp;EOMONTH(J23,0))</f>
        <v>3</v>
      </c>
      <c r="L23">
        <f t="shared" si="0"/>
        <v>108</v>
      </c>
    </row>
    <row r="24" spans="2:12" x14ac:dyDescent="0.3">
      <c r="I24">
        <v>19</v>
      </c>
      <c r="J24" s="24">
        <v>44501</v>
      </c>
      <c r="K24">
        <f>COUNTIFS(staff[Date Joined],"&gt;="&amp;J24,staff[Date Joined],"&lt;="&amp;EOMONTH(J24,0))</f>
        <v>4</v>
      </c>
      <c r="L24">
        <f t="shared" si="0"/>
        <v>112</v>
      </c>
    </row>
    <row r="25" spans="2:12" x14ac:dyDescent="0.3">
      <c r="I25">
        <v>20</v>
      </c>
      <c r="J25" s="24">
        <v>44531</v>
      </c>
      <c r="K25">
        <f>COUNTIFS(staff[Date Joined],"&gt;="&amp;J25,staff[Date Joined],"&lt;="&amp;EOMONTH(J25,0))</f>
        <v>7</v>
      </c>
      <c r="L25">
        <f t="shared" si="0"/>
        <v>119</v>
      </c>
    </row>
    <row r="26" spans="2:12" x14ac:dyDescent="0.3">
      <c r="I26">
        <v>21</v>
      </c>
      <c r="J26" s="24">
        <v>44562</v>
      </c>
      <c r="K26">
        <f>COUNTIFS(staff[Date Joined],"&gt;="&amp;J26,staff[Date Joined],"&lt;="&amp;EOMONTH(J26,0))</f>
        <v>3</v>
      </c>
      <c r="L26">
        <f t="shared" si="0"/>
        <v>122</v>
      </c>
    </row>
    <row r="27" spans="2:12" x14ac:dyDescent="0.3">
      <c r="I27">
        <v>22</v>
      </c>
      <c r="J27" s="24">
        <v>44593</v>
      </c>
      <c r="K27">
        <f>COUNTIFS(staff[Date Joined],"&gt;="&amp;J27,staff[Date Joined],"&lt;="&amp;EOMONTH(J27,0))</f>
        <v>10</v>
      </c>
      <c r="L27">
        <f t="shared" si="0"/>
        <v>132</v>
      </c>
    </row>
    <row r="28" spans="2:12" x14ac:dyDescent="0.3">
      <c r="I28">
        <v>23</v>
      </c>
      <c r="J28" s="24">
        <v>44621</v>
      </c>
      <c r="K28">
        <f>COUNTIFS(staff[Date Joined],"&gt;="&amp;J28,staff[Date Joined],"&lt;="&amp;EOMONTH(J28,0))</f>
        <v>9</v>
      </c>
      <c r="L28">
        <f t="shared" si="0"/>
        <v>141</v>
      </c>
    </row>
    <row r="29" spans="2:12" x14ac:dyDescent="0.3">
      <c r="I29">
        <v>24</v>
      </c>
      <c r="J29" s="24">
        <v>44652</v>
      </c>
      <c r="K29">
        <f>COUNTIFS(staff[Date Joined],"&gt;="&amp;J29,staff[Date Joined],"&lt;="&amp;EOMONTH(J29,0))</f>
        <v>9</v>
      </c>
      <c r="L29">
        <f t="shared" si="0"/>
        <v>150</v>
      </c>
    </row>
    <row r="30" spans="2:12" x14ac:dyDescent="0.3">
      <c r="I30">
        <v>25</v>
      </c>
      <c r="J30" s="24">
        <v>44682</v>
      </c>
      <c r="K30">
        <f>COUNTIFS(staff[Date Joined],"&gt;="&amp;J30,staff[Date Joined],"&lt;="&amp;EOMONTH(J30,0))</f>
        <v>9</v>
      </c>
      <c r="L30">
        <f t="shared" si="0"/>
        <v>159</v>
      </c>
    </row>
    <row r="31" spans="2:12" x14ac:dyDescent="0.3">
      <c r="I31">
        <v>26</v>
      </c>
      <c r="J31" s="24">
        <v>44713</v>
      </c>
      <c r="K31">
        <f>COUNTIFS(staff[Date Joined],"&gt;="&amp;J31,staff[Date Joined],"&lt;="&amp;EOMONTH(J31,0))</f>
        <v>7</v>
      </c>
      <c r="L31">
        <f t="shared" si="0"/>
        <v>166</v>
      </c>
    </row>
    <row r="32" spans="2:12" x14ac:dyDescent="0.3">
      <c r="I32">
        <v>27</v>
      </c>
      <c r="J32" s="24">
        <v>44743</v>
      </c>
      <c r="K32">
        <f>COUNTIFS(staff[Date Joined],"&gt;="&amp;J32,staff[Date Joined],"&lt;="&amp;EOMONTH(J32,0))</f>
        <v>5</v>
      </c>
      <c r="L32">
        <f t="shared" si="0"/>
        <v>171</v>
      </c>
    </row>
    <row r="33" spans="9:12" x14ac:dyDescent="0.3">
      <c r="I33">
        <v>28</v>
      </c>
      <c r="J33" s="24">
        <v>44774</v>
      </c>
      <c r="K33">
        <f>COUNTIFS(staff[Date Joined],"&gt;="&amp;J33,staff[Date Joined],"&lt;="&amp;EOMONTH(J33,0))</f>
        <v>5</v>
      </c>
      <c r="L33">
        <f t="shared" si="0"/>
        <v>176</v>
      </c>
    </row>
    <row r="34" spans="9:12" x14ac:dyDescent="0.3">
      <c r="I34">
        <v>29</v>
      </c>
      <c r="J34" s="24">
        <v>44805</v>
      </c>
      <c r="K34">
        <f>COUNTIFS(staff[Date Joined],"&gt;="&amp;J34,staff[Date Joined],"&lt;="&amp;EOMONTH(J34,0))</f>
        <v>2</v>
      </c>
      <c r="L34">
        <f t="shared" si="0"/>
        <v>178</v>
      </c>
    </row>
    <row r="35" spans="9:12" x14ac:dyDescent="0.3">
      <c r="I35">
        <v>30</v>
      </c>
      <c r="J35" s="24">
        <v>44835</v>
      </c>
      <c r="K35">
        <f>COUNTIFS(staff[Date Joined],"&gt;="&amp;J35,staff[Date Joined],"&lt;="&amp;EOMONTH(J35,0))</f>
        <v>3</v>
      </c>
      <c r="L35">
        <f t="shared" si="0"/>
        <v>181</v>
      </c>
    </row>
    <row r="36" spans="9:12" x14ac:dyDescent="0.3">
      <c r="I36">
        <v>31</v>
      </c>
      <c r="J36" s="24">
        <v>44866</v>
      </c>
      <c r="K36">
        <f>COUNTIFS(staff[Date Joined],"&gt;="&amp;J36,staff[Date Joined],"&lt;="&amp;EOMONTH(J36,0))</f>
        <v>0</v>
      </c>
      <c r="L36">
        <f t="shared" si="0"/>
        <v>181</v>
      </c>
    </row>
    <row r="37" spans="9:12" x14ac:dyDescent="0.3">
      <c r="I37">
        <v>32</v>
      </c>
      <c r="J37" s="24">
        <v>44896</v>
      </c>
      <c r="K37">
        <f>COUNTIFS(staff[Date Joined],"&gt;="&amp;J37,staff[Date Joined],"&lt;="&amp;EOMONTH(J37,0))</f>
        <v>0</v>
      </c>
      <c r="L37">
        <f t="shared" si="0"/>
        <v>181</v>
      </c>
    </row>
    <row r="38" spans="9:12" x14ac:dyDescent="0.3">
      <c r="I38">
        <v>33</v>
      </c>
      <c r="J38" s="24">
        <v>44927</v>
      </c>
      <c r="K38">
        <f>COUNTIFS(staff[Date Joined],"&gt;="&amp;J38,staff[Date Joined],"&lt;="&amp;EOMONTH(J38,0))</f>
        <v>0</v>
      </c>
      <c r="L38">
        <f t="shared" si="0"/>
        <v>181</v>
      </c>
    </row>
    <row r="39" spans="9:12" x14ac:dyDescent="0.3">
      <c r="I39">
        <v>34</v>
      </c>
      <c r="J39" s="24">
        <v>44958</v>
      </c>
      <c r="K39">
        <f>COUNTIFS(staff[Date Joined],"&gt;="&amp;J39,staff[Date Joined],"&lt;="&amp;EOMONTH(J39,0))</f>
        <v>1</v>
      </c>
      <c r="L39">
        <f t="shared" si="0"/>
        <v>182</v>
      </c>
    </row>
    <row r="40" spans="9:12" x14ac:dyDescent="0.3">
      <c r="I40">
        <v>35</v>
      </c>
      <c r="J40" s="24">
        <v>44986</v>
      </c>
      <c r="K40">
        <f>COUNTIFS(staff[Date Joined],"&gt;="&amp;J40,staff[Date Joined],"&lt;="&amp;EOMONTH(J40,0))</f>
        <v>0</v>
      </c>
      <c r="L40">
        <f t="shared" si="0"/>
        <v>182</v>
      </c>
    </row>
    <row r="41" spans="9:12" x14ac:dyDescent="0.3">
      <c r="I41">
        <v>36</v>
      </c>
      <c r="J41" s="24">
        <v>45017</v>
      </c>
      <c r="K41">
        <f>COUNTIFS(staff[Date Joined],"&gt;="&amp;J41,staff[Date Joined],"&lt;="&amp;EOMONTH(J41,0))</f>
        <v>1</v>
      </c>
      <c r="L41">
        <f t="shared" si="0"/>
        <v>183</v>
      </c>
    </row>
    <row r="42" spans="9:12" x14ac:dyDescent="0.3">
      <c r="I42">
        <v>37</v>
      </c>
      <c r="J42" s="24">
        <v>45047</v>
      </c>
      <c r="K42">
        <f>COUNTIFS(staff[Date Joined],"&gt;="&amp;J42,staff[Date Joined],"&lt;="&amp;EOMONTH(J42,0))</f>
        <v>0</v>
      </c>
      <c r="L42">
        <f t="shared" si="0"/>
        <v>183</v>
      </c>
    </row>
    <row r="43" spans="9:12" x14ac:dyDescent="0.3">
      <c r="J43" s="24"/>
    </row>
    <row r="44" spans="9:12" x14ac:dyDescent="0.3">
      <c r="J44" s="24"/>
    </row>
    <row r="45" spans="9:12" x14ac:dyDescent="0.3">
      <c r="J45" s="24"/>
    </row>
    <row r="46" spans="9:12" x14ac:dyDescent="0.3">
      <c r="J46" s="24"/>
    </row>
    <row r="47" spans="9:12" x14ac:dyDescent="0.3">
      <c r="J47" s="24"/>
    </row>
    <row r="48" spans="9:12" x14ac:dyDescent="0.3">
      <c r="J48" s="24"/>
    </row>
    <row r="49" spans="10:10" x14ac:dyDescent="0.3">
      <c r="J49" s="24"/>
    </row>
    <row r="50" spans="10:10" x14ac:dyDescent="0.3">
      <c r="J50" s="24"/>
    </row>
    <row r="51" spans="10:10" x14ac:dyDescent="0.3">
      <c r="J51" s="24"/>
    </row>
    <row r="52" spans="10:10" x14ac:dyDescent="0.3">
      <c r="J52" s="24"/>
    </row>
    <row r="53" spans="10:10" x14ac:dyDescent="0.3">
      <c r="J53" s="24"/>
    </row>
    <row r="54" spans="10:10" x14ac:dyDescent="0.3">
      <c r="J54" s="24"/>
    </row>
    <row r="55" spans="10:10" x14ac:dyDescent="0.3">
      <c r="J55" s="24"/>
    </row>
    <row r="56" spans="10:10" x14ac:dyDescent="0.3">
      <c r="J56" s="24"/>
    </row>
    <row r="57" spans="10:10" x14ac:dyDescent="0.3">
      <c r="J57" s="24"/>
    </row>
    <row r="58" spans="10:10" x14ac:dyDescent="0.3">
      <c r="J58" s="24"/>
    </row>
    <row r="59" spans="10:10" x14ac:dyDescent="0.3">
      <c r="J59" s="24"/>
    </row>
    <row r="60" spans="10:10" x14ac:dyDescent="0.3">
      <c r="J60" s="24"/>
    </row>
    <row r="61" spans="10:10" x14ac:dyDescent="0.3">
      <c r="J61" s="24"/>
    </row>
    <row r="62" spans="10:10" x14ac:dyDescent="0.3">
      <c r="J62" s="24"/>
    </row>
    <row r="63" spans="10:10" x14ac:dyDescent="0.3">
      <c r="J63" s="24"/>
    </row>
    <row r="64" spans="10:10" x14ac:dyDescent="0.3">
      <c r="J64" s="24"/>
    </row>
    <row r="65" spans="10:10" x14ac:dyDescent="0.3">
      <c r="J65" s="24"/>
    </row>
    <row r="66" spans="10:10" x14ac:dyDescent="0.3">
      <c r="J66" s="24"/>
    </row>
    <row r="67" spans="10:10" x14ac:dyDescent="0.3">
      <c r="J67" s="24"/>
    </row>
    <row r="68" spans="10:10" x14ac:dyDescent="0.3">
      <c r="J68" s="24"/>
    </row>
    <row r="69" spans="10:10" x14ac:dyDescent="0.3">
      <c r="J69" s="24"/>
    </row>
    <row r="70" spans="10:10" x14ac:dyDescent="0.3">
      <c r="J70" s="24"/>
    </row>
    <row r="71" spans="10:10" x14ac:dyDescent="0.3">
      <c r="J71" s="24"/>
    </row>
    <row r="72" spans="10:10" x14ac:dyDescent="0.3">
      <c r="J72" s="24"/>
    </row>
    <row r="73" spans="10:10" x14ac:dyDescent="0.3">
      <c r="J73" s="24"/>
    </row>
    <row r="74" spans="10:10" x14ac:dyDescent="0.3">
      <c r="J74" s="24"/>
    </row>
    <row r="75" spans="10:10" x14ac:dyDescent="0.3">
      <c r="J75" s="24"/>
    </row>
    <row r="76" spans="10:10" x14ac:dyDescent="0.3">
      <c r="J76" s="24"/>
    </row>
    <row r="77" spans="10:10" x14ac:dyDescent="0.3">
      <c r="J77" s="24"/>
    </row>
    <row r="78" spans="10:10" x14ac:dyDescent="0.3">
      <c r="J78" s="24"/>
    </row>
    <row r="79" spans="10:10" x14ac:dyDescent="0.3">
      <c r="J79" s="24"/>
    </row>
    <row r="80" spans="10:10" x14ac:dyDescent="0.3">
      <c r="J80" s="24"/>
    </row>
    <row r="81" spans="10:10" x14ac:dyDescent="0.3">
      <c r="J81" s="24"/>
    </row>
    <row r="82" spans="10:10" x14ac:dyDescent="0.3">
      <c r="J82" s="24"/>
    </row>
    <row r="83" spans="10:10" x14ac:dyDescent="0.3">
      <c r="J83" s="24"/>
    </row>
    <row r="84" spans="10:10" x14ac:dyDescent="0.3">
      <c r="J84" s="24"/>
    </row>
    <row r="85" spans="10:10" x14ac:dyDescent="0.3">
      <c r="J85" s="24"/>
    </row>
    <row r="86" spans="10:10" x14ac:dyDescent="0.3">
      <c r="J86" s="24"/>
    </row>
    <row r="87" spans="10:10" x14ac:dyDescent="0.3">
      <c r="J87" s="24"/>
    </row>
    <row r="88" spans="10:10" x14ac:dyDescent="0.3">
      <c r="J88" s="24"/>
    </row>
    <row r="89" spans="10:10" x14ac:dyDescent="0.3">
      <c r="J89" s="24"/>
    </row>
    <row r="90" spans="10:10" x14ac:dyDescent="0.3">
      <c r="J90" s="24"/>
    </row>
    <row r="91" spans="10:10" x14ac:dyDescent="0.3">
      <c r="J91" s="24"/>
    </row>
    <row r="92" spans="10:10" x14ac:dyDescent="0.3">
      <c r="J92" s="24"/>
    </row>
    <row r="93" spans="10:10" x14ac:dyDescent="0.3">
      <c r="J93" s="24"/>
    </row>
    <row r="94" spans="10:10" x14ac:dyDescent="0.3">
      <c r="J94" s="24"/>
    </row>
    <row r="95" spans="10:10" x14ac:dyDescent="0.3">
      <c r="J95" s="24"/>
    </row>
    <row r="96" spans="10:10" x14ac:dyDescent="0.3">
      <c r="J96" s="24"/>
    </row>
    <row r="97" spans="10:10" x14ac:dyDescent="0.3">
      <c r="J97" s="24"/>
    </row>
    <row r="98" spans="10:10" x14ac:dyDescent="0.3">
      <c r="J98" s="24"/>
    </row>
    <row r="99" spans="10:10" x14ac:dyDescent="0.3">
      <c r="J99" s="24"/>
    </row>
    <row r="100" spans="10:10" x14ac:dyDescent="0.3">
      <c r="J100" s="24"/>
    </row>
    <row r="101" spans="10:10" x14ac:dyDescent="0.3">
      <c r="J101" s="24"/>
    </row>
    <row r="102" spans="10:10" x14ac:dyDescent="0.3">
      <c r="J102" s="24"/>
    </row>
    <row r="103" spans="10:10" x14ac:dyDescent="0.3">
      <c r="J103" s="24"/>
    </row>
    <row r="104" spans="10:10" x14ac:dyDescent="0.3">
      <c r="J104" s="24"/>
    </row>
    <row r="105" spans="10:10" x14ac:dyDescent="0.3">
      <c r="J105" s="24"/>
    </row>
    <row r="106" spans="10:10" x14ac:dyDescent="0.3">
      <c r="J106" s="24"/>
    </row>
    <row r="107" spans="10:10" x14ac:dyDescent="0.3">
      <c r="J107" s="24"/>
    </row>
    <row r="108" spans="10:10" x14ac:dyDescent="0.3">
      <c r="J108" s="24"/>
    </row>
    <row r="109" spans="10:10" x14ac:dyDescent="0.3">
      <c r="J109" s="24"/>
    </row>
    <row r="110" spans="10:10" x14ac:dyDescent="0.3">
      <c r="J110" s="24"/>
    </row>
    <row r="111" spans="10:10" x14ac:dyDescent="0.3">
      <c r="J111" s="24"/>
    </row>
    <row r="112" spans="10:10" x14ac:dyDescent="0.3">
      <c r="J112" s="24"/>
    </row>
    <row r="113" spans="10:10" x14ac:dyDescent="0.3">
      <c r="J113" s="24"/>
    </row>
    <row r="114" spans="10:10" x14ac:dyDescent="0.3">
      <c r="J114" s="24"/>
    </row>
    <row r="115" spans="10:10" x14ac:dyDescent="0.3">
      <c r="J115" s="24"/>
    </row>
    <row r="116" spans="10:10" x14ac:dyDescent="0.3">
      <c r="J116" s="24"/>
    </row>
    <row r="117" spans="10:10" x14ac:dyDescent="0.3">
      <c r="J117" s="24"/>
    </row>
    <row r="118" spans="10:10" x14ac:dyDescent="0.3">
      <c r="J118" s="24"/>
    </row>
    <row r="119" spans="10:10" x14ac:dyDescent="0.3">
      <c r="J119" s="24"/>
    </row>
    <row r="120" spans="10:10" x14ac:dyDescent="0.3">
      <c r="J120" s="24"/>
    </row>
    <row r="121" spans="10:10" x14ac:dyDescent="0.3">
      <c r="J121" s="24"/>
    </row>
    <row r="122" spans="10:10" x14ac:dyDescent="0.3">
      <c r="J122" s="24"/>
    </row>
    <row r="123" spans="10:10" x14ac:dyDescent="0.3">
      <c r="J123" s="24"/>
    </row>
    <row r="124" spans="10:10" x14ac:dyDescent="0.3">
      <c r="J124" s="24"/>
    </row>
    <row r="125" spans="10:10" x14ac:dyDescent="0.3">
      <c r="J125" s="24"/>
    </row>
    <row r="126" spans="10:10" x14ac:dyDescent="0.3">
      <c r="J126" s="24"/>
    </row>
    <row r="127" spans="10:10" x14ac:dyDescent="0.3">
      <c r="J127" s="24"/>
    </row>
    <row r="128" spans="10:10" x14ac:dyDescent="0.3">
      <c r="J128" s="24"/>
    </row>
    <row r="129" spans="10:10" x14ac:dyDescent="0.3">
      <c r="J129" s="24"/>
    </row>
    <row r="130" spans="10:10" x14ac:dyDescent="0.3">
      <c r="J130" s="24"/>
    </row>
    <row r="131" spans="10:10" x14ac:dyDescent="0.3">
      <c r="J131" s="24"/>
    </row>
    <row r="132" spans="10:10" x14ac:dyDescent="0.3">
      <c r="J132" s="24"/>
    </row>
    <row r="133" spans="10:10" x14ac:dyDescent="0.3">
      <c r="J133" s="24"/>
    </row>
    <row r="134" spans="10:10" x14ac:dyDescent="0.3">
      <c r="J134" s="24"/>
    </row>
    <row r="135" spans="10:10" x14ac:dyDescent="0.3">
      <c r="J135" s="24"/>
    </row>
    <row r="136" spans="10:10" x14ac:dyDescent="0.3">
      <c r="J136" s="24"/>
    </row>
    <row r="137" spans="10:10" x14ac:dyDescent="0.3">
      <c r="J137" s="24"/>
    </row>
    <row r="138" spans="10:10" x14ac:dyDescent="0.3">
      <c r="J138" s="24"/>
    </row>
    <row r="139" spans="10:10" x14ac:dyDescent="0.3">
      <c r="J139" s="24"/>
    </row>
    <row r="140" spans="10:10" x14ac:dyDescent="0.3">
      <c r="J140" s="24"/>
    </row>
    <row r="141" spans="10:10" x14ac:dyDescent="0.3">
      <c r="J141" s="24"/>
    </row>
    <row r="142" spans="10:10" x14ac:dyDescent="0.3">
      <c r="J142" s="24"/>
    </row>
    <row r="143" spans="10:10" x14ac:dyDescent="0.3">
      <c r="J143" s="24"/>
    </row>
    <row r="144" spans="10:10" x14ac:dyDescent="0.3">
      <c r="J144" s="24"/>
    </row>
    <row r="145" spans="10:10" x14ac:dyDescent="0.3">
      <c r="J145" s="24"/>
    </row>
    <row r="146" spans="10:10" x14ac:dyDescent="0.3">
      <c r="J146" s="24"/>
    </row>
    <row r="147" spans="10:10" x14ac:dyDescent="0.3">
      <c r="J147" s="24"/>
    </row>
    <row r="148" spans="10:10" x14ac:dyDescent="0.3">
      <c r="J148" s="24"/>
    </row>
    <row r="149" spans="10:10" x14ac:dyDescent="0.3">
      <c r="J149" s="24"/>
    </row>
    <row r="150" spans="10:10" x14ac:dyDescent="0.3">
      <c r="J150" s="24"/>
    </row>
    <row r="151" spans="10:10" x14ac:dyDescent="0.3">
      <c r="J151" s="24"/>
    </row>
    <row r="152" spans="10:10" x14ac:dyDescent="0.3">
      <c r="J152" s="24"/>
    </row>
    <row r="153" spans="10:10" x14ac:dyDescent="0.3">
      <c r="J153" s="24"/>
    </row>
    <row r="154" spans="10:10" x14ac:dyDescent="0.3">
      <c r="J154" s="24"/>
    </row>
    <row r="155" spans="10:10" x14ac:dyDescent="0.3">
      <c r="J155" s="24"/>
    </row>
    <row r="156" spans="10:10" x14ac:dyDescent="0.3">
      <c r="J156" s="24"/>
    </row>
    <row r="157" spans="10:10" x14ac:dyDescent="0.3">
      <c r="J157" s="24"/>
    </row>
    <row r="158" spans="10:10" x14ac:dyDescent="0.3">
      <c r="J158" s="24"/>
    </row>
    <row r="159" spans="10:10" x14ac:dyDescent="0.3">
      <c r="J159" s="24"/>
    </row>
    <row r="160" spans="10:10" x14ac:dyDescent="0.3">
      <c r="J160" s="24"/>
    </row>
    <row r="161" spans="10:10" x14ac:dyDescent="0.3">
      <c r="J161" s="24"/>
    </row>
    <row r="162" spans="10:10" x14ac:dyDescent="0.3">
      <c r="J162" s="24"/>
    </row>
    <row r="163" spans="10:10" x14ac:dyDescent="0.3">
      <c r="J163" s="24"/>
    </row>
    <row r="164" spans="10:10" x14ac:dyDescent="0.3">
      <c r="J164" s="24"/>
    </row>
    <row r="165" spans="10:10" x14ac:dyDescent="0.3">
      <c r="J165" s="24"/>
    </row>
    <row r="166" spans="10:10" x14ac:dyDescent="0.3">
      <c r="J166" s="24"/>
    </row>
    <row r="167" spans="10:10" x14ac:dyDescent="0.3">
      <c r="J167" s="24"/>
    </row>
    <row r="168" spans="10:10" x14ac:dyDescent="0.3">
      <c r="J168" s="24"/>
    </row>
    <row r="169" spans="10:10" x14ac:dyDescent="0.3">
      <c r="J169" s="24"/>
    </row>
    <row r="170" spans="10:10" x14ac:dyDescent="0.3">
      <c r="J170" s="24"/>
    </row>
    <row r="171" spans="10:10" x14ac:dyDescent="0.3">
      <c r="J171" s="24"/>
    </row>
    <row r="172" spans="10:10" x14ac:dyDescent="0.3">
      <c r="J172" s="24"/>
    </row>
    <row r="173" spans="10:10" x14ac:dyDescent="0.3">
      <c r="J173" s="24"/>
    </row>
    <row r="174" spans="10:10" x14ac:dyDescent="0.3">
      <c r="J174" s="24"/>
    </row>
    <row r="175" spans="10:10" x14ac:dyDescent="0.3">
      <c r="J175" s="24"/>
    </row>
    <row r="176" spans="10:10" x14ac:dyDescent="0.3">
      <c r="J176" s="24"/>
    </row>
    <row r="177" spans="10:10" x14ac:dyDescent="0.3">
      <c r="J177" s="24"/>
    </row>
    <row r="178" spans="10:10" x14ac:dyDescent="0.3">
      <c r="J178" s="24"/>
    </row>
    <row r="179" spans="10:10" x14ac:dyDescent="0.3">
      <c r="J179" s="24"/>
    </row>
    <row r="180" spans="10:10" x14ac:dyDescent="0.3">
      <c r="J180" s="24"/>
    </row>
    <row r="181" spans="10:10" x14ac:dyDescent="0.3">
      <c r="J181" s="24"/>
    </row>
    <row r="182" spans="10:10" x14ac:dyDescent="0.3">
      <c r="J182" s="24"/>
    </row>
    <row r="183" spans="10:10" x14ac:dyDescent="0.3">
      <c r="J183" s="24"/>
    </row>
    <row r="184" spans="10:10" x14ac:dyDescent="0.3">
      <c r="J184" s="24"/>
    </row>
    <row r="185" spans="10:10" x14ac:dyDescent="0.3">
      <c r="J185" s="24"/>
    </row>
    <row r="186" spans="10:10" x14ac:dyDescent="0.3">
      <c r="J186" s="24"/>
    </row>
    <row r="187" spans="10:10" x14ac:dyDescent="0.3">
      <c r="J187" s="24"/>
    </row>
    <row r="188" spans="10:10" x14ac:dyDescent="0.3">
      <c r="J188" s="24"/>
    </row>
  </sheetData>
  <conditionalFormatting pivot="1" sqref="D4:D8">
    <cfRule type="dataBar" priority="2">
      <dataBar>
        <cfvo type="min"/>
        <cfvo type="max"/>
        <color rgb="FF638EC6"/>
      </dataBar>
      <extLst>
        <ext xmlns:x14="http://schemas.microsoft.com/office/spreadsheetml/2009/9/main" uri="{B025F937-C7B1-47D3-B67F-A62EFF666E3E}">
          <x14:id>{26039BF1-CBB7-435C-A663-2A9E7C9486ED}</x14:id>
        </ext>
      </extLst>
    </cfRule>
  </conditionalFormatting>
  <conditionalFormatting pivot="1" sqref="D14:D19">
    <cfRule type="dataBar" priority="1">
      <dataBar>
        <cfvo type="min"/>
        <cfvo type="max"/>
        <color rgb="FF638EC6"/>
      </dataBar>
      <extLst>
        <ext xmlns:x14="http://schemas.microsoft.com/office/spreadsheetml/2009/9/main" uri="{B025F937-C7B1-47D3-B67F-A62EFF666E3E}">
          <x14:id>{D9317745-89D9-4D0E-8421-20ED7E350232}</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 xmlns:xm="http://schemas.microsoft.com/office/excel/2006/main" pivot="1">
          <x14:cfRule type="dataBar" id="{D9317745-89D9-4D0E-8421-20ED7E350232}">
            <x14:dataBar minLength="0" maxLength="100" border="1" negativeBarBorderColorSameAsPositive="0">
              <x14:cfvo type="autoMin"/>
              <x14:cfvo type="autoMax"/>
              <x14:borderColor rgb="FF638EC6"/>
              <x14:negativeFillColor rgb="FFFF0000"/>
              <x14:negativeBorderColor rgb="FFFF0000"/>
              <x14:axisColor rgb="FF000000"/>
            </x14:dataBar>
          </x14:cfRule>
          <xm:sqref>D14:D19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108" zoomScaleNormal="205" workbookViewId="0">
      <selection activeCell="K5" sqref="K5"/>
    </sheetView>
  </sheetViews>
  <sheetFormatPr defaultRowHeight="14.4" x14ac:dyDescent="0.3"/>
  <cols>
    <col min="2" max="2" width="15.554687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zoomScale="126" zoomScaleNormal="175" workbookViewId="0">
      <selection activeCell="R3" sqref="R3"/>
    </sheetView>
  </sheetViews>
  <sheetFormatPr defaultRowHeight="14.4" x14ac:dyDescent="0.3"/>
  <cols>
    <col min="2" max="2" width="13.5546875" customWidth="1"/>
    <col min="3" max="3" width="13.88671875" bestFit="1" customWidth="1"/>
    <col min="18" max="18" width="14.44140625" customWidth="1"/>
    <col min="19" max="19" width="13.88671875" customWidth="1"/>
  </cols>
  <sheetData>
    <row r="2" spans="2:19" x14ac:dyDescent="0.3">
      <c r="B2" s="19" t="s">
        <v>232</v>
      </c>
      <c r="C2" t="s">
        <v>227</v>
      </c>
      <c r="Q2" t="s">
        <v>249</v>
      </c>
      <c r="R2" t="s">
        <v>224</v>
      </c>
      <c r="S2" t="s">
        <v>250</v>
      </c>
    </row>
    <row r="3" spans="2:19" x14ac:dyDescent="0.3">
      <c r="B3" s="12" t="s">
        <v>233</v>
      </c>
      <c r="P3" cm="1">
        <f t="array" ref="P3:P38">_xlfn.SEQUENCE(36)</f>
        <v>1</v>
      </c>
      <c r="Q3" s="24" cm="1">
        <f t="array" ref="Q3:Q38">EDATE(DATE(2020,4,1),_xlfn.ANCHORARRAY(P3)+0)</f>
        <v>43952</v>
      </c>
      <c r="R3">
        <f>COUNTIFS(staff[Date Joined],"&gt;="&amp;Q3,staff[Date Joined],"&lt;="&amp;EOMONTH(Q3,0))</f>
        <v>3</v>
      </c>
      <c r="S3">
        <f>SUM($R$3:R3)</f>
        <v>3</v>
      </c>
    </row>
    <row r="4" spans="2:19" x14ac:dyDescent="0.3">
      <c r="B4" s="23" t="s">
        <v>234</v>
      </c>
      <c r="C4">
        <v>3</v>
      </c>
      <c r="P4">
        <v>2</v>
      </c>
      <c r="Q4" s="24">
        <v>43983</v>
      </c>
      <c r="R4">
        <f>COUNTIFS(staff[Date Joined],"&gt;="&amp;Q4,staff[Date Joined],"&lt;="&amp;EOMONTH(Q4,0))</f>
        <v>1</v>
      </c>
      <c r="S4">
        <f>SUM($R$3:R4)</f>
        <v>4</v>
      </c>
    </row>
    <row r="5" spans="2:19" x14ac:dyDescent="0.3">
      <c r="B5" s="23" t="s">
        <v>235</v>
      </c>
      <c r="C5">
        <v>4</v>
      </c>
      <c r="P5">
        <v>3</v>
      </c>
      <c r="Q5" s="24">
        <v>44013</v>
      </c>
      <c r="R5">
        <f>COUNTIFS(staff[Date Joined],"&gt;="&amp;Q5,staff[Date Joined],"&lt;="&amp;EOMONTH(Q5,0))</f>
        <v>5</v>
      </c>
      <c r="S5">
        <f>SUM($R$3:R5)</f>
        <v>9</v>
      </c>
    </row>
    <row r="6" spans="2:19" x14ac:dyDescent="0.3">
      <c r="B6" s="23" t="s">
        <v>236</v>
      </c>
      <c r="C6">
        <v>9</v>
      </c>
      <c r="P6">
        <v>4</v>
      </c>
      <c r="Q6" s="24">
        <v>44044</v>
      </c>
      <c r="R6">
        <f>COUNTIFS(staff[Date Joined],"&gt;="&amp;Q6,staff[Date Joined],"&lt;="&amp;EOMONTH(Q6,0))</f>
        <v>3</v>
      </c>
      <c r="S6">
        <f>SUM($R$3:R6)</f>
        <v>12</v>
      </c>
    </row>
    <row r="7" spans="2:19" x14ac:dyDescent="0.3">
      <c r="B7" s="23" t="s">
        <v>237</v>
      </c>
      <c r="C7">
        <v>12</v>
      </c>
      <c r="P7">
        <v>5</v>
      </c>
      <c r="Q7" s="24">
        <v>44075</v>
      </c>
      <c r="R7">
        <f>COUNTIFS(staff[Date Joined],"&gt;="&amp;Q7,staff[Date Joined],"&lt;="&amp;EOMONTH(Q7,0))</f>
        <v>6</v>
      </c>
      <c r="S7">
        <f>SUM($R$3:R7)</f>
        <v>18</v>
      </c>
    </row>
    <row r="8" spans="2:19" x14ac:dyDescent="0.3">
      <c r="B8" s="23" t="s">
        <v>238</v>
      </c>
      <c r="C8">
        <v>18</v>
      </c>
      <c r="P8">
        <v>6</v>
      </c>
      <c r="Q8" s="24">
        <v>44105</v>
      </c>
      <c r="R8">
        <f>COUNTIFS(staff[Date Joined],"&gt;="&amp;Q8,staff[Date Joined],"&lt;="&amp;EOMONTH(Q8,0))</f>
        <v>6</v>
      </c>
      <c r="S8">
        <f>SUM($R$3:R8)</f>
        <v>24</v>
      </c>
    </row>
    <row r="9" spans="2:19" x14ac:dyDescent="0.3">
      <c r="B9" s="23" t="s">
        <v>239</v>
      </c>
      <c r="C9">
        <v>24</v>
      </c>
      <c r="P9">
        <v>7</v>
      </c>
      <c r="Q9" s="24">
        <v>44136</v>
      </c>
      <c r="R9">
        <f>COUNTIFS(staff[Date Joined],"&gt;="&amp;Q9,staff[Date Joined],"&lt;="&amp;EOMONTH(Q9,0))</f>
        <v>6</v>
      </c>
      <c r="S9">
        <f>SUM($R$3:R9)</f>
        <v>30</v>
      </c>
    </row>
    <row r="10" spans="2:19" x14ac:dyDescent="0.3">
      <c r="B10" s="23" t="s">
        <v>240</v>
      </c>
      <c r="C10">
        <v>30</v>
      </c>
      <c r="P10">
        <v>8</v>
      </c>
      <c r="Q10" s="24">
        <v>44166</v>
      </c>
      <c r="R10">
        <f>COUNTIFS(staff[Date Joined],"&gt;="&amp;Q10,staff[Date Joined],"&lt;="&amp;EOMONTH(Q10,0))</f>
        <v>7</v>
      </c>
      <c r="S10">
        <f>SUM($R$3:R10)</f>
        <v>37</v>
      </c>
    </row>
    <row r="11" spans="2:19" x14ac:dyDescent="0.3">
      <c r="B11" s="23" t="s">
        <v>241</v>
      </c>
      <c r="C11">
        <v>37</v>
      </c>
      <c r="P11">
        <v>9</v>
      </c>
      <c r="Q11" s="24">
        <v>44197</v>
      </c>
      <c r="R11">
        <f>COUNTIFS(staff[Date Joined],"&gt;="&amp;Q11,staff[Date Joined],"&lt;="&amp;EOMONTH(Q11,0))</f>
        <v>6</v>
      </c>
      <c r="S11">
        <f>SUM($R$3:R11)</f>
        <v>43</v>
      </c>
    </row>
    <row r="12" spans="2:19" x14ac:dyDescent="0.3">
      <c r="B12" s="12" t="s">
        <v>242</v>
      </c>
      <c r="P12">
        <v>10</v>
      </c>
      <c r="Q12" s="24">
        <v>44228</v>
      </c>
      <c r="R12">
        <f>COUNTIFS(staff[Date Joined],"&gt;="&amp;Q12,staff[Date Joined],"&lt;="&amp;EOMONTH(Q12,0))</f>
        <v>4</v>
      </c>
      <c r="S12">
        <f>SUM($R$3:R12)</f>
        <v>47</v>
      </c>
    </row>
    <row r="13" spans="2:19" x14ac:dyDescent="0.3">
      <c r="B13" s="23" t="s">
        <v>243</v>
      </c>
      <c r="C13">
        <v>6</v>
      </c>
      <c r="P13">
        <v>11</v>
      </c>
      <c r="Q13" s="24">
        <v>44256</v>
      </c>
      <c r="R13">
        <f>COUNTIFS(staff[Date Joined],"&gt;="&amp;Q13,staff[Date Joined],"&lt;="&amp;EOMONTH(Q13,0))</f>
        <v>9</v>
      </c>
      <c r="S13">
        <f>SUM($R$3:R13)</f>
        <v>56</v>
      </c>
    </row>
    <row r="14" spans="2:19" x14ac:dyDescent="0.3">
      <c r="B14" s="23" t="s">
        <v>244</v>
      </c>
      <c r="C14">
        <v>10</v>
      </c>
      <c r="P14">
        <v>12</v>
      </c>
      <c r="Q14" s="24">
        <v>44287</v>
      </c>
      <c r="R14">
        <f>COUNTIFS(staff[Date Joined],"&gt;="&amp;Q14,staff[Date Joined],"&lt;="&amp;EOMONTH(Q14,0))</f>
        <v>5</v>
      </c>
      <c r="S14">
        <f>SUM($R$3:R14)</f>
        <v>61</v>
      </c>
    </row>
    <row r="15" spans="2:19" x14ac:dyDescent="0.3">
      <c r="B15" s="23" t="s">
        <v>245</v>
      </c>
      <c r="C15">
        <v>19</v>
      </c>
      <c r="P15">
        <v>13</v>
      </c>
      <c r="Q15" s="24">
        <v>44317</v>
      </c>
      <c r="R15">
        <f>COUNTIFS(staff[Date Joined],"&gt;="&amp;Q15,staff[Date Joined],"&lt;="&amp;EOMONTH(Q15,0))</f>
        <v>10</v>
      </c>
      <c r="S15">
        <f>SUM($R$3:R15)</f>
        <v>71</v>
      </c>
    </row>
    <row r="16" spans="2:19" x14ac:dyDescent="0.3">
      <c r="B16" s="23" t="s">
        <v>246</v>
      </c>
      <c r="C16">
        <v>24</v>
      </c>
      <c r="P16">
        <v>14</v>
      </c>
      <c r="Q16" s="24">
        <v>44348</v>
      </c>
      <c r="R16">
        <f>COUNTIFS(staff[Date Joined],"&gt;="&amp;Q16,staff[Date Joined],"&lt;="&amp;EOMONTH(Q16,0))</f>
        <v>6</v>
      </c>
      <c r="S16">
        <f>SUM($R$3:R16)</f>
        <v>77</v>
      </c>
    </row>
    <row r="17" spans="2:19" x14ac:dyDescent="0.3">
      <c r="B17" s="23" t="s">
        <v>234</v>
      </c>
      <c r="C17">
        <v>34</v>
      </c>
      <c r="P17">
        <v>15</v>
      </c>
      <c r="Q17" s="24">
        <v>44378</v>
      </c>
      <c r="R17">
        <f>COUNTIFS(staff[Date Joined],"&gt;="&amp;Q17,staff[Date Joined],"&lt;="&amp;EOMONTH(Q17,0))</f>
        <v>13</v>
      </c>
      <c r="S17">
        <f>SUM($R$3:R17)</f>
        <v>90</v>
      </c>
    </row>
    <row r="18" spans="2:19" x14ac:dyDescent="0.3">
      <c r="B18" s="23" t="s">
        <v>235</v>
      </c>
      <c r="C18">
        <v>40</v>
      </c>
      <c r="P18">
        <v>16</v>
      </c>
      <c r="Q18" s="24">
        <v>44409</v>
      </c>
      <c r="R18">
        <f>COUNTIFS(staff[Date Joined],"&gt;="&amp;Q18,staff[Date Joined],"&lt;="&amp;EOMONTH(Q18,0))</f>
        <v>4</v>
      </c>
      <c r="S18">
        <f>SUM($R$3:R18)</f>
        <v>94</v>
      </c>
    </row>
    <row r="19" spans="2:19" x14ac:dyDescent="0.3">
      <c r="B19" s="23" t="s">
        <v>236</v>
      </c>
      <c r="C19">
        <v>53</v>
      </c>
      <c r="P19">
        <v>17</v>
      </c>
      <c r="Q19" s="24">
        <v>44440</v>
      </c>
      <c r="R19">
        <f>COUNTIFS(staff[Date Joined],"&gt;="&amp;Q19,staff[Date Joined],"&lt;="&amp;EOMONTH(Q19,0))</f>
        <v>11</v>
      </c>
      <c r="S19">
        <f>SUM($R$3:R19)</f>
        <v>105</v>
      </c>
    </row>
    <row r="20" spans="2:19" x14ac:dyDescent="0.3">
      <c r="B20" s="23" t="s">
        <v>237</v>
      </c>
      <c r="C20">
        <v>57</v>
      </c>
      <c r="P20">
        <v>18</v>
      </c>
      <c r="Q20" s="24">
        <v>44470</v>
      </c>
      <c r="R20">
        <f>COUNTIFS(staff[Date Joined],"&gt;="&amp;Q20,staff[Date Joined],"&lt;="&amp;EOMONTH(Q20,0))</f>
        <v>3</v>
      </c>
      <c r="S20">
        <f>SUM($R$3:R20)</f>
        <v>108</v>
      </c>
    </row>
    <row r="21" spans="2:19" x14ac:dyDescent="0.3">
      <c r="B21" s="23" t="s">
        <v>238</v>
      </c>
      <c r="C21">
        <v>68</v>
      </c>
      <c r="P21">
        <v>19</v>
      </c>
      <c r="Q21" s="24">
        <v>44501</v>
      </c>
      <c r="R21">
        <f>COUNTIFS(staff[Date Joined],"&gt;="&amp;Q21,staff[Date Joined],"&lt;="&amp;EOMONTH(Q21,0))</f>
        <v>4</v>
      </c>
      <c r="S21">
        <f>SUM($R$3:R21)</f>
        <v>112</v>
      </c>
    </row>
    <row r="22" spans="2:19" x14ac:dyDescent="0.3">
      <c r="B22" s="23" t="s">
        <v>239</v>
      </c>
      <c r="C22">
        <v>71</v>
      </c>
      <c r="P22">
        <v>20</v>
      </c>
      <c r="Q22" s="24">
        <v>44531</v>
      </c>
      <c r="R22">
        <f>COUNTIFS(staff[Date Joined],"&gt;="&amp;Q22,staff[Date Joined],"&lt;="&amp;EOMONTH(Q22,0))</f>
        <v>7</v>
      </c>
      <c r="S22">
        <f>SUM($R$3:R22)</f>
        <v>119</v>
      </c>
    </row>
    <row r="23" spans="2:19" x14ac:dyDescent="0.3">
      <c r="B23" s="23" t="s">
        <v>240</v>
      </c>
      <c r="C23">
        <v>75</v>
      </c>
      <c r="P23">
        <v>21</v>
      </c>
      <c r="Q23" s="24">
        <v>44562</v>
      </c>
      <c r="R23">
        <f>COUNTIFS(staff[Date Joined],"&gt;="&amp;Q23,staff[Date Joined],"&lt;="&amp;EOMONTH(Q23,0))</f>
        <v>3</v>
      </c>
      <c r="S23">
        <f>SUM($R$3:R23)</f>
        <v>122</v>
      </c>
    </row>
    <row r="24" spans="2:19" x14ac:dyDescent="0.3">
      <c r="B24" s="23" t="s">
        <v>241</v>
      </c>
      <c r="C24">
        <v>82</v>
      </c>
      <c r="P24">
        <v>22</v>
      </c>
      <c r="Q24" s="24">
        <v>44593</v>
      </c>
      <c r="R24">
        <f>COUNTIFS(staff[Date Joined],"&gt;="&amp;Q24,staff[Date Joined],"&lt;="&amp;EOMONTH(Q24,0))</f>
        <v>10</v>
      </c>
      <c r="S24">
        <f>SUM($R$3:R24)</f>
        <v>132</v>
      </c>
    </row>
    <row r="25" spans="2:19" x14ac:dyDescent="0.3">
      <c r="B25" s="12" t="s">
        <v>247</v>
      </c>
      <c r="P25">
        <v>23</v>
      </c>
      <c r="Q25" s="24">
        <v>44621</v>
      </c>
      <c r="R25">
        <f>COUNTIFS(staff[Date Joined],"&gt;="&amp;Q25,staff[Date Joined],"&lt;="&amp;EOMONTH(Q25,0))</f>
        <v>9</v>
      </c>
      <c r="S25">
        <f>SUM($R$3:R25)</f>
        <v>141</v>
      </c>
    </row>
    <row r="26" spans="2:19" x14ac:dyDescent="0.3">
      <c r="B26" s="23" t="s">
        <v>243</v>
      </c>
      <c r="C26">
        <v>3</v>
      </c>
      <c r="P26">
        <v>24</v>
      </c>
      <c r="Q26" s="24">
        <v>44652</v>
      </c>
      <c r="R26">
        <f>COUNTIFS(staff[Date Joined],"&gt;="&amp;Q26,staff[Date Joined],"&lt;="&amp;EOMONTH(Q26,0))</f>
        <v>9</v>
      </c>
      <c r="S26">
        <f>SUM($R$3:R26)</f>
        <v>150</v>
      </c>
    </row>
    <row r="27" spans="2:19" x14ac:dyDescent="0.3">
      <c r="B27" s="23" t="s">
        <v>244</v>
      </c>
      <c r="C27">
        <v>13</v>
      </c>
      <c r="P27">
        <v>25</v>
      </c>
      <c r="Q27" s="24">
        <v>44682</v>
      </c>
      <c r="R27">
        <f>COUNTIFS(staff[Date Joined],"&gt;="&amp;Q27,staff[Date Joined],"&lt;="&amp;EOMONTH(Q27,0))</f>
        <v>9</v>
      </c>
      <c r="S27">
        <f>SUM($R$3:R27)</f>
        <v>159</v>
      </c>
    </row>
    <row r="28" spans="2:19" x14ac:dyDescent="0.3">
      <c r="B28" s="23" t="s">
        <v>245</v>
      </c>
      <c r="C28">
        <v>22</v>
      </c>
      <c r="P28">
        <v>26</v>
      </c>
      <c r="Q28" s="24">
        <v>44713</v>
      </c>
      <c r="R28">
        <f>COUNTIFS(staff[Date Joined],"&gt;="&amp;Q28,staff[Date Joined],"&lt;="&amp;EOMONTH(Q28,0))</f>
        <v>7</v>
      </c>
      <c r="S28">
        <f>SUM($R$3:R28)</f>
        <v>166</v>
      </c>
    </row>
    <row r="29" spans="2:19" x14ac:dyDescent="0.3">
      <c r="B29" s="23" t="s">
        <v>246</v>
      </c>
      <c r="C29">
        <v>31</v>
      </c>
      <c r="P29">
        <v>27</v>
      </c>
      <c r="Q29" s="24">
        <v>44743</v>
      </c>
      <c r="R29">
        <f>COUNTIFS(staff[Date Joined],"&gt;="&amp;Q29,staff[Date Joined],"&lt;="&amp;EOMONTH(Q29,0))</f>
        <v>5</v>
      </c>
      <c r="S29">
        <f>SUM($R$3:R29)</f>
        <v>171</v>
      </c>
    </row>
    <row r="30" spans="2:19" x14ac:dyDescent="0.3">
      <c r="B30" s="23" t="s">
        <v>234</v>
      </c>
      <c r="C30">
        <v>40</v>
      </c>
      <c r="P30">
        <v>28</v>
      </c>
      <c r="Q30" s="24">
        <v>44774</v>
      </c>
      <c r="R30">
        <f>COUNTIFS(staff[Date Joined],"&gt;="&amp;Q30,staff[Date Joined],"&lt;="&amp;EOMONTH(Q30,0))</f>
        <v>5</v>
      </c>
      <c r="S30">
        <f>SUM($R$3:R30)</f>
        <v>176</v>
      </c>
    </row>
    <row r="31" spans="2:19" x14ac:dyDescent="0.3">
      <c r="B31" s="23" t="s">
        <v>235</v>
      </c>
      <c r="C31">
        <v>47</v>
      </c>
      <c r="P31">
        <v>29</v>
      </c>
      <c r="Q31" s="24">
        <v>44805</v>
      </c>
      <c r="R31">
        <f>COUNTIFS(staff[Date Joined],"&gt;="&amp;Q31,staff[Date Joined],"&lt;="&amp;EOMONTH(Q31,0))</f>
        <v>2</v>
      </c>
      <c r="S31">
        <f>SUM($R$3:R31)</f>
        <v>178</v>
      </c>
    </row>
    <row r="32" spans="2:19" x14ac:dyDescent="0.3">
      <c r="B32" s="23" t="s">
        <v>236</v>
      </c>
      <c r="C32">
        <v>52</v>
      </c>
      <c r="P32">
        <v>30</v>
      </c>
      <c r="Q32" s="24">
        <v>44835</v>
      </c>
      <c r="R32">
        <f>COUNTIFS(staff[Date Joined],"&gt;="&amp;Q32,staff[Date Joined],"&lt;="&amp;EOMONTH(Q32,0))</f>
        <v>3</v>
      </c>
      <c r="S32">
        <f>SUM($R$3:R32)</f>
        <v>181</v>
      </c>
    </row>
    <row r="33" spans="2:19" x14ac:dyDescent="0.3">
      <c r="B33" s="23" t="s">
        <v>237</v>
      </c>
      <c r="C33">
        <v>57</v>
      </c>
      <c r="P33">
        <v>31</v>
      </c>
      <c r="Q33" s="24">
        <v>44866</v>
      </c>
      <c r="R33">
        <f>COUNTIFS(staff[Date Joined],"&gt;="&amp;Q33,staff[Date Joined],"&lt;="&amp;EOMONTH(Q33,0))</f>
        <v>0</v>
      </c>
      <c r="S33">
        <f>SUM($R$3:R33)</f>
        <v>181</v>
      </c>
    </row>
    <row r="34" spans="2:19" x14ac:dyDescent="0.3">
      <c r="B34" s="23" t="s">
        <v>238</v>
      </c>
      <c r="C34">
        <v>59</v>
      </c>
      <c r="P34">
        <v>32</v>
      </c>
      <c r="Q34" s="24">
        <v>44896</v>
      </c>
      <c r="R34">
        <f>COUNTIFS(staff[Date Joined],"&gt;="&amp;Q34,staff[Date Joined],"&lt;="&amp;EOMONTH(Q34,0))</f>
        <v>0</v>
      </c>
      <c r="S34">
        <f>SUM($R$3:R34)</f>
        <v>181</v>
      </c>
    </row>
    <row r="35" spans="2:19" x14ac:dyDescent="0.3">
      <c r="B35" s="23" t="s">
        <v>239</v>
      </c>
      <c r="C35">
        <v>62</v>
      </c>
      <c r="P35">
        <v>33</v>
      </c>
      <c r="Q35" s="24">
        <v>44927</v>
      </c>
      <c r="R35">
        <f>COUNTIFS(staff[Date Joined],"&gt;="&amp;Q35,staff[Date Joined],"&lt;="&amp;EOMONTH(Q35,0))</f>
        <v>0</v>
      </c>
      <c r="S35">
        <f>SUM($R$3:R35)</f>
        <v>181</v>
      </c>
    </row>
    <row r="36" spans="2:19" x14ac:dyDescent="0.3">
      <c r="B36" s="12" t="s">
        <v>248</v>
      </c>
      <c r="P36">
        <v>34</v>
      </c>
      <c r="Q36" s="24">
        <v>44958</v>
      </c>
      <c r="R36">
        <f>COUNTIFS(staff[Date Joined],"&gt;="&amp;Q36,staff[Date Joined],"&lt;="&amp;EOMONTH(Q36,0))</f>
        <v>1</v>
      </c>
      <c r="S36">
        <f>SUM($R$3:R36)</f>
        <v>182</v>
      </c>
    </row>
    <row r="37" spans="2:19" x14ac:dyDescent="0.3">
      <c r="B37" s="23" t="s">
        <v>244</v>
      </c>
      <c r="C37">
        <v>1</v>
      </c>
      <c r="P37">
        <v>35</v>
      </c>
      <c r="Q37" s="24">
        <v>44986</v>
      </c>
      <c r="R37">
        <f>COUNTIFS(staff[Date Joined],"&gt;="&amp;Q37,staff[Date Joined],"&lt;="&amp;EOMONTH(Q37,0))</f>
        <v>0</v>
      </c>
      <c r="S37">
        <f>SUM($R$3:R37)</f>
        <v>182</v>
      </c>
    </row>
    <row r="38" spans="2:19" x14ac:dyDescent="0.3">
      <c r="B38" s="23" t="s">
        <v>246</v>
      </c>
      <c r="C38">
        <v>2</v>
      </c>
      <c r="P38">
        <v>36</v>
      </c>
      <c r="Q38" s="24">
        <v>45017</v>
      </c>
      <c r="R38">
        <f>COUNTIFS(staff[Date Joined],"&gt;="&amp;Q38,staff[Date Joined],"&lt;="&amp;EOMONTH(Q38,0))</f>
        <v>1</v>
      </c>
      <c r="S38">
        <f>SUM($R$3:R38)</f>
        <v>183</v>
      </c>
    </row>
    <row r="39" spans="2:19" x14ac:dyDescent="0.3">
      <c r="B39" s="12" t="s">
        <v>226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opLeftCell="A4" workbookViewId="0">
      <selection activeCell="H13" sqref="H13"/>
    </sheetView>
  </sheetViews>
  <sheetFormatPr defaultRowHeight="14.4" x14ac:dyDescent="0.3"/>
  <cols>
    <col min="3" max="3" width="19.5546875" customWidth="1"/>
    <col min="4" max="4" width="2.5546875" customWidth="1"/>
    <col min="5" max="5" width="19.5546875" customWidth="1"/>
    <col min="6" max="6" width="2.5546875" customWidth="1"/>
    <col min="7" max="7" width="19.5546875" customWidth="1"/>
    <col min="10" max="10" width="19.5546875" customWidth="1"/>
    <col min="11" max="11" width="2.5546875" customWidth="1"/>
    <col min="12" max="12" width="19.5546875" customWidth="1"/>
    <col min="13" max="13" width="2.5546875" customWidth="1"/>
    <col min="14" max="14" width="19.5546875" customWidth="1"/>
  </cols>
  <sheetData>
    <row r="2" spans="3:14" ht="44.25" customHeight="1" x14ac:dyDescent="0.3">
      <c r="C2" s="54" t="s">
        <v>253</v>
      </c>
      <c r="D2" s="54"/>
      <c r="E2" s="54"/>
      <c r="F2" s="54"/>
      <c r="G2" s="54"/>
      <c r="H2" s="40"/>
      <c r="I2" s="40"/>
      <c r="J2" s="54" t="s">
        <v>252</v>
      </c>
      <c r="K2" s="54"/>
      <c r="L2" s="54"/>
      <c r="M2" s="54"/>
      <c r="N2" s="54"/>
    </row>
    <row r="3" spans="3:14" ht="104.25" customHeight="1" x14ac:dyDescent="0.3">
      <c r="C3" s="33">
        <f>COUNTIFS(staff[Country],"NZ")</f>
        <v>91</v>
      </c>
      <c r="E3" s="34">
        <f>COUNTIFS(staff[Country],"NZ",staff[Gender],"Female")/C3</f>
        <v>0.47252747252747251</v>
      </c>
      <c r="G3" s="35">
        <f>AVERAGEIFS(staff[Salary],staff[Country],"NZ")</f>
        <v>76978.791208791212</v>
      </c>
      <c r="J3" s="37">
        <f>COUNTIFS(staff[Country],"IND")</f>
        <v>92</v>
      </c>
      <c r="K3" s="36"/>
      <c r="L3" s="38">
        <f>COUNTIFS(staff[Country],"IND",staff[Gender],"Female")/J3</f>
        <v>0.46739130434782611</v>
      </c>
      <c r="M3" s="36"/>
      <c r="N3" s="39">
        <f>AVERAGEIFS(staff[Salary],staff[Country],"IND")</f>
        <v>77596.521739130432</v>
      </c>
    </row>
    <row r="6" spans="3:14" ht="31.5" customHeight="1" x14ac:dyDescent="0.3">
      <c r="C6" s="53" t="s">
        <v>251</v>
      </c>
      <c r="D6" s="53"/>
      <c r="E6" s="53"/>
      <c r="F6" s="53"/>
      <c r="G6" s="53"/>
      <c r="H6" s="53"/>
      <c r="I6" s="53"/>
      <c r="J6" s="53"/>
      <c r="K6" s="53"/>
      <c r="L6" s="53"/>
      <c r="M6" s="53"/>
      <c r="N6" s="53"/>
    </row>
    <row r="8" spans="3:14" x14ac:dyDescent="0.3">
      <c r="C8" s="25"/>
      <c r="D8" s="26"/>
      <c r="E8" s="26"/>
      <c r="F8" s="26"/>
      <c r="G8" s="27"/>
      <c r="J8" s="25"/>
      <c r="K8" s="26"/>
      <c r="L8" s="26"/>
      <c r="M8" s="26"/>
      <c r="N8" s="27"/>
    </row>
    <row r="9" spans="3:14" x14ac:dyDescent="0.3">
      <c r="C9" s="28"/>
      <c r="G9" s="29"/>
      <c r="J9" s="28"/>
      <c r="N9" s="29"/>
    </row>
    <row r="10" spans="3:14" x14ac:dyDescent="0.3">
      <c r="C10" s="28"/>
      <c r="G10" s="29"/>
      <c r="J10" s="28"/>
      <c r="N10" s="29"/>
    </row>
    <row r="11" spans="3:14" x14ac:dyDescent="0.3">
      <c r="C11" s="28"/>
      <c r="G11" s="29"/>
      <c r="J11" s="28"/>
      <c r="N11" s="29"/>
    </row>
    <row r="12" spans="3:14" x14ac:dyDescent="0.3">
      <c r="C12" s="28"/>
      <c r="G12" s="29"/>
      <c r="J12" s="28"/>
      <c r="N12" s="29"/>
    </row>
    <row r="13" spans="3:14" x14ac:dyDescent="0.3">
      <c r="C13" s="28"/>
      <c r="G13" s="29"/>
      <c r="J13" s="28"/>
      <c r="N13" s="29"/>
    </row>
    <row r="14" spans="3:14" x14ac:dyDescent="0.3">
      <c r="C14" s="28"/>
      <c r="G14" s="29"/>
      <c r="J14" s="28"/>
      <c r="N14" s="29"/>
    </row>
    <row r="15" spans="3:14" x14ac:dyDescent="0.3">
      <c r="C15" s="28"/>
      <c r="G15" s="29"/>
      <c r="J15" s="28"/>
      <c r="N15" s="29"/>
    </row>
    <row r="16" spans="3:14" x14ac:dyDescent="0.3">
      <c r="C16" s="28"/>
      <c r="G16" s="29"/>
      <c r="J16" s="28"/>
      <c r="N16" s="29"/>
    </row>
    <row r="17" spans="3:14" x14ac:dyDescent="0.3">
      <c r="C17" s="28"/>
      <c r="G17" s="29"/>
      <c r="J17" s="28"/>
      <c r="N17" s="29"/>
    </row>
    <row r="18" spans="3:14" x14ac:dyDescent="0.3">
      <c r="C18" s="28"/>
      <c r="G18" s="29"/>
      <c r="J18" s="28"/>
      <c r="N18" s="29"/>
    </row>
    <row r="19" spans="3:14" x14ac:dyDescent="0.3">
      <c r="C19" s="28"/>
      <c r="G19" s="29"/>
      <c r="J19" s="28"/>
      <c r="N19" s="29"/>
    </row>
    <row r="20" spans="3:14" x14ac:dyDescent="0.3">
      <c r="C20" s="28"/>
      <c r="G20" s="29"/>
      <c r="J20" s="28"/>
      <c r="N20" s="29"/>
    </row>
    <row r="21" spans="3:14" x14ac:dyDescent="0.3">
      <c r="C21" s="28"/>
      <c r="G21" s="29"/>
      <c r="J21" s="28"/>
      <c r="N21" s="29"/>
    </row>
    <row r="22" spans="3:14" x14ac:dyDescent="0.3">
      <c r="C22" s="28"/>
      <c r="G22" s="29"/>
      <c r="J22" s="28"/>
      <c r="N22" s="29"/>
    </row>
    <row r="23" spans="3:14" x14ac:dyDescent="0.3">
      <c r="C23" s="30"/>
      <c r="D23" s="31"/>
      <c r="E23" s="31"/>
      <c r="F23" s="31"/>
      <c r="G23" s="32"/>
      <c r="J23" s="30"/>
      <c r="K23" s="31"/>
      <c r="L23" s="31"/>
      <c r="M23" s="31"/>
      <c r="N23" s="32"/>
    </row>
  </sheetData>
  <mergeCells count="3">
    <mergeCell ref="C6:N6"/>
    <mergeCell ref="C2:G2"/>
    <mergeCell ref="J2:N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C1:N7"/>
  <sheetViews>
    <sheetView showGridLines="0" tabSelected="1" zoomScale="69" zoomScaleNormal="100" workbookViewId="0">
      <selection activeCell="Q11" sqref="Q11"/>
    </sheetView>
  </sheetViews>
  <sheetFormatPr defaultColWidth="12.33203125" defaultRowHeight="14.4" x14ac:dyDescent="0.3"/>
  <cols>
    <col min="1" max="1" width="5" customWidth="1"/>
    <col min="2" max="2" width="5.88671875" customWidth="1"/>
    <col min="3" max="3" width="20.33203125" customWidth="1"/>
    <col min="4" max="4" width="3.44140625" customWidth="1"/>
    <col min="5" max="5" width="20.33203125" customWidth="1"/>
    <col min="6" max="6" width="3.6640625" customWidth="1"/>
    <col min="7" max="7" width="20.33203125" customWidth="1"/>
    <col min="8" max="8" width="10" customWidth="1"/>
    <col min="9" max="9" width="7" customWidth="1"/>
    <col min="10" max="10" width="19.77734375" customWidth="1"/>
    <col min="11" max="11" width="4.44140625" customWidth="1"/>
    <col min="12" max="12" width="20.21875" customWidth="1"/>
    <col min="13" max="13" width="4.44140625" customWidth="1"/>
    <col min="14" max="14" width="20.109375" customWidth="1"/>
    <col min="15" max="15" width="12.33203125" customWidth="1"/>
  </cols>
  <sheetData>
    <row r="1" spans="3:14" ht="18" customHeight="1" x14ac:dyDescent="0.3"/>
    <row r="2" spans="3:14" ht="40.200000000000003" customHeight="1" x14ac:dyDescent="0.3">
      <c r="C2" s="60" t="s">
        <v>266</v>
      </c>
      <c r="D2" s="60"/>
      <c r="E2" s="60"/>
      <c r="F2" s="60"/>
      <c r="G2" s="60"/>
      <c r="J2" s="61" t="s">
        <v>267</v>
      </c>
      <c r="K2" s="61"/>
      <c r="L2" s="61"/>
      <c r="M2" s="61"/>
      <c r="N2" s="61"/>
    </row>
    <row r="4" spans="3:14" ht="88.8" customHeight="1" x14ac:dyDescent="0.3">
      <c r="C4" s="57">
        <f>COUNTIFS(staff[Country],"NZ")</f>
        <v>91</v>
      </c>
      <c r="E4" s="58">
        <f>COUNTIFS(staff[Country],"NZ",staff[Gender],"Female")/C4</f>
        <v>0.47252747252747251</v>
      </c>
      <c r="G4" s="59">
        <f>AVERAGEIFS(staff[Salary],staff[Country],"NZ")</f>
        <v>76978.791208791212</v>
      </c>
      <c r="J4" s="62">
        <f>COUNTIFS(staff[Country],"IND")</f>
        <v>92</v>
      </c>
      <c r="L4" s="63">
        <f>COUNTIFS(staff[Country],"IND",staff[Gender],"Female")/J4</f>
        <v>0.46739130434782611</v>
      </c>
      <c r="N4" s="64">
        <f>AVERAGEIFS(staff[Salary],staff[Country],"IND")</f>
        <v>77596.521739130432</v>
      </c>
    </row>
    <row r="6" spans="3:14" ht="9" customHeight="1" x14ac:dyDescent="0.3"/>
    <row r="7" spans="3:14" ht="31.8" customHeight="1" x14ac:dyDescent="0.65">
      <c r="E7" s="66" t="s">
        <v>268</v>
      </c>
      <c r="F7" s="66"/>
      <c r="G7" s="66"/>
      <c r="H7" s="66"/>
      <c r="I7" s="66"/>
      <c r="J7" s="66"/>
      <c r="K7" s="66"/>
      <c r="L7" s="66"/>
    </row>
  </sheetData>
  <mergeCells count="3">
    <mergeCell ref="C2:G2"/>
    <mergeCell ref="J2:N2"/>
    <mergeCell ref="E7:L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M23"/>
  <sheetViews>
    <sheetView topLeftCell="A7" workbookViewId="0">
      <selection activeCell="K17" sqref="K17:L22"/>
    </sheetView>
  </sheetViews>
  <sheetFormatPr defaultRowHeight="14.4" x14ac:dyDescent="0.3"/>
  <cols>
    <col min="2" max="2" width="13.33203125" bestFit="1" customWidth="1"/>
    <col min="3" max="3" width="10" bestFit="1" customWidth="1"/>
    <col min="4" max="4" width="13.88671875" bestFit="1" customWidth="1"/>
    <col min="6" max="6" width="11.33203125" customWidth="1"/>
    <col min="7" max="7" width="13.33203125" customWidth="1"/>
    <col min="11" max="11" width="18.5546875" bestFit="1" customWidth="1"/>
    <col min="12" max="12" width="13.88671875" bestFit="1" customWidth="1"/>
    <col min="13" max="13" width="10.44140625" bestFit="1" customWidth="1"/>
    <col min="14" max="14" width="9.5546875" bestFit="1" customWidth="1"/>
    <col min="15" max="15" width="19.109375" bestFit="1" customWidth="1"/>
    <col min="16" max="16" width="12.5546875" bestFit="1" customWidth="1"/>
    <col min="17" max="21" width="13.33203125" bestFit="1" customWidth="1"/>
  </cols>
  <sheetData>
    <row r="2" spans="2:13" ht="21" x14ac:dyDescent="0.3">
      <c r="B2" s="10">
        <v>4</v>
      </c>
      <c r="C2" s="17" t="s">
        <v>223</v>
      </c>
    </row>
    <row r="3" spans="2:13" x14ac:dyDescent="0.3">
      <c r="L3" s="19" t="s">
        <v>1</v>
      </c>
    </row>
    <row r="4" spans="2:13" x14ac:dyDescent="0.3">
      <c r="K4" s="19" t="s">
        <v>229</v>
      </c>
      <c r="L4" t="s">
        <v>8</v>
      </c>
      <c r="M4" t="s">
        <v>15</v>
      </c>
    </row>
    <row r="5" spans="2:13" x14ac:dyDescent="0.3">
      <c r="K5" t="s">
        <v>227</v>
      </c>
      <c r="L5">
        <v>86</v>
      </c>
      <c r="M5">
        <v>89</v>
      </c>
    </row>
    <row r="6" spans="2:13" x14ac:dyDescent="0.3">
      <c r="K6" t="s">
        <v>228</v>
      </c>
      <c r="L6" s="7">
        <v>31.406976744186046</v>
      </c>
      <c r="M6" s="7">
        <v>29.393258426966291</v>
      </c>
    </row>
    <row r="7" spans="2:13" x14ac:dyDescent="0.3">
      <c r="C7" s="19" t="s">
        <v>225</v>
      </c>
      <c r="K7" t="s">
        <v>261</v>
      </c>
      <c r="L7">
        <v>86</v>
      </c>
      <c r="M7">
        <v>89</v>
      </c>
    </row>
    <row r="8" spans="2:13" x14ac:dyDescent="0.3">
      <c r="B8" s="19" t="s">
        <v>229</v>
      </c>
      <c r="C8" t="s">
        <v>8</v>
      </c>
      <c r="D8" t="s">
        <v>15</v>
      </c>
      <c r="K8" t="s">
        <v>230</v>
      </c>
      <c r="L8" s="49">
        <v>78530.232558139542</v>
      </c>
      <c r="M8" s="49">
        <v>74915.168539325838</v>
      </c>
    </row>
    <row r="9" spans="2:13" x14ac:dyDescent="0.3">
      <c r="B9" t="s">
        <v>227</v>
      </c>
      <c r="C9">
        <v>86</v>
      </c>
      <c r="D9">
        <v>89</v>
      </c>
      <c r="K9" t="s">
        <v>231</v>
      </c>
      <c r="L9" s="7">
        <v>1.5586492513539352</v>
      </c>
      <c r="M9" s="7">
        <v>1.5495459442819761</v>
      </c>
    </row>
    <row r="10" spans="2:13" x14ac:dyDescent="0.3">
      <c r="B10" t="s">
        <v>228</v>
      </c>
      <c r="C10" s="20">
        <v>31.406976744186046</v>
      </c>
      <c r="D10" s="20">
        <v>29.393258426966291</v>
      </c>
    </row>
    <row r="11" spans="2:13" x14ac:dyDescent="0.3">
      <c r="B11" t="s">
        <v>230</v>
      </c>
      <c r="C11" s="21">
        <v>78530.232558139542</v>
      </c>
      <c r="D11" s="21">
        <v>74915.168539325838</v>
      </c>
    </row>
    <row r="12" spans="2:13" x14ac:dyDescent="0.3">
      <c r="B12" t="s">
        <v>231</v>
      </c>
      <c r="C12" s="20">
        <v>1.5586492513539352</v>
      </c>
      <c r="D12" s="20">
        <v>1.5495459442819761</v>
      </c>
    </row>
    <row r="17" spans="2:12" x14ac:dyDescent="0.3">
      <c r="B17" s="19" t="s">
        <v>2</v>
      </c>
      <c r="C17" s="19" t="s">
        <v>204</v>
      </c>
      <c r="D17" t="s">
        <v>227</v>
      </c>
      <c r="F17" s="56" t="s">
        <v>2</v>
      </c>
      <c r="G17" s="56" t="s">
        <v>227</v>
      </c>
      <c r="K17" s="56" t="s">
        <v>2</v>
      </c>
      <c r="L17" s="56" t="s">
        <v>227</v>
      </c>
    </row>
    <row r="18" spans="2:12" x14ac:dyDescent="0.3">
      <c r="B18" t="s">
        <v>21</v>
      </c>
      <c r="D18" s="65">
        <v>19</v>
      </c>
      <c r="F18" s="55" t="s">
        <v>21</v>
      </c>
      <c r="G18" s="65">
        <v>19</v>
      </c>
      <c r="K18" s="55" t="s">
        <v>21</v>
      </c>
      <c r="L18" s="65">
        <v>19</v>
      </c>
    </row>
    <row r="19" spans="2:12" x14ac:dyDescent="0.3">
      <c r="B19" t="s">
        <v>56</v>
      </c>
      <c r="D19" s="65">
        <v>4</v>
      </c>
      <c r="F19" s="55" t="s">
        <v>56</v>
      </c>
      <c r="G19" s="65">
        <v>4</v>
      </c>
      <c r="K19" s="55" t="s">
        <v>56</v>
      </c>
      <c r="L19" s="65">
        <v>4</v>
      </c>
    </row>
    <row r="20" spans="2:12" x14ac:dyDescent="0.3">
      <c r="B20" t="s">
        <v>9</v>
      </c>
      <c r="D20" s="65">
        <v>28</v>
      </c>
      <c r="F20" s="55" t="s">
        <v>9</v>
      </c>
      <c r="G20" s="65">
        <v>27</v>
      </c>
      <c r="K20" s="55" t="s">
        <v>9</v>
      </c>
      <c r="L20" s="65">
        <v>28</v>
      </c>
    </row>
    <row r="21" spans="2:12" x14ac:dyDescent="0.3">
      <c r="B21" t="s">
        <v>19</v>
      </c>
      <c r="D21" s="65">
        <v>14</v>
      </c>
      <c r="F21" s="55" t="s">
        <v>19</v>
      </c>
      <c r="G21" s="65">
        <v>14</v>
      </c>
      <c r="K21" s="55" t="s">
        <v>19</v>
      </c>
      <c r="L21" s="65">
        <v>14</v>
      </c>
    </row>
    <row r="22" spans="2:12" x14ac:dyDescent="0.3">
      <c r="B22" t="s">
        <v>12</v>
      </c>
      <c r="D22" s="65">
        <v>27</v>
      </c>
      <c r="F22" s="55" t="s">
        <v>12</v>
      </c>
      <c r="G22" s="65">
        <v>27</v>
      </c>
      <c r="K22" s="55" t="s">
        <v>12</v>
      </c>
      <c r="L22" s="65">
        <v>27</v>
      </c>
    </row>
    <row r="23" spans="2:12" x14ac:dyDescent="0.3">
      <c r="B23" t="s">
        <v>226</v>
      </c>
      <c r="D23" s="65">
        <v>92</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70" workbookViewId="0">
      <selection activeCell="L27" sqref="L27"/>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Info Finder v2.0</vt:lpstr>
      <vt:lpstr>ALL Staff</vt:lpstr>
      <vt:lpstr>Salary vs. Rating</vt:lpstr>
      <vt:lpstr>Mapping</vt:lpstr>
      <vt:lpstr>Employee Trend</vt:lpstr>
      <vt:lpstr>India vs. NZ</vt:lpstr>
      <vt:lpstr>Sheet11</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Rahul</cp:lastModifiedBy>
  <dcterms:created xsi:type="dcterms:W3CDTF">2021-03-14T20:21:32Z</dcterms:created>
  <dcterms:modified xsi:type="dcterms:W3CDTF">2023-07-03T06:31:48Z</dcterms:modified>
</cp:coreProperties>
</file>