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rthu\OneDrive\Bureau\Contrôle de Gestion\"/>
    </mc:Choice>
  </mc:AlternateContent>
  <xr:revisionPtr revIDLastSave="0" documentId="13_ncr:1_{4F2A9540-799B-4F34-B87B-57D4466497A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Les Budgets" sheetId="1" r:id="rId1"/>
    <sheet name="Outils de calcul de performance" sheetId="2" r:id="rId2"/>
    <sheet name="Contrôle Budgétai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3" l="1"/>
  <c r="C124" i="3"/>
  <c r="B124" i="3"/>
  <c r="I123" i="3"/>
  <c r="C123" i="3"/>
  <c r="B123" i="3"/>
  <c r="I122" i="3"/>
  <c r="C122" i="3"/>
  <c r="B122" i="3"/>
  <c r="I121" i="3"/>
  <c r="C121" i="3"/>
  <c r="B121" i="3"/>
  <c r="E104" i="3"/>
  <c r="G104" i="3" s="1"/>
  <c r="E113" i="3" s="1"/>
  <c r="E103" i="3"/>
  <c r="G103" i="3" s="1"/>
  <c r="E112" i="3" s="1"/>
  <c r="B103" i="3"/>
  <c r="D103" i="3" s="1"/>
  <c r="B112" i="3" s="1"/>
  <c r="E102" i="3"/>
  <c r="G102" i="3" s="1"/>
  <c r="E111" i="3" s="1"/>
  <c r="E101" i="3"/>
  <c r="G101" i="3" s="1"/>
  <c r="E110" i="3" s="1"/>
  <c r="C83" i="3"/>
  <c r="B83" i="3"/>
  <c r="D83" i="3" s="1"/>
  <c r="E81" i="3"/>
  <c r="C81" i="3"/>
  <c r="D81" i="3" s="1"/>
  <c r="F81" i="3" s="1"/>
  <c r="B81" i="3"/>
  <c r="E73" i="3"/>
  <c r="C73" i="3"/>
  <c r="B73" i="3"/>
  <c r="D73" i="3" s="1"/>
  <c r="F73" i="3" s="1"/>
  <c r="E57" i="3"/>
  <c r="B57" i="3"/>
  <c r="H57" i="3" s="1"/>
  <c r="B65" i="3" s="1"/>
  <c r="E50" i="3"/>
  <c r="C50" i="3"/>
  <c r="D50" i="3" s="1"/>
  <c r="B50" i="3"/>
  <c r="F48" i="3"/>
  <c r="E48" i="3"/>
  <c r="G48" i="3" s="1"/>
  <c r="C48" i="3"/>
  <c r="B48" i="3"/>
  <c r="D48" i="3" s="1"/>
  <c r="D51" i="3" s="1"/>
  <c r="E41" i="3"/>
  <c r="F40" i="3"/>
  <c r="E40" i="3"/>
  <c r="C40" i="3"/>
  <c r="G38" i="3"/>
  <c r="F38" i="3"/>
  <c r="E38" i="3"/>
  <c r="D38" i="3"/>
  <c r="C38" i="3"/>
  <c r="B38" i="3"/>
  <c r="C75" i="3" s="1"/>
  <c r="F30" i="3"/>
  <c r="F50" i="3" s="1"/>
  <c r="G50" i="3" s="1"/>
  <c r="E30" i="3"/>
  <c r="G30" i="3" s="1"/>
  <c r="C30" i="3"/>
  <c r="B30" i="3"/>
  <c r="D30" i="3" s="1"/>
  <c r="H30" i="3" s="1"/>
  <c r="F28" i="3"/>
  <c r="E28" i="3"/>
  <c r="B102" i="3" s="1"/>
  <c r="D102" i="3" s="1"/>
  <c r="B111" i="3" s="1"/>
  <c r="C28" i="3"/>
  <c r="B28" i="3"/>
  <c r="B31" i="3" s="1"/>
  <c r="E15" i="3"/>
  <c r="G15" i="3" s="1"/>
  <c r="D15" i="3"/>
  <c r="H15" i="3" s="1"/>
  <c r="H48" i="3" s="1"/>
  <c r="B15" i="3"/>
  <c r="G14" i="3"/>
  <c r="D14" i="3"/>
  <c r="H14" i="3" s="1"/>
  <c r="H17" i="3" s="1"/>
  <c r="E7" i="3"/>
  <c r="G7" i="3" s="1"/>
  <c r="G40" i="3" s="1"/>
  <c r="B7" i="3"/>
  <c r="B40" i="3" s="1"/>
  <c r="H6" i="3"/>
  <c r="H38" i="3" s="1"/>
  <c r="G6" i="3"/>
  <c r="D6" i="3"/>
  <c r="G110" i="3" l="1"/>
  <c r="H121" i="3"/>
  <c r="G111" i="3"/>
  <c r="H122" i="3"/>
  <c r="D112" i="3"/>
  <c r="G123" i="3"/>
  <c r="D123" i="3"/>
  <c r="E123" i="3" s="1"/>
  <c r="H123" i="3"/>
  <c r="G112" i="3"/>
  <c r="B91" i="3"/>
  <c r="G51" i="3"/>
  <c r="H50" i="3"/>
  <c r="H51" i="3" s="1"/>
  <c r="B64" i="3" s="1"/>
  <c r="G41" i="3"/>
  <c r="F41" i="3" s="1"/>
  <c r="E83" i="3" s="1"/>
  <c r="F83" i="3" s="1"/>
  <c r="G122" i="3"/>
  <c r="J122" i="3" s="1"/>
  <c r="D122" i="3"/>
  <c r="E122" i="3" s="1"/>
  <c r="K122" i="3" s="1"/>
  <c r="D111" i="3"/>
  <c r="H111" i="3" s="1"/>
  <c r="B90" i="3"/>
  <c r="H124" i="3"/>
  <c r="G113" i="3"/>
  <c r="B41" i="3"/>
  <c r="B75" i="3"/>
  <c r="D75" i="3" s="1"/>
  <c r="D28" i="3"/>
  <c r="B101" i="3"/>
  <c r="D101" i="3" s="1"/>
  <c r="B110" i="3" s="1"/>
  <c r="B104" i="3"/>
  <c r="D104" i="3" s="1"/>
  <c r="B113" i="3" s="1"/>
  <c r="D7" i="3"/>
  <c r="G28" i="3"/>
  <c r="G31" i="3" s="1"/>
  <c r="F31" i="3" s="1"/>
  <c r="E31" i="3"/>
  <c r="C91" i="3" l="1"/>
  <c r="F84" i="3"/>
  <c r="H112" i="3"/>
  <c r="D91" i="3"/>
  <c r="G124" i="3"/>
  <c r="J124" i="3" s="1"/>
  <c r="D124" i="3"/>
  <c r="E124" i="3" s="1"/>
  <c r="K124" i="3" s="1"/>
  <c r="D113" i="3"/>
  <c r="H113" i="3" s="1"/>
  <c r="G121" i="3"/>
  <c r="J121" i="3" s="1"/>
  <c r="J125" i="3" s="1"/>
  <c r="D121" i="3"/>
  <c r="E121" i="3" s="1"/>
  <c r="D110" i="3"/>
  <c r="B92" i="3"/>
  <c r="H7" i="3"/>
  <c r="D40" i="3"/>
  <c r="D41" i="3" s="1"/>
  <c r="H28" i="3"/>
  <c r="D31" i="3"/>
  <c r="J123" i="3"/>
  <c r="K123" i="3" s="1"/>
  <c r="G114" i="3"/>
  <c r="D114" i="3" l="1"/>
  <c r="H114" i="3" s="1"/>
  <c r="H110" i="3"/>
  <c r="E125" i="3"/>
  <c r="K121" i="3"/>
  <c r="K125" i="3" s="1"/>
  <c r="H40" i="3"/>
  <c r="H9" i="3"/>
  <c r="K12" i="3" s="1"/>
  <c r="C31" i="3"/>
  <c r="H31" i="3"/>
  <c r="H41" i="3"/>
  <c r="C41" i="3"/>
  <c r="E75" i="3" s="1"/>
  <c r="F75" i="3" s="1"/>
  <c r="C90" i="3" l="1"/>
  <c r="F76" i="3"/>
  <c r="K35" i="3"/>
  <c r="B63" i="3" s="1"/>
  <c r="C66" i="3" s="1"/>
  <c r="C92" i="3" l="1"/>
  <c r="D90" i="3"/>
  <c r="D92" i="3" s="1"/>
  <c r="E71" i="2" l="1"/>
  <c r="D71" i="2"/>
  <c r="C71" i="2"/>
  <c r="B71" i="2"/>
  <c r="E62" i="2"/>
  <c r="D62" i="2"/>
  <c r="C62" i="2"/>
  <c r="B62" i="2"/>
  <c r="E60" i="2"/>
  <c r="E61" i="2" s="1"/>
  <c r="D60" i="2"/>
  <c r="D61" i="2" s="1"/>
  <c r="C60" i="2"/>
  <c r="C61" i="2" s="1"/>
  <c r="B60" i="2"/>
  <c r="B61" i="2" s="1"/>
  <c r="E55" i="2"/>
  <c r="D55" i="2"/>
  <c r="C55" i="2"/>
  <c r="B55" i="2"/>
  <c r="E54" i="2"/>
  <c r="D54" i="2"/>
  <c r="C54" i="2"/>
  <c r="B54" i="2"/>
  <c r="E53" i="2"/>
  <c r="D53" i="2"/>
  <c r="C53" i="2"/>
  <c r="B53" i="2"/>
  <c r="E51" i="2"/>
  <c r="D51" i="2"/>
  <c r="C51" i="2"/>
  <c r="B51" i="2"/>
  <c r="E46" i="2"/>
  <c r="D46" i="2"/>
  <c r="C46" i="2"/>
  <c r="B46" i="2"/>
  <c r="E45" i="2"/>
  <c r="D45" i="2"/>
  <c r="C45" i="2"/>
  <c r="B45" i="2"/>
  <c r="E43" i="2"/>
  <c r="E47" i="2" s="1"/>
  <c r="D43" i="2"/>
  <c r="D69" i="2" s="1"/>
  <c r="D72" i="2" s="1"/>
  <c r="C43" i="2"/>
  <c r="C69" i="2" s="1"/>
  <c r="C72" i="2" s="1"/>
  <c r="B43" i="2"/>
  <c r="B69" i="2" s="1"/>
  <c r="B72" i="2" s="1"/>
  <c r="E42" i="2"/>
  <c r="D42" i="2"/>
  <c r="C42" i="2"/>
  <c r="B42" i="2"/>
  <c r="E37" i="2"/>
  <c r="E44" i="2" s="1"/>
  <c r="D37" i="2"/>
  <c r="D44" i="2" s="1"/>
  <c r="C37" i="2"/>
  <c r="C44" i="2" s="1"/>
  <c r="B37" i="2"/>
  <c r="B38" i="2" s="1"/>
  <c r="E36" i="2"/>
  <c r="E38" i="2" s="1"/>
  <c r="D36" i="2"/>
  <c r="C36" i="2"/>
  <c r="B36" i="2"/>
  <c r="E31" i="2"/>
  <c r="D31" i="2"/>
  <c r="C31" i="2"/>
  <c r="B31" i="2"/>
  <c r="E30" i="2"/>
  <c r="E32" i="2" s="1"/>
  <c r="E29" i="2"/>
  <c r="D29" i="2"/>
  <c r="D30" i="2" s="1"/>
  <c r="D32" i="2" s="1"/>
  <c r="C29" i="2"/>
  <c r="C30" i="2" s="1"/>
  <c r="C32" i="2" s="1"/>
  <c r="B29" i="2"/>
  <c r="B30" i="2" s="1"/>
  <c r="B32" i="2" s="1"/>
  <c r="E24" i="2"/>
  <c r="D24" i="2"/>
  <c r="C24" i="2"/>
  <c r="B24" i="2"/>
  <c r="E23" i="2"/>
  <c r="D23" i="2"/>
  <c r="C23" i="2"/>
  <c r="B23" i="2"/>
  <c r="E22" i="2"/>
  <c r="D22" i="2"/>
  <c r="C22" i="2"/>
  <c r="B22" i="2"/>
  <c r="B73" i="1"/>
  <c r="D73" i="1" s="1"/>
  <c r="L73" i="1"/>
  <c r="J101" i="1"/>
  <c r="J102" i="1"/>
  <c r="J100" i="1"/>
  <c r="K102" i="1"/>
  <c r="B74" i="1" s="1"/>
  <c r="K101" i="1"/>
  <c r="I100" i="1"/>
  <c r="J98" i="1"/>
  <c r="K92" i="1"/>
  <c r="K91" i="1"/>
  <c r="K90" i="1"/>
  <c r="J88" i="1"/>
  <c r="I88" i="1"/>
  <c r="K88" i="1" s="1"/>
  <c r="B86" i="1"/>
  <c r="I84" i="1"/>
  <c r="K83" i="1" s="1"/>
  <c r="D76" i="1"/>
  <c r="F75" i="1"/>
  <c r="D75" i="1"/>
  <c r="B75" i="1"/>
  <c r="F74" i="1"/>
  <c r="F72" i="1"/>
  <c r="C72" i="1"/>
  <c r="C77" i="1" s="1"/>
  <c r="B72" i="1"/>
  <c r="D72" i="1" s="1"/>
  <c r="C50" i="1"/>
  <c r="M19" i="1"/>
  <c r="M18" i="1"/>
  <c r="B18" i="1" s="1"/>
  <c r="B19" i="1" s="1"/>
  <c r="M2" i="1"/>
  <c r="B61" i="1"/>
  <c r="G56" i="1"/>
  <c r="B54" i="1"/>
  <c r="B45" i="1"/>
  <c r="H39" i="1"/>
  <c r="G39" i="1"/>
  <c r="F39" i="1"/>
  <c r="E39" i="1"/>
  <c r="D39" i="1"/>
  <c r="C39" i="1"/>
  <c r="H37" i="1"/>
  <c r="H28" i="1"/>
  <c r="G26" i="1"/>
  <c r="F26" i="1"/>
  <c r="E26" i="1"/>
  <c r="D26" i="1"/>
  <c r="C26" i="1"/>
  <c r="H26" i="1" s="1"/>
  <c r="B26" i="1"/>
  <c r="G25" i="1"/>
  <c r="G53" i="1" s="1"/>
  <c r="F25" i="1"/>
  <c r="F53" i="1" s="1"/>
  <c r="E25" i="1"/>
  <c r="E53" i="1" s="1"/>
  <c r="D25" i="1"/>
  <c r="D53" i="1" s="1"/>
  <c r="C25" i="1"/>
  <c r="H25" i="1" s="1"/>
  <c r="B25" i="1"/>
  <c r="B53" i="1" s="1"/>
  <c r="G21" i="1"/>
  <c r="F21" i="1"/>
  <c r="E21" i="1"/>
  <c r="D21" i="1"/>
  <c r="C21" i="1"/>
  <c r="B21" i="1"/>
  <c r="G18" i="1"/>
  <c r="G19" i="1" s="1"/>
  <c r="G36" i="1" s="1"/>
  <c r="F18" i="1"/>
  <c r="F19" i="1" s="1"/>
  <c r="F36" i="1" s="1"/>
  <c r="E18" i="1"/>
  <c r="E19" i="1" s="1"/>
  <c r="D18" i="1"/>
  <c r="C18" i="1"/>
  <c r="E16" i="1"/>
  <c r="E35" i="1" s="1"/>
  <c r="D16" i="1"/>
  <c r="D35" i="1" s="1"/>
  <c r="H15" i="1"/>
  <c r="G15" i="1"/>
  <c r="G16" i="1" s="1"/>
  <c r="G35" i="1" s="1"/>
  <c r="F15" i="1"/>
  <c r="F16" i="1" s="1"/>
  <c r="F35" i="1" s="1"/>
  <c r="E15" i="1"/>
  <c r="E17" i="1" s="1"/>
  <c r="E51" i="1" s="1"/>
  <c r="D15" i="1"/>
  <c r="D17" i="1" s="1"/>
  <c r="D51" i="1" s="1"/>
  <c r="C15" i="1"/>
  <c r="B15" i="1"/>
  <c r="B16" i="1" s="1"/>
  <c r="G11" i="1"/>
  <c r="G50" i="1" s="1"/>
  <c r="F11" i="1"/>
  <c r="F50" i="1" s="1"/>
  <c r="G10" i="1"/>
  <c r="G34" i="1" s="1"/>
  <c r="F10" i="1"/>
  <c r="F34" i="1" s="1"/>
  <c r="D10" i="1"/>
  <c r="D34" i="1" s="1"/>
  <c r="C10" i="1"/>
  <c r="C34" i="1" s="1"/>
  <c r="B10" i="1"/>
  <c r="B9" i="1"/>
  <c r="E9" i="1" s="1"/>
  <c r="G4" i="1"/>
  <c r="G33" i="1" s="1"/>
  <c r="F4" i="1"/>
  <c r="F33" i="1" s="1"/>
  <c r="G3" i="1"/>
  <c r="G27" i="1" s="1"/>
  <c r="F3" i="1"/>
  <c r="F5" i="1" s="1"/>
  <c r="E3" i="1"/>
  <c r="D3" i="1"/>
  <c r="D4" i="1" s="1"/>
  <c r="C3" i="1"/>
  <c r="C27" i="1" s="1"/>
  <c r="D54" i="1" s="1"/>
  <c r="B3" i="1"/>
  <c r="H3" i="1" s="1"/>
  <c r="B47" i="2" l="1"/>
  <c r="C38" i="2"/>
  <c r="C47" i="2"/>
  <c r="E69" i="2"/>
  <c r="E72" i="2" s="1"/>
  <c r="B44" i="2"/>
  <c r="D38" i="2"/>
  <c r="D47" i="2"/>
  <c r="D84" i="1"/>
  <c r="D92" i="1" s="1"/>
  <c r="D74" i="1"/>
  <c r="D77" i="1"/>
  <c r="F77" i="1" s="1"/>
  <c r="F73" i="1" s="1"/>
  <c r="B90" i="1" s="1"/>
  <c r="B83" i="1"/>
  <c r="B77" i="1"/>
  <c r="I89" i="1"/>
  <c r="K89" i="1" s="1"/>
  <c r="B85" i="1" s="1"/>
  <c r="F20" i="1"/>
  <c r="F52" i="1" s="1"/>
  <c r="F38" i="1"/>
  <c r="G55" i="1" s="1"/>
  <c r="G20" i="1"/>
  <c r="G52" i="1" s="1"/>
  <c r="H21" i="1"/>
  <c r="G38" i="1"/>
  <c r="D19" i="1"/>
  <c r="D36" i="1" s="1"/>
  <c r="H9" i="1"/>
  <c r="E10" i="1"/>
  <c r="E34" i="1" s="1"/>
  <c r="B36" i="1"/>
  <c r="D33" i="1"/>
  <c r="D38" i="1" s="1"/>
  <c r="E55" i="1" s="1"/>
  <c r="D5" i="1"/>
  <c r="G44" i="1"/>
  <c r="F43" i="1"/>
  <c r="B17" i="1"/>
  <c r="B35" i="1"/>
  <c r="E20" i="1"/>
  <c r="E52" i="1" s="1"/>
  <c r="E36" i="1"/>
  <c r="B4" i="1"/>
  <c r="G5" i="1"/>
  <c r="G43" i="1" s="1"/>
  <c r="G46" i="1" s="1"/>
  <c r="G62" i="1" s="1"/>
  <c r="B11" i="1"/>
  <c r="C19" i="1"/>
  <c r="C36" i="1" s="1"/>
  <c r="D27" i="1"/>
  <c r="E54" i="1" s="1"/>
  <c r="F17" i="1"/>
  <c r="F51" i="1" s="1"/>
  <c r="E27" i="1"/>
  <c r="F54" i="1" s="1"/>
  <c r="B34" i="1"/>
  <c r="H34" i="1" s="1"/>
  <c r="C53" i="1"/>
  <c r="C4" i="1"/>
  <c r="C11" i="1"/>
  <c r="D11" i="1"/>
  <c r="D50" i="1" s="1"/>
  <c r="G17" i="1"/>
  <c r="G51" i="1" s="1"/>
  <c r="F27" i="1"/>
  <c r="G54" i="1" s="1"/>
  <c r="E4" i="1"/>
  <c r="E33" i="1" s="1"/>
  <c r="E38" i="1" s="1"/>
  <c r="F55" i="1" s="1"/>
  <c r="C16" i="1"/>
  <c r="C35" i="1" s="1"/>
  <c r="B20" i="1"/>
  <c r="H18" i="1"/>
  <c r="B27" i="1"/>
  <c r="K93" i="1" l="1"/>
  <c r="B92" i="1"/>
  <c r="D20" i="1"/>
  <c r="D52" i="1" s="1"/>
  <c r="F58" i="1"/>
  <c r="F63" i="1" s="1"/>
  <c r="G58" i="1"/>
  <c r="G63" i="1" s="1"/>
  <c r="B50" i="1"/>
  <c r="E5" i="1"/>
  <c r="C20" i="1"/>
  <c r="C52" i="1" s="1"/>
  <c r="C17" i="1"/>
  <c r="C51" i="1" s="1"/>
  <c r="H4" i="1"/>
  <c r="B33" i="1"/>
  <c r="E44" i="1"/>
  <c r="D43" i="1"/>
  <c r="C33" i="1"/>
  <c r="C38" i="1" s="1"/>
  <c r="D55" i="1" s="1"/>
  <c r="C5" i="1"/>
  <c r="H36" i="1"/>
  <c r="H16" i="1"/>
  <c r="H19" i="1"/>
  <c r="C54" i="1"/>
  <c r="H27" i="1"/>
  <c r="H35" i="1"/>
  <c r="H17" i="1"/>
  <c r="B51" i="1"/>
  <c r="E11" i="1"/>
  <c r="E50" i="1" s="1"/>
  <c r="E58" i="1" s="1"/>
  <c r="E63" i="1" s="1"/>
  <c r="B5" i="1"/>
  <c r="B52" i="1"/>
  <c r="H10" i="1"/>
  <c r="K94" i="1" l="1"/>
  <c r="K99" i="1"/>
  <c r="H20" i="1"/>
  <c r="D58" i="1"/>
  <c r="D63" i="1" s="1"/>
  <c r="B58" i="1"/>
  <c r="B63" i="1" s="1"/>
  <c r="D44" i="1"/>
  <c r="D46" i="1" s="1"/>
  <c r="D62" i="1" s="1"/>
  <c r="C43" i="1"/>
  <c r="C46" i="1" s="1"/>
  <c r="C62" i="1" s="1"/>
  <c r="C44" i="1"/>
  <c r="H44" i="1" s="1"/>
  <c r="H5" i="1"/>
  <c r="B43" i="1"/>
  <c r="B46" i="1" s="1"/>
  <c r="B62" i="1" s="1"/>
  <c r="B38" i="1"/>
  <c r="H33" i="1"/>
  <c r="F44" i="1"/>
  <c r="F46" i="1" s="1"/>
  <c r="F62" i="1" s="1"/>
  <c r="E43" i="1"/>
  <c r="E46" i="1" s="1"/>
  <c r="E62" i="1" s="1"/>
  <c r="H11" i="1"/>
  <c r="K100" i="1" l="1"/>
  <c r="J99" i="1"/>
  <c r="B64" i="1"/>
  <c r="C61" i="1" s="1"/>
  <c r="H38" i="1"/>
  <c r="C55" i="1"/>
  <c r="C58" i="1" s="1"/>
  <c r="C63" i="1" s="1"/>
  <c r="C64" i="1" l="1"/>
  <c r="D61" i="1" s="1"/>
  <c r="D64" i="1" s="1"/>
  <c r="E61" i="1" s="1"/>
  <c r="E64" i="1" s="1"/>
  <c r="F61" i="1" s="1"/>
  <c r="F64" i="1" s="1"/>
  <c r="G61" i="1" s="1"/>
  <c r="G64" i="1" s="1"/>
</calcChain>
</file>

<file path=xl/sharedStrings.xml><?xml version="1.0" encoding="utf-8"?>
<sst xmlns="http://schemas.openxmlformats.org/spreadsheetml/2006/main" count="422" uniqueCount="259">
  <si>
    <t>BUDGET DES VENTES</t>
  </si>
  <si>
    <t>Janvier</t>
  </si>
  <si>
    <t>Février</t>
  </si>
  <si>
    <t>Mars</t>
  </si>
  <si>
    <t>Avril</t>
  </si>
  <si>
    <t xml:space="preserve">Mai </t>
  </si>
  <si>
    <t>Juin</t>
  </si>
  <si>
    <t>CA HT</t>
  </si>
  <si>
    <t>TVA coll</t>
  </si>
  <si>
    <t>CA TTC</t>
  </si>
  <si>
    <t>BUDGET DES ACHATS</t>
  </si>
  <si>
    <t>ACHATS HT</t>
  </si>
  <si>
    <t>TVA DED</t>
  </si>
  <si>
    <t>ACHATS TTC</t>
  </si>
  <si>
    <t>BUDGET DES FRAIS DE PRODUCTION</t>
  </si>
  <si>
    <t>FV HT</t>
  </si>
  <si>
    <t>FV TTC</t>
  </si>
  <si>
    <t>FF HORS DAP</t>
  </si>
  <si>
    <t>FF TTC</t>
  </si>
  <si>
    <t>DAP</t>
  </si>
  <si>
    <t>BUDGET DES FRAIS HORS PRODUCTION</t>
  </si>
  <si>
    <t>FRAIS ADM</t>
  </si>
  <si>
    <t>AMORT/ADM</t>
  </si>
  <si>
    <t>COMMISSIONS</t>
  </si>
  <si>
    <t>BUDGET DE TVA</t>
  </si>
  <si>
    <t>TVA COLL</t>
  </si>
  <si>
    <t>TVA DED/ACH</t>
  </si>
  <si>
    <t>TVA DED/FV</t>
  </si>
  <si>
    <t>TVA DED/FF</t>
  </si>
  <si>
    <t>TVA DED/IMMO</t>
  </si>
  <si>
    <t>TVA DUE</t>
  </si>
  <si>
    <t>CRED A REPORTER</t>
  </si>
  <si>
    <t>BUDGET DES ENCAISSEMENTS</t>
  </si>
  <si>
    <t>BILAN</t>
  </si>
  <si>
    <t>Ventes au comptant</t>
  </si>
  <si>
    <t>ventes à crédit</t>
  </si>
  <si>
    <t>créances bilan</t>
  </si>
  <si>
    <t>TOTAL ENCAISSEMENT</t>
  </si>
  <si>
    <t>BUDGET DES DECAISSEMENTS</t>
  </si>
  <si>
    <t>Août</t>
  </si>
  <si>
    <t xml:space="preserve">ACHATS </t>
  </si>
  <si>
    <t>FV PROD</t>
  </si>
  <si>
    <t>FF PROD</t>
  </si>
  <si>
    <t>FF ADM COMPTANT</t>
  </si>
  <si>
    <t>TVA A PAYER</t>
  </si>
  <si>
    <t>INVESTISSEMENT</t>
  </si>
  <si>
    <t>EMPRUNT</t>
  </si>
  <si>
    <t>TOTAL DECAISSEMENT</t>
  </si>
  <si>
    <t>BUDGET DE TRESORERIE</t>
  </si>
  <si>
    <t>TRES INITIALE</t>
  </si>
  <si>
    <t>TRES FINALE</t>
  </si>
  <si>
    <t>taux TVA</t>
  </si>
  <si>
    <t>clients comptant</t>
  </si>
  <si>
    <t>clients crédit</t>
  </si>
  <si>
    <t>fourni com</t>
  </si>
  <si>
    <t>fourn 30 j</t>
  </si>
  <si>
    <t>fourn 60 j</t>
  </si>
  <si>
    <t>commission</t>
  </si>
  <si>
    <t>FF</t>
  </si>
  <si>
    <t>FF DAP</t>
  </si>
  <si>
    <t>en mars, emprunt de 200000, les intérêts sont en frais</t>
  </si>
  <si>
    <t>Enoncé</t>
  </si>
  <si>
    <t>ventes/mois</t>
  </si>
  <si>
    <t>prod/mois</t>
  </si>
  <si>
    <t>TOTAL</t>
  </si>
  <si>
    <t>BILAN 30/06</t>
  </si>
  <si>
    <t>STOCK MP EN KG</t>
  </si>
  <si>
    <t>énoncé</t>
  </si>
  <si>
    <t>BRUT</t>
  </si>
  <si>
    <t>AMT</t>
  </si>
  <si>
    <t>NET</t>
  </si>
  <si>
    <t>Immob</t>
  </si>
  <si>
    <t>Capitaux propres</t>
  </si>
  <si>
    <t>SI</t>
  </si>
  <si>
    <t>Sorties</t>
  </si>
  <si>
    <t>Stock MP</t>
  </si>
  <si>
    <t>Réserves</t>
  </si>
  <si>
    <t>CONS</t>
  </si>
  <si>
    <t>SF</t>
  </si>
  <si>
    <t>Stock PF</t>
  </si>
  <si>
    <t>Tva due</t>
  </si>
  <si>
    <t>Clients</t>
  </si>
  <si>
    <t>Commission</t>
  </si>
  <si>
    <t>Disponi</t>
  </si>
  <si>
    <t>RESULTAT SEMESTRE 1</t>
  </si>
  <si>
    <t>STOCK PF EN QTES</t>
  </si>
  <si>
    <t>Achats MP</t>
  </si>
  <si>
    <t>CA</t>
  </si>
  <si>
    <t>VTES</t>
  </si>
  <si>
    <t>Var St MP</t>
  </si>
  <si>
    <t>Prod Stockée</t>
  </si>
  <si>
    <t>PROD</t>
  </si>
  <si>
    <t>CV Fabric</t>
  </si>
  <si>
    <t>CF Fabric</t>
  </si>
  <si>
    <t>COUT PRODUCTION</t>
  </si>
  <si>
    <t>Ch admini</t>
  </si>
  <si>
    <t>Commiss°</t>
  </si>
  <si>
    <t>MP  CONSO</t>
  </si>
  <si>
    <t>FV FAB</t>
  </si>
  <si>
    <t>Résultat</t>
  </si>
  <si>
    <t>FF FAB</t>
  </si>
  <si>
    <t xml:space="preserve">AMT </t>
  </si>
  <si>
    <t>AMT SUP</t>
  </si>
  <si>
    <t>COUT PROD</t>
  </si>
  <si>
    <t>CP UNIT</t>
  </si>
  <si>
    <t>STOCK PF</t>
  </si>
  <si>
    <t>E</t>
  </si>
  <si>
    <t>CUMP</t>
  </si>
  <si>
    <t xml:space="preserve">CUMP </t>
  </si>
  <si>
    <t xml:space="preserve"> NUTRIKID</t>
  </si>
  <si>
    <t>ALIFORM</t>
  </si>
  <si>
    <t>SLIM GOURMET</t>
  </si>
  <si>
    <t>chiffre d'affaires</t>
  </si>
  <si>
    <t>coût var exploitation</t>
  </si>
  <si>
    <t>cout fixe exploitation</t>
  </si>
  <si>
    <t>1 527 500 €</t>
  </si>
  <si>
    <t>Dont amortissements</t>
  </si>
  <si>
    <t>résultat exploitation</t>
  </si>
  <si>
    <t>charges financières</t>
  </si>
  <si>
    <t>18 000 €</t>
  </si>
  <si>
    <t> 21 000 €</t>
  </si>
  <si>
    <t> 36 000 €</t>
  </si>
  <si>
    <t>résultat avant impôt</t>
  </si>
  <si>
    <t>impôt sur bénéfices</t>
  </si>
  <si>
    <t>34 000 €</t>
  </si>
  <si>
    <t> 43 000 €</t>
  </si>
  <si>
    <t> 73 000 €</t>
  </si>
  <si>
    <t>résultat net</t>
  </si>
  <si>
    <t>capitaux propres</t>
  </si>
  <si>
    <t>dettes financières</t>
  </si>
  <si>
    <t>dettes circulantes</t>
  </si>
  <si>
    <t>total passif</t>
  </si>
  <si>
    <t> 500 000 €</t>
  </si>
  <si>
    <t> 1 000 000 €</t>
  </si>
  <si>
    <t> 1 500 000 €</t>
  </si>
  <si>
    <t>actif immobilisé</t>
  </si>
  <si>
    <t>actif circulant</t>
  </si>
  <si>
    <t>Dont trésorerie</t>
  </si>
  <si>
    <t>total actif</t>
  </si>
  <si>
    <t>1. Le taux de marge brute d’exploitation</t>
  </si>
  <si>
    <t>EBE</t>
  </si>
  <si>
    <t>Tx</t>
  </si>
  <si>
    <t>2. Le taux de marge bénéficiaire</t>
  </si>
  <si>
    <t>Rt exploitation</t>
  </si>
  <si>
    <t>R avec impôt</t>
  </si>
  <si>
    <t>3. Le ROA</t>
  </si>
  <si>
    <t>Résultat NET</t>
  </si>
  <si>
    <t>Total ACTIF</t>
  </si>
  <si>
    <t>4. Le ROCE et sa décomposition</t>
  </si>
  <si>
    <t>Résultat expl net</t>
  </si>
  <si>
    <t>Passif circulant</t>
  </si>
  <si>
    <t>Capitaux engagés (investis)</t>
  </si>
  <si>
    <t>ROCE</t>
  </si>
  <si>
    <t>5.Le ROE</t>
  </si>
  <si>
    <t xml:space="preserve">ROE = RN/CP </t>
  </si>
  <si>
    <t>RN/CA =</t>
  </si>
  <si>
    <t>CA/Actifs =</t>
  </si>
  <si>
    <t>A/CP =</t>
  </si>
  <si>
    <t>6.Le résultat résiduel</t>
  </si>
  <si>
    <t>Dettes financières</t>
  </si>
  <si>
    <t>Taux intérêt net</t>
  </si>
  <si>
    <t>Coûts des capitaux propres</t>
  </si>
  <si>
    <t>CMPC</t>
  </si>
  <si>
    <t>7. L'EVA</t>
  </si>
  <si>
    <t>résultat exploitation net</t>
  </si>
  <si>
    <t>actif total -dettes circul (capitaux investis)</t>
  </si>
  <si>
    <t>EVA</t>
  </si>
  <si>
    <t>ECART SUR RESULTAT</t>
  </si>
  <si>
    <t>Résutalt Budgété</t>
  </si>
  <si>
    <t>Madeleines</t>
  </si>
  <si>
    <t>Biscuits</t>
  </si>
  <si>
    <t>Total</t>
  </si>
  <si>
    <t>Chiffre d'affaires</t>
  </si>
  <si>
    <t>coût de prod des produits vendus</t>
  </si>
  <si>
    <t>autres charges</t>
  </si>
  <si>
    <t>Résultat réel</t>
  </si>
  <si>
    <t>Ecart/Résult</t>
  </si>
  <si>
    <t>le résultat est inférieur aux prévisions de 115 280 €</t>
  </si>
  <si>
    <t>DECOMPOSITION ECART SUR RESULTAT</t>
  </si>
  <si>
    <t>Ecart sur marge</t>
  </si>
  <si>
    <t>Marge Prétablie</t>
  </si>
  <si>
    <t xml:space="preserve">Qr </t>
  </si>
  <si>
    <t>Pr</t>
  </si>
  <si>
    <t>Pb</t>
  </si>
  <si>
    <t>Chiffre d'affaires réel</t>
  </si>
  <si>
    <t>Cub</t>
  </si>
  <si>
    <t>coût de prod préétabli des produits vendus</t>
  </si>
  <si>
    <t>Marge préétablie</t>
  </si>
  <si>
    <t>la marge que j'aurais dégagée</t>
  </si>
  <si>
    <t>sur les ventes réelles si le coût de prod</t>
  </si>
  <si>
    <t>Marge Budgétée</t>
  </si>
  <si>
    <t>avait été respecté</t>
  </si>
  <si>
    <t>E/Marge</t>
  </si>
  <si>
    <t>A coût de production constant, on a réalisé</t>
  </si>
  <si>
    <t>Qb</t>
  </si>
  <si>
    <t xml:space="preserve">une marge inférieure de 82000 à ce qu'elle </t>
  </si>
  <si>
    <t>Chiffre d'affaires budgété</t>
  </si>
  <si>
    <t>aurait dû être</t>
  </si>
  <si>
    <t>coût de prod budgeté des produits vendus</t>
  </si>
  <si>
    <t>Marge budgétée</t>
  </si>
  <si>
    <t>la marge que j'avais</t>
  </si>
  <si>
    <t>prévue dans le budget</t>
  </si>
  <si>
    <t>Ecart sur Coût de Production</t>
  </si>
  <si>
    <t>Qr</t>
  </si>
  <si>
    <t>Cur</t>
  </si>
  <si>
    <t>CP réel</t>
  </si>
  <si>
    <t>ce que m'a réellement coûté la prod réelle</t>
  </si>
  <si>
    <t>CP Préétabli</t>
  </si>
  <si>
    <t>ce qu'aurait dû me coûter la prod réelle</t>
  </si>
  <si>
    <t>on a un surcoût de 40 530 sur la prod réelle</t>
  </si>
  <si>
    <t>Ecart sur Autres Charges</t>
  </si>
  <si>
    <t>Réel</t>
  </si>
  <si>
    <t>Budget</t>
  </si>
  <si>
    <t>Ecart</t>
  </si>
  <si>
    <t xml:space="preserve">Autres charges </t>
  </si>
  <si>
    <t>économie sur les autres charges</t>
  </si>
  <si>
    <t>Vérification écart sur résultat</t>
  </si>
  <si>
    <t>Ecart sur Marge</t>
  </si>
  <si>
    <t>Ecart sur coût de production</t>
  </si>
  <si>
    <t>Ecart sur autres charges</t>
  </si>
  <si>
    <t>Ecart sur résultat</t>
  </si>
  <si>
    <t>DECOMPOSITION ECART SUR MARGE</t>
  </si>
  <si>
    <t>Ecart sur Madeleines</t>
  </si>
  <si>
    <t>Pr-Pb</t>
  </si>
  <si>
    <t>Ecart/Prix</t>
  </si>
  <si>
    <t>Qr-Qb</t>
  </si>
  <si>
    <t>Mub</t>
  </si>
  <si>
    <t>Ecart sur Quantités</t>
  </si>
  <si>
    <t>Ecart sur Biscuits</t>
  </si>
  <si>
    <t>Synthèse</t>
  </si>
  <si>
    <t>E/PRIX</t>
  </si>
  <si>
    <t>E/QTES</t>
  </si>
  <si>
    <t>E TOTAL</t>
  </si>
  <si>
    <t>total</t>
  </si>
  <si>
    <t>E/MARGE</t>
  </si>
  <si>
    <t xml:space="preserve">DECOMPOSITION ECART SUR COUT DE PRODUCTION DES BISCUITS </t>
  </si>
  <si>
    <t>Détermination des quantités consommées préétablies et réelles pour les biscuits</t>
  </si>
  <si>
    <t>réelles</t>
  </si>
  <si>
    <t>préétablies</t>
  </si>
  <si>
    <t>Qr fab</t>
  </si>
  <si>
    <t>Conso unit r</t>
  </si>
  <si>
    <t>Qr conso</t>
  </si>
  <si>
    <t>Conso unit b</t>
  </si>
  <si>
    <t>Qp conso</t>
  </si>
  <si>
    <t>Pâte</t>
  </si>
  <si>
    <t>Garniture</t>
  </si>
  <si>
    <t>Main d'Œuvre</t>
  </si>
  <si>
    <t>Charges indirectes</t>
  </si>
  <si>
    <t>Calcul des écarts sur consommations</t>
  </si>
  <si>
    <t>Coût Réel</t>
  </si>
  <si>
    <t>Coût Préétabli</t>
  </si>
  <si>
    <t>MO</t>
  </si>
  <si>
    <t>CH atelier</t>
  </si>
  <si>
    <t>CP Réel</t>
  </si>
  <si>
    <t>E/CP</t>
  </si>
  <si>
    <t>Décomposition écarts</t>
  </si>
  <si>
    <t>E/prix</t>
  </si>
  <si>
    <t>Ecart/Q</t>
  </si>
  <si>
    <t>ch atelier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</si>
</sst>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#,##0\ &quot;€&quot;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sz val="1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2" borderId="1" xfId="1" applyNumberFormat="1" applyFont="1" applyFill="1" applyBorder="1" applyAlignment="1">
      <alignment horizontal="center" vertical="center"/>
    </xf>
    <xf numFmtId="164" fontId="0" fillId="2" borderId="0" xfId="0" applyNumberFormat="1" applyFill="1"/>
    <xf numFmtId="164" fontId="0" fillId="2" borderId="0" xfId="0" applyNumberForma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3" fillId="2" borderId="1" xfId="0" applyNumberFormat="1" applyFont="1" applyFill="1" applyBorder="1"/>
    <xf numFmtId="164" fontId="7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/>
    <xf numFmtId="164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2" borderId="3" xfId="0" applyNumberFormat="1" applyFill="1" applyBorder="1"/>
    <xf numFmtId="16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43" fontId="0" fillId="2" borderId="1" xfId="1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/>
    <xf numFmtId="164" fontId="9" fillId="2" borderId="0" xfId="0" applyNumberFormat="1" applyFont="1" applyFill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44" fontId="0" fillId="2" borderId="0" xfId="2" applyFont="1" applyFill="1"/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164" fontId="11" fillId="0" borderId="8" xfId="0" applyNumberFormat="1" applyFont="1" applyBorder="1" applyAlignment="1">
      <alignment horizontal="right" vertical="center"/>
    </xf>
    <xf numFmtId="0" fontId="10" fillId="0" borderId="9" xfId="0" applyFont="1" applyBorder="1" applyAlignment="1">
      <alignment vertical="center"/>
    </xf>
    <xf numFmtId="164" fontId="11" fillId="0" borderId="10" xfId="0" applyNumberFormat="1" applyFont="1" applyBorder="1" applyAlignment="1">
      <alignment horizontal="right" vertical="center"/>
    </xf>
    <xf numFmtId="0" fontId="10" fillId="0" borderId="5" xfId="0" applyFont="1" applyBorder="1" applyAlignment="1">
      <alignment vertical="center"/>
    </xf>
    <xf numFmtId="164" fontId="11" fillId="0" borderId="6" xfId="0" applyNumberFormat="1" applyFont="1" applyBorder="1" applyAlignment="1">
      <alignment horizontal="right" vertical="center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165" fontId="11" fillId="0" borderId="1" xfId="0" applyNumberFormat="1" applyFont="1" applyBorder="1" applyAlignment="1">
      <alignment horizontal="right" vertical="center"/>
    </xf>
    <xf numFmtId="10" fontId="11" fillId="0" borderId="1" xfId="3" applyNumberFormat="1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4" fillId="0" borderId="0" xfId="0" applyFont="1"/>
    <xf numFmtId="0" fontId="11" fillId="0" borderId="1" xfId="0" applyFont="1" applyBorder="1" applyAlignment="1">
      <alignment vertical="center"/>
    </xf>
    <xf numFmtId="10" fontId="11" fillId="0" borderId="1" xfId="0" applyNumberFormat="1" applyFont="1" applyBorder="1" applyAlignment="1">
      <alignment horizontal="right" vertical="center"/>
    </xf>
    <xf numFmtId="164" fontId="11" fillId="0" borderId="1" xfId="0" applyNumberFormat="1" applyFont="1" applyBorder="1" applyAlignment="1">
      <alignment horizontal="right" vertical="center"/>
    </xf>
    <xf numFmtId="6" fontId="0" fillId="0" borderId="1" xfId="0" applyNumberFormat="1" applyBorder="1"/>
    <xf numFmtId="10" fontId="0" fillId="0" borderId="1" xfId="3" applyNumberFormat="1" applyFont="1" applyBorder="1"/>
    <xf numFmtId="0" fontId="13" fillId="0" borderId="1" xfId="0" applyFont="1" applyBorder="1" applyAlignment="1">
      <alignment vertical="center"/>
    </xf>
    <xf numFmtId="10" fontId="13" fillId="0" borderId="1" xfId="3" applyNumberFormat="1" applyFont="1" applyBorder="1" applyAlignment="1">
      <alignment vertical="center"/>
    </xf>
    <xf numFmtId="2" fontId="13" fillId="0" borderId="1" xfId="0" applyNumberFormat="1" applyFont="1" applyBorder="1" applyAlignment="1">
      <alignment vertical="center"/>
    </xf>
    <xf numFmtId="9" fontId="0" fillId="0" borderId="1" xfId="0" applyNumberFormat="1" applyBorder="1"/>
    <xf numFmtId="164" fontId="0" fillId="0" borderId="11" xfId="0" applyNumberFormat="1" applyBorder="1"/>
    <xf numFmtId="0" fontId="14" fillId="0" borderId="13" xfId="0" applyFont="1" applyBorder="1"/>
    <xf numFmtId="6" fontId="0" fillId="0" borderId="11" xfId="0" applyNumberFormat="1" applyBorder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8" fillId="2" borderId="24" xfId="0" applyFont="1" applyFill="1" applyBorder="1"/>
    <xf numFmtId="0" fontId="5" fillId="2" borderId="21" xfId="0" applyFont="1" applyFill="1" applyBorder="1"/>
    <xf numFmtId="0" fontId="2" fillId="2" borderId="21" xfId="0" applyFont="1" applyFill="1" applyBorder="1"/>
    <xf numFmtId="1" fontId="0" fillId="2" borderId="0" xfId="0" applyNumberFormat="1" applyFill="1"/>
    <xf numFmtId="0" fontId="0" fillId="2" borderId="0" xfId="0" applyFill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5" fillId="2" borderId="0" xfId="0" applyFont="1" applyFill="1"/>
    <xf numFmtId="0" fontId="4" fillId="2" borderId="1" xfId="0" applyFont="1" applyFill="1" applyBorder="1"/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0" xfId="0" applyFont="1" applyFill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1" fontId="0" fillId="2" borderId="21" xfId="0" applyNumberFormat="1" applyFill="1" applyBorder="1"/>
    <xf numFmtId="0" fontId="0" fillId="2" borderId="17" xfId="0" applyFill="1" applyBorder="1"/>
    <xf numFmtId="0" fontId="0" fillId="2" borderId="18" xfId="0" applyFill="1" applyBorder="1"/>
    <xf numFmtId="1" fontId="0" fillId="2" borderId="12" xfId="0" applyNumberFormat="1" applyFill="1" applyBorder="1"/>
    <xf numFmtId="1" fontId="2" fillId="2" borderId="0" xfId="0" applyNumberFormat="1" applyFont="1" applyFill="1"/>
    <xf numFmtId="0" fontId="16" fillId="2" borderId="0" xfId="0" applyFont="1" applyFill="1"/>
    <xf numFmtId="2" fontId="0" fillId="2" borderId="0" xfId="0" applyNumberFormat="1" applyFill="1"/>
    <xf numFmtId="166" fontId="0" fillId="2" borderId="0" xfId="0" applyNumberFormat="1" applyFill="1"/>
    <xf numFmtId="1" fontId="0" fillId="2" borderId="19" xfId="0" applyNumberFormat="1" applyFill="1" applyBorder="1"/>
    <xf numFmtId="0" fontId="0" fillId="2" borderId="11" xfId="0" applyFill="1" applyBorder="1"/>
    <xf numFmtId="166" fontId="0" fillId="2" borderId="3" xfId="0" applyNumberFormat="1" applyFill="1" applyBorder="1"/>
    <xf numFmtId="1" fontId="0" fillId="2" borderId="3" xfId="0" applyNumberFormat="1" applyFill="1" applyBorder="1"/>
    <xf numFmtId="0" fontId="0" fillId="2" borderId="13" xfId="0" applyFill="1" applyBorder="1"/>
    <xf numFmtId="1" fontId="0" fillId="2" borderId="22" xfId="0" applyNumberFormat="1" applyFill="1" applyBorder="1"/>
    <xf numFmtId="1" fontId="0" fillId="2" borderId="1" xfId="0" applyNumberFormat="1" applyFill="1" applyBorder="1"/>
    <xf numFmtId="0" fontId="4" fillId="2" borderId="0" xfId="0" applyFont="1" applyFill="1" applyAlignment="1">
      <alignment horizontal="center" vertic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4" fillId="2" borderId="23" xfId="0" applyFont="1" applyFill="1" applyBorder="1"/>
    <xf numFmtId="1" fontId="5" fillId="2" borderId="4" xfId="0" applyNumberFormat="1" applyFont="1" applyFill="1" applyBorder="1"/>
    <xf numFmtId="0" fontId="16" fillId="2" borderId="20" xfId="0" applyFont="1" applyFill="1" applyBorder="1"/>
    <xf numFmtId="0" fontId="0" fillId="2" borderId="0" xfId="0" applyFill="1" applyAlignment="1">
      <alignment horizontal="center"/>
    </xf>
    <xf numFmtId="0" fontId="0" fillId="2" borderId="24" xfId="0" applyFill="1" applyBorder="1"/>
    <xf numFmtId="0" fontId="16" fillId="2" borderId="13" xfId="0" applyFont="1" applyFill="1" applyBorder="1"/>
    <xf numFmtId="0" fontId="16" fillId="2" borderId="3" xfId="0" applyFont="1" applyFill="1" applyBorder="1"/>
    <xf numFmtId="1" fontId="0" fillId="2" borderId="20" xfId="0" applyNumberFormat="1" applyFill="1" applyBorder="1"/>
    <xf numFmtId="1" fontId="0" fillId="2" borderId="11" xfId="0" applyNumberFormat="1" applyFill="1" applyBorder="1"/>
    <xf numFmtId="0" fontId="4" fillId="2" borderId="19" xfId="0" applyFont="1" applyFill="1" applyBorder="1"/>
    <xf numFmtId="0" fontId="4" fillId="2" borderId="21" xfId="0" applyFont="1" applyFill="1" applyBorder="1"/>
    <xf numFmtId="1" fontId="4" fillId="2" borderId="0" xfId="0" applyNumberFormat="1" applyFont="1" applyFill="1" applyAlignment="1">
      <alignment horizontal="center"/>
    </xf>
    <xf numFmtId="1" fontId="5" fillId="2" borderId="12" xfId="0" applyNumberFormat="1" applyFont="1" applyFill="1" applyBorder="1"/>
    <xf numFmtId="1" fontId="0" fillId="2" borderId="17" xfId="0" applyNumberFormat="1" applyFill="1" applyBorder="1"/>
    <xf numFmtId="0" fontId="0" fillId="2" borderId="12" xfId="0" applyFill="1" applyBorder="1"/>
    <xf numFmtId="1" fontId="0" fillId="2" borderId="17" xfId="0" applyNumberFormat="1" applyFill="1" applyBorder="1" applyAlignment="1">
      <alignment horizontal="center"/>
    </xf>
    <xf numFmtId="1" fontId="17" fillId="2" borderId="12" xfId="0" applyNumberFormat="1" applyFont="1" applyFill="1" applyBorder="1"/>
    <xf numFmtId="1" fontId="17" fillId="2" borderId="23" xfId="0" applyNumberFormat="1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24" xfId="0" applyFont="1" applyFill="1" applyBorder="1" applyAlignment="1">
      <alignment horizontal="center"/>
    </xf>
    <xf numFmtId="1" fontId="17" fillId="2" borderId="20" xfId="0" applyNumberFormat="1" applyFont="1" applyFill="1" applyBorder="1" applyAlignment="1">
      <alignment horizontal="center"/>
    </xf>
    <xf numFmtId="1" fontId="17" fillId="2" borderId="0" xfId="0" applyNumberFormat="1" applyFont="1" applyFill="1" applyAlignment="1">
      <alignment horizontal="center"/>
    </xf>
    <xf numFmtId="1" fontId="17" fillId="2" borderId="21" xfId="0" applyNumberFormat="1" applyFont="1" applyFill="1" applyBorder="1" applyAlignment="1">
      <alignment horizontal="center"/>
    </xf>
    <xf numFmtId="1" fontId="17" fillId="2" borderId="13" xfId="0" applyNumberFormat="1" applyFont="1" applyFill="1" applyBorder="1" applyAlignment="1">
      <alignment horizontal="center"/>
    </xf>
    <xf numFmtId="1" fontId="17" fillId="2" borderId="3" xfId="0" applyNumberFormat="1" applyFont="1" applyFill="1" applyBorder="1" applyAlignment="1">
      <alignment horizontal="center"/>
    </xf>
    <xf numFmtId="1" fontId="17" fillId="2" borderId="22" xfId="0" applyNumberFormat="1" applyFont="1" applyFill="1" applyBorder="1" applyAlignment="1">
      <alignment horizontal="center"/>
    </xf>
    <xf numFmtId="0" fontId="17" fillId="2" borderId="17" xfId="0" applyFont="1" applyFill="1" applyBorder="1"/>
    <xf numFmtId="1" fontId="17" fillId="2" borderId="18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23" xfId="0" applyFill="1" applyBorder="1"/>
    <xf numFmtId="2" fontId="0" fillId="2" borderId="4" xfId="0" applyNumberFormat="1" applyFill="1" applyBorder="1"/>
    <xf numFmtId="2" fontId="4" fillId="2" borderId="0" xfId="0" applyNumberFormat="1" applyFont="1" applyFill="1" applyAlignment="1">
      <alignment horizontal="center"/>
    </xf>
    <xf numFmtId="0" fontId="2" fillId="2" borderId="22" xfId="0" applyFont="1" applyFill="1" applyBorder="1"/>
    <xf numFmtId="0" fontId="2" fillId="2" borderId="24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1" fontId="2" fillId="2" borderId="12" xfId="0" applyNumberFormat="1" applyFont="1" applyFill="1" applyBorder="1"/>
    <xf numFmtId="0" fontId="0" fillId="2" borderId="20" xfId="0" applyFill="1" applyBorder="1" applyAlignment="1">
      <alignment horizontal="center"/>
    </xf>
    <xf numFmtId="1" fontId="2" fillId="2" borderId="21" xfId="0" applyNumberFormat="1" applyFont="1" applyFill="1" applyBorder="1"/>
    <xf numFmtId="0" fontId="2" fillId="2" borderId="0" xfId="0" applyFont="1" applyFill="1"/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8</xdr:row>
      <xdr:rowOff>133350</xdr:rowOff>
    </xdr:from>
    <xdr:to>
      <xdr:col>8</xdr:col>
      <xdr:colOff>742950</xdr:colOff>
      <xdr:row>11</xdr:row>
      <xdr:rowOff>133350</xdr:rowOff>
    </xdr:to>
    <xdr:cxnSp macro="">
      <xdr:nvCxnSpPr>
        <xdr:cNvPr id="2" name="Connecteur droit avec flèche 1">
          <a:extLst>
            <a:ext uri="{FF2B5EF4-FFF2-40B4-BE49-F238E27FC236}">
              <a16:creationId xmlns:a16="http://schemas.microsoft.com/office/drawing/2014/main" id="{FDDEBFE2-94C9-47D5-A1E3-D5EB788B3BA7}"/>
            </a:ext>
          </a:extLst>
        </xdr:cNvPr>
        <xdr:cNvCxnSpPr/>
      </xdr:nvCxnSpPr>
      <xdr:spPr>
        <a:xfrm>
          <a:off x="7896225" y="1781175"/>
          <a:ext cx="65722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12</xdr:row>
      <xdr:rowOff>47625</xdr:rowOff>
    </xdr:from>
    <xdr:to>
      <xdr:col>8</xdr:col>
      <xdr:colOff>742950</xdr:colOff>
      <xdr:row>16</xdr:row>
      <xdr:rowOff>161925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6C10A6A4-B75D-4283-90AE-CC3200B28D57}"/>
            </a:ext>
          </a:extLst>
        </xdr:cNvPr>
        <xdr:cNvCxnSpPr/>
      </xdr:nvCxnSpPr>
      <xdr:spPr>
        <a:xfrm flipV="1">
          <a:off x="7867650" y="2505075"/>
          <a:ext cx="68580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34</xdr:row>
      <xdr:rowOff>47625</xdr:rowOff>
    </xdr:from>
    <xdr:to>
      <xdr:col>9</xdr:col>
      <xdr:colOff>38100</xdr:colOff>
      <xdr:row>40</xdr:row>
      <xdr:rowOff>57150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D2C6F577-7816-4188-97EA-3BA1045E24E5}"/>
            </a:ext>
          </a:extLst>
        </xdr:cNvPr>
        <xdr:cNvCxnSpPr/>
      </xdr:nvCxnSpPr>
      <xdr:spPr>
        <a:xfrm flipV="1">
          <a:off x="7867650" y="6819900"/>
          <a:ext cx="7429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30</xdr:row>
      <xdr:rowOff>123825</xdr:rowOff>
    </xdr:from>
    <xdr:to>
      <xdr:col>9</xdr:col>
      <xdr:colOff>57150</xdr:colOff>
      <xdr:row>33</xdr:row>
      <xdr:rowOff>142875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B7C3A5A6-7A90-467E-B29C-EAF98EEF837B}"/>
            </a:ext>
          </a:extLst>
        </xdr:cNvPr>
        <xdr:cNvCxnSpPr/>
      </xdr:nvCxnSpPr>
      <xdr:spPr>
        <a:xfrm>
          <a:off x="7896225" y="6134100"/>
          <a:ext cx="73342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113</xdr:row>
      <xdr:rowOff>152400</xdr:rowOff>
    </xdr:from>
    <xdr:to>
      <xdr:col>3</xdr:col>
      <xdr:colOff>447675</xdr:colOff>
      <xdr:row>115</xdr:row>
      <xdr:rowOff>123825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9110E297-2005-4A5E-BC8E-C79D2AA6E514}"/>
            </a:ext>
          </a:extLst>
        </xdr:cNvPr>
        <xdr:cNvCxnSpPr/>
      </xdr:nvCxnSpPr>
      <xdr:spPr>
        <a:xfrm>
          <a:off x="4438650" y="22412325"/>
          <a:ext cx="95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113</xdr:row>
      <xdr:rowOff>152400</xdr:rowOff>
    </xdr:from>
    <xdr:to>
      <xdr:col>6</xdr:col>
      <xdr:colOff>466725</xdr:colOff>
      <xdr:row>115</xdr:row>
      <xdr:rowOff>114300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B80D34D1-477B-466A-9502-F1164A806AB6}"/>
            </a:ext>
          </a:extLst>
        </xdr:cNvPr>
        <xdr:cNvCxnSpPr/>
      </xdr:nvCxnSpPr>
      <xdr:spPr>
        <a:xfrm>
          <a:off x="6753225" y="22412325"/>
          <a:ext cx="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113</xdr:row>
      <xdr:rowOff>171450</xdr:rowOff>
    </xdr:from>
    <xdr:to>
      <xdr:col>7</xdr:col>
      <xdr:colOff>514350</xdr:colOff>
      <xdr:row>115</xdr:row>
      <xdr:rowOff>95250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B242F994-5A7A-4C82-831E-F7E2D7AF6E3F}"/>
            </a:ext>
          </a:extLst>
        </xdr:cNvPr>
        <xdr:cNvCxnSpPr/>
      </xdr:nvCxnSpPr>
      <xdr:spPr>
        <a:xfrm flipH="1">
          <a:off x="7553325" y="22431375"/>
          <a:ext cx="9525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</xdr:row>
      <xdr:rowOff>76200</xdr:rowOff>
    </xdr:from>
    <xdr:to>
      <xdr:col>4</xdr:col>
      <xdr:colOff>752475</xdr:colOff>
      <xdr:row>91</xdr:row>
      <xdr:rowOff>85725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52C6EF5A-6166-48A5-BA5B-693C035754B7}"/>
            </a:ext>
          </a:extLst>
        </xdr:cNvPr>
        <xdr:cNvCxnSpPr/>
      </xdr:nvCxnSpPr>
      <xdr:spPr>
        <a:xfrm>
          <a:off x="4762500" y="17973675"/>
          <a:ext cx="752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23813</xdr:colOff>
      <xdr:row>111</xdr:row>
      <xdr:rowOff>87313</xdr:rowOff>
    </xdr:from>
    <xdr:to>
      <xdr:col>10</xdr:col>
      <xdr:colOff>230188</xdr:colOff>
      <xdr:row>119</xdr:row>
      <xdr:rowOff>71438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6A03BA11-398E-4BE5-B16C-CAF324CBD793}"/>
            </a:ext>
          </a:extLst>
        </xdr:cNvPr>
        <xdr:cNvCxnSpPr/>
      </xdr:nvCxnSpPr>
      <xdr:spPr>
        <a:xfrm>
          <a:off x="7834313" y="21966238"/>
          <a:ext cx="1730375" cy="150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7327</xdr:colOff>
      <xdr:row>104</xdr:row>
      <xdr:rowOff>29308</xdr:rowOff>
    </xdr:from>
    <xdr:to>
      <xdr:col>2</xdr:col>
      <xdr:colOff>732692</xdr:colOff>
      <xdr:row>107</xdr:row>
      <xdr:rowOff>153865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6E6E48A2-C17D-449C-BDF2-708A433AEEEA}"/>
            </a:ext>
          </a:extLst>
        </xdr:cNvPr>
        <xdr:cNvCxnSpPr/>
      </xdr:nvCxnSpPr>
      <xdr:spPr>
        <a:xfrm flipH="1">
          <a:off x="3245827" y="20527108"/>
          <a:ext cx="725365" cy="7436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732692</xdr:colOff>
      <xdr:row>104</xdr:row>
      <xdr:rowOff>14654</xdr:rowOff>
    </xdr:from>
    <xdr:to>
      <xdr:col>5</xdr:col>
      <xdr:colOff>696057</xdr:colOff>
      <xdr:row>107</xdr:row>
      <xdr:rowOff>139211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9DA056FE-B4D7-42A5-9075-1291E0F85083}"/>
            </a:ext>
          </a:extLst>
        </xdr:cNvPr>
        <xdr:cNvCxnSpPr/>
      </xdr:nvCxnSpPr>
      <xdr:spPr>
        <a:xfrm flipH="1">
          <a:off x="5495192" y="20512454"/>
          <a:ext cx="725365" cy="7436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549519</xdr:colOff>
      <xdr:row>27</xdr:row>
      <xdr:rowOff>131884</xdr:rowOff>
    </xdr:from>
    <xdr:to>
      <xdr:col>1</xdr:col>
      <xdr:colOff>564173</xdr:colOff>
      <xdr:row>29</xdr:row>
      <xdr:rowOff>21981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6606DB5A-3970-49AB-890C-63332465404F}"/>
            </a:ext>
          </a:extLst>
        </xdr:cNvPr>
        <xdr:cNvCxnSpPr/>
      </xdr:nvCxnSpPr>
      <xdr:spPr>
        <a:xfrm>
          <a:off x="3026019" y="5570659"/>
          <a:ext cx="14654" cy="2710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630115</xdr:colOff>
      <xdr:row>47</xdr:row>
      <xdr:rowOff>153866</xdr:rowOff>
    </xdr:from>
    <xdr:to>
      <xdr:col>1</xdr:col>
      <xdr:colOff>637442</xdr:colOff>
      <xdr:row>49</xdr:row>
      <xdr:rowOff>29308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1C8FF7C2-BFBF-4F68-8DCE-C28634447C8F}"/>
            </a:ext>
          </a:extLst>
        </xdr:cNvPr>
        <xdr:cNvCxnSpPr/>
      </xdr:nvCxnSpPr>
      <xdr:spPr>
        <a:xfrm flipH="1">
          <a:off x="3106615" y="9450266"/>
          <a:ext cx="7327" cy="2564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"/>
  <sheetViews>
    <sheetView topLeftCell="C78" zoomScale="152" workbookViewId="0">
      <selection activeCell="L84" sqref="L84"/>
    </sheetView>
  </sheetViews>
  <sheetFormatPr baseColWidth="10" defaultColWidth="9.140625" defaultRowHeight="15" x14ac:dyDescent="0.25"/>
  <cols>
    <col min="1" max="1" width="20.7109375" style="8" bestFit="1" customWidth="1"/>
    <col min="2" max="2" width="14.5703125" style="8" customWidth="1"/>
    <col min="3" max="3" width="46.5703125" style="8" bestFit="1" customWidth="1"/>
    <col min="4" max="4" width="13.5703125" style="8" bestFit="1" customWidth="1"/>
    <col min="5" max="5" width="17.5703125" style="8" bestFit="1" customWidth="1"/>
    <col min="6" max="7" width="13.5703125" style="8" bestFit="1" customWidth="1"/>
    <col min="8" max="8" width="13.140625" style="8" bestFit="1" customWidth="1"/>
    <col min="9" max="9" width="10.42578125" style="8" bestFit="1" customWidth="1"/>
    <col min="10" max="10" width="15.7109375" style="8" bestFit="1" customWidth="1"/>
    <col min="11" max="11" width="18.42578125" style="8" customWidth="1"/>
    <col min="12" max="12" width="9.42578125" style="8" bestFit="1" customWidth="1"/>
    <col min="13" max="13" width="12.28515625" style="8" bestFit="1" customWidth="1"/>
    <col min="14" max="14" width="12.7109375" style="8" bestFit="1" customWidth="1"/>
    <col min="15" max="16384" width="9.140625" style="8"/>
  </cols>
  <sheetData>
    <row r="1" spans="1:18" ht="18.75" x14ac:dyDescent="0.25">
      <c r="A1" s="4"/>
      <c r="B1" s="5"/>
      <c r="C1" s="6" t="s">
        <v>0</v>
      </c>
      <c r="D1" s="5"/>
      <c r="E1" s="5"/>
      <c r="F1" s="5"/>
      <c r="G1" s="5"/>
      <c r="H1" s="5"/>
      <c r="I1" s="5"/>
      <c r="J1" s="71" t="s">
        <v>61</v>
      </c>
      <c r="K1" s="71"/>
      <c r="L1" s="71"/>
      <c r="M1" s="71"/>
      <c r="N1" s="71"/>
      <c r="O1" s="7"/>
      <c r="P1" s="7"/>
      <c r="Q1" s="7"/>
      <c r="R1" s="7"/>
    </row>
    <row r="2" spans="1:18" x14ac:dyDescent="0.25">
      <c r="A2" s="9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64</v>
      </c>
      <c r="I2" s="5"/>
      <c r="J2" s="7" t="s">
        <v>51</v>
      </c>
      <c r="K2" s="7">
        <v>0.2</v>
      </c>
      <c r="L2" s="7"/>
      <c r="M2" s="7">
        <f>1800/12</f>
        <v>150</v>
      </c>
      <c r="N2" s="7" t="s">
        <v>62</v>
      </c>
      <c r="O2" s="7"/>
      <c r="P2" s="7"/>
      <c r="Q2" s="7"/>
      <c r="R2" s="7"/>
    </row>
    <row r="3" spans="1:18" x14ac:dyDescent="0.25">
      <c r="A3" s="9" t="s">
        <v>7</v>
      </c>
      <c r="B3" s="3">
        <f>0.9*150*5000</f>
        <v>675000</v>
      </c>
      <c r="C3" s="3">
        <f>0.7*150*5000</f>
        <v>525000</v>
      </c>
      <c r="D3" s="3">
        <f>1.5*150*5000</f>
        <v>1125000</v>
      </c>
      <c r="E3" s="3">
        <f>1.3*150*5000</f>
        <v>975000</v>
      </c>
      <c r="F3" s="3">
        <f>1.2*150*5000</f>
        <v>900000</v>
      </c>
      <c r="G3" s="3">
        <f>0.9*150*5000</f>
        <v>675000</v>
      </c>
      <c r="H3" s="10">
        <f>SUM(B3:G3)</f>
        <v>4875000</v>
      </c>
      <c r="I3" s="5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9" t="s">
        <v>8</v>
      </c>
      <c r="B4" s="3">
        <f>B3*0.2</f>
        <v>135000</v>
      </c>
      <c r="C4" s="3">
        <f t="shared" ref="C4:G4" si="0">C3*0.2</f>
        <v>105000</v>
      </c>
      <c r="D4" s="3">
        <f t="shared" si="0"/>
        <v>225000</v>
      </c>
      <c r="E4" s="3">
        <f t="shared" si="0"/>
        <v>195000</v>
      </c>
      <c r="F4" s="3">
        <f t="shared" si="0"/>
        <v>180000</v>
      </c>
      <c r="G4" s="3">
        <f t="shared" si="0"/>
        <v>135000</v>
      </c>
      <c r="H4" s="10">
        <f>SUM(B4:G4)</f>
        <v>975000</v>
      </c>
      <c r="I4" s="5"/>
      <c r="J4" s="7" t="s">
        <v>52</v>
      </c>
      <c r="K4" s="7">
        <v>0.2</v>
      </c>
      <c r="L4" s="7"/>
      <c r="M4" s="7"/>
      <c r="N4" s="7"/>
      <c r="O4" s="7"/>
      <c r="P4" s="7"/>
      <c r="Q4" s="7"/>
      <c r="R4" s="7"/>
    </row>
    <row r="5" spans="1:18" x14ac:dyDescent="0.25">
      <c r="A5" s="9" t="s">
        <v>9</v>
      </c>
      <c r="B5" s="3">
        <f>B3+B4</f>
        <v>810000</v>
      </c>
      <c r="C5" s="3">
        <f t="shared" ref="C5:G5" si="1">C3+C4</f>
        <v>630000</v>
      </c>
      <c r="D5" s="3">
        <f t="shared" si="1"/>
        <v>1350000</v>
      </c>
      <c r="E5" s="3">
        <f t="shared" si="1"/>
        <v>1170000</v>
      </c>
      <c r="F5" s="3">
        <f t="shared" si="1"/>
        <v>1080000</v>
      </c>
      <c r="G5" s="3">
        <f t="shared" si="1"/>
        <v>810000</v>
      </c>
      <c r="H5" s="10">
        <f>SUM(B5:G5)</f>
        <v>5850000</v>
      </c>
      <c r="I5" s="5"/>
      <c r="J5" s="7" t="s">
        <v>53</v>
      </c>
      <c r="K5" s="7">
        <v>0.8</v>
      </c>
      <c r="L5" s="7"/>
      <c r="M5" s="7"/>
      <c r="N5" s="7"/>
      <c r="O5" s="7"/>
      <c r="P5" s="7"/>
      <c r="Q5" s="7"/>
      <c r="R5" s="7"/>
    </row>
    <row r="6" spans="1:18" x14ac:dyDescent="0.25">
      <c r="A6" s="4"/>
      <c r="B6" s="5"/>
      <c r="C6" s="5"/>
      <c r="D6" s="5"/>
      <c r="E6" s="5"/>
      <c r="F6" s="5"/>
      <c r="G6" s="5"/>
      <c r="H6" s="5"/>
      <c r="I6" s="5"/>
      <c r="J6" s="7" t="s">
        <v>54</v>
      </c>
      <c r="K6" s="7">
        <v>1</v>
      </c>
      <c r="L6" s="7"/>
      <c r="M6" s="7"/>
      <c r="N6" s="7"/>
      <c r="O6" s="7"/>
      <c r="P6" s="7"/>
      <c r="Q6" s="7"/>
      <c r="R6" s="7"/>
    </row>
    <row r="7" spans="1:18" ht="18.75" x14ac:dyDescent="0.25">
      <c r="A7" s="4"/>
      <c r="B7" s="5"/>
      <c r="C7" s="6" t="s">
        <v>10</v>
      </c>
      <c r="D7" s="5"/>
      <c r="E7" s="5"/>
      <c r="F7" s="5"/>
      <c r="G7" s="5"/>
      <c r="H7" s="5"/>
      <c r="I7" s="5"/>
      <c r="J7" s="7" t="s">
        <v>55</v>
      </c>
      <c r="K7" s="7">
        <v>0</v>
      </c>
      <c r="L7" s="7"/>
      <c r="M7" s="7"/>
      <c r="N7" s="7"/>
      <c r="O7" s="7"/>
      <c r="P7" s="7"/>
      <c r="Q7" s="7"/>
      <c r="R7" s="7"/>
    </row>
    <row r="8" spans="1:18" x14ac:dyDescent="0.25">
      <c r="A8" s="9"/>
      <c r="B8" s="10" t="s">
        <v>1</v>
      </c>
      <c r="C8" s="10" t="s">
        <v>2</v>
      </c>
      <c r="D8" s="10" t="s">
        <v>3</v>
      </c>
      <c r="E8" s="10" t="s">
        <v>4</v>
      </c>
      <c r="F8" s="10" t="s">
        <v>5</v>
      </c>
      <c r="G8" s="10" t="s">
        <v>6</v>
      </c>
      <c r="H8" s="10" t="s">
        <v>64</v>
      </c>
      <c r="I8" s="5"/>
      <c r="J8" s="7" t="s">
        <v>56</v>
      </c>
      <c r="K8" s="7">
        <v>0</v>
      </c>
      <c r="L8" s="7"/>
      <c r="M8" s="7"/>
      <c r="N8" s="7"/>
      <c r="O8" s="7"/>
      <c r="P8" s="7"/>
      <c r="Q8" s="7"/>
      <c r="R8" s="7"/>
    </row>
    <row r="9" spans="1:18" x14ac:dyDescent="0.25">
      <c r="A9" s="9" t="s">
        <v>11</v>
      </c>
      <c r="B9" s="3">
        <f>4000*60</f>
        <v>240000</v>
      </c>
      <c r="C9" s="10"/>
      <c r="D9" s="10"/>
      <c r="E9" s="3">
        <f>B9</f>
        <v>240000</v>
      </c>
      <c r="F9" s="10"/>
      <c r="G9" s="10"/>
      <c r="H9" s="10">
        <f t="shared" ref="H9:H10" si="2">SUM(B9:G9)</f>
        <v>480000</v>
      </c>
      <c r="I9" s="5"/>
      <c r="J9" s="7"/>
      <c r="K9" s="7"/>
      <c r="L9" s="7"/>
      <c r="M9" s="7"/>
      <c r="N9" s="7"/>
      <c r="O9" s="7"/>
      <c r="P9" s="7"/>
      <c r="Q9" s="7"/>
      <c r="R9" s="7"/>
    </row>
    <row r="10" spans="1:18" x14ac:dyDescent="0.25">
      <c r="A10" s="9" t="s">
        <v>12</v>
      </c>
      <c r="B10" s="3">
        <f>B9*0.2</f>
        <v>48000</v>
      </c>
      <c r="C10" s="3">
        <f t="shared" ref="C10:G10" si="3">C9*0.2</f>
        <v>0</v>
      </c>
      <c r="D10" s="3">
        <f t="shared" si="3"/>
        <v>0</v>
      </c>
      <c r="E10" s="3">
        <f t="shared" si="3"/>
        <v>48000</v>
      </c>
      <c r="F10" s="3">
        <f t="shared" si="3"/>
        <v>0</v>
      </c>
      <c r="G10" s="3">
        <f t="shared" si="3"/>
        <v>0</v>
      </c>
      <c r="H10" s="10">
        <f t="shared" si="2"/>
        <v>96000</v>
      </c>
      <c r="I10" s="5"/>
      <c r="J10" s="7" t="s">
        <v>57</v>
      </c>
      <c r="K10" s="7">
        <v>0.1</v>
      </c>
      <c r="L10" s="7"/>
      <c r="M10" s="7"/>
      <c r="N10" s="7"/>
      <c r="O10" s="7"/>
      <c r="P10" s="7"/>
      <c r="Q10" s="7"/>
      <c r="R10" s="7"/>
    </row>
    <row r="11" spans="1:18" x14ac:dyDescent="0.25">
      <c r="A11" s="9" t="s">
        <v>13</v>
      </c>
      <c r="B11" s="3">
        <f>B9+B10</f>
        <v>288000</v>
      </c>
      <c r="C11" s="3">
        <f t="shared" ref="C11:G11" si="4">C9+C10</f>
        <v>0</v>
      </c>
      <c r="D11" s="3">
        <f t="shared" si="4"/>
        <v>0</v>
      </c>
      <c r="E11" s="3">
        <f t="shared" si="4"/>
        <v>288000</v>
      </c>
      <c r="F11" s="3">
        <f t="shared" si="4"/>
        <v>0</v>
      </c>
      <c r="G11" s="3">
        <f t="shared" si="4"/>
        <v>0</v>
      </c>
      <c r="H11" s="10">
        <f>SUM(B11:G11)</f>
        <v>576000</v>
      </c>
      <c r="I11" s="5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4"/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</row>
    <row r="13" spans="1:18" ht="18.75" x14ac:dyDescent="0.25">
      <c r="A13" s="4"/>
      <c r="B13" s="5"/>
      <c r="C13" s="6" t="s">
        <v>14</v>
      </c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9"/>
      <c r="B14" s="10" t="s">
        <v>1</v>
      </c>
      <c r="C14" s="10" t="s">
        <v>2</v>
      </c>
      <c r="D14" s="10" t="s">
        <v>3</v>
      </c>
      <c r="E14" s="10" t="s">
        <v>4</v>
      </c>
      <c r="F14" s="10" t="s">
        <v>5</v>
      </c>
      <c r="G14" s="10" t="s">
        <v>6</v>
      </c>
      <c r="H14" s="10" t="s">
        <v>64</v>
      </c>
      <c r="I14" s="5"/>
      <c r="J14" s="7"/>
      <c r="K14" s="7"/>
      <c r="L14" s="7"/>
      <c r="M14" s="7">
        <v>160</v>
      </c>
      <c r="N14" s="7" t="s">
        <v>63</v>
      </c>
      <c r="O14" s="7"/>
      <c r="P14" s="7"/>
      <c r="Q14" s="7"/>
      <c r="R14" s="7"/>
    </row>
    <row r="15" spans="1:18" x14ac:dyDescent="0.25">
      <c r="A15" s="9" t="s">
        <v>15</v>
      </c>
      <c r="B15" s="3">
        <f>1800*160</f>
        <v>288000</v>
      </c>
      <c r="C15" s="3">
        <f t="shared" ref="C15:G15" si="5">1800*160</f>
        <v>288000</v>
      </c>
      <c r="D15" s="3">
        <f t="shared" si="5"/>
        <v>288000</v>
      </c>
      <c r="E15" s="3">
        <f t="shared" si="5"/>
        <v>288000</v>
      </c>
      <c r="F15" s="3">
        <f t="shared" si="5"/>
        <v>288000</v>
      </c>
      <c r="G15" s="3">
        <f t="shared" si="5"/>
        <v>288000</v>
      </c>
      <c r="H15" s="10">
        <f t="shared" ref="H15:H20" si="6">SUM(B15:G15)</f>
        <v>1728000</v>
      </c>
      <c r="I15" s="5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9" t="s">
        <v>12</v>
      </c>
      <c r="B16" s="3">
        <f>(B15/2)*0.2</f>
        <v>28800</v>
      </c>
      <c r="C16" s="3">
        <f t="shared" ref="C16:G16" si="7">(C15/2)*0.2</f>
        <v>28800</v>
      </c>
      <c r="D16" s="3">
        <f t="shared" si="7"/>
        <v>28800</v>
      </c>
      <c r="E16" s="3">
        <f t="shared" si="7"/>
        <v>28800</v>
      </c>
      <c r="F16" s="3">
        <f t="shared" si="7"/>
        <v>28800</v>
      </c>
      <c r="G16" s="3">
        <f t="shared" si="7"/>
        <v>28800</v>
      </c>
      <c r="H16" s="10">
        <f t="shared" si="6"/>
        <v>172800</v>
      </c>
      <c r="I16" s="5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9" t="s">
        <v>16</v>
      </c>
      <c r="B17" s="3">
        <f>B15+B16</f>
        <v>316800</v>
      </c>
      <c r="C17" s="3">
        <f t="shared" ref="C17:G17" si="8">C15+C16</f>
        <v>316800</v>
      </c>
      <c r="D17" s="3">
        <f t="shared" si="8"/>
        <v>316800</v>
      </c>
      <c r="E17" s="3">
        <f t="shared" si="8"/>
        <v>316800</v>
      </c>
      <c r="F17" s="3">
        <f t="shared" si="8"/>
        <v>316800</v>
      </c>
      <c r="G17" s="3">
        <f t="shared" si="8"/>
        <v>316800</v>
      </c>
      <c r="H17" s="10">
        <f t="shared" si="6"/>
        <v>1900800</v>
      </c>
      <c r="I17" s="5"/>
      <c r="J17" s="7"/>
      <c r="K17" s="7"/>
      <c r="L17" s="7"/>
      <c r="M17" s="7">
        <v>440000</v>
      </c>
      <c r="N17" s="7" t="s">
        <v>58</v>
      </c>
      <c r="O17" s="7"/>
      <c r="P17" s="7"/>
      <c r="Q17" s="7"/>
      <c r="R17" s="7"/>
    </row>
    <row r="18" spans="1:18" x14ac:dyDescent="0.25">
      <c r="A18" s="9" t="s">
        <v>17</v>
      </c>
      <c r="B18" s="3">
        <f>$M$18/12</f>
        <v>30000</v>
      </c>
      <c r="C18" s="3">
        <f t="shared" ref="C18:G18" si="9">$M$18/12</f>
        <v>30000</v>
      </c>
      <c r="D18" s="3">
        <f t="shared" si="9"/>
        <v>30000</v>
      </c>
      <c r="E18" s="3">
        <f t="shared" si="9"/>
        <v>30000</v>
      </c>
      <c r="F18" s="3">
        <f t="shared" si="9"/>
        <v>30000</v>
      </c>
      <c r="G18" s="3">
        <f t="shared" si="9"/>
        <v>30000</v>
      </c>
      <c r="H18" s="10">
        <f t="shared" si="6"/>
        <v>180000</v>
      </c>
      <c r="I18" s="5"/>
      <c r="J18" s="7"/>
      <c r="K18" s="7"/>
      <c r="L18" s="7"/>
      <c r="M18" s="7">
        <f>M17-80000</f>
        <v>360000</v>
      </c>
      <c r="N18" s="7" t="s">
        <v>59</v>
      </c>
      <c r="O18" s="7"/>
      <c r="P18" s="7"/>
      <c r="Q18" s="7"/>
      <c r="R18" s="7"/>
    </row>
    <row r="19" spans="1:18" x14ac:dyDescent="0.25">
      <c r="A19" s="9" t="s">
        <v>12</v>
      </c>
      <c r="B19" s="3">
        <f>B18*0.2</f>
        <v>6000</v>
      </c>
      <c r="C19" s="3">
        <f t="shared" ref="C19:G19" si="10">C18*0.2</f>
        <v>6000</v>
      </c>
      <c r="D19" s="3">
        <f t="shared" si="10"/>
        <v>6000</v>
      </c>
      <c r="E19" s="3">
        <f t="shared" si="10"/>
        <v>6000</v>
      </c>
      <c r="F19" s="3">
        <f t="shared" si="10"/>
        <v>6000</v>
      </c>
      <c r="G19" s="3">
        <f t="shared" si="10"/>
        <v>6000</v>
      </c>
      <c r="H19" s="10">
        <f t="shared" si="6"/>
        <v>36000</v>
      </c>
      <c r="I19" s="5"/>
      <c r="J19" s="7"/>
      <c r="K19" s="7"/>
      <c r="L19" s="7"/>
      <c r="M19" s="7">
        <f>80000/12</f>
        <v>6666.666666666667</v>
      </c>
      <c r="N19" s="7"/>
      <c r="O19" s="7"/>
      <c r="P19" s="7"/>
      <c r="Q19" s="7"/>
      <c r="R19" s="7"/>
    </row>
    <row r="20" spans="1:18" x14ac:dyDescent="0.25">
      <c r="A20" s="9" t="s">
        <v>18</v>
      </c>
      <c r="B20" s="3">
        <f>B18+B19</f>
        <v>36000</v>
      </c>
      <c r="C20" s="3">
        <f t="shared" ref="C20:G20" si="11">C18+C19</f>
        <v>36000</v>
      </c>
      <c r="D20" s="3">
        <f t="shared" si="11"/>
        <v>36000</v>
      </c>
      <c r="E20" s="3">
        <f t="shared" si="11"/>
        <v>36000</v>
      </c>
      <c r="F20" s="3">
        <f t="shared" si="11"/>
        <v>36000</v>
      </c>
      <c r="G20" s="3">
        <f t="shared" si="11"/>
        <v>36000</v>
      </c>
      <c r="H20" s="10">
        <f t="shared" si="6"/>
        <v>216000</v>
      </c>
      <c r="I20" s="5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9" t="s">
        <v>19</v>
      </c>
      <c r="B21" s="10">
        <f>($M$17-$M$18)/12</f>
        <v>6666.666666666667</v>
      </c>
      <c r="C21" s="10">
        <f t="shared" ref="C21:G21" si="12">($M$17-$M$18)/12</f>
        <v>6666.666666666667</v>
      </c>
      <c r="D21" s="10">
        <f t="shared" si="12"/>
        <v>6666.666666666667</v>
      </c>
      <c r="E21" s="10">
        <f t="shared" si="12"/>
        <v>6666.666666666667</v>
      </c>
      <c r="F21" s="10">
        <f t="shared" si="12"/>
        <v>6666.666666666667</v>
      </c>
      <c r="G21" s="10">
        <f t="shared" si="12"/>
        <v>6666.666666666667</v>
      </c>
      <c r="H21" s="10">
        <f>SUM(B21:G21)</f>
        <v>40000</v>
      </c>
      <c r="I21" s="5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4"/>
      <c r="B22" s="11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</row>
    <row r="23" spans="1:18" ht="18.75" x14ac:dyDescent="0.25">
      <c r="A23" s="4"/>
      <c r="B23" s="5"/>
      <c r="C23" s="6" t="s">
        <v>20</v>
      </c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9"/>
      <c r="B24" s="10" t="s">
        <v>1</v>
      </c>
      <c r="C24" s="10" t="s">
        <v>2</v>
      </c>
      <c r="D24" s="10" t="s">
        <v>3</v>
      </c>
      <c r="E24" s="10" t="s">
        <v>4</v>
      </c>
      <c r="F24" s="10" t="s">
        <v>5</v>
      </c>
      <c r="G24" s="10" t="s">
        <v>6</v>
      </c>
      <c r="H24" s="10" t="s">
        <v>64</v>
      </c>
      <c r="I24" s="5"/>
      <c r="J24" s="7"/>
      <c r="K24" s="7"/>
      <c r="L24" s="7"/>
      <c r="M24" s="7">
        <v>260000</v>
      </c>
      <c r="N24" s="7" t="s">
        <v>21</v>
      </c>
      <c r="O24" s="7"/>
      <c r="P24" s="7"/>
      <c r="Q24" s="7"/>
      <c r="R24" s="7"/>
    </row>
    <row r="25" spans="1:18" x14ac:dyDescent="0.25">
      <c r="A25" s="9" t="s">
        <v>21</v>
      </c>
      <c r="B25" s="3">
        <f>240000/12</f>
        <v>20000</v>
      </c>
      <c r="C25" s="3">
        <f t="shared" ref="C25:G25" si="13">240000/12</f>
        <v>20000</v>
      </c>
      <c r="D25" s="3">
        <f t="shared" si="13"/>
        <v>20000</v>
      </c>
      <c r="E25" s="3">
        <f t="shared" si="13"/>
        <v>20000</v>
      </c>
      <c r="F25" s="3">
        <f t="shared" si="13"/>
        <v>20000</v>
      </c>
      <c r="G25" s="3">
        <f t="shared" si="13"/>
        <v>20000</v>
      </c>
      <c r="H25" s="10">
        <f t="shared" ref="H25:H39" si="14">SUM(B25:G25)</f>
        <v>120000</v>
      </c>
      <c r="I25" s="5"/>
      <c r="J25" s="7"/>
      <c r="K25" s="7"/>
      <c r="L25" s="7"/>
      <c r="M25" s="7">
        <v>20000</v>
      </c>
      <c r="N25" s="7" t="s">
        <v>22</v>
      </c>
      <c r="O25" s="7"/>
      <c r="P25" s="7"/>
      <c r="Q25" s="7"/>
      <c r="R25" s="7"/>
    </row>
    <row r="26" spans="1:18" x14ac:dyDescent="0.25">
      <c r="A26" s="9" t="s">
        <v>22</v>
      </c>
      <c r="B26" s="3">
        <f>20000/12</f>
        <v>1666.6666666666667</v>
      </c>
      <c r="C26" s="3">
        <f t="shared" ref="C26:G26" si="15">20000/12</f>
        <v>1666.6666666666667</v>
      </c>
      <c r="D26" s="3">
        <f t="shared" si="15"/>
        <v>1666.6666666666667</v>
      </c>
      <c r="E26" s="3">
        <f t="shared" si="15"/>
        <v>1666.6666666666667</v>
      </c>
      <c r="F26" s="3">
        <f t="shared" si="15"/>
        <v>1666.6666666666667</v>
      </c>
      <c r="G26" s="3">
        <f t="shared" si="15"/>
        <v>1666.6666666666667</v>
      </c>
      <c r="H26" s="10">
        <f t="shared" si="14"/>
        <v>10000</v>
      </c>
      <c r="I26" s="5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9" t="s">
        <v>23</v>
      </c>
      <c r="B27" s="3">
        <f>B3*0.1</f>
        <v>67500</v>
      </c>
      <c r="C27" s="3">
        <f t="shared" ref="C27:G27" si="16">C3*0.1</f>
        <v>52500</v>
      </c>
      <c r="D27" s="3">
        <f t="shared" si="16"/>
        <v>112500</v>
      </c>
      <c r="E27" s="3">
        <f t="shared" si="16"/>
        <v>97500</v>
      </c>
      <c r="F27" s="3">
        <f t="shared" si="16"/>
        <v>90000</v>
      </c>
      <c r="G27" s="3">
        <f t="shared" si="16"/>
        <v>67500</v>
      </c>
      <c r="H27" s="10">
        <f t="shared" si="14"/>
        <v>487500</v>
      </c>
      <c r="I27" s="5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12"/>
      <c r="B28" s="13"/>
      <c r="C28" s="3"/>
      <c r="D28" s="3"/>
      <c r="E28" s="3"/>
      <c r="F28" s="3"/>
      <c r="G28" s="3"/>
      <c r="H28" s="10">
        <f t="shared" si="14"/>
        <v>0</v>
      </c>
      <c r="I28" s="5"/>
      <c r="J28" s="7"/>
      <c r="K28" s="7" t="s">
        <v>60</v>
      </c>
      <c r="L28" s="7"/>
      <c r="M28" s="7"/>
      <c r="N28" s="7"/>
      <c r="O28" s="7"/>
      <c r="P28" s="7"/>
      <c r="Q28" s="7"/>
      <c r="R28" s="7"/>
    </row>
    <row r="29" spans="1:18" x14ac:dyDescent="0.25">
      <c r="A29" s="4"/>
      <c r="B29" s="14"/>
      <c r="D29" s="14"/>
      <c r="E29" s="14"/>
      <c r="F29" s="14"/>
      <c r="G29" s="14"/>
      <c r="H29" s="5"/>
      <c r="I29" s="5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4"/>
      <c r="B30" s="5"/>
      <c r="D30" s="5"/>
      <c r="E30" s="5"/>
      <c r="F30" s="5"/>
      <c r="G30" s="5"/>
      <c r="H30" s="5"/>
      <c r="I30" s="5"/>
      <c r="J30" s="7"/>
      <c r="K30" s="7"/>
      <c r="L30" s="7"/>
      <c r="M30" s="7"/>
      <c r="N30" s="7"/>
      <c r="O30" s="7"/>
      <c r="P30" s="7"/>
      <c r="Q30" s="7"/>
      <c r="R30" s="7"/>
    </row>
    <row r="31" spans="1:18" ht="18.75" x14ac:dyDescent="0.25">
      <c r="A31" s="4"/>
      <c r="B31" s="5"/>
      <c r="C31" s="6" t="s">
        <v>24</v>
      </c>
      <c r="D31" s="5"/>
      <c r="E31" s="5"/>
      <c r="F31" s="5"/>
      <c r="G31" s="5"/>
      <c r="H31" s="5"/>
      <c r="I31" s="5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9"/>
      <c r="B32" s="10" t="s">
        <v>1</v>
      </c>
      <c r="C32" s="10" t="s">
        <v>2</v>
      </c>
      <c r="D32" s="10" t="s">
        <v>3</v>
      </c>
      <c r="E32" s="10" t="s">
        <v>4</v>
      </c>
      <c r="F32" s="10" t="s">
        <v>5</v>
      </c>
      <c r="G32" s="10" t="s">
        <v>6</v>
      </c>
      <c r="H32" s="10" t="s">
        <v>64</v>
      </c>
      <c r="I32" s="5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9" t="s">
        <v>25</v>
      </c>
      <c r="B33" s="3">
        <f>B4</f>
        <v>135000</v>
      </c>
      <c r="C33" s="3">
        <f t="shared" ref="C33:G33" si="17">C4</f>
        <v>105000</v>
      </c>
      <c r="D33" s="3">
        <f t="shared" si="17"/>
        <v>225000</v>
      </c>
      <c r="E33" s="3">
        <f t="shared" si="17"/>
        <v>195000</v>
      </c>
      <c r="F33" s="3">
        <f t="shared" si="17"/>
        <v>180000</v>
      </c>
      <c r="G33" s="3">
        <f t="shared" si="17"/>
        <v>135000</v>
      </c>
      <c r="H33" s="10">
        <f t="shared" si="14"/>
        <v>975000</v>
      </c>
      <c r="I33" s="5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25">
      <c r="A34" s="9" t="s">
        <v>26</v>
      </c>
      <c r="B34" s="3">
        <f>B10</f>
        <v>48000</v>
      </c>
      <c r="C34" s="3">
        <f t="shared" ref="C34:G34" si="18">C10</f>
        <v>0</v>
      </c>
      <c r="D34" s="3">
        <f t="shared" si="18"/>
        <v>0</v>
      </c>
      <c r="E34" s="3">
        <f t="shared" si="18"/>
        <v>48000</v>
      </c>
      <c r="F34" s="3">
        <f t="shared" si="18"/>
        <v>0</v>
      </c>
      <c r="G34" s="3">
        <f t="shared" si="18"/>
        <v>0</v>
      </c>
      <c r="H34" s="10">
        <f t="shared" si="14"/>
        <v>96000</v>
      </c>
      <c r="I34" s="5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25">
      <c r="A35" s="9" t="s">
        <v>27</v>
      </c>
      <c r="B35" s="3">
        <f>B16</f>
        <v>28800</v>
      </c>
      <c r="C35" s="3">
        <f t="shared" ref="C35:G35" si="19">C16</f>
        <v>28800</v>
      </c>
      <c r="D35" s="3">
        <f t="shared" si="19"/>
        <v>28800</v>
      </c>
      <c r="E35" s="3">
        <f t="shared" si="19"/>
        <v>28800</v>
      </c>
      <c r="F35" s="3">
        <f t="shared" si="19"/>
        <v>28800</v>
      </c>
      <c r="G35" s="3">
        <f t="shared" si="19"/>
        <v>28800</v>
      </c>
      <c r="H35" s="10">
        <f t="shared" si="14"/>
        <v>172800</v>
      </c>
      <c r="I35" s="5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25">
      <c r="A36" s="9" t="s">
        <v>28</v>
      </c>
      <c r="B36" s="3">
        <f>B19</f>
        <v>6000</v>
      </c>
      <c r="C36" s="3">
        <f t="shared" ref="C36:G36" si="20">C19</f>
        <v>6000</v>
      </c>
      <c r="D36" s="3">
        <f t="shared" si="20"/>
        <v>6000</v>
      </c>
      <c r="E36" s="3">
        <f t="shared" si="20"/>
        <v>6000</v>
      </c>
      <c r="F36" s="3">
        <f t="shared" si="20"/>
        <v>6000</v>
      </c>
      <c r="G36" s="3">
        <f t="shared" si="20"/>
        <v>6000</v>
      </c>
      <c r="H36" s="10">
        <f t="shared" si="14"/>
        <v>36000</v>
      </c>
      <c r="I36" s="5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9" t="s">
        <v>29</v>
      </c>
      <c r="B37" s="3">
        <v>0</v>
      </c>
      <c r="C37" s="3">
        <v>0</v>
      </c>
      <c r="D37" s="3">
        <v>80000</v>
      </c>
      <c r="E37" s="3">
        <v>0</v>
      </c>
      <c r="F37" s="3">
        <v>0</v>
      </c>
      <c r="G37" s="3">
        <v>0</v>
      </c>
      <c r="H37" s="10">
        <f t="shared" si="14"/>
        <v>80000</v>
      </c>
      <c r="I37" s="5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9" t="s">
        <v>30</v>
      </c>
      <c r="B38" s="3">
        <f>B33-B34-B35-B36-B37</f>
        <v>52200</v>
      </c>
      <c r="C38" s="3">
        <f t="shared" ref="C38:G38" si="21">C33-C34-C35-C36-C37</f>
        <v>70200</v>
      </c>
      <c r="D38" s="3">
        <f t="shared" si="21"/>
        <v>110200</v>
      </c>
      <c r="E38" s="3">
        <f t="shared" si="21"/>
        <v>112200</v>
      </c>
      <c r="F38" s="3">
        <f t="shared" si="21"/>
        <v>145200</v>
      </c>
      <c r="G38" s="3">
        <f t="shared" si="21"/>
        <v>100200</v>
      </c>
      <c r="H38" s="10">
        <f t="shared" si="14"/>
        <v>590200</v>
      </c>
      <c r="I38" s="5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25">
      <c r="A39" s="9" t="s">
        <v>31</v>
      </c>
      <c r="B39" s="10">
        <v>0</v>
      </c>
      <c r="C39" s="10">
        <f>0</f>
        <v>0</v>
      </c>
      <c r="D39" s="10">
        <f>0</f>
        <v>0</v>
      </c>
      <c r="E39" s="10">
        <f>0</f>
        <v>0</v>
      </c>
      <c r="F39" s="10">
        <f>0</f>
        <v>0</v>
      </c>
      <c r="G39" s="10">
        <f>0</f>
        <v>0</v>
      </c>
      <c r="H39" s="10">
        <f t="shared" si="14"/>
        <v>0</v>
      </c>
      <c r="I39" s="5"/>
      <c r="J39" s="7"/>
      <c r="K39" s="15"/>
      <c r="L39" s="7"/>
      <c r="M39" s="7"/>
      <c r="N39" s="7"/>
      <c r="O39" s="7"/>
      <c r="P39" s="7"/>
      <c r="Q39" s="7"/>
      <c r="R39" s="7"/>
    </row>
    <row r="40" spans="1:18" x14ac:dyDescent="0.25">
      <c r="A40" s="4"/>
      <c r="B40" s="5"/>
      <c r="C40" s="5"/>
      <c r="D40" s="5"/>
      <c r="E40" s="5"/>
      <c r="F40" s="5"/>
      <c r="G40" s="5"/>
      <c r="H40" s="5"/>
      <c r="I40" s="5"/>
      <c r="J40" s="7"/>
      <c r="K40" s="7"/>
      <c r="L40" s="7"/>
      <c r="M40" s="7"/>
      <c r="N40" s="7"/>
      <c r="O40" s="7"/>
      <c r="P40" s="7"/>
      <c r="Q40" s="7"/>
      <c r="R40" s="7"/>
    </row>
    <row r="41" spans="1:18" ht="18.75" x14ac:dyDescent="0.25">
      <c r="A41" s="4"/>
      <c r="B41" s="5"/>
      <c r="C41" s="6" t="s">
        <v>32</v>
      </c>
      <c r="D41" s="5"/>
      <c r="E41" s="5"/>
      <c r="F41" s="5"/>
      <c r="G41" s="5"/>
      <c r="H41" s="5"/>
      <c r="I41" s="5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25">
      <c r="A42" s="9"/>
      <c r="B42" s="10" t="s">
        <v>1</v>
      </c>
      <c r="C42" s="10" t="s">
        <v>2</v>
      </c>
      <c r="D42" s="10" t="s">
        <v>3</v>
      </c>
      <c r="E42" s="10" t="s">
        <v>4</v>
      </c>
      <c r="F42" s="10" t="s">
        <v>5</v>
      </c>
      <c r="G42" s="10" t="s">
        <v>6</v>
      </c>
      <c r="H42" s="16" t="s">
        <v>33</v>
      </c>
      <c r="I42" s="5"/>
      <c r="J42" s="7"/>
      <c r="K42" s="7"/>
      <c r="L42" s="7"/>
      <c r="M42" s="7"/>
      <c r="N42" s="7"/>
      <c r="O42" s="7"/>
      <c r="P42" s="7"/>
      <c r="Q42" s="7"/>
      <c r="R42" s="7"/>
    </row>
    <row r="43" spans="1:18" ht="15.75" x14ac:dyDescent="0.25">
      <c r="A43" s="17" t="s">
        <v>34</v>
      </c>
      <c r="B43" s="10">
        <f>B5*0.2</f>
        <v>162000</v>
      </c>
      <c r="C43" s="10">
        <f t="shared" ref="C43:G43" si="22">C5*0.2</f>
        <v>126000</v>
      </c>
      <c r="D43" s="10">
        <f t="shared" si="22"/>
        <v>270000</v>
      </c>
      <c r="E43" s="10">
        <f t="shared" si="22"/>
        <v>234000</v>
      </c>
      <c r="F43" s="10">
        <f t="shared" si="22"/>
        <v>216000</v>
      </c>
      <c r="G43" s="10">
        <f t="shared" si="22"/>
        <v>162000</v>
      </c>
      <c r="H43" s="18"/>
      <c r="I43" s="5"/>
      <c r="J43" s="7"/>
      <c r="K43" s="7"/>
      <c r="L43" s="7"/>
      <c r="M43" s="7"/>
      <c r="N43" s="7"/>
      <c r="O43" s="7"/>
      <c r="P43" s="7"/>
      <c r="Q43" s="7"/>
      <c r="R43" s="7"/>
    </row>
    <row r="44" spans="1:18" ht="15.75" x14ac:dyDescent="0.25">
      <c r="A44" s="17" t="s">
        <v>35</v>
      </c>
      <c r="B44" s="3"/>
      <c r="C44" s="3">
        <f>B5*0.8</f>
        <v>648000</v>
      </c>
      <c r="D44" s="3">
        <f t="shared" ref="D44:G44" si="23">C5*0.8</f>
        <v>504000</v>
      </c>
      <c r="E44" s="3">
        <f t="shared" si="23"/>
        <v>1080000</v>
      </c>
      <c r="F44" s="3">
        <f t="shared" si="23"/>
        <v>936000</v>
      </c>
      <c r="G44" s="3">
        <f t="shared" si="23"/>
        <v>864000</v>
      </c>
      <c r="H44" s="18">
        <f>C44</f>
        <v>648000</v>
      </c>
      <c r="I44" s="5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25">
      <c r="A45" s="9" t="s">
        <v>36</v>
      </c>
      <c r="B45" s="3">
        <f>500000+120000</f>
        <v>620000</v>
      </c>
      <c r="C45" s="3"/>
      <c r="D45" s="3"/>
      <c r="E45" s="3"/>
      <c r="F45" s="3"/>
      <c r="G45" s="3"/>
      <c r="H45" s="18"/>
      <c r="I45" s="5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5">
      <c r="A46" s="9" t="s">
        <v>37</v>
      </c>
      <c r="B46" s="3">
        <f>B43+B44+B45</f>
        <v>782000</v>
      </c>
      <c r="C46" s="3">
        <f t="shared" ref="C46:G46" si="24">C43+C44+C45</f>
        <v>774000</v>
      </c>
      <c r="D46" s="3">
        <f t="shared" si="24"/>
        <v>774000</v>
      </c>
      <c r="E46" s="3">
        <f t="shared" si="24"/>
        <v>1314000</v>
      </c>
      <c r="F46" s="3">
        <f t="shared" si="24"/>
        <v>1152000</v>
      </c>
      <c r="G46" s="3">
        <f t="shared" si="24"/>
        <v>1026000</v>
      </c>
      <c r="H46" s="18"/>
      <c r="I46" s="5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25">
      <c r="A47" s="4"/>
      <c r="B47" s="5"/>
      <c r="C47" s="5"/>
      <c r="D47" s="5"/>
      <c r="E47" s="5"/>
      <c r="F47" s="5"/>
      <c r="G47" s="5"/>
      <c r="H47" s="5"/>
      <c r="I47" s="5"/>
      <c r="J47" s="7"/>
      <c r="K47" s="7"/>
      <c r="L47" s="7"/>
      <c r="M47" s="7"/>
      <c r="N47" s="7"/>
      <c r="O47" s="7"/>
      <c r="P47" s="7"/>
      <c r="Q47" s="7"/>
      <c r="R47" s="7"/>
    </row>
    <row r="48" spans="1:18" ht="18.75" x14ac:dyDescent="0.25">
      <c r="A48" s="4"/>
      <c r="B48" s="5"/>
      <c r="C48" s="6" t="s">
        <v>38</v>
      </c>
      <c r="D48" s="5"/>
      <c r="E48" s="5"/>
      <c r="F48" s="5"/>
      <c r="G48" s="5"/>
      <c r="H48" s="5"/>
      <c r="I48" s="5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9"/>
      <c r="B49" s="10" t="s">
        <v>1</v>
      </c>
      <c r="C49" s="10" t="s">
        <v>2</v>
      </c>
      <c r="D49" s="10" t="s">
        <v>3</v>
      </c>
      <c r="E49" s="10" t="s">
        <v>4</v>
      </c>
      <c r="F49" s="10" t="s">
        <v>5</v>
      </c>
      <c r="G49" s="10" t="s">
        <v>6</v>
      </c>
      <c r="H49" s="16" t="s">
        <v>33</v>
      </c>
      <c r="I49" s="16" t="s">
        <v>39</v>
      </c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9" t="s">
        <v>40</v>
      </c>
      <c r="B50" s="3">
        <f>B11</f>
        <v>288000</v>
      </c>
      <c r="C50" s="3">
        <f>D50</f>
        <v>0</v>
      </c>
      <c r="D50" s="3">
        <f t="shared" ref="D50:G50" si="25">D11</f>
        <v>0</v>
      </c>
      <c r="E50" s="3">
        <f t="shared" si="25"/>
        <v>288000</v>
      </c>
      <c r="F50" s="3">
        <f t="shared" si="25"/>
        <v>0</v>
      </c>
      <c r="G50" s="3">
        <f t="shared" si="25"/>
        <v>0</v>
      </c>
      <c r="H50" s="3"/>
      <c r="I50" s="10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25">
      <c r="A51" s="9" t="s">
        <v>41</v>
      </c>
      <c r="B51" s="3">
        <f>B17</f>
        <v>316800</v>
      </c>
      <c r="C51" s="3">
        <f t="shared" ref="C51:G51" si="26">C17</f>
        <v>316800</v>
      </c>
      <c r="D51" s="3">
        <f t="shared" si="26"/>
        <v>316800</v>
      </c>
      <c r="E51" s="3">
        <f t="shared" si="26"/>
        <v>316800</v>
      </c>
      <c r="F51" s="3">
        <f t="shared" si="26"/>
        <v>316800</v>
      </c>
      <c r="G51" s="3">
        <f t="shared" si="26"/>
        <v>316800</v>
      </c>
      <c r="H51" s="3"/>
      <c r="I51" s="10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25">
      <c r="A52" s="9" t="s">
        <v>42</v>
      </c>
      <c r="B52" s="3">
        <f>B20</f>
        <v>36000</v>
      </c>
      <c r="C52" s="3">
        <f t="shared" ref="C52:G52" si="27">C20</f>
        <v>36000</v>
      </c>
      <c r="D52" s="3">
        <f t="shared" si="27"/>
        <v>36000</v>
      </c>
      <c r="E52" s="3">
        <f t="shared" si="27"/>
        <v>36000</v>
      </c>
      <c r="F52" s="3">
        <f t="shared" si="27"/>
        <v>36000</v>
      </c>
      <c r="G52" s="3">
        <f t="shared" si="27"/>
        <v>36000</v>
      </c>
      <c r="H52" s="3"/>
      <c r="I52" s="10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25">
      <c r="A53" s="9" t="s">
        <v>43</v>
      </c>
      <c r="B53" s="10">
        <f>B25</f>
        <v>20000</v>
      </c>
      <c r="C53" s="10">
        <f t="shared" ref="C53:G53" si="28">C25</f>
        <v>20000</v>
      </c>
      <c r="D53" s="10">
        <f t="shared" si="28"/>
        <v>20000</v>
      </c>
      <c r="E53" s="10">
        <f t="shared" si="28"/>
        <v>20000</v>
      </c>
      <c r="F53" s="10">
        <f t="shared" si="28"/>
        <v>20000</v>
      </c>
      <c r="G53" s="10">
        <f t="shared" si="28"/>
        <v>20000</v>
      </c>
      <c r="H53" s="3"/>
      <c r="I53" s="10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9" t="s">
        <v>23</v>
      </c>
      <c r="B54" s="19">
        <f>75000</f>
        <v>75000</v>
      </c>
      <c r="C54" s="3">
        <f>B27</f>
        <v>67500</v>
      </c>
      <c r="D54" s="3">
        <f t="shared" ref="D54:G54" si="29">C27</f>
        <v>52500</v>
      </c>
      <c r="E54" s="3">
        <f t="shared" si="29"/>
        <v>112500</v>
      </c>
      <c r="F54" s="3">
        <f t="shared" si="29"/>
        <v>97500</v>
      </c>
      <c r="G54" s="3">
        <f t="shared" si="29"/>
        <v>90000</v>
      </c>
      <c r="H54" s="3">
        <v>67500</v>
      </c>
      <c r="I54" s="10"/>
      <c r="J54" s="7"/>
      <c r="K54" s="7"/>
      <c r="L54" s="7"/>
      <c r="M54" s="7"/>
      <c r="N54" s="7"/>
      <c r="O54" s="7"/>
      <c r="P54" s="7"/>
      <c r="Q54" s="7"/>
      <c r="R54" s="7"/>
    </row>
    <row r="55" spans="1:18" x14ac:dyDescent="0.25">
      <c r="A55" s="9" t="s">
        <v>44</v>
      </c>
      <c r="B55" s="3">
        <v>78000</v>
      </c>
      <c r="C55" s="3">
        <f>B38</f>
        <v>52200</v>
      </c>
      <c r="D55" s="3">
        <f t="shared" ref="D55:G55" si="30">C38</f>
        <v>70200</v>
      </c>
      <c r="E55" s="3">
        <f t="shared" si="30"/>
        <v>110200</v>
      </c>
      <c r="F55" s="3">
        <f t="shared" si="30"/>
        <v>112200</v>
      </c>
      <c r="G55" s="3">
        <f t="shared" si="30"/>
        <v>145200</v>
      </c>
      <c r="H55" s="3">
        <v>100200</v>
      </c>
      <c r="I55" s="10"/>
      <c r="J55" s="7"/>
      <c r="K55" s="7"/>
      <c r="L55" s="7"/>
      <c r="M55" s="7"/>
      <c r="N55" s="7"/>
      <c r="O55" s="7"/>
      <c r="P55" s="7"/>
      <c r="Q55" s="7"/>
      <c r="R55" s="7"/>
    </row>
    <row r="56" spans="1:18" x14ac:dyDescent="0.25">
      <c r="A56" s="9" t="s">
        <v>45</v>
      </c>
      <c r="B56" s="3"/>
      <c r="C56" s="3"/>
      <c r="D56" s="3"/>
      <c r="E56" s="3"/>
      <c r="F56" s="3"/>
      <c r="G56" s="3">
        <f>400000*1.2</f>
        <v>480000</v>
      </c>
      <c r="H56" s="3"/>
      <c r="I56" s="10"/>
      <c r="J56" s="7"/>
      <c r="K56" s="7"/>
      <c r="L56" s="7"/>
      <c r="M56" s="7"/>
      <c r="N56" s="7"/>
      <c r="O56" s="7"/>
      <c r="P56" s="7"/>
      <c r="Q56" s="7"/>
      <c r="R56" s="7"/>
    </row>
    <row r="57" spans="1:18" x14ac:dyDescent="0.25">
      <c r="A57" s="9" t="s">
        <v>46</v>
      </c>
      <c r="B57" s="3"/>
      <c r="C57" s="3"/>
      <c r="D57" s="3">
        <v>200000</v>
      </c>
      <c r="E57" s="3"/>
      <c r="F57" s="3"/>
      <c r="G57" s="3"/>
      <c r="H57" s="3"/>
      <c r="I57" s="10"/>
      <c r="J57" s="7"/>
      <c r="K57" s="7" t="s">
        <v>60</v>
      </c>
      <c r="L57" s="7"/>
      <c r="M57" s="7"/>
      <c r="N57" s="7"/>
      <c r="O57" s="7"/>
      <c r="P57" s="7"/>
      <c r="Q57" s="7"/>
      <c r="R57" s="7"/>
    </row>
    <row r="58" spans="1:18" x14ac:dyDescent="0.25">
      <c r="A58" s="9" t="s">
        <v>47</v>
      </c>
      <c r="B58" s="3">
        <f>B50+B51+B52+B53+B54+B55+B56+B57</f>
        <v>813800</v>
      </c>
      <c r="C58" s="3">
        <f>C50+C51+C52+C53+C54+C55+C56+C57</f>
        <v>492500</v>
      </c>
      <c r="D58" s="3">
        <f t="shared" ref="D58:G58" si="31">D50+D51+D52+D53+D54+D55+D56+D57</f>
        <v>695500</v>
      </c>
      <c r="E58" s="3">
        <f t="shared" si="31"/>
        <v>883500</v>
      </c>
      <c r="F58" s="3">
        <f t="shared" si="31"/>
        <v>582500</v>
      </c>
      <c r="G58" s="3">
        <f t="shared" si="31"/>
        <v>1088000</v>
      </c>
      <c r="H58" s="3"/>
      <c r="I58" s="10"/>
      <c r="J58" s="7"/>
      <c r="K58" s="7"/>
      <c r="L58" s="7"/>
      <c r="M58" s="7"/>
      <c r="N58" s="7"/>
      <c r="O58" s="7"/>
      <c r="P58" s="7"/>
      <c r="Q58" s="7"/>
      <c r="R58" s="7"/>
    </row>
    <row r="59" spans="1:18" x14ac:dyDescent="0.25">
      <c r="A59" s="4"/>
      <c r="B59" s="5"/>
      <c r="C59" s="5"/>
      <c r="D59" s="5"/>
      <c r="E59" s="5"/>
      <c r="F59" s="5"/>
      <c r="G59" s="5"/>
      <c r="H59" s="5"/>
      <c r="I59" s="5"/>
      <c r="J59" s="7"/>
      <c r="K59" s="7"/>
      <c r="L59" s="7"/>
      <c r="M59" s="7"/>
      <c r="N59" s="7"/>
      <c r="O59" s="7"/>
      <c r="P59" s="7"/>
      <c r="Q59" s="7"/>
      <c r="R59" s="7"/>
    </row>
    <row r="60" spans="1:18" ht="18.75" x14ac:dyDescent="0.25">
      <c r="A60" s="4"/>
      <c r="B60" s="11"/>
      <c r="C60" s="6" t="s">
        <v>48</v>
      </c>
      <c r="D60" s="5"/>
      <c r="E60" s="5"/>
      <c r="F60" s="5"/>
      <c r="G60" s="5"/>
      <c r="H60" s="5"/>
      <c r="I60" s="5"/>
      <c r="J60" s="7"/>
      <c r="K60" s="7"/>
      <c r="L60" s="7"/>
      <c r="M60" s="7"/>
      <c r="N60" s="7"/>
      <c r="O60" s="7"/>
      <c r="P60" s="7"/>
      <c r="Q60" s="7"/>
      <c r="R60" s="7"/>
    </row>
    <row r="61" spans="1:18" x14ac:dyDescent="0.25">
      <c r="A61" s="9" t="s">
        <v>49</v>
      </c>
      <c r="B61" s="3">
        <f>50000-550000</f>
        <v>-500000</v>
      </c>
      <c r="C61" s="3">
        <f>B64</f>
        <v>-531800</v>
      </c>
      <c r="D61" s="3">
        <f t="shared" ref="D61:G61" si="32">C64</f>
        <v>-250300</v>
      </c>
      <c r="E61" s="3">
        <f t="shared" si="32"/>
        <v>-171800</v>
      </c>
      <c r="F61" s="3">
        <f t="shared" si="32"/>
        <v>258700</v>
      </c>
      <c r="G61" s="3">
        <f t="shared" si="32"/>
        <v>828200</v>
      </c>
      <c r="H61" s="5"/>
      <c r="I61" s="5"/>
      <c r="J61" s="7"/>
      <c r="K61" s="7"/>
      <c r="L61" s="7"/>
      <c r="M61" s="7"/>
      <c r="N61" s="7"/>
      <c r="O61" s="7"/>
      <c r="P61" s="7"/>
      <c r="Q61" s="7"/>
      <c r="R61" s="7"/>
    </row>
    <row r="62" spans="1:18" x14ac:dyDescent="0.25">
      <c r="A62" s="9" t="s">
        <v>37</v>
      </c>
      <c r="B62" s="3">
        <f>B46</f>
        <v>782000</v>
      </c>
      <c r="C62" s="3">
        <f t="shared" ref="C62:G62" si="33">C46</f>
        <v>774000</v>
      </c>
      <c r="D62" s="3">
        <f t="shared" si="33"/>
        <v>774000</v>
      </c>
      <c r="E62" s="3">
        <f t="shared" si="33"/>
        <v>1314000</v>
      </c>
      <c r="F62" s="3">
        <f t="shared" si="33"/>
        <v>1152000</v>
      </c>
      <c r="G62" s="3">
        <f t="shared" si="33"/>
        <v>1026000</v>
      </c>
      <c r="H62" s="5"/>
      <c r="I62" s="5"/>
      <c r="J62" s="7"/>
      <c r="K62" s="7"/>
      <c r="L62" s="7"/>
      <c r="M62" s="7"/>
      <c r="N62" s="7"/>
      <c r="O62" s="7"/>
      <c r="P62" s="7"/>
      <c r="Q62" s="7"/>
      <c r="R62" s="7"/>
    </row>
    <row r="63" spans="1:18" x14ac:dyDescent="0.25">
      <c r="A63" s="9" t="s">
        <v>47</v>
      </c>
      <c r="B63" s="3">
        <f>B58</f>
        <v>813800</v>
      </c>
      <c r="C63" s="3">
        <f t="shared" ref="C63:G63" si="34">C58</f>
        <v>492500</v>
      </c>
      <c r="D63" s="3">
        <f t="shared" si="34"/>
        <v>695500</v>
      </c>
      <c r="E63" s="3">
        <f t="shared" si="34"/>
        <v>883500</v>
      </c>
      <c r="F63" s="3">
        <f t="shared" si="34"/>
        <v>582500</v>
      </c>
      <c r="G63" s="3">
        <f t="shared" si="34"/>
        <v>1088000</v>
      </c>
      <c r="H63" s="5"/>
      <c r="I63" s="5"/>
      <c r="J63" s="7"/>
      <c r="K63" s="7"/>
      <c r="L63" s="7"/>
      <c r="M63" s="7"/>
      <c r="N63" s="7"/>
      <c r="O63" s="7"/>
      <c r="P63" s="7"/>
      <c r="Q63" s="7"/>
      <c r="R63" s="7"/>
    </row>
    <row r="64" spans="1:18" x14ac:dyDescent="0.25">
      <c r="A64" s="9" t="s">
        <v>50</v>
      </c>
      <c r="B64" s="3">
        <f>B61+B62-B63</f>
        <v>-531800</v>
      </c>
      <c r="C64" s="3">
        <f t="shared" ref="C64:G64" si="35">C61+C62-C63</f>
        <v>-250300</v>
      </c>
      <c r="D64" s="3">
        <f t="shared" si="35"/>
        <v>-171800</v>
      </c>
      <c r="E64" s="3">
        <f t="shared" si="35"/>
        <v>258700</v>
      </c>
      <c r="F64" s="3">
        <f t="shared" si="35"/>
        <v>828200</v>
      </c>
      <c r="G64" s="3">
        <f t="shared" si="35"/>
        <v>766200</v>
      </c>
      <c r="H64" s="5"/>
      <c r="I64" s="5"/>
      <c r="J64" s="7"/>
      <c r="K64" s="7"/>
      <c r="L64" s="7"/>
      <c r="M64" s="7"/>
      <c r="N64" s="7"/>
      <c r="O64" s="7"/>
      <c r="P64" s="7"/>
      <c r="Q64" s="7"/>
      <c r="R64" s="7"/>
    </row>
    <row r="65" spans="1:18" x14ac:dyDescent="0.25">
      <c r="A65" s="4"/>
      <c r="B65" s="5"/>
      <c r="C65" s="5"/>
      <c r="D65" s="5"/>
      <c r="E65" s="5"/>
      <c r="F65" s="5"/>
      <c r="G65" s="5"/>
      <c r="H65" s="5"/>
      <c r="I65" s="5"/>
      <c r="J65" s="7"/>
      <c r="K65" s="7"/>
      <c r="L65" s="7"/>
      <c r="M65" s="7"/>
      <c r="N65" s="7"/>
      <c r="O65" s="7"/>
      <c r="P65" s="7"/>
      <c r="Q65" s="7"/>
      <c r="R65" s="7"/>
    </row>
    <row r="66" spans="1:18" s="23" customFormat="1" x14ac:dyDescent="0.25">
      <c r="A66" s="20"/>
      <c r="B66" s="21"/>
      <c r="C66" s="21"/>
      <c r="D66" s="21"/>
      <c r="E66" s="21"/>
      <c r="F66" s="21"/>
      <c r="G66" s="21"/>
      <c r="H66" s="21"/>
      <c r="I66" s="21"/>
      <c r="J66" s="22"/>
      <c r="K66" s="22"/>
      <c r="L66" s="22"/>
      <c r="M66" s="22"/>
      <c r="N66" s="22"/>
      <c r="O66" s="22"/>
      <c r="P66" s="22"/>
      <c r="Q66" s="22"/>
      <c r="R66" s="22"/>
    </row>
    <row r="67" spans="1:18" x14ac:dyDescent="0.25">
      <c r="A67" s="4"/>
      <c r="B67" s="5"/>
      <c r="C67" s="5"/>
      <c r="D67" s="5"/>
      <c r="E67" s="5"/>
      <c r="F67" s="5"/>
      <c r="G67" s="5"/>
      <c r="H67" s="5"/>
      <c r="I67" s="5"/>
      <c r="J67" s="7"/>
      <c r="K67" s="7"/>
      <c r="L67" s="7"/>
      <c r="M67" s="7"/>
      <c r="N67" s="7"/>
      <c r="O67" s="7"/>
      <c r="P67" s="7"/>
      <c r="Q67" s="7"/>
      <c r="R67" s="7"/>
    </row>
    <row r="68" spans="1:18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8.75" x14ac:dyDescent="0.3">
      <c r="A69" s="24"/>
      <c r="B69" s="25"/>
      <c r="C69" s="25" t="s">
        <v>65</v>
      </c>
      <c r="D69" s="25"/>
      <c r="E69" s="25"/>
      <c r="F69" s="2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8.75" x14ac:dyDescent="0.25">
      <c r="B70" s="25"/>
      <c r="C70" s="25"/>
      <c r="D70" s="25"/>
      <c r="E70" s="7"/>
      <c r="F70" s="7"/>
      <c r="G70" s="7"/>
      <c r="H70" s="7" t="s">
        <v>66</v>
      </c>
      <c r="I70" s="7"/>
      <c r="J70" s="7"/>
      <c r="K70" s="15" t="s">
        <v>67</v>
      </c>
    </row>
    <row r="71" spans="1:18" ht="18.75" x14ac:dyDescent="0.25">
      <c r="B71" s="6" t="s">
        <v>68</v>
      </c>
      <c r="C71" s="6" t="s">
        <v>69</v>
      </c>
      <c r="D71" s="6" t="s">
        <v>70</v>
      </c>
      <c r="E71" s="5"/>
      <c r="F71" s="5"/>
      <c r="G71" s="7"/>
      <c r="H71" s="26"/>
      <c r="I71" s="26"/>
      <c r="J71" s="26"/>
      <c r="K71" s="26"/>
    </row>
    <row r="72" spans="1:18" x14ac:dyDescent="0.25">
      <c r="A72" s="27" t="s">
        <v>71</v>
      </c>
      <c r="B72" s="3">
        <f>1000000+400000</f>
        <v>1400000</v>
      </c>
      <c r="C72" s="3">
        <f>300000+40000+10000+26667</f>
        <v>376667</v>
      </c>
      <c r="D72" s="3">
        <f>B72-C72</f>
        <v>1023333</v>
      </c>
      <c r="E72" s="3" t="s">
        <v>72</v>
      </c>
      <c r="F72" s="3">
        <f>767720</f>
        <v>767720</v>
      </c>
      <c r="G72" s="7"/>
      <c r="H72" s="26" t="s">
        <v>73</v>
      </c>
      <c r="I72" s="26">
        <v>12</v>
      </c>
      <c r="J72" s="26" t="s">
        <v>74</v>
      </c>
      <c r="K72" s="26">
        <v>8000</v>
      </c>
    </row>
    <row r="73" spans="1:18" x14ac:dyDescent="0.25">
      <c r="A73" s="27" t="s">
        <v>75</v>
      </c>
      <c r="B73" s="3">
        <f>L73</f>
        <v>720</v>
      </c>
      <c r="C73" s="3"/>
      <c r="D73" s="3">
        <f t="shared" ref="D73:D76" si="36">B73-C73</f>
        <v>720</v>
      </c>
      <c r="E73" s="3" t="s">
        <v>76</v>
      </c>
      <c r="F73" s="32">
        <f>F77-F75-F74-F72</f>
        <v>1804714.3172602737</v>
      </c>
      <c r="G73" s="7"/>
      <c r="H73" s="26" t="s">
        <v>77</v>
      </c>
      <c r="I73" s="26">
        <v>8000</v>
      </c>
      <c r="J73" s="26" t="s">
        <v>78</v>
      </c>
      <c r="K73" s="26">
        <v>12</v>
      </c>
      <c r="L73" s="35">
        <f>60*12</f>
        <v>720</v>
      </c>
    </row>
    <row r="74" spans="1:18" x14ac:dyDescent="0.25">
      <c r="A74" s="27" t="s">
        <v>79</v>
      </c>
      <c r="B74" s="3">
        <f>K102</f>
        <v>301881.31726027397</v>
      </c>
      <c r="C74" s="3"/>
      <c r="D74" s="3">
        <f t="shared" si="36"/>
        <v>301881.31726027397</v>
      </c>
      <c r="E74" s="3" t="s">
        <v>80</v>
      </c>
      <c r="F74" s="3">
        <f>100200</f>
        <v>100200</v>
      </c>
      <c r="G74" s="7"/>
      <c r="H74" s="15"/>
      <c r="I74" s="7"/>
      <c r="J74" s="7" t="s">
        <v>108</v>
      </c>
      <c r="K74" s="7">
        <v>60</v>
      </c>
    </row>
    <row r="75" spans="1:18" x14ac:dyDescent="0.25">
      <c r="A75" s="27" t="s">
        <v>81</v>
      </c>
      <c r="B75" s="3">
        <f>648000</f>
        <v>648000</v>
      </c>
      <c r="C75" s="3"/>
      <c r="D75" s="3">
        <f t="shared" si="36"/>
        <v>648000</v>
      </c>
      <c r="E75" s="3" t="s">
        <v>82</v>
      </c>
      <c r="F75" s="3">
        <f>67500</f>
        <v>67500</v>
      </c>
      <c r="G75" s="7"/>
      <c r="H75" s="7"/>
      <c r="I75" s="7"/>
      <c r="J75" s="7"/>
      <c r="K75" s="7"/>
    </row>
    <row r="76" spans="1:18" x14ac:dyDescent="0.25">
      <c r="A76" s="27" t="s">
        <v>83</v>
      </c>
      <c r="B76" s="3">
        <v>766200</v>
      </c>
      <c r="C76" s="3"/>
      <c r="D76" s="3">
        <f t="shared" si="36"/>
        <v>766200</v>
      </c>
      <c r="E76" s="3"/>
      <c r="F76" s="3"/>
      <c r="G76" s="7"/>
      <c r="H76" s="7"/>
      <c r="I76" s="7"/>
      <c r="J76" s="7"/>
      <c r="K76" s="7"/>
    </row>
    <row r="77" spans="1:18" x14ac:dyDescent="0.25">
      <c r="A77" s="29" t="s">
        <v>64</v>
      </c>
      <c r="B77" s="33">
        <f t="shared" ref="B77:C77" si="37">B72+B73+B74+B75+B76</f>
        <v>3116801.3172602737</v>
      </c>
      <c r="C77" s="33">
        <f t="shared" si="37"/>
        <v>376667</v>
      </c>
      <c r="D77" s="33">
        <f>D72+D73+D74+D75+D76</f>
        <v>2740134.3172602737</v>
      </c>
      <c r="E77" s="33" t="s">
        <v>64</v>
      </c>
      <c r="F77" s="33">
        <f>D77</f>
        <v>2740134.3172602737</v>
      </c>
      <c r="G77" s="7"/>
      <c r="H77" s="7"/>
      <c r="I77" s="7"/>
      <c r="J77" s="7"/>
      <c r="K77" s="7"/>
    </row>
    <row r="78" spans="1:18" x14ac:dyDescent="0.25">
      <c r="A78" s="30"/>
      <c r="B78" s="34"/>
      <c r="C78" s="34"/>
      <c r="D78" s="34"/>
      <c r="E78" s="34"/>
      <c r="F78" s="34"/>
      <c r="G78" s="7"/>
      <c r="H78" s="7"/>
      <c r="I78" s="7"/>
      <c r="J78" s="7"/>
      <c r="K78" s="7"/>
    </row>
    <row r="79" spans="1:18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8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ht="18.75" x14ac:dyDescent="0.25">
      <c r="B81" s="25" t="s">
        <v>84</v>
      </c>
      <c r="C81" s="25"/>
      <c r="D81" s="6"/>
      <c r="E81" s="7"/>
      <c r="F81" s="7"/>
      <c r="G81" s="7"/>
      <c r="H81" s="7" t="s">
        <v>85</v>
      </c>
      <c r="I81" s="7"/>
      <c r="J81" s="7"/>
      <c r="K81" s="7"/>
    </row>
    <row r="82" spans="1:11" x14ac:dyDescent="0.25">
      <c r="B82" s="5"/>
      <c r="C82" s="7"/>
      <c r="D82" s="5"/>
      <c r="E82" s="7"/>
      <c r="F82" s="7"/>
      <c r="G82" s="7"/>
      <c r="H82" s="26"/>
      <c r="I82" s="26"/>
      <c r="J82" s="26"/>
      <c r="K82" s="26"/>
    </row>
    <row r="83" spans="1:11" x14ac:dyDescent="0.25">
      <c r="A83" s="27" t="s">
        <v>86</v>
      </c>
      <c r="B83" s="10">
        <f>K88</f>
        <v>480000</v>
      </c>
      <c r="C83" s="26" t="s">
        <v>87</v>
      </c>
      <c r="D83" s="10">
        <v>4875000</v>
      </c>
      <c r="E83" s="7"/>
      <c r="F83" s="7"/>
      <c r="G83" s="7"/>
      <c r="H83" s="26" t="s">
        <v>73</v>
      </c>
      <c r="I83" s="26">
        <v>135</v>
      </c>
      <c r="J83" s="26" t="s">
        <v>88</v>
      </c>
      <c r="K83" s="26">
        <f>I84+I83-K84</f>
        <v>975</v>
      </c>
    </row>
    <row r="84" spans="1:11" x14ac:dyDescent="0.25">
      <c r="A84" s="27" t="s">
        <v>89</v>
      </c>
      <c r="B84" s="10">
        <v>0</v>
      </c>
      <c r="C84" s="26" t="s">
        <v>90</v>
      </c>
      <c r="D84" s="10">
        <f>K102-K98</f>
        <v>1881.3172602739651</v>
      </c>
      <c r="E84" s="7"/>
      <c r="F84" s="7"/>
      <c r="G84" s="7"/>
      <c r="H84" s="26" t="s">
        <v>91</v>
      </c>
      <c r="I84" s="26">
        <f>160*6</f>
        <v>960</v>
      </c>
      <c r="J84" s="26" t="s">
        <v>78</v>
      </c>
      <c r="K84" s="26">
        <v>120</v>
      </c>
    </row>
    <row r="85" spans="1:11" x14ac:dyDescent="0.25">
      <c r="A85" s="27" t="s">
        <v>92</v>
      </c>
      <c r="B85" s="10">
        <f>K89</f>
        <v>1728000</v>
      </c>
      <c r="C85" s="26"/>
      <c r="D85" s="10"/>
      <c r="E85" s="7"/>
      <c r="F85" s="7"/>
      <c r="G85" s="7"/>
      <c r="H85" s="7"/>
      <c r="I85" s="7"/>
      <c r="J85" s="7"/>
      <c r="K85" s="7"/>
    </row>
    <row r="86" spans="1:11" x14ac:dyDescent="0.25">
      <c r="A86" s="27" t="s">
        <v>93</v>
      </c>
      <c r="B86" s="10">
        <f>K90</f>
        <v>180000</v>
      </c>
      <c r="C86" s="26"/>
      <c r="D86" s="10"/>
      <c r="E86" s="7"/>
      <c r="F86" s="7"/>
      <c r="G86" s="7"/>
      <c r="H86" s="7" t="s">
        <v>94</v>
      </c>
      <c r="I86" s="7"/>
      <c r="J86" s="7"/>
      <c r="K86" s="7"/>
    </row>
    <row r="87" spans="1:11" x14ac:dyDescent="0.25">
      <c r="A87" s="27" t="s">
        <v>95</v>
      </c>
      <c r="B87" s="10">
        <v>120000</v>
      </c>
      <c r="C87" s="26"/>
      <c r="D87" s="10"/>
      <c r="E87" s="7"/>
      <c r="F87" s="7"/>
      <c r="G87" s="7"/>
      <c r="H87" s="7"/>
      <c r="I87" s="7"/>
      <c r="J87" s="5"/>
      <c r="K87" s="5"/>
    </row>
    <row r="88" spans="1:11" x14ac:dyDescent="0.25">
      <c r="A88" s="27" t="s">
        <v>96</v>
      </c>
      <c r="B88" s="10">
        <v>487500</v>
      </c>
      <c r="C88" s="26"/>
      <c r="D88" s="10"/>
      <c r="E88" s="7"/>
      <c r="F88" s="7"/>
      <c r="G88" s="7"/>
      <c r="H88" s="26" t="s">
        <v>97</v>
      </c>
      <c r="I88" s="28">
        <f>I73</f>
        <v>8000</v>
      </c>
      <c r="J88" s="3">
        <f>60</f>
        <v>60</v>
      </c>
      <c r="K88" s="3">
        <f>I88*J88</f>
        <v>480000</v>
      </c>
    </row>
    <row r="89" spans="1:11" x14ac:dyDescent="0.25">
      <c r="A89" s="27" t="s">
        <v>19</v>
      </c>
      <c r="B89" s="10">
        <v>76667</v>
      </c>
      <c r="C89" s="26"/>
      <c r="D89" s="10"/>
      <c r="E89" s="7"/>
      <c r="F89" s="7"/>
      <c r="G89" s="7"/>
      <c r="H89" s="26" t="s">
        <v>98</v>
      </c>
      <c r="I89" s="28">
        <f>I84</f>
        <v>960</v>
      </c>
      <c r="J89" s="3">
        <v>1800</v>
      </c>
      <c r="K89" s="3">
        <f>I89*J89</f>
        <v>1728000</v>
      </c>
    </row>
    <row r="90" spans="1:11" x14ac:dyDescent="0.25">
      <c r="A90" s="27" t="s">
        <v>99</v>
      </c>
      <c r="B90" s="31">
        <f>F73</f>
        <v>1804714.3172602737</v>
      </c>
      <c r="C90" s="26"/>
      <c r="D90" s="10"/>
      <c r="E90" s="7"/>
      <c r="F90" s="7"/>
      <c r="G90" s="7"/>
      <c r="H90" s="26" t="s">
        <v>100</v>
      </c>
      <c r="I90" s="28">
        <v>30000</v>
      </c>
      <c r="J90" s="3">
        <v>6</v>
      </c>
      <c r="K90" s="3">
        <f t="shared" ref="K90:K91" si="38">I90*J90</f>
        <v>180000</v>
      </c>
    </row>
    <row r="91" spans="1:11" x14ac:dyDescent="0.25">
      <c r="A91" s="27"/>
      <c r="B91" s="10"/>
      <c r="C91" s="26"/>
      <c r="D91" s="10"/>
      <c r="E91" s="7"/>
      <c r="F91" s="7"/>
      <c r="G91" s="7"/>
      <c r="H91" s="26" t="s">
        <v>101</v>
      </c>
      <c r="I91" s="28">
        <v>6666.67</v>
      </c>
      <c r="J91" s="3">
        <v>6</v>
      </c>
      <c r="K91" s="3">
        <f t="shared" si="38"/>
        <v>40000.020000000004</v>
      </c>
    </row>
    <row r="92" spans="1:11" x14ac:dyDescent="0.25">
      <c r="A92" s="27"/>
      <c r="B92" s="10">
        <f>B83+B84+B85+B86+B87+B88+B89+B90</f>
        <v>4876881.3172602737</v>
      </c>
      <c r="C92" s="26" t="s">
        <v>64</v>
      </c>
      <c r="D92" s="10">
        <f>D83+D84</f>
        <v>4876881.3172602737</v>
      </c>
      <c r="E92" s="7"/>
      <c r="F92" s="7"/>
      <c r="G92" s="7"/>
      <c r="H92" s="26" t="s">
        <v>102</v>
      </c>
      <c r="I92" s="28"/>
      <c r="J92" s="3"/>
      <c r="K92" s="3">
        <f>26667</f>
        <v>26667</v>
      </c>
    </row>
    <row r="93" spans="1:11" x14ac:dyDescent="0.25">
      <c r="B93" s="5"/>
      <c r="C93" s="7"/>
      <c r="D93" s="5"/>
      <c r="E93" s="7"/>
      <c r="F93" s="7"/>
      <c r="G93" s="7"/>
      <c r="H93" s="26" t="s">
        <v>103</v>
      </c>
      <c r="I93" s="28"/>
      <c r="J93" s="3"/>
      <c r="K93" s="3">
        <f>K88+K89+K90+K91+K92</f>
        <v>2454667.02</v>
      </c>
    </row>
    <row r="94" spans="1:11" x14ac:dyDescent="0.25">
      <c r="B94" s="5"/>
      <c r="C94" s="7"/>
      <c r="D94" s="7"/>
      <c r="E94" s="7"/>
      <c r="F94" s="7"/>
      <c r="G94" s="7"/>
      <c r="H94" s="26" t="s">
        <v>104</v>
      </c>
      <c r="I94" s="26"/>
      <c r="J94" s="10"/>
      <c r="K94" s="3">
        <f>K93/I84</f>
        <v>2556.9448124999999</v>
      </c>
    </row>
    <row r="95" spans="1:11" x14ac:dyDescent="0.25">
      <c r="B95" s="7"/>
      <c r="C95" s="7"/>
      <c r="D95" s="7"/>
      <c r="E95" s="7"/>
      <c r="F95" s="7"/>
      <c r="G95" s="7"/>
      <c r="H95" s="7"/>
      <c r="I95" s="7"/>
      <c r="J95" s="5"/>
      <c r="K95" s="5"/>
    </row>
    <row r="96" spans="1:11" x14ac:dyDescent="0.25">
      <c r="B96" s="7"/>
      <c r="C96" s="7"/>
      <c r="D96" s="7"/>
      <c r="E96" s="7"/>
      <c r="F96" s="7"/>
      <c r="G96" s="7"/>
      <c r="H96" s="7" t="s">
        <v>105</v>
      </c>
      <c r="I96" s="7"/>
      <c r="J96" s="5"/>
      <c r="K96" s="5"/>
    </row>
    <row r="97" spans="2:11" x14ac:dyDescent="0.25">
      <c r="B97" s="7"/>
      <c r="C97" s="7"/>
      <c r="D97" s="7"/>
      <c r="E97" s="7"/>
      <c r="F97" s="7"/>
      <c r="G97" s="7"/>
      <c r="H97" s="7"/>
      <c r="I97" s="7"/>
      <c r="J97" s="5"/>
      <c r="K97" s="5"/>
    </row>
    <row r="98" spans="2:11" x14ac:dyDescent="0.25">
      <c r="B98" s="7"/>
      <c r="C98" s="7"/>
      <c r="D98" s="7"/>
      <c r="E98" s="7"/>
      <c r="F98" s="7"/>
      <c r="G98" s="7"/>
      <c r="H98" s="28" t="s">
        <v>73</v>
      </c>
      <c r="I98" s="28">
        <v>135</v>
      </c>
      <c r="J98" s="3">
        <f>K98/I98</f>
        <v>2222.2222222222222</v>
      </c>
      <c r="K98" s="3">
        <v>300000</v>
      </c>
    </row>
    <row r="99" spans="2:11" x14ac:dyDescent="0.25">
      <c r="B99" s="7"/>
      <c r="C99" s="7"/>
      <c r="D99" s="7"/>
      <c r="E99" s="7"/>
      <c r="F99" s="7"/>
      <c r="G99" s="7"/>
      <c r="H99" s="28" t="s">
        <v>106</v>
      </c>
      <c r="I99" s="28">
        <v>960</v>
      </c>
      <c r="J99" s="3">
        <f>K99/I99</f>
        <v>2556.9448124999999</v>
      </c>
      <c r="K99" s="3">
        <f>K93</f>
        <v>2454667.02</v>
      </c>
    </row>
    <row r="100" spans="2:11" x14ac:dyDescent="0.25">
      <c r="B100" s="7"/>
      <c r="C100" s="7"/>
      <c r="D100" s="7"/>
      <c r="E100" s="7"/>
      <c r="F100" s="7"/>
      <c r="G100" s="7"/>
      <c r="H100" s="28" t="s">
        <v>107</v>
      </c>
      <c r="I100" s="28">
        <f>I99+I98</f>
        <v>1095</v>
      </c>
      <c r="J100" s="3">
        <f>$K$100/$I$100</f>
        <v>2515.6776438356164</v>
      </c>
      <c r="K100" s="3">
        <f>K98+K99</f>
        <v>2754667.02</v>
      </c>
    </row>
    <row r="101" spans="2:11" x14ac:dyDescent="0.25">
      <c r="B101" s="7"/>
      <c r="C101" s="7"/>
      <c r="D101" s="7"/>
      <c r="E101" s="7"/>
      <c r="F101" s="7"/>
      <c r="G101" s="7"/>
      <c r="H101" s="28" t="s">
        <v>88</v>
      </c>
      <c r="I101" s="28">
        <v>975</v>
      </c>
      <c r="J101" s="3">
        <f t="shared" ref="J101:J102" si="39">$K$100/$I$100</f>
        <v>2515.6776438356164</v>
      </c>
      <c r="K101" s="3">
        <f>I101*J101</f>
        <v>2452785.7027397258</v>
      </c>
    </row>
    <row r="102" spans="2:11" x14ac:dyDescent="0.25">
      <c r="B102" s="7"/>
      <c r="C102" s="7"/>
      <c r="D102" s="7"/>
      <c r="E102" s="7"/>
      <c r="F102" s="7"/>
      <c r="G102" s="7"/>
      <c r="H102" s="28" t="s">
        <v>78</v>
      </c>
      <c r="I102" s="28">
        <v>120</v>
      </c>
      <c r="J102" s="3">
        <f t="shared" si="39"/>
        <v>2515.6776438356164</v>
      </c>
      <c r="K102" s="3">
        <f>I102*J102</f>
        <v>301881.31726027397</v>
      </c>
    </row>
    <row r="103" spans="2:11" x14ac:dyDescent="0.25">
      <c r="B103" s="7"/>
      <c r="C103" s="7"/>
      <c r="D103" s="7"/>
      <c r="E103" s="7"/>
      <c r="F103" s="7"/>
      <c r="G103" s="7"/>
      <c r="H103" s="7"/>
      <c r="I103" s="7"/>
      <c r="J103" s="5"/>
      <c r="K103" s="5"/>
    </row>
    <row r="104" spans="2:11" x14ac:dyDescent="0.25">
      <c r="B104" s="7"/>
      <c r="C104" s="7"/>
      <c r="D104" s="7"/>
      <c r="E104" s="7"/>
      <c r="F104" s="7"/>
      <c r="G104" s="7"/>
      <c r="H104" s="7"/>
      <c r="I104" s="7"/>
      <c r="J104" s="5"/>
      <c r="K104" s="5"/>
    </row>
    <row r="105" spans="2:11" x14ac:dyDescent="0.25">
      <c r="B105" s="7"/>
      <c r="C105" s="7"/>
      <c r="D105" s="7"/>
      <c r="E105" s="7"/>
      <c r="F105" s="7"/>
      <c r="G105" s="7"/>
      <c r="H105" s="7"/>
      <c r="I105" s="7"/>
      <c r="J105" s="5"/>
      <c r="K105" s="5"/>
    </row>
    <row r="106" spans="2:11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2:1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2:11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2:11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2:11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2:11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2:11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2:11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2:11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2:1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2:1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2:11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2:11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2:1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2:1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</row>
  </sheetData>
  <mergeCells count="1">
    <mergeCell ref="J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9370-0EA5-45E6-87C6-321986050750}">
  <dimension ref="A1:E72"/>
  <sheetViews>
    <sheetView zoomScale="158" workbookViewId="0">
      <selection activeCell="F37" sqref="F37"/>
    </sheetView>
  </sheetViews>
  <sheetFormatPr baseColWidth="10" defaultRowHeight="15" x14ac:dyDescent="0.25"/>
  <cols>
    <col min="1" max="1" width="46.42578125" bestFit="1" customWidth="1"/>
    <col min="2" max="2" width="12.140625" bestFit="1" customWidth="1"/>
    <col min="3" max="3" width="13.5703125" bestFit="1" customWidth="1"/>
    <col min="4" max="4" width="15" bestFit="1" customWidth="1"/>
    <col min="5" max="5" width="13.5703125" bestFit="1" customWidth="1"/>
  </cols>
  <sheetData>
    <row r="1" spans="1:5" ht="15.75" thickBot="1" x14ac:dyDescent="0.3">
      <c r="A1" s="36"/>
      <c r="B1" s="37" t="s">
        <v>109</v>
      </c>
      <c r="C1" s="37" t="s">
        <v>110</v>
      </c>
      <c r="D1" s="37" t="s">
        <v>111</v>
      </c>
      <c r="E1" s="37" t="s">
        <v>64</v>
      </c>
    </row>
    <row r="2" spans="1:5" x14ac:dyDescent="0.25">
      <c r="A2" s="38" t="s">
        <v>112</v>
      </c>
      <c r="B2" s="39">
        <v>600000</v>
      </c>
      <c r="C2" s="39">
        <v>700000</v>
      </c>
      <c r="D2" s="39">
        <v>1592500</v>
      </c>
      <c r="E2" s="39">
        <v>2892500</v>
      </c>
    </row>
    <row r="3" spans="1:5" x14ac:dyDescent="0.25">
      <c r="A3" s="38" t="s">
        <v>113</v>
      </c>
      <c r="B3" s="39">
        <v>155000</v>
      </c>
      <c r="C3" s="39">
        <v>187500</v>
      </c>
      <c r="D3" s="39">
        <v>497500</v>
      </c>
      <c r="E3" s="39">
        <v>840000</v>
      </c>
    </row>
    <row r="4" spans="1:5" x14ac:dyDescent="0.25">
      <c r="A4" s="38" t="s">
        <v>114</v>
      </c>
      <c r="B4" s="39">
        <v>325000</v>
      </c>
      <c r="C4" s="39">
        <v>362500</v>
      </c>
      <c r="D4" s="39">
        <v>840000</v>
      </c>
      <c r="E4" s="39" t="s">
        <v>115</v>
      </c>
    </row>
    <row r="5" spans="1:5" ht="15.75" thickBot="1" x14ac:dyDescent="0.3">
      <c r="A5" s="38" t="s">
        <v>116</v>
      </c>
      <c r="B5" s="39">
        <v>125000</v>
      </c>
      <c r="C5" s="39">
        <v>112500</v>
      </c>
      <c r="D5" s="39">
        <v>240000</v>
      </c>
      <c r="E5" s="39">
        <v>477500</v>
      </c>
    </row>
    <row r="6" spans="1:5" ht="15.75" thickBot="1" x14ac:dyDescent="0.3">
      <c r="A6" s="40" t="s">
        <v>117</v>
      </c>
      <c r="B6" s="41">
        <v>120000</v>
      </c>
      <c r="C6" s="41">
        <v>150000</v>
      </c>
      <c r="D6" s="41">
        <v>255000</v>
      </c>
      <c r="E6" s="41">
        <v>525000</v>
      </c>
    </row>
    <row r="7" spans="1:5" x14ac:dyDescent="0.25">
      <c r="A7" s="40" t="s">
        <v>118</v>
      </c>
      <c r="B7" s="41" t="s">
        <v>119</v>
      </c>
      <c r="C7" s="41" t="s">
        <v>120</v>
      </c>
      <c r="D7" s="41" t="s">
        <v>121</v>
      </c>
      <c r="E7" s="41">
        <v>75000</v>
      </c>
    </row>
    <row r="8" spans="1:5" x14ac:dyDescent="0.25">
      <c r="A8" s="38" t="s">
        <v>122</v>
      </c>
      <c r="B8" s="39">
        <v>102000</v>
      </c>
      <c r="C8" s="39">
        <v>129000</v>
      </c>
      <c r="D8" s="39">
        <v>219000</v>
      </c>
      <c r="E8" s="39">
        <v>450000</v>
      </c>
    </row>
    <row r="9" spans="1:5" ht="15.75" thickBot="1" x14ac:dyDescent="0.3">
      <c r="A9" s="38" t="s">
        <v>123</v>
      </c>
      <c r="B9" s="39" t="s">
        <v>124</v>
      </c>
      <c r="C9" s="39" t="s">
        <v>125</v>
      </c>
      <c r="D9" s="39" t="s">
        <v>126</v>
      </c>
      <c r="E9" s="39">
        <v>150000</v>
      </c>
    </row>
    <row r="10" spans="1:5" ht="15.75" thickBot="1" x14ac:dyDescent="0.3">
      <c r="A10" s="40" t="s">
        <v>127</v>
      </c>
      <c r="B10" s="41">
        <v>68000</v>
      </c>
      <c r="C10" s="41">
        <v>86000</v>
      </c>
      <c r="D10" s="41">
        <v>146000</v>
      </c>
      <c r="E10" s="41">
        <v>300000</v>
      </c>
    </row>
    <row r="11" spans="1:5" x14ac:dyDescent="0.25">
      <c r="A11" s="40" t="s">
        <v>128</v>
      </c>
      <c r="B11" s="41">
        <v>175000</v>
      </c>
      <c r="C11" s="41">
        <v>575000</v>
      </c>
      <c r="D11" s="41">
        <v>750000</v>
      </c>
      <c r="E11" s="41">
        <v>1500000</v>
      </c>
    </row>
    <row r="12" spans="1:5" x14ac:dyDescent="0.25">
      <c r="A12" s="38" t="s">
        <v>129</v>
      </c>
      <c r="B12" s="39">
        <v>300000</v>
      </c>
      <c r="C12" s="39">
        <v>350000</v>
      </c>
      <c r="D12" s="39">
        <v>600000</v>
      </c>
      <c r="E12" s="39">
        <v>1250000</v>
      </c>
    </row>
    <row r="13" spans="1:5" ht="15.75" thickBot="1" x14ac:dyDescent="0.3">
      <c r="A13" s="38" t="s">
        <v>130</v>
      </c>
      <c r="B13" s="39">
        <v>25000</v>
      </c>
      <c r="C13" s="39">
        <v>75000</v>
      </c>
      <c r="D13" s="39">
        <v>150000</v>
      </c>
      <c r="E13" s="39">
        <v>250000</v>
      </c>
    </row>
    <row r="14" spans="1:5" ht="15.75" thickBot="1" x14ac:dyDescent="0.3">
      <c r="A14" s="40" t="s">
        <v>131</v>
      </c>
      <c r="B14" s="41" t="s">
        <v>132</v>
      </c>
      <c r="C14" s="41" t="s">
        <v>133</v>
      </c>
      <c r="D14" s="41" t="s">
        <v>134</v>
      </c>
      <c r="E14" s="41">
        <v>3000000</v>
      </c>
    </row>
    <row r="15" spans="1:5" x14ac:dyDescent="0.25">
      <c r="A15" s="40" t="s">
        <v>135</v>
      </c>
      <c r="B15" s="41">
        <v>300000</v>
      </c>
      <c r="C15" s="41">
        <v>750000</v>
      </c>
      <c r="D15" s="41">
        <v>1200000</v>
      </c>
      <c r="E15" s="41">
        <v>2250000</v>
      </c>
    </row>
    <row r="16" spans="1:5" x14ac:dyDescent="0.25">
      <c r="A16" s="38" t="s">
        <v>136</v>
      </c>
      <c r="B16" s="39">
        <v>200000</v>
      </c>
      <c r="C16" s="39">
        <v>250000</v>
      </c>
      <c r="D16" s="39">
        <v>300000</v>
      </c>
      <c r="E16" s="39">
        <v>750000</v>
      </c>
    </row>
    <row r="17" spans="1:5" ht="15.75" thickBot="1" x14ac:dyDescent="0.3">
      <c r="A17" s="38" t="s">
        <v>137</v>
      </c>
      <c r="B17" s="39">
        <v>20000</v>
      </c>
      <c r="C17" s="39">
        <v>50000</v>
      </c>
      <c r="D17" s="39">
        <v>50000</v>
      </c>
      <c r="E17" s="39">
        <v>120000</v>
      </c>
    </row>
    <row r="18" spans="1:5" ht="15.75" thickBot="1" x14ac:dyDescent="0.3">
      <c r="A18" s="42" t="s">
        <v>138</v>
      </c>
      <c r="B18" s="43">
        <v>500000</v>
      </c>
      <c r="C18" s="43">
        <v>1000000</v>
      </c>
      <c r="D18" s="43">
        <v>1500000</v>
      </c>
      <c r="E18" s="43">
        <v>3000000</v>
      </c>
    </row>
    <row r="20" spans="1:5" ht="16.5" thickBot="1" x14ac:dyDescent="0.3">
      <c r="A20" s="44" t="s">
        <v>139</v>
      </c>
    </row>
    <row r="21" spans="1:5" ht="15.75" thickBot="1" x14ac:dyDescent="0.3">
      <c r="B21" s="64" t="s">
        <v>109</v>
      </c>
      <c r="C21" s="65" t="s">
        <v>110</v>
      </c>
      <c r="D21" s="65" t="s">
        <v>111</v>
      </c>
      <c r="E21" s="66" t="s">
        <v>64</v>
      </c>
    </row>
    <row r="22" spans="1:5" x14ac:dyDescent="0.25">
      <c r="A22" s="1" t="s">
        <v>140</v>
      </c>
      <c r="B22" s="63">
        <f>B6+B5</f>
        <v>245000</v>
      </c>
      <c r="C22" s="63">
        <f t="shared" ref="C22:E22" si="0">C6+C5</f>
        <v>262500</v>
      </c>
      <c r="D22" s="63">
        <f t="shared" si="0"/>
        <v>495000</v>
      </c>
      <c r="E22" s="63">
        <f t="shared" si="0"/>
        <v>1002500</v>
      </c>
    </row>
    <row r="23" spans="1:5" x14ac:dyDescent="0.25">
      <c r="A23" s="1" t="s">
        <v>87</v>
      </c>
      <c r="B23" s="55">
        <f>B2</f>
        <v>600000</v>
      </c>
      <c r="C23" s="55">
        <f t="shared" ref="C23:E23" si="1">C2</f>
        <v>700000</v>
      </c>
      <c r="D23" s="55">
        <f t="shared" si="1"/>
        <v>1592500</v>
      </c>
      <c r="E23" s="55">
        <f t="shared" si="1"/>
        <v>2892500</v>
      </c>
    </row>
    <row r="24" spans="1:5" x14ac:dyDescent="0.25">
      <c r="A24" s="1" t="s">
        <v>141</v>
      </c>
      <c r="B24" s="56">
        <f>B22/B23</f>
        <v>0.40833333333333333</v>
      </c>
      <c r="C24" s="56">
        <f t="shared" ref="C24:E24" si="2">C22/C23</f>
        <v>0.375</v>
      </c>
      <c r="D24" s="56">
        <f t="shared" si="2"/>
        <v>0.31083202511773939</v>
      </c>
      <c r="E24" s="56">
        <f t="shared" si="2"/>
        <v>0.34658599827139153</v>
      </c>
    </row>
    <row r="27" spans="1:5" ht="16.5" thickBot="1" x14ac:dyDescent="0.3">
      <c r="A27" s="44" t="s">
        <v>142</v>
      </c>
    </row>
    <row r="28" spans="1:5" ht="15.75" thickBot="1" x14ac:dyDescent="0.3">
      <c r="B28" s="36" t="s">
        <v>109</v>
      </c>
      <c r="C28" s="37" t="s">
        <v>110</v>
      </c>
      <c r="D28" s="37" t="s">
        <v>111</v>
      </c>
      <c r="E28" s="37" t="s">
        <v>64</v>
      </c>
    </row>
    <row r="29" spans="1:5" x14ac:dyDescent="0.25">
      <c r="A29" s="1" t="s">
        <v>143</v>
      </c>
      <c r="B29" s="63">
        <f>B8</f>
        <v>102000</v>
      </c>
      <c r="C29" s="63">
        <f t="shared" ref="C29:E29" si="3">C8</f>
        <v>129000</v>
      </c>
      <c r="D29" s="63">
        <f t="shared" si="3"/>
        <v>219000</v>
      </c>
      <c r="E29" s="63">
        <f t="shared" si="3"/>
        <v>450000</v>
      </c>
    </row>
    <row r="30" spans="1:5" x14ac:dyDescent="0.25">
      <c r="A30" s="1" t="s">
        <v>144</v>
      </c>
      <c r="B30" s="55">
        <f>B29*0.6666666</f>
        <v>67999.993199999997</v>
      </c>
      <c r="C30" s="55">
        <f>C29*0.666666666</f>
        <v>85999.999914</v>
      </c>
      <c r="D30" s="55">
        <f>D29*0.66666666</f>
        <v>145999.99854</v>
      </c>
      <c r="E30" s="55">
        <f>E29*0.66666</f>
        <v>299997</v>
      </c>
    </row>
    <row r="31" spans="1:5" x14ac:dyDescent="0.25">
      <c r="A31" s="1" t="s">
        <v>87</v>
      </c>
      <c r="B31" s="55">
        <f>B2</f>
        <v>600000</v>
      </c>
      <c r="C31" s="55">
        <f t="shared" ref="C31:E31" si="4">C2</f>
        <v>700000</v>
      </c>
      <c r="D31" s="55">
        <f t="shared" si="4"/>
        <v>1592500</v>
      </c>
      <c r="E31" s="55">
        <f t="shared" si="4"/>
        <v>2892500</v>
      </c>
    </row>
    <row r="32" spans="1:5" x14ac:dyDescent="0.25">
      <c r="A32" s="1" t="s">
        <v>141</v>
      </c>
      <c r="B32" s="56">
        <f>B30/B31</f>
        <v>0.113333322</v>
      </c>
      <c r="C32" s="56">
        <f t="shared" ref="C32:E32" si="5">C30/C31</f>
        <v>0.12285714273428572</v>
      </c>
      <c r="D32" s="56">
        <f t="shared" si="5"/>
        <v>9.1679747905808476E-2</v>
      </c>
      <c r="E32" s="56">
        <f t="shared" si="5"/>
        <v>0.10371547104580812</v>
      </c>
    </row>
    <row r="34" spans="1:5" ht="16.5" thickBot="1" x14ac:dyDescent="0.3">
      <c r="A34" s="44" t="s">
        <v>145</v>
      </c>
    </row>
    <row r="35" spans="1:5" ht="15.75" thickBot="1" x14ac:dyDescent="0.3">
      <c r="B35" s="36" t="s">
        <v>109</v>
      </c>
      <c r="C35" s="37" t="s">
        <v>110</v>
      </c>
      <c r="D35" s="37" t="s">
        <v>111</v>
      </c>
      <c r="E35" s="37" t="s">
        <v>64</v>
      </c>
    </row>
    <row r="36" spans="1:5" x14ac:dyDescent="0.25">
      <c r="A36" s="1" t="s">
        <v>146</v>
      </c>
      <c r="B36" s="61">
        <f>B10</f>
        <v>68000</v>
      </c>
      <c r="C36" s="61">
        <f t="shared" ref="C36:E36" si="6">C10</f>
        <v>86000</v>
      </c>
      <c r="D36" s="61">
        <f t="shared" si="6"/>
        <v>146000</v>
      </c>
      <c r="E36" s="61">
        <f t="shared" si="6"/>
        <v>300000</v>
      </c>
    </row>
    <row r="37" spans="1:5" x14ac:dyDescent="0.25">
      <c r="A37" s="1" t="s">
        <v>147</v>
      </c>
      <c r="B37" s="2">
        <f>B18</f>
        <v>500000</v>
      </c>
      <c r="C37" s="2">
        <f t="shared" ref="C37:E37" si="7">C18</f>
        <v>1000000</v>
      </c>
      <c r="D37" s="2">
        <f t="shared" si="7"/>
        <v>1500000</v>
      </c>
      <c r="E37" s="2">
        <f t="shared" si="7"/>
        <v>3000000</v>
      </c>
    </row>
    <row r="38" spans="1:5" x14ac:dyDescent="0.25">
      <c r="A38" s="1" t="s">
        <v>141</v>
      </c>
      <c r="B38" s="56">
        <f>B36/B37</f>
        <v>0.13600000000000001</v>
      </c>
      <c r="C38" s="56">
        <f t="shared" ref="C38:E38" si="8">C36/C37</f>
        <v>8.5999999999999993E-2</v>
      </c>
      <c r="D38" s="56">
        <f t="shared" si="8"/>
        <v>9.7333333333333327E-2</v>
      </c>
      <c r="E38" s="56">
        <f t="shared" si="8"/>
        <v>0.1</v>
      </c>
    </row>
    <row r="40" spans="1:5" ht="16.5" thickBot="1" x14ac:dyDescent="0.3">
      <c r="A40" s="45" t="s">
        <v>148</v>
      </c>
    </row>
    <row r="41" spans="1:5" ht="15.75" thickBot="1" x14ac:dyDescent="0.3">
      <c r="A41" s="46"/>
      <c r="B41" s="36" t="s">
        <v>109</v>
      </c>
      <c r="C41" s="37" t="s">
        <v>110</v>
      </c>
      <c r="D41" s="37" t="s">
        <v>111</v>
      </c>
      <c r="E41" s="37" t="s">
        <v>64</v>
      </c>
    </row>
    <row r="42" spans="1:5" x14ac:dyDescent="0.25">
      <c r="A42" s="47" t="s">
        <v>117</v>
      </c>
      <c r="B42" s="48">
        <f>B6</f>
        <v>120000</v>
      </c>
      <c r="C42" s="48">
        <f t="shared" ref="C42:E42" si="9">C6</f>
        <v>150000</v>
      </c>
      <c r="D42" s="48">
        <f t="shared" si="9"/>
        <v>255000</v>
      </c>
      <c r="E42" s="48">
        <f t="shared" si="9"/>
        <v>525000</v>
      </c>
    </row>
    <row r="43" spans="1:5" x14ac:dyDescent="0.25">
      <c r="A43" s="47" t="s">
        <v>149</v>
      </c>
      <c r="B43" s="48">
        <f>B42*0.6666666</f>
        <v>79999.991999999998</v>
      </c>
      <c r="C43" s="48">
        <f t="shared" ref="C43:E43" si="10">C42*0.6666666</f>
        <v>99999.99</v>
      </c>
      <c r="D43" s="48">
        <f t="shared" si="10"/>
        <v>169999.98300000001</v>
      </c>
      <c r="E43" s="48">
        <f t="shared" si="10"/>
        <v>349999.96500000003</v>
      </c>
    </row>
    <row r="44" spans="1:5" x14ac:dyDescent="0.25">
      <c r="A44" s="47" t="s">
        <v>138</v>
      </c>
      <c r="B44" s="48">
        <f>B37</f>
        <v>500000</v>
      </c>
      <c r="C44" s="48">
        <f t="shared" ref="C44:E44" si="11">C37</f>
        <v>1000000</v>
      </c>
      <c r="D44" s="48">
        <f t="shared" si="11"/>
        <v>1500000</v>
      </c>
      <c r="E44" s="48">
        <f t="shared" si="11"/>
        <v>3000000</v>
      </c>
    </row>
    <row r="45" spans="1:5" x14ac:dyDescent="0.25">
      <c r="A45" s="47" t="s">
        <v>150</v>
      </c>
      <c r="B45" s="48">
        <f>B13</f>
        <v>25000</v>
      </c>
      <c r="C45" s="48">
        <f t="shared" ref="C45:E45" si="12">C13</f>
        <v>75000</v>
      </c>
      <c r="D45" s="48">
        <f t="shared" si="12"/>
        <v>150000</v>
      </c>
      <c r="E45" s="48">
        <f t="shared" si="12"/>
        <v>250000</v>
      </c>
    </row>
    <row r="46" spans="1:5" x14ac:dyDescent="0.25">
      <c r="A46" s="47" t="s">
        <v>151</v>
      </c>
      <c r="B46" s="48">
        <f>B11+B12-B17</f>
        <v>455000</v>
      </c>
      <c r="C46" s="48">
        <f t="shared" ref="C46:E46" si="13">C11+C12-C17</f>
        <v>875000</v>
      </c>
      <c r="D46" s="48">
        <f t="shared" si="13"/>
        <v>1300000</v>
      </c>
      <c r="E46" s="48">
        <f t="shared" si="13"/>
        <v>2630000</v>
      </c>
    </row>
    <row r="47" spans="1:5" x14ac:dyDescent="0.25">
      <c r="A47" s="47" t="s">
        <v>152</v>
      </c>
      <c r="B47" s="49">
        <f>B43/B46</f>
        <v>0.17582415824175823</v>
      </c>
      <c r="C47" s="49">
        <f t="shared" ref="C47:E47" si="14">C43/C46</f>
        <v>0.11428570285714286</v>
      </c>
      <c r="D47" s="49">
        <f t="shared" si="14"/>
        <v>0.1307692176923077</v>
      </c>
      <c r="E47" s="49">
        <f t="shared" si="14"/>
        <v>0.13307983460076048</v>
      </c>
    </row>
    <row r="49" spans="1:5" ht="15.75" x14ac:dyDescent="0.25">
      <c r="A49" s="44" t="s">
        <v>153</v>
      </c>
    </row>
    <row r="51" spans="1:5" ht="15.75" x14ac:dyDescent="0.25">
      <c r="A51" s="57" t="s">
        <v>154</v>
      </c>
      <c r="B51" s="58">
        <f>B10/B11</f>
        <v>0.38857142857142857</v>
      </c>
      <c r="C51" s="58">
        <f t="shared" ref="C51:E51" si="15">C10/C11</f>
        <v>0.14956521739130435</v>
      </c>
      <c r="D51" s="58">
        <f t="shared" si="15"/>
        <v>0.19466666666666665</v>
      </c>
      <c r="E51" s="58">
        <f t="shared" si="15"/>
        <v>0.2</v>
      </c>
    </row>
    <row r="52" spans="1:5" ht="15.75" x14ac:dyDescent="0.25">
      <c r="A52" s="50"/>
      <c r="B52" s="50"/>
      <c r="C52" s="50"/>
    </row>
    <row r="53" spans="1:5" ht="15.75" x14ac:dyDescent="0.25">
      <c r="A53" s="57" t="s">
        <v>155</v>
      </c>
      <c r="B53" s="58">
        <f>B10/B2</f>
        <v>0.11333333333333333</v>
      </c>
      <c r="C53" s="58">
        <f t="shared" ref="C53:E53" si="16">C10/C2</f>
        <v>0.12285714285714286</v>
      </c>
      <c r="D53" s="58">
        <f t="shared" si="16"/>
        <v>9.1679748822605961E-2</v>
      </c>
      <c r="E53" s="58">
        <f t="shared" si="16"/>
        <v>0.10371650821089023</v>
      </c>
    </row>
    <row r="54" spans="1:5" ht="15.75" x14ac:dyDescent="0.25">
      <c r="A54" s="57" t="s">
        <v>156</v>
      </c>
      <c r="B54" s="58">
        <f>B2/B18</f>
        <v>1.2</v>
      </c>
      <c r="C54" s="58">
        <f t="shared" ref="C54:E54" si="17">C2/C18</f>
        <v>0.7</v>
      </c>
      <c r="D54" s="58">
        <f t="shared" si="17"/>
        <v>1.0616666666666668</v>
      </c>
      <c r="E54" s="58">
        <f t="shared" si="17"/>
        <v>0.96416666666666662</v>
      </c>
    </row>
    <row r="55" spans="1:5" ht="15.75" x14ac:dyDescent="0.25">
      <c r="A55" s="57" t="s">
        <v>157</v>
      </c>
      <c r="B55" s="59">
        <f>B18/B11</f>
        <v>2.8571428571428572</v>
      </c>
      <c r="C55" s="59">
        <f t="shared" ref="C55:E55" si="18">C18/C11</f>
        <v>1.7391304347826086</v>
      </c>
      <c r="D55" s="57">
        <f t="shared" si="18"/>
        <v>2</v>
      </c>
      <c r="E55" s="57">
        <f t="shared" si="18"/>
        <v>2</v>
      </c>
    </row>
    <row r="57" spans="1:5" ht="15.75" x14ac:dyDescent="0.25">
      <c r="A57" s="45" t="s">
        <v>158</v>
      </c>
    </row>
    <row r="58" spans="1:5" ht="15.75" thickBot="1" x14ac:dyDescent="0.3"/>
    <row r="59" spans="1:5" ht="15.75" thickBot="1" x14ac:dyDescent="0.3">
      <c r="B59" s="36" t="s">
        <v>109</v>
      </c>
      <c r="C59" s="37" t="s">
        <v>110</v>
      </c>
      <c r="D59" s="37" t="s">
        <v>111</v>
      </c>
      <c r="E59" s="37" t="s">
        <v>64</v>
      </c>
    </row>
    <row r="60" spans="1:5" x14ac:dyDescent="0.25">
      <c r="A60" s="1" t="s">
        <v>159</v>
      </c>
      <c r="B60" s="61">
        <f>B12</f>
        <v>300000</v>
      </c>
      <c r="C60" s="61">
        <f t="shared" ref="C60:E60" si="19">C12</f>
        <v>350000</v>
      </c>
      <c r="D60" s="61">
        <f t="shared" si="19"/>
        <v>600000</v>
      </c>
      <c r="E60" s="61">
        <f t="shared" si="19"/>
        <v>1250000</v>
      </c>
    </row>
    <row r="61" spans="1:5" x14ac:dyDescent="0.25">
      <c r="A61" s="1" t="s">
        <v>160</v>
      </c>
      <c r="B61" s="1">
        <f>B60/B60*(1-0.3333333)</f>
        <v>0.66666669999999995</v>
      </c>
      <c r="C61" s="1">
        <f t="shared" ref="C61:E61" si="20">C60/C60*(1-0.3333333)</f>
        <v>0.66666669999999995</v>
      </c>
      <c r="D61" s="1">
        <f t="shared" si="20"/>
        <v>0.66666669999999995</v>
      </c>
      <c r="E61" s="1">
        <f t="shared" si="20"/>
        <v>0.66666669999999995</v>
      </c>
    </row>
    <row r="62" spans="1:5" x14ac:dyDescent="0.25">
      <c r="A62" s="1" t="s">
        <v>72</v>
      </c>
      <c r="B62" s="2">
        <f>B11</f>
        <v>175000</v>
      </c>
      <c r="C62" s="2">
        <f t="shared" ref="C62:E62" si="21">C11</f>
        <v>575000</v>
      </c>
      <c r="D62" s="2">
        <f t="shared" si="21"/>
        <v>750000</v>
      </c>
      <c r="E62" s="2">
        <f t="shared" si="21"/>
        <v>1500000</v>
      </c>
    </row>
    <row r="63" spans="1:5" x14ac:dyDescent="0.25">
      <c r="A63" s="1" t="s">
        <v>161</v>
      </c>
      <c r="B63" s="60">
        <v>0.15</v>
      </c>
      <c r="C63" s="60">
        <v>0.15</v>
      </c>
      <c r="D63" s="60">
        <v>0.15</v>
      </c>
      <c r="E63" s="60">
        <v>0.15</v>
      </c>
    </row>
    <row r="64" spans="1:5" x14ac:dyDescent="0.25">
      <c r="A64" s="1" t="s">
        <v>162</v>
      </c>
      <c r="B64" s="60">
        <v>0.05</v>
      </c>
      <c r="C64" s="60">
        <v>0.05</v>
      </c>
      <c r="D64" s="60">
        <v>0.05</v>
      </c>
      <c r="E64" s="60">
        <v>0.05</v>
      </c>
    </row>
    <row r="67" spans="1:5" ht="15.75" thickBot="1" x14ac:dyDescent="0.3">
      <c r="A67" s="51" t="s">
        <v>163</v>
      </c>
    </row>
    <row r="68" spans="1:5" ht="15.75" thickBot="1" x14ac:dyDescent="0.3">
      <c r="A68" s="62"/>
      <c r="B68" s="36" t="s">
        <v>109</v>
      </c>
      <c r="C68" s="37" t="s">
        <v>110</v>
      </c>
      <c r="D68" s="37" t="s">
        <v>111</v>
      </c>
      <c r="E68" s="37" t="s">
        <v>64</v>
      </c>
    </row>
    <row r="69" spans="1:5" x14ac:dyDescent="0.25">
      <c r="A69" s="52" t="s">
        <v>164</v>
      </c>
      <c r="B69" s="48">
        <f>B43</f>
        <v>79999.991999999998</v>
      </c>
      <c r="C69" s="48">
        <f t="shared" ref="C69:E69" si="22">C43</f>
        <v>99999.99</v>
      </c>
      <c r="D69" s="48">
        <f t="shared" si="22"/>
        <v>169999.98300000001</v>
      </c>
      <c r="E69" s="48">
        <f t="shared" si="22"/>
        <v>349999.96500000003</v>
      </c>
    </row>
    <row r="70" spans="1:5" x14ac:dyDescent="0.25">
      <c r="A70" s="52" t="s">
        <v>162</v>
      </c>
      <c r="B70" s="53">
        <v>0.05</v>
      </c>
      <c r="C70" s="53">
        <v>0.05</v>
      </c>
      <c r="D70" s="53">
        <v>0.05</v>
      </c>
      <c r="E70" s="53">
        <v>0.05</v>
      </c>
    </row>
    <row r="71" spans="1:5" x14ac:dyDescent="0.25">
      <c r="A71" s="52" t="s">
        <v>165</v>
      </c>
      <c r="B71" s="48">
        <f>B18-B13-B17</f>
        <v>455000</v>
      </c>
      <c r="C71" s="48">
        <f t="shared" ref="C71:E71" si="23">C18-C13-C17</f>
        <v>875000</v>
      </c>
      <c r="D71" s="48">
        <f t="shared" si="23"/>
        <v>1300000</v>
      </c>
      <c r="E71" s="48">
        <f t="shared" si="23"/>
        <v>2630000</v>
      </c>
    </row>
    <row r="72" spans="1:5" x14ac:dyDescent="0.25">
      <c r="A72" s="52" t="s">
        <v>166</v>
      </c>
      <c r="B72" s="54">
        <f>B69-B71*B70</f>
        <v>57249.991999999998</v>
      </c>
      <c r="C72" s="54">
        <f t="shared" ref="C72:E72" si="24">C69-C71*C70</f>
        <v>56249.990000000005</v>
      </c>
      <c r="D72" s="54">
        <f t="shared" si="24"/>
        <v>104999.98300000001</v>
      </c>
      <c r="E72" s="54">
        <f t="shared" si="24"/>
        <v>218499.96500000003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E5E6-CF66-41DD-ADAE-60557C14687F}">
  <dimension ref="A1:K126"/>
  <sheetViews>
    <sheetView tabSelected="1" topLeftCell="A88" zoomScale="174" zoomScaleNormal="115" workbookViewId="0">
      <selection sqref="A1:XFD1048576"/>
    </sheetView>
  </sheetViews>
  <sheetFormatPr baseColWidth="10" defaultRowHeight="15" x14ac:dyDescent="0.25"/>
  <cols>
    <col min="1" max="1" width="47.85546875" style="8" customWidth="1"/>
    <col min="2" max="10" width="11.42578125" style="8"/>
    <col min="11" max="11" width="22.42578125" style="8" customWidth="1"/>
    <col min="12" max="16384" width="11.42578125" style="8"/>
  </cols>
  <sheetData>
    <row r="1" spans="1:11" ht="21" x14ac:dyDescent="0.35">
      <c r="A1" s="75" t="s">
        <v>167</v>
      </c>
    </row>
    <row r="3" spans="1:11" ht="18.75" x14ac:dyDescent="0.25">
      <c r="A3" s="25" t="s">
        <v>168</v>
      </c>
    </row>
    <row r="5" spans="1:11" x14ac:dyDescent="0.25">
      <c r="A5" s="76"/>
      <c r="B5" s="77" t="s">
        <v>169</v>
      </c>
      <c r="C5" s="78"/>
      <c r="D5" s="79"/>
      <c r="E5" s="77" t="s">
        <v>170</v>
      </c>
      <c r="F5" s="78"/>
      <c r="G5" s="79"/>
      <c r="H5" s="80" t="s">
        <v>171</v>
      </c>
      <c r="I5" s="81"/>
      <c r="J5" s="81"/>
      <c r="K5" s="81"/>
    </row>
    <row r="6" spans="1:11" x14ac:dyDescent="0.25">
      <c r="A6" s="82" t="s">
        <v>172</v>
      </c>
      <c r="B6" s="83">
        <v>2000</v>
      </c>
      <c r="C6" s="8">
        <v>100</v>
      </c>
      <c r="D6" s="84">
        <f>B6*C6</f>
        <v>200000</v>
      </c>
      <c r="E6" s="83">
        <v>4000</v>
      </c>
      <c r="F6" s="8">
        <v>120</v>
      </c>
      <c r="G6" s="84">
        <f>E6*F6</f>
        <v>480000</v>
      </c>
      <c r="H6" s="84">
        <f>D6+G6</f>
        <v>680000</v>
      </c>
    </row>
    <row r="7" spans="1:11" x14ac:dyDescent="0.25">
      <c r="A7" s="82" t="s">
        <v>173</v>
      </c>
      <c r="B7" s="83">
        <f>B6</f>
        <v>2000</v>
      </c>
      <c r="C7" s="8">
        <v>68</v>
      </c>
      <c r="D7" s="85">
        <f>B7*C7</f>
        <v>136000</v>
      </c>
      <c r="E7" s="83">
        <f>E6</f>
        <v>4000</v>
      </c>
      <c r="F7" s="8">
        <v>84</v>
      </c>
      <c r="G7" s="85">
        <f>E7*F7</f>
        <v>336000</v>
      </c>
      <c r="H7" s="85">
        <f>D7+G7</f>
        <v>472000</v>
      </c>
    </row>
    <row r="8" spans="1:11" x14ac:dyDescent="0.25">
      <c r="A8" s="82" t="s">
        <v>174</v>
      </c>
      <c r="B8" s="83"/>
      <c r="D8" s="85"/>
      <c r="E8" s="83"/>
      <c r="G8" s="85"/>
      <c r="H8" s="85">
        <v>141000</v>
      </c>
    </row>
    <row r="9" spans="1:11" x14ac:dyDescent="0.25">
      <c r="A9" s="27" t="s">
        <v>99</v>
      </c>
      <c r="B9" s="86"/>
      <c r="C9" s="87"/>
      <c r="D9" s="88"/>
      <c r="E9" s="86"/>
      <c r="F9" s="87"/>
      <c r="G9" s="88"/>
      <c r="H9" s="88">
        <f>H6-H7-H8</f>
        <v>67000</v>
      </c>
    </row>
    <row r="11" spans="1:11" ht="18.75" x14ac:dyDescent="0.25">
      <c r="A11" s="25" t="s">
        <v>175</v>
      </c>
    </row>
    <row r="12" spans="1:11" x14ac:dyDescent="0.25">
      <c r="J12" s="8" t="s">
        <v>176</v>
      </c>
      <c r="K12" s="89">
        <f>-H9+H17</f>
        <v>-115280</v>
      </c>
    </row>
    <row r="13" spans="1:11" x14ac:dyDescent="0.25">
      <c r="A13" s="76"/>
      <c r="B13" s="78" t="s">
        <v>169</v>
      </c>
      <c r="C13" s="78"/>
      <c r="D13" s="78"/>
      <c r="E13" s="77" t="s">
        <v>170</v>
      </c>
      <c r="F13" s="78"/>
      <c r="G13" s="79"/>
      <c r="H13" s="76" t="s">
        <v>171</v>
      </c>
      <c r="I13" s="81"/>
      <c r="J13" s="90" t="s">
        <v>177</v>
      </c>
      <c r="K13" s="81"/>
    </row>
    <row r="14" spans="1:11" x14ac:dyDescent="0.25">
      <c r="A14" s="82" t="s">
        <v>172</v>
      </c>
      <c r="B14" s="8">
        <v>1500</v>
      </c>
      <c r="C14" s="8">
        <v>100</v>
      </c>
      <c r="D14" s="8">
        <f>B14*C14</f>
        <v>150000</v>
      </c>
      <c r="E14" s="83">
        <v>3000</v>
      </c>
      <c r="F14" s="8">
        <v>110</v>
      </c>
      <c r="G14" s="84">
        <f>E14*F14</f>
        <v>330000</v>
      </c>
      <c r="H14" s="82">
        <f>D14+G14</f>
        <v>480000</v>
      </c>
    </row>
    <row r="15" spans="1:11" x14ac:dyDescent="0.25">
      <c r="A15" s="82" t="s">
        <v>173</v>
      </c>
      <c r="B15" s="8">
        <f>B14</f>
        <v>1500</v>
      </c>
      <c r="C15" s="70">
        <v>75</v>
      </c>
      <c r="D15" s="70">
        <f>B15*C15</f>
        <v>112500</v>
      </c>
      <c r="E15" s="83">
        <f>E14</f>
        <v>3000</v>
      </c>
      <c r="F15" s="91">
        <v>94.01</v>
      </c>
      <c r="G15" s="85">
        <f>E15*F15</f>
        <v>282030</v>
      </c>
      <c r="H15" s="82">
        <f>D15+G15</f>
        <v>394530</v>
      </c>
    </row>
    <row r="16" spans="1:11" x14ac:dyDescent="0.25">
      <c r="A16" s="82" t="s">
        <v>174</v>
      </c>
      <c r="C16" s="92"/>
      <c r="D16" s="70"/>
      <c r="E16" s="83"/>
      <c r="F16" s="92"/>
      <c r="G16" s="85"/>
      <c r="H16" s="93">
        <v>133750</v>
      </c>
    </row>
    <row r="17" spans="1:11" x14ac:dyDescent="0.25">
      <c r="A17" s="94" t="s">
        <v>99</v>
      </c>
      <c r="B17" s="23"/>
      <c r="C17" s="95"/>
      <c r="D17" s="96"/>
      <c r="E17" s="97"/>
      <c r="F17" s="95"/>
      <c r="G17" s="98"/>
      <c r="H17" s="99">
        <f>H14-H15-H16</f>
        <v>-48280</v>
      </c>
    </row>
    <row r="20" spans="1:11" ht="21" x14ac:dyDescent="0.35">
      <c r="A20" s="75" t="s">
        <v>178</v>
      </c>
    </row>
    <row r="22" spans="1:11" ht="18.75" x14ac:dyDescent="0.25">
      <c r="A22" s="25" t="s">
        <v>179</v>
      </c>
    </row>
    <row r="24" spans="1:11" x14ac:dyDescent="0.25">
      <c r="A24" s="100" t="s">
        <v>180</v>
      </c>
    </row>
    <row r="26" spans="1:11" x14ac:dyDescent="0.25">
      <c r="A26" s="76"/>
      <c r="B26" s="77" t="s">
        <v>169</v>
      </c>
      <c r="C26" s="78"/>
      <c r="D26" s="79"/>
      <c r="E26" s="77" t="s">
        <v>170</v>
      </c>
      <c r="F26" s="78"/>
      <c r="G26" s="79"/>
      <c r="H26" s="80" t="s">
        <v>171</v>
      </c>
      <c r="I26" s="81"/>
      <c r="J26" s="81"/>
      <c r="K26" s="81"/>
    </row>
    <row r="27" spans="1:11" x14ac:dyDescent="0.25">
      <c r="A27" s="82"/>
      <c r="B27" s="101" t="s">
        <v>181</v>
      </c>
      <c r="C27" s="102" t="s">
        <v>182</v>
      </c>
      <c r="D27" s="103"/>
      <c r="E27" s="101" t="s">
        <v>181</v>
      </c>
      <c r="F27" s="102" t="s">
        <v>183</v>
      </c>
      <c r="G27" s="104"/>
      <c r="H27" s="84"/>
    </row>
    <row r="28" spans="1:11" x14ac:dyDescent="0.25">
      <c r="A28" s="82" t="s">
        <v>184</v>
      </c>
      <c r="B28" s="83">
        <f>B14</f>
        <v>1500</v>
      </c>
      <c r="C28" s="8">
        <f>C14</f>
        <v>100</v>
      </c>
      <c r="D28" s="84">
        <f>B28*C28</f>
        <v>150000</v>
      </c>
      <c r="E28" s="83">
        <f>E14</f>
        <v>3000</v>
      </c>
      <c r="F28" s="8">
        <f>F14</f>
        <v>110</v>
      </c>
      <c r="G28" s="84">
        <f>E28*F28</f>
        <v>330000</v>
      </c>
      <c r="H28" s="84">
        <f>D28+G28</f>
        <v>480000</v>
      </c>
    </row>
    <row r="29" spans="1:11" x14ac:dyDescent="0.25">
      <c r="A29" s="82"/>
      <c r="B29" s="101" t="s">
        <v>181</v>
      </c>
      <c r="C29" s="102" t="s">
        <v>185</v>
      </c>
      <c r="D29" s="103"/>
      <c r="E29" s="101" t="s">
        <v>181</v>
      </c>
      <c r="F29" s="102" t="s">
        <v>185</v>
      </c>
      <c r="G29" s="84"/>
      <c r="H29" s="84"/>
    </row>
    <row r="30" spans="1:11" x14ac:dyDescent="0.25">
      <c r="A30" s="82" t="s">
        <v>186</v>
      </c>
      <c r="B30" s="83">
        <f>B28</f>
        <v>1500</v>
      </c>
      <c r="C30" s="8">
        <f>C7</f>
        <v>68</v>
      </c>
      <c r="D30" s="85">
        <f>B30*C30</f>
        <v>102000</v>
      </c>
      <c r="E30" s="83">
        <f>E28</f>
        <v>3000</v>
      </c>
      <c r="F30" s="8">
        <f>F7</f>
        <v>84</v>
      </c>
      <c r="G30" s="85">
        <f>E30*F30</f>
        <v>252000</v>
      </c>
      <c r="H30" s="85">
        <f>D30+G30</f>
        <v>354000</v>
      </c>
    </row>
    <row r="31" spans="1:11" x14ac:dyDescent="0.25">
      <c r="A31" s="27" t="s">
        <v>187</v>
      </c>
      <c r="B31" s="86">
        <f>B28</f>
        <v>1500</v>
      </c>
      <c r="C31" s="87">
        <f>D31/B31</f>
        <v>32</v>
      </c>
      <c r="D31" s="88">
        <f>D28-D30</f>
        <v>48000</v>
      </c>
      <c r="E31" s="86">
        <f>E28</f>
        <v>3000</v>
      </c>
      <c r="F31" s="87">
        <f>G31/E31</f>
        <v>26</v>
      </c>
      <c r="G31" s="88">
        <f>G28-G30</f>
        <v>78000</v>
      </c>
      <c r="H31" s="88">
        <f>D31+G31</f>
        <v>126000</v>
      </c>
    </row>
    <row r="32" spans="1:11" x14ac:dyDescent="0.25">
      <c r="H32" s="90" t="s">
        <v>188</v>
      </c>
      <c r="I32" s="90"/>
      <c r="J32" s="90"/>
    </row>
    <row r="33" spans="1:11" x14ac:dyDescent="0.25">
      <c r="H33" s="90" t="s">
        <v>189</v>
      </c>
      <c r="I33" s="90"/>
      <c r="J33" s="90"/>
    </row>
    <row r="34" spans="1:11" x14ac:dyDescent="0.25">
      <c r="A34" s="102" t="s">
        <v>190</v>
      </c>
      <c r="H34" s="90" t="s">
        <v>191</v>
      </c>
      <c r="I34" s="90"/>
      <c r="J34" s="90"/>
    </row>
    <row r="35" spans="1:11" x14ac:dyDescent="0.25">
      <c r="J35" s="105" t="s">
        <v>192</v>
      </c>
      <c r="K35" s="106">
        <f>H31-H41</f>
        <v>-82000</v>
      </c>
    </row>
    <row r="36" spans="1:11" x14ac:dyDescent="0.25">
      <c r="A36" s="76"/>
      <c r="B36" s="77" t="s">
        <v>169</v>
      </c>
      <c r="C36" s="78"/>
      <c r="D36" s="79"/>
      <c r="E36" s="77" t="s">
        <v>170</v>
      </c>
      <c r="F36" s="78"/>
      <c r="G36" s="79"/>
      <c r="H36" s="80" t="s">
        <v>171</v>
      </c>
      <c r="I36" s="81"/>
      <c r="J36" s="107" t="s">
        <v>193</v>
      </c>
      <c r="K36" s="90"/>
    </row>
    <row r="37" spans="1:11" x14ac:dyDescent="0.25">
      <c r="A37" s="82"/>
      <c r="B37" s="101" t="s">
        <v>194</v>
      </c>
      <c r="C37" s="102" t="s">
        <v>183</v>
      </c>
      <c r="D37" s="102"/>
      <c r="E37" s="101" t="s">
        <v>194</v>
      </c>
      <c r="F37" s="102" t="s">
        <v>183</v>
      </c>
      <c r="G37" s="108"/>
      <c r="H37" s="109"/>
      <c r="J37" s="107" t="s">
        <v>195</v>
      </c>
      <c r="K37" s="90"/>
    </row>
    <row r="38" spans="1:11" x14ac:dyDescent="0.25">
      <c r="A38" s="82" t="s">
        <v>196</v>
      </c>
      <c r="B38" s="83">
        <f t="shared" ref="B38:H38" si="0">B6</f>
        <v>2000</v>
      </c>
      <c r="C38" s="83">
        <f t="shared" si="0"/>
        <v>100</v>
      </c>
      <c r="D38" s="83">
        <f t="shared" si="0"/>
        <v>200000</v>
      </c>
      <c r="E38" s="83">
        <f t="shared" si="0"/>
        <v>4000</v>
      </c>
      <c r="F38" s="83">
        <f t="shared" si="0"/>
        <v>120</v>
      </c>
      <c r="G38" s="83">
        <f t="shared" si="0"/>
        <v>480000</v>
      </c>
      <c r="H38" s="29">
        <f t="shared" si="0"/>
        <v>680000</v>
      </c>
      <c r="J38" s="110" t="s">
        <v>197</v>
      </c>
      <c r="K38" s="111"/>
    </row>
    <row r="39" spans="1:11" x14ac:dyDescent="0.25">
      <c r="A39" s="82"/>
      <c r="B39" s="101" t="s">
        <v>194</v>
      </c>
      <c r="C39" s="101" t="s">
        <v>185</v>
      </c>
      <c r="D39" s="101"/>
      <c r="E39" s="101" t="s">
        <v>194</v>
      </c>
      <c r="F39" s="101" t="s">
        <v>185</v>
      </c>
      <c r="G39" s="83"/>
      <c r="H39" s="82"/>
    </row>
    <row r="40" spans="1:11" x14ac:dyDescent="0.25">
      <c r="A40" s="82" t="s">
        <v>198</v>
      </c>
      <c r="B40" s="83">
        <f t="shared" ref="B40:H40" si="1">B7</f>
        <v>2000</v>
      </c>
      <c r="C40" s="83">
        <f t="shared" si="1"/>
        <v>68</v>
      </c>
      <c r="D40" s="112">
        <f t="shared" si="1"/>
        <v>136000</v>
      </c>
      <c r="E40" s="83">
        <f t="shared" si="1"/>
        <v>4000</v>
      </c>
      <c r="F40" s="83">
        <f t="shared" si="1"/>
        <v>84</v>
      </c>
      <c r="G40" s="112">
        <f t="shared" si="1"/>
        <v>336000</v>
      </c>
      <c r="H40" s="113">
        <f t="shared" si="1"/>
        <v>472000</v>
      </c>
    </row>
    <row r="41" spans="1:11" x14ac:dyDescent="0.25">
      <c r="A41" s="27" t="s">
        <v>199</v>
      </c>
      <c r="B41" s="86">
        <f>B38</f>
        <v>2000</v>
      </c>
      <c r="C41" s="87">
        <f>D41/B41</f>
        <v>32</v>
      </c>
      <c r="D41" s="88">
        <f>D38-D40</f>
        <v>64000</v>
      </c>
      <c r="E41" s="86">
        <f>E38</f>
        <v>4000</v>
      </c>
      <c r="F41" s="87">
        <f>G41/E41</f>
        <v>36</v>
      </c>
      <c r="G41" s="88">
        <f>G38-G40</f>
        <v>144000</v>
      </c>
      <c r="H41" s="88">
        <f>D41+G41</f>
        <v>208000</v>
      </c>
    </row>
    <row r="42" spans="1:11" x14ac:dyDescent="0.25">
      <c r="H42" s="90" t="s">
        <v>200</v>
      </c>
      <c r="I42" s="90"/>
    </row>
    <row r="43" spans="1:11" x14ac:dyDescent="0.25">
      <c r="H43" s="90" t="s">
        <v>201</v>
      </c>
      <c r="I43" s="90"/>
    </row>
    <row r="44" spans="1:11" ht="18.75" x14ac:dyDescent="0.3">
      <c r="A44" s="24" t="s">
        <v>202</v>
      </c>
    </row>
    <row r="46" spans="1:11" x14ac:dyDescent="0.25">
      <c r="A46" s="76"/>
      <c r="B46" s="77" t="s">
        <v>169</v>
      </c>
      <c r="C46" s="78"/>
      <c r="D46" s="79"/>
      <c r="E46" s="77" t="s">
        <v>170</v>
      </c>
      <c r="F46" s="78"/>
      <c r="G46" s="79"/>
      <c r="H46" s="80" t="s">
        <v>171</v>
      </c>
      <c r="I46" s="81"/>
      <c r="J46" s="81"/>
      <c r="K46" s="81"/>
    </row>
    <row r="47" spans="1:11" x14ac:dyDescent="0.25">
      <c r="A47" s="114"/>
      <c r="B47" s="101" t="s">
        <v>203</v>
      </c>
      <c r="C47" s="102" t="s">
        <v>204</v>
      </c>
      <c r="D47" s="103"/>
      <c r="E47" s="101" t="s">
        <v>203</v>
      </c>
      <c r="F47" s="102" t="s">
        <v>204</v>
      </c>
      <c r="G47" s="103"/>
      <c r="H47" s="115"/>
      <c r="I47" s="81"/>
      <c r="J47" s="81"/>
      <c r="K47" s="81"/>
    </row>
    <row r="48" spans="1:11" x14ac:dyDescent="0.25">
      <c r="A48" s="82" t="s">
        <v>205</v>
      </c>
      <c r="B48" s="83">
        <f>B15</f>
        <v>1500</v>
      </c>
      <c r="C48" s="70">
        <f>C15</f>
        <v>75</v>
      </c>
      <c r="D48" s="84">
        <f>B48*C48</f>
        <v>112500</v>
      </c>
      <c r="E48" s="83">
        <f>E14</f>
        <v>3000</v>
      </c>
      <c r="F48" s="91">
        <f>F15</f>
        <v>94.01</v>
      </c>
      <c r="G48" s="84">
        <f>E48*F48</f>
        <v>282030</v>
      </c>
      <c r="H48" s="85">
        <f>H15</f>
        <v>394530</v>
      </c>
      <c r="I48" s="90" t="s">
        <v>206</v>
      </c>
    </row>
    <row r="49" spans="1:9" x14ac:dyDescent="0.25">
      <c r="A49" s="82"/>
      <c r="B49" s="101" t="s">
        <v>203</v>
      </c>
      <c r="C49" s="116" t="s">
        <v>185</v>
      </c>
      <c r="D49" s="84"/>
      <c r="E49" s="101" t="s">
        <v>203</v>
      </c>
      <c r="F49" s="116" t="s">
        <v>185</v>
      </c>
      <c r="G49" s="84"/>
      <c r="H49" s="85"/>
    </row>
    <row r="50" spans="1:9" x14ac:dyDescent="0.25">
      <c r="A50" s="82" t="s">
        <v>207</v>
      </c>
      <c r="B50" s="83">
        <f>B14</f>
        <v>1500</v>
      </c>
      <c r="C50" s="8">
        <f>C7</f>
        <v>68</v>
      </c>
      <c r="D50" s="85">
        <f>B50*C50</f>
        <v>102000</v>
      </c>
      <c r="E50" s="83">
        <f>E14</f>
        <v>3000</v>
      </c>
      <c r="F50" s="8">
        <f>F30</f>
        <v>84</v>
      </c>
      <c r="G50" s="85">
        <f>E50*F50</f>
        <v>252000</v>
      </c>
      <c r="H50" s="85">
        <f>D50+G50</f>
        <v>354000</v>
      </c>
      <c r="I50" s="90" t="s">
        <v>208</v>
      </c>
    </row>
    <row r="51" spans="1:9" x14ac:dyDescent="0.25">
      <c r="A51" s="27" t="s">
        <v>202</v>
      </c>
      <c r="B51" s="86"/>
      <c r="C51" s="87"/>
      <c r="D51" s="117">
        <f>D48-D50</f>
        <v>10500</v>
      </c>
      <c r="E51" s="118"/>
      <c r="F51" s="87"/>
      <c r="G51" s="117">
        <f>G48-G50</f>
        <v>30030</v>
      </c>
      <c r="H51" s="117">
        <f>H48-H50</f>
        <v>40530</v>
      </c>
      <c r="I51" s="90" t="s">
        <v>209</v>
      </c>
    </row>
    <row r="54" spans="1:9" ht="18.75" x14ac:dyDescent="0.3">
      <c r="A54" s="24" t="s">
        <v>210</v>
      </c>
    </row>
    <row r="55" spans="1:9" ht="18.75" x14ac:dyDescent="0.3">
      <c r="A55" s="24"/>
    </row>
    <row r="56" spans="1:9" x14ac:dyDescent="0.25">
      <c r="A56" s="27"/>
      <c r="B56" s="72" t="s">
        <v>211</v>
      </c>
      <c r="C56" s="73"/>
      <c r="D56" s="74"/>
      <c r="E56" s="72" t="s">
        <v>212</v>
      </c>
      <c r="F56" s="73"/>
      <c r="G56" s="74"/>
      <c r="H56" s="119" t="s">
        <v>213</v>
      </c>
    </row>
    <row r="57" spans="1:9" x14ac:dyDescent="0.25">
      <c r="A57" s="27" t="s">
        <v>214</v>
      </c>
      <c r="B57" s="120">
        <f>H16</f>
        <v>133750</v>
      </c>
      <c r="C57" s="73"/>
      <c r="D57" s="74"/>
      <c r="E57" s="120">
        <f>H8</f>
        <v>141000</v>
      </c>
      <c r="F57" s="73"/>
      <c r="G57" s="74"/>
      <c r="H57" s="121">
        <f>B57-E57</f>
        <v>-7250</v>
      </c>
      <c r="I57" s="90" t="s">
        <v>215</v>
      </c>
    </row>
    <row r="60" spans="1:9" ht="18.75" x14ac:dyDescent="0.3">
      <c r="A60" s="24" t="s">
        <v>216</v>
      </c>
    </row>
    <row r="62" spans="1:9" x14ac:dyDescent="0.25">
      <c r="A62" s="27"/>
      <c r="B62" s="72"/>
      <c r="C62" s="73"/>
      <c r="D62" s="74"/>
    </row>
    <row r="63" spans="1:9" x14ac:dyDescent="0.25">
      <c r="A63" s="82" t="s">
        <v>217</v>
      </c>
      <c r="B63" s="122">
        <f>K35</f>
        <v>-82000</v>
      </c>
      <c r="C63" s="123"/>
      <c r="D63" s="124"/>
    </row>
    <row r="64" spans="1:9" x14ac:dyDescent="0.25">
      <c r="A64" s="82" t="s">
        <v>218</v>
      </c>
      <c r="B64" s="125">
        <f>H51</f>
        <v>40530</v>
      </c>
      <c r="C64" s="126"/>
      <c r="D64" s="127"/>
    </row>
    <row r="65" spans="1:6" x14ac:dyDescent="0.25">
      <c r="A65" s="82" t="s">
        <v>219</v>
      </c>
      <c r="B65" s="128">
        <f>H57</f>
        <v>-7250</v>
      </c>
      <c r="C65" s="129"/>
      <c r="D65" s="130"/>
    </row>
    <row r="66" spans="1:6" x14ac:dyDescent="0.25">
      <c r="A66" s="27" t="s">
        <v>220</v>
      </c>
      <c r="B66" s="131"/>
      <c r="C66" s="132">
        <f>B63-B64-B65</f>
        <v>-115280</v>
      </c>
      <c r="D66" s="121"/>
    </row>
    <row r="67" spans="1:6" x14ac:dyDescent="0.25">
      <c r="C67" s="133"/>
      <c r="D67" s="70"/>
    </row>
    <row r="68" spans="1:6" ht="21" x14ac:dyDescent="0.35">
      <c r="A68" s="75" t="s">
        <v>221</v>
      </c>
    </row>
    <row r="70" spans="1:6" x14ac:dyDescent="0.25">
      <c r="A70" s="102" t="s">
        <v>222</v>
      </c>
    </row>
    <row r="72" spans="1:6" x14ac:dyDescent="0.25">
      <c r="B72" s="102" t="s">
        <v>182</v>
      </c>
      <c r="C72" s="102" t="s">
        <v>183</v>
      </c>
      <c r="D72" s="102" t="s">
        <v>223</v>
      </c>
      <c r="E72" s="102" t="s">
        <v>203</v>
      </c>
    </row>
    <row r="73" spans="1:6" x14ac:dyDescent="0.25">
      <c r="A73" s="134" t="s">
        <v>224</v>
      </c>
      <c r="B73" s="30">
        <f>C28</f>
        <v>100</v>
      </c>
      <c r="C73" s="135">
        <f>C38</f>
        <v>100</v>
      </c>
      <c r="D73" s="135">
        <f>B73-C73</f>
        <v>0</v>
      </c>
      <c r="E73" s="30">
        <f>B28</f>
        <v>1500</v>
      </c>
      <c r="F73" s="67">
        <f>D73*E73</f>
        <v>0</v>
      </c>
    </row>
    <row r="74" spans="1:6" x14ac:dyDescent="0.25">
      <c r="A74" s="83"/>
      <c r="B74" s="102" t="s">
        <v>203</v>
      </c>
      <c r="C74" s="136" t="s">
        <v>194</v>
      </c>
      <c r="D74" s="136" t="s">
        <v>225</v>
      </c>
      <c r="E74" s="102" t="s">
        <v>226</v>
      </c>
      <c r="F74" s="68"/>
    </row>
    <row r="75" spans="1:6" x14ac:dyDescent="0.25">
      <c r="A75" s="83" t="s">
        <v>227</v>
      </c>
      <c r="B75" s="8">
        <f>B28</f>
        <v>1500</v>
      </c>
      <c r="C75" s="8">
        <f>B38</f>
        <v>2000</v>
      </c>
      <c r="D75" s="70">
        <f>B75-C75</f>
        <v>-500</v>
      </c>
      <c r="E75" s="8">
        <f>C41</f>
        <v>32</v>
      </c>
      <c r="F75" s="69">
        <f>D75*E75</f>
        <v>-16000</v>
      </c>
    </row>
    <row r="76" spans="1:6" x14ac:dyDescent="0.25">
      <c r="A76" s="97"/>
      <c r="B76" s="23"/>
      <c r="C76" s="23"/>
      <c r="D76" s="23"/>
      <c r="E76" s="23"/>
      <c r="F76" s="137">
        <f>SUM(F73:F75)</f>
        <v>-16000</v>
      </c>
    </row>
    <row r="78" spans="1:6" x14ac:dyDescent="0.25">
      <c r="A78" s="102" t="s">
        <v>228</v>
      </c>
    </row>
    <row r="79" spans="1:6" x14ac:dyDescent="0.25">
      <c r="A79" s="81"/>
    </row>
    <row r="80" spans="1:6" x14ac:dyDescent="0.25">
      <c r="B80" s="102" t="s">
        <v>182</v>
      </c>
      <c r="C80" s="102" t="s">
        <v>183</v>
      </c>
      <c r="D80" s="102" t="s">
        <v>223</v>
      </c>
      <c r="E80" s="102" t="s">
        <v>203</v>
      </c>
    </row>
    <row r="81" spans="1:6" x14ac:dyDescent="0.25">
      <c r="A81" s="134" t="s">
        <v>224</v>
      </c>
      <c r="B81" s="30">
        <f>F14</f>
        <v>110</v>
      </c>
      <c r="C81" s="135">
        <f>F6</f>
        <v>120</v>
      </c>
      <c r="D81" s="135">
        <f>B81-C81</f>
        <v>-10</v>
      </c>
      <c r="E81" s="30">
        <f>E14</f>
        <v>3000</v>
      </c>
      <c r="F81" s="138">
        <f>D81*E81</f>
        <v>-30000</v>
      </c>
    </row>
    <row r="82" spans="1:6" x14ac:dyDescent="0.25">
      <c r="A82" s="83"/>
      <c r="B82" s="102" t="s">
        <v>203</v>
      </c>
      <c r="C82" s="136" t="s">
        <v>194</v>
      </c>
      <c r="D82" s="136" t="s">
        <v>225</v>
      </c>
      <c r="E82" s="102" t="s">
        <v>226</v>
      </c>
      <c r="F82" s="69"/>
    </row>
    <row r="83" spans="1:6" x14ac:dyDescent="0.25">
      <c r="A83" s="83" t="s">
        <v>227</v>
      </c>
      <c r="B83" s="8">
        <f>E14</f>
        <v>3000</v>
      </c>
      <c r="C83" s="8">
        <f>E6</f>
        <v>4000</v>
      </c>
      <c r="D83" s="70">
        <f>B83-C83</f>
        <v>-1000</v>
      </c>
      <c r="E83" s="8">
        <f>F41</f>
        <v>36</v>
      </c>
      <c r="F83" s="69">
        <f>D83*E83</f>
        <v>-36000</v>
      </c>
    </row>
    <row r="84" spans="1:6" x14ac:dyDescent="0.25">
      <c r="A84" s="97"/>
      <c r="B84" s="23"/>
      <c r="C84" s="23"/>
      <c r="D84" s="23"/>
      <c r="E84" s="23"/>
      <c r="F84" s="137">
        <f>SUM(F81:F83)</f>
        <v>-66000</v>
      </c>
    </row>
    <row r="87" spans="1:6" x14ac:dyDescent="0.25">
      <c r="A87" s="81" t="s">
        <v>229</v>
      </c>
    </row>
    <row r="89" spans="1:6" x14ac:dyDescent="0.25">
      <c r="A89" s="139"/>
      <c r="B89" s="139" t="s">
        <v>230</v>
      </c>
      <c r="C89" s="139" t="s">
        <v>231</v>
      </c>
      <c r="D89" s="140" t="s">
        <v>232</v>
      </c>
    </row>
    <row r="90" spans="1:6" x14ac:dyDescent="0.25">
      <c r="A90" s="82" t="s">
        <v>169</v>
      </c>
      <c r="B90" s="82">
        <f>F73</f>
        <v>0</v>
      </c>
      <c r="C90" s="93">
        <f>F75</f>
        <v>-16000</v>
      </c>
      <c r="D90" s="85">
        <f>SUM(B90:C90)</f>
        <v>-16000</v>
      </c>
    </row>
    <row r="91" spans="1:6" x14ac:dyDescent="0.25">
      <c r="A91" s="82" t="s">
        <v>170</v>
      </c>
      <c r="B91" s="93">
        <f>F81</f>
        <v>-30000</v>
      </c>
      <c r="C91" s="93">
        <f>F83</f>
        <v>-36000</v>
      </c>
      <c r="D91" s="85">
        <f>SUM(B91:C91)</f>
        <v>-66000</v>
      </c>
    </row>
    <row r="92" spans="1:6" x14ac:dyDescent="0.25">
      <c r="A92" s="27" t="s">
        <v>233</v>
      </c>
      <c r="B92" s="99">
        <f>SUM(B90:B91)</f>
        <v>-30000</v>
      </c>
      <c r="C92" s="99">
        <f t="shared" ref="C92:D92" si="2">SUM(C90:C91)</f>
        <v>-52000</v>
      </c>
      <c r="D92" s="141">
        <f t="shared" si="2"/>
        <v>-82000</v>
      </c>
      <c r="F92" s="81" t="s">
        <v>234</v>
      </c>
    </row>
    <row r="95" spans="1:6" ht="21" x14ac:dyDescent="0.35">
      <c r="A95" s="75" t="s">
        <v>235</v>
      </c>
    </row>
    <row r="97" spans="1:8" ht="18.75" x14ac:dyDescent="0.3">
      <c r="A97" s="24" t="s">
        <v>236</v>
      </c>
    </row>
    <row r="99" spans="1:8" x14ac:dyDescent="0.25">
      <c r="A99" s="27"/>
      <c r="B99" s="72" t="s">
        <v>237</v>
      </c>
      <c r="C99" s="73"/>
      <c r="D99" s="74"/>
      <c r="E99" s="72" t="s">
        <v>238</v>
      </c>
      <c r="F99" s="73"/>
      <c r="G99" s="74"/>
    </row>
    <row r="100" spans="1:8" x14ac:dyDescent="0.25">
      <c r="A100" s="82"/>
      <c r="B100" s="142" t="s">
        <v>239</v>
      </c>
      <c r="C100" s="108" t="s">
        <v>240</v>
      </c>
      <c r="D100" s="104" t="s">
        <v>241</v>
      </c>
      <c r="E100" s="142" t="s">
        <v>239</v>
      </c>
      <c r="F100" s="108" t="s">
        <v>242</v>
      </c>
      <c r="G100" s="104" t="s">
        <v>243</v>
      </c>
    </row>
    <row r="101" spans="1:8" x14ac:dyDescent="0.25">
      <c r="A101" s="82" t="s">
        <v>244</v>
      </c>
      <c r="B101" s="83">
        <f>$E$28</f>
        <v>3000</v>
      </c>
      <c r="C101" s="8">
        <v>3.2</v>
      </c>
      <c r="D101" s="85">
        <f>B101*C101</f>
        <v>9600</v>
      </c>
      <c r="E101" s="8">
        <f>$E$14</f>
        <v>3000</v>
      </c>
      <c r="F101" s="8">
        <v>3</v>
      </c>
      <c r="G101" s="84">
        <f>E101*F101</f>
        <v>9000</v>
      </c>
      <c r="H101" s="70"/>
    </row>
    <row r="102" spans="1:8" x14ac:dyDescent="0.25">
      <c r="A102" s="8" t="s">
        <v>245</v>
      </c>
      <c r="B102" s="83">
        <f t="shared" ref="B102:B104" si="3">$E$28</f>
        <v>3000</v>
      </c>
      <c r="C102" s="8">
        <v>1.8</v>
      </c>
      <c r="D102" s="85">
        <f>B102*C102</f>
        <v>5400</v>
      </c>
      <c r="E102" s="8">
        <f t="shared" ref="E102:E104" si="4">$E$14</f>
        <v>3000</v>
      </c>
      <c r="F102" s="8">
        <v>1.6</v>
      </c>
      <c r="G102" s="84">
        <f>E102*F102</f>
        <v>4800</v>
      </c>
      <c r="H102" s="70"/>
    </row>
    <row r="103" spans="1:8" x14ac:dyDescent="0.25">
      <c r="A103" s="8" t="s">
        <v>246</v>
      </c>
      <c r="B103" s="83">
        <f t="shared" si="3"/>
        <v>3000</v>
      </c>
      <c r="C103" s="8">
        <v>2.1</v>
      </c>
      <c r="D103" s="85">
        <f t="shared" ref="D103:D104" si="5">B103*C103</f>
        <v>6300</v>
      </c>
      <c r="E103" s="8">
        <f t="shared" si="4"/>
        <v>3000</v>
      </c>
      <c r="F103" s="8">
        <v>2</v>
      </c>
      <c r="G103" s="84">
        <f>E103*F103</f>
        <v>6000</v>
      </c>
      <c r="H103" s="70"/>
    </row>
    <row r="104" spans="1:8" x14ac:dyDescent="0.25">
      <c r="A104" s="8" t="s">
        <v>247</v>
      </c>
      <c r="B104" s="83">
        <f t="shared" si="3"/>
        <v>3000</v>
      </c>
      <c r="C104" s="8">
        <v>2.1</v>
      </c>
      <c r="D104" s="85">
        <f t="shared" si="5"/>
        <v>6300</v>
      </c>
      <c r="E104" s="8">
        <f t="shared" si="4"/>
        <v>3000</v>
      </c>
      <c r="F104" s="8">
        <v>2</v>
      </c>
      <c r="G104" s="84">
        <f>E104*F104</f>
        <v>6000</v>
      </c>
      <c r="H104" s="70"/>
    </row>
    <row r="105" spans="1:8" x14ac:dyDescent="0.25">
      <c r="D105" s="70"/>
      <c r="H105" s="70"/>
    </row>
    <row r="106" spans="1:8" ht="18.75" x14ac:dyDescent="0.3">
      <c r="A106" s="24" t="s">
        <v>248</v>
      </c>
    </row>
    <row r="108" spans="1:8" x14ac:dyDescent="0.25">
      <c r="A108" s="27"/>
      <c r="B108" s="72" t="s">
        <v>249</v>
      </c>
      <c r="C108" s="73"/>
      <c r="D108" s="74"/>
      <c r="E108" s="72" t="s">
        <v>250</v>
      </c>
      <c r="F108" s="73"/>
      <c r="G108" s="74"/>
      <c r="H108" s="119" t="s">
        <v>213</v>
      </c>
    </row>
    <row r="109" spans="1:8" x14ac:dyDescent="0.25">
      <c r="A109" s="82"/>
      <c r="B109" s="142" t="s">
        <v>241</v>
      </c>
      <c r="C109" s="108" t="s">
        <v>204</v>
      </c>
      <c r="D109" s="104"/>
      <c r="E109" s="142" t="s">
        <v>243</v>
      </c>
      <c r="F109" s="108" t="s">
        <v>185</v>
      </c>
      <c r="G109" s="104"/>
      <c r="H109" s="84"/>
    </row>
    <row r="110" spans="1:8" x14ac:dyDescent="0.25">
      <c r="A110" s="82" t="s">
        <v>244</v>
      </c>
      <c r="B110" s="112">
        <f>D101</f>
        <v>9600</v>
      </c>
      <c r="C110" s="8">
        <v>2.5</v>
      </c>
      <c r="D110" s="85">
        <f>B110*C110</f>
        <v>24000</v>
      </c>
      <c r="E110" s="112">
        <f>G101</f>
        <v>9000</v>
      </c>
      <c r="F110" s="8">
        <v>2</v>
      </c>
      <c r="G110" s="85">
        <f>E110*F110</f>
        <v>18000</v>
      </c>
      <c r="H110" s="143">
        <f>D110-G110</f>
        <v>6000</v>
      </c>
    </row>
    <row r="111" spans="1:8" x14ac:dyDescent="0.25">
      <c r="A111" s="8" t="s">
        <v>245</v>
      </c>
      <c r="B111" s="112">
        <f t="shared" ref="B111:B113" si="6">D102</f>
        <v>5400</v>
      </c>
      <c r="C111" s="8">
        <v>5.2</v>
      </c>
      <c r="D111" s="85">
        <f t="shared" ref="D111:D113" si="7">B111*C111</f>
        <v>28080</v>
      </c>
      <c r="E111" s="112">
        <f t="shared" ref="E111:E113" si="8">G102</f>
        <v>4800</v>
      </c>
      <c r="F111" s="8">
        <v>5</v>
      </c>
      <c r="G111" s="85">
        <f>E111*F111</f>
        <v>24000</v>
      </c>
      <c r="H111" s="143">
        <f>D111-G111</f>
        <v>4080</v>
      </c>
    </row>
    <row r="112" spans="1:8" x14ac:dyDescent="0.25">
      <c r="A112" s="8" t="s">
        <v>251</v>
      </c>
      <c r="B112" s="112">
        <f t="shared" si="6"/>
        <v>6300</v>
      </c>
      <c r="C112" s="8">
        <v>15</v>
      </c>
      <c r="D112" s="85">
        <f t="shared" si="7"/>
        <v>94500</v>
      </c>
      <c r="E112" s="112">
        <f t="shared" si="8"/>
        <v>6000</v>
      </c>
      <c r="F112" s="8">
        <v>15</v>
      </c>
      <c r="G112" s="85">
        <f>E112*F112</f>
        <v>90000</v>
      </c>
      <c r="H112" s="143">
        <f>D112-G112</f>
        <v>4500</v>
      </c>
    </row>
    <row r="113" spans="1:11" x14ac:dyDescent="0.25">
      <c r="A113" s="8" t="s">
        <v>252</v>
      </c>
      <c r="B113" s="112">
        <f t="shared" si="6"/>
        <v>6300</v>
      </c>
      <c r="C113" s="8">
        <v>21.5</v>
      </c>
      <c r="D113" s="85">
        <f t="shared" si="7"/>
        <v>135450</v>
      </c>
      <c r="E113" s="112">
        <f t="shared" si="8"/>
        <v>6000</v>
      </c>
      <c r="F113" s="8">
        <v>20</v>
      </c>
      <c r="G113" s="85">
        <f>E113*F113</f>
        <v>120000</v>
      </c>
      <c r="H113" s="143">
        <f>D113-G113</f>
        <v>15450</v>
      </c>
    </row>
    <row r="114" spans="1:11" x14ac:dyDescent="0.25">
      <c r="A114" s="119" t="s">
        <v>64</v>
      </c>
      <c r="B114" s="87"/>
      <c r="C114" s="87"/>
      <c r="D114" s="88">
        <f>SUM(D110:D113)</f>
        <v>282030</v>
      </c>
      <c r="E114" s="87"/>
      <c r="F114" s="87"/>
      <c r="G114" s="88">
        <f>SUM(G110:G113)</f>
        <v>252000</v>
      </c>
      <c r="H114" s="141">
        <f>D114-G114</f>
        <v>30030</v>
      </c>
    </row>
    <row r="117" spans="1:11" x14ac:dyDescent="0.25">
      <c r="D117" s="81" t="s">
        <v>253</v>
      </c>
      <c r="E117" s="81"/>
      <c r="F117" s="81"/>
      <c r="G117" s="81" t="s">
        <v>207</v>
      </c>
      <c r="H117" s="102" t="s">
        <v>254</v>
      </c>
    </row>
    <row r="120" spans="1:11" ht="18.75" x14ac:dyDescent="0.3">
      <c r="A120" s="24" t="s">
        <v>255</v>
      </c>
      <c r="B120" s="102" t="s">
        <v>182</v>
      </c>
      <c r="C120" s="102" t="s">
        <v>183</v>
      </c>
      <c r="D120" s="102" t="s">
        <v>241</v>
      </c>
      <c r="E120" s="102" t="s">
        <v>256</v>
      </c>
      <c r="F120" s="102"/>
      <c r="G120" s="102" t="s">
        <v>241</v>
      </c>
      <c r="H120" s="102" t="s">
        <v>243</v>
      </c>
      <c r="I120" s="102" t="s">
        <v>183</v>
      </c>
      <c r="J120" s="102" t="s">
        <v>257</v>
      </c>
      <c r="K120" s="102" t="s">
        <v>64</v>
      </c>
    </row>
    <row r="121" spans="1:11" x14ac:dyDescent="0.25">
      <c r="A121" s="8" t="s">
        <v>244</v>
      </c>
      <c r="B121" s="8">
        <f>C110</f>
        <v>2.5</v>
      </c>
      <c r="C121" s="8">
        <f>F110</f>
        <v>2</v>
      </c>
      <c r="D121" s="8">
        <f>B110</f>
        <v>9600</v>
      </c>
      <c r="E121" s="8">
        <f>(B121-C121)*D121</f>
        <v>4800</v>
      </c>
      <c r="G121" s="8">
        <f>B110</f>
        <v>9600</v>
      </c>
      <c r="H121" s="70">
        <f t="shared" ref="H121:I124" si="9">E110</f>
        <v>9000</v>
      </c>
      <c r="I121" s="8">
        <f t="shared" si="9"/>
        <v>2</v>
      </c>
      <c r="J121" s="8">
        <f>(G121-H121)*I121</f>
        <v>1200</v>
      </c>
      <c r="K121" s="144">
        <f>E121+J121</f>
        <v>6000</v>
      </c>
    </row>
    <row r="122" spans="1:11" x14ac:dyDescent="0.25">
      <c r="A122" s="8" t="s">
        <v>245</v>
      </c>
      <c r="B122" s="8">
        <f>C111</f>
        <v>5.2</v>
      </c>
      <c r="C122" s="8">
        <f>F111</f>
        <v>5</v>
      </c>
      <c r="D122" s="70">
        <f>B111</f>
        <v>5400</v>
      </c>
      <c r="E122" s="8">
        <f>(B122-C122)*D122</f>
        <v>1080.0000000000009</v>
      </c>
      <c r="G122" s="8">
        <f>B111</f>
        <v>5400</v>
      </c>
      <c r="H122" s="70">
        <f t="shared" si="9"/>
        <v>4800</v>
      </c>
      <c r="I122" s="8">
        <f t="shared" si="9"/>
        <v>5</v>
      </c>
      <c r="J122" s="8">
        <f>(G122-H122)*I122</f>
        <v>3000</v>
      </c>
      <c r="K122" s="144">
        <f>E122+J122</f>
        <v>4080.0000000000009</v>
      </c>
    </row>
    <row r="123" spans="1:11" x14ac:dyDescent="0.25">
      <c r="A123" s="8" t="s">
        <v>251</v>
      </c>
      <c r="B123" s="8">
        <f>C112</f>
        <v>15</v>
      </c>
      <c r="C123" s="8">
        <f>F112</f>
        <v>15</v>
      </c>
      <c r="D123" s="8">
        <f>B112</f>
        <v>6300</v>
      </c>
      <c r="E123" s="8">
        <f t="shared" ref="E123:E124" si="10">(B123-C123)*D123</f>
        <v>0</v>
      </c>
      <c r="G123" s="8">
        <f>B112</f>
        <v>6300</v>
      </c>
      <c r="H123" s="70">
        <f t="shared" si="9"/>
        <v>6000</v>
      </c>
      <c r="I123" s="8">
        <f t="shared" si="9"/>
        <v>15</v>
      </c>
      <c r="J123" s="8">
        <f t="shared" ref="J123:J124" si="11">(G123-H123)*I123</f>
        <v>4500</v>
      </c>
      <c r="K123" s="144">
        <f>E123+J123</f>
        <v>4500</v>
      </c>
    </row>
    <row r="124" spans="1:11" x14ac:dyDescent="0.25">
      <c r="A124" s="8" t="s">
        <v>258</v>
      </c>
      <c r="B124" s="8">
        <f>C113</f>
        <v>21.5</v>
      </c>
      <c r="C124" s="8">
        <f>F113</f>
        <v>20</v>
      </c>
      <c r="D124" s="8">
        <f>B113</f>
        <v>6300</v>
      </c>
      <c r="E124" s="8">
        <f t="shared" si="10"/>
        <v>9450</v>
      </c>
      <c r="G124" s="8">
        <f>B113</f>
        <v>6300</v>
      </c>
      <c r="H124" s="70">
        <f t="shared" si="9"/>
        <v>6000</v>
      </c>
      <c r="I124" s="8">
        <f t="shared" si="9"/>
        <v>20</v>
      </c>
      <c r="J124" s="8">
        <f t="shared" si="11"/>
        <v>6000</v>
      </c>
      <c r="K124" s="144">
        <f>E124+J124</f>
        <v>15450</v>
      </c>
    </row>
    <row r="125" spans="1:11" x14ac:dyDescent="0.25">
      <c r="E125" s="81">
        <f>SUM(E121:E124)</f>
        <v>15330</v>
      </c>
      <c r="J125" s="81">
        <f>SUM(J121:J124)</f>
        <v>14700</v>
      </c>
      <c r="K125" s="144">
        <f>SUM(K121:K124)</f>
        <v>30030</v>
      </c>
    </row>
    <row r="126" spans="1:11" x14ac:dyDescent="0.25">
      <c r="K126" s="81"/>
    </row>
  </sheetData>
  <mergeCells count="22">
    <mergeCell ref="B5:D5"/>
    <mergeCell ref="E5:G5"/>
    <mergeCell ref="B13:D13"/>
    <mergeCell ref="E13:G13"/>
    <mergeCell ref="B26:D26"/>
    <mergeCell ref="E26:G26"/>
    <mergeCell ref="B36:D36"/>
    <mergeCell ref="E36:G36"/>
    <mergeCell ref="B46:D46"/>
    <mergeCell ref="E46:G46"/>
    <mergeCell ref="B56:D56"/>
    <mergeCell ref="E56:G56"/>
    <mergeCell ref="B99:D99"/>
    <mergeCell ref="E99:G99"/>
    <mergeCell ref="B108:D108"/>
    <mergeCell ref="E108:G108"/>
    <mergeCell ref="B57:D57"/>
    <mergeCell ref="E57:G57"/>
    <mergeCell ref="B62:D62"/>
    <mergeCell ref="B63:D63"/>
    <mergeCell ref="B64:D64"/>
    <mergeCell ref="B65:D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Les Budgets</vt:lpstr>
      <vt:lpstr>Outils de calcul de performance</vt:lpstr>
      <vt:lpstr>Contrôle Budgétaire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LEMAITRE</dc:creator>
  <cp:lastModifiedBy>Arthur LEMAITRE</cp:lastModifiedBy>
  <dcterms:created xsi:type="dcterms:W3CDTF">2015-06-05T18:19:34Z</dcterms:created>
  <dcterms:modified xsi:type="dcterms:W3CDTF">2025-04-08T16:45:52Z</dcterms:modified>
</cp:coreProperties>
</file>