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/>
  <mc:AlternateContent xmlns:mc="http://schemas.openxmlformats.org/markup-compatibility/2006">
    <mc:Choice Requires="x15">
      <x15ac:absPath xmlns:x15ac="http://schemas.microsoft.com/office/spreadsheetml/2010/11/ac" url="/Users/masonma/Desktop/fyp data/"/>
    </mc:Choice>
  </mc:AlternateContent>
  <xr:revisionPtr revIDLastSave="0" documentId="8_{85A36074-C6C6-42D4-B8F1-6A55FC9CC49C}" xr6:coauthVersionLast="47" xr6:coauthVersionMax="47" xr10:uidLastSave="{00000000-0000-0000-0000-000000000000}"/>
  <bookViews>
    <workbookView xWindow="260" yWindow="500" windowWidth="28260" windowHeight="15660" xr2:uid="{11E865B9-BF19-0C45-AFA3-A4ADDCC37122}"/>
  </bookViews>
  <sheets>
    <sheet name="Area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5" i="1"/>
  <c r="D4" i="1"/>
  <c r="B8" i="1"/>
  <c r="B7" i="1"/>
  <c r="J7" i="1" s="1"/>
  <c r="B2" i="1"/>
  <c r="J2" i="1" s="1"/>
  <c r="C60" i="1"/>
  <c r="D60" i="1"/>
  <c r="B60" i="1"/>
  <c r="D59" i="1"/>
  <c r="B59" i="1"/>
  <c r="J59" i="1" s="1"/>
  <c r="B58" i="1"/>
  <c r="J58" i="1" s="1"/>
  <c r="D57" i="1"/>
  <c r="B57" i="1"/>
  <c r="B56" i="1"/>
  <c r="J56" i="1" s="1"/>
  <c r="J61" i="1"/>
  <c r="B55" i="1"/>
  <c r="J55" i="1" s="1"/>
  <c r="B54" i="1"/>
  <c r="J54" i="1" s="1"/>
  <c r="C53" i="1"/>
  <c r="E53" i="1" s="1"/>
  <c r="D53" i="1"/>
  <c r="B53" i="1"/>
  <c r="J53" i="1" s="1"/>
  <c r="D52" i="1"/>
  <c r="C52" i="1"/>
  <c r="E52" i="1" s="1"/>
  <c r="B52" i="1"/>
  <c r="C51" i="1"/>
  <c r="E51" i="1" s="1"/>
  <c r="D51" i="1"/>
  <c r="B51" i="1"/>
  <c r="B50" i="1"/>
  <c r="D49" i="1"/>
  <c r="B49" i="1"/>
  <c r="B48" i="1"/>
  <c r="J48" i="1" s="1"/>
  <c r="B47" i="1"/>
  <c r="J47" i="1" s="1"/>
  <c r="B46" i="1"/>
  <c r="J46" i="1" s="1"/>
  <c r="E45" i="1"/>
  <c r="C45" i="1"/>
  <c r="F45" i="1"/>
  <c r="D45" i="1"/>
  <c r="B45" i="1"/>
  <c r="J45" i="1" s="1"/>
  <c r="E44" i="1"/>
  <c r="C44" i="1"/>
  <c r="D44" i="1"/>
  <c r="B44" i="1"/>
  <c r="E43" i="1"/>
  <c r="C43" i="1"/>
  <c r="D43" i="1"/>
  <c r="B43" i="1"/>
  <c r="J43" i="1" s="1"/>
  <c r="E42" i="1"/>
  <c r="C42" i="1"/>
  <c r="D42" i="1"/>
  <c r="B42" i="1"/>
  <c r="E41" i="1"/>
  <c r="C41" i="1"/>
  <c r="F41" i="1"/>
  <c r="D41" i="1"/>
  <c r="B41" i="1"/>
  <c r="F40" i="1"/>
  <c r="E40" i="1"/>
  <c r="C40" i="1"/>
  <c r="D40" i="1"/>
  <c r="B40" i="1"/>
  <c r="E39" i="1"/>
  <c r="C39" i="1"/>
  <c r="D39" i="1"/>
  <c r="B39" i="1"/>
  <c r="F38" i="1"/>
  <c r="E38" i="1"/>
  <c r="C38" i="1"/>
  <c r="D38" i="1"/>
  <c r="B38" i="1"/>
  <c r="J38" i="1" s="1"/>
  <c r="E37" i="1"/>
  <c r="C37" i="1"/>
  <c r="F37" i="1"/>
  <c r="D37" i="1"/>
  <c r="B37" i="1"/>
  <c r="E36" i="1"/>
  <c r="C36" i="1"/>
  <c r="D36" i="1"/>
  <c r="B36" i="1"/>
  <c r="E35" i="1"/>
  <c r="C35" i="1"/>
  <c r="D35" i="1"/>
  <c r="B35" i="1"/>
  <c r="J50" i="1"/>
  <c r="F34" i="1"/>
  <c r="E34" i="1"/>
  <c r="C34" i="1"/>
  <c r="D34" i="1"/>
  <c r="B34" i="1"/>
  <c r="E33" i="1"/>
  <c r="C33" i="1"/>
  <c r="F33" i="1"/>
  <c r="D33" i="1"/>
  <c r="B33" i="1"/>
  <c r="E32" i="1"/>
  <c r="C32" i="1"/>
  <c r="D32" i="1"/>
  <c r="B32" i="1"/>
  <c r="E31" i="1"/>
  <c r="C31" i="1"/>
  <c r="D31" i="1"/>
  <c r="B31" i="1"/>
  <c r="E30" i="1"/>
  <c r="C30" i="1"/>
  <c r="D30" i="1"/>
  <c r="B30" i="1"/>
  <c r="E29" i="1"/>
  <c r="C29" i="1"/>
  <c r="D29" i="1"/>
  <c r="B29" i="1"/>
  <c r="B28" i="1"/>
  <c r="B27" i="1"/>
  <c r="J27" i="1" s="1"/>
  <c r="C26" i="1"/>
  <c r="E26" i="1"/>
  <c r="F26" i="1"/>
  <c r="D26" i="1"/>
  <c r="B26" i="1"/>
  <c r="B25" i="1"/>
  <c r="J25" i="1" s="1"/>
  <c r="F24" i="1"/>
  <c r="E24" i="1"/>
  <c r="D24" i="1"/>
  <c r="C24" i="1"/>
  <c r="B24" i="1"/>
  <c r="B23" i="1"/>
  <c r="J23" i="1" s="1"/>
  <c r="B22" i="1"/>
  <c r="J22" i="1" s="1"/>
  <c r="J28" i="1"/>
  <c r="B21" i="1"/>
  <c r="J21" i="1" s="1"/>
  <c r="E20" i="1"/>
  <c r="D20" i="1"/>
  <c r="C20" i="1"/>
  <c r="B20" i="1"/>
  <c r="E13" i="1"/>
  <c r="D13" i="1"/>
  <c r="C13" i="1"/>
  <c r="E15" i="1"/>
  <c r="D15" i="1"/>
  <c r="C15" i="1"/>
  <c r="E19" i="1"/>
  <c r="C19" i="1"/>
  <c r="D19" i="1"/>
  <c r="B19" i="1"/>
  <c r="B18" i="1"/>
  <c r="J18" i="1" s="1"/>
  <c r="B3" i="1"/>
  <c r="B6" i="1"/>
  <c r="J6" i="1" s="1"/>
  <c r="B5" i="1"/>
  <c r="J5" i="1" s="1"/>
  <c r="B4" i="1"/>
  <c r="B17" i="1"/>
  <c r="J17" i="1" s="1"/>
  <c r="B14" i="1"/>
  <c r="B16" i="1"/>
  <c r="B15" i="1"/>
  <c r="B13" i="1"/>
  <c r="B12" i="1"/>
  <c r="J12" i="1" s="1"/>
  <c r="B11" i="1"/>
  <c r="J11" i="1" s="1"/>
  <c r="B10" i="1"/>
  <c r="J10" i="1" s="1"/>
  <c r="F9" i="1"/>
  <c r="D9" i="1"/>
  <c r="B9" i="1"/>
  <c r="J16" i="1"/>
  <c r="J3" i="1"/>
  <c r="J36" i="1" l="1"/>
  <c r="J52" i="1"/>
  <c r="J32" i="1"/>
  <c r="J44" i="1"/>
  <c r="J4" i="1"/>
  <c r="J13" i="1"/>
  <c r="J35" i="1"/>
  <c r="J26" i="1"/>
  <c r="J34" i="1"/>
  <c r="J60" i="1"/>
  <c r="J8" i="1"/>
  <c r="J57" i="1"/>
  <c r="J51" i="1"/>
  <c r="J49" i="1"/>
  <c r="J42" i="1"/>
  <c r="J41" i="1"/>
  <c r="J40" i="1"/>
  <c r="J39" i="1"/>
  <c r="J37" i="1"/>
  <c r="J33" i="1"/>
  <c r="J31" i="1"/>
  <c r="J30" i="1"/>
  <c r="J29" i="1"/>
  <c r="J24" i="1"/>
  <c r="J20" i="1"/>
  <c r="J14" i="1"/>
  <c r="J15" i="1"/>
  <c r="J19" i="1"/>
  <c r="J9" i="1"/>
</calcChain>
</file>

<file path=xl/sharedStrings.xml><?xml version="1.0" encoding="utf-8"?>
<sst xmlns="http://schemas.openxmlformats.org/spreadsheetml/2006/main" count="193" uniqueCount="148">
  <si>
    <t>Site</t>
  </si>
  <si>
    <t>Area (m^2) type 1</t>
  </si>
  <si>
    <t>No. of pieces type 1</t>
  </si>
  <si>
    <t>Area (m^2) type 2</t>
  </si>
  <si>
    <t>No. of pieces type 2</t>
  </si>
  <si>
    <t>Area (m^2) type 3</t>
    <phoneticPr fontId="2" type="noConversion"/>
  </si>
  <si>
    <t>No. of pieces type 3</t>
    <phoneticPr fontId="2" type="noConversion"/>
  </si>
  <si>
    <t>Area (m^2) type 4</t>
    <phoneticPr fontId="2" type="noConversion"/>
  </si>
  <si>
    <t>No. of pieces type 4</t>
    <phoneticPr fontId="2" type="noConversion"/>
  </si>
  <si>
    <t>Total Area (m^2)</t>
  </si>
  <si>
    <t>Total DC output (kW)</t>
  </si>
  <si>
    <t>Total AC output (kW)</t>
    <phoneticPr fontId="2" type="noConversion"/>
  </si>
  <si>
    <t>Tilt Angle</t>
  </si>
  <si>
    <t>ITSC name</t>
  </si>
  <si>
    <t>Notes</t>
  </si>
  <si>
    <t>Cheng Yu Tung Building</t>
  </si>
  <si>
    <t>0-5</t>
  </si>
  <si>
    <t>UST_CYT_1 / UST_CYT_1A</t>
  </si>
  <si>
    <t>Sunny Portal Matching:
UST_CYT_1: UST CYT (inverter 1 25kW) 
UST_CYT_1A: UST CYT (inverter 2 25kW)</t>
  </si>
  <si>
    <t>HKJC Enterprise Centre</t>
  </si>
  <si>
    <t>UST_EC_1 / UST_EC_2</t>
  </si>
  <si>
    <t>Chia-Wei Woo Concourse Zone D</t>
  </si>
  <si>
    <t>0-10</t>
  </si>
  <si>
    <t>Academic_Concourse_Zone_D</t>
  </si>
  <si>
    <t>Chia-Wei Woo Concourse Zone E</t>
  </si>
  <si>
    <t>0-10/0-5</t>
  </si>
  <si>
    <t>You can use Solaredge API to download generation data</t>
  </si>
  <si>
    <t>Chia-Wei Woo Concourse Zone J2</t>
  </si>
  <si>
    <t>Chia_Wei_Woo_Concourse_Academic_Zone_J2</t>
    <phoneticPr fontId="2" type="noConversion"/>
  </si>
  <si>
    <t>Chia-Wei Woo Concourse Zone L1</t>
  </si>
  <si>
    <t>Chia-Wei Woo Concourse Zone L3</t>
  </si>
  <si>
    <t>Chia_Wei_Woo_Concourse_Academic_Zone_L3</t>
  </si>
  <si>
    <t>Atrium Zone A2 (Lift 2-3)</t>
    <phoneticPr fontId="2" type="noConversion"/>
  </si>
  <si>
    <t>30/0-10/0-10</t>
    <phoneticPr fontId="2" type="noConversion"/>
  </si>
  <si>
    <t>UST_Atrium_A2_Lift_3</t>
  </si>
  <si>
    <t>Atrium Zone A5 (Lift 13-15)</t>
    <phoneticPr fontId="2" type="noConversion"/>
  </si>
  <si>
    <t>0-10</t>
    <phoneticPr fontId="2" type="noConversion"/>
  </si>
  <si>
    <t>Academic_Building_Zone_A5</t>
  </si>
  <si>
    <t>Atrium Zone A4 (Lift 1)</t>
    <phoneticPr fontId="2" type="noConversion"/>
  </si>
  <si>
    <t>UST_Atrium_A4_Lift_1</t>
  </si>
  <si>
    <t>Atrium Zone A1 (Lift 4)</t>
    <phoneticPr fontId="2" type="noConversion"/>
  </si>
  <si>
    <t>UST_Atrium_A1_Lift_4</t>
  </si>
  <si>
    <t>Atrium Zone A6 (Lift 17-18)</t>
    <phoneticPr fontId="2" type="noConversion"/>
  </si>
  <si>
    <t>0-10/wall mount</t>
    <phoneticPr fontId="2" type="noConversion"/>
  </si>
  <si>
    <t>UST_Atrium_A6</t>
  </si>
  <si>
    <t>Atrium Zone A7 (Lift 19)</t>
    <phoneticPr fontId="2" type="noConversion"/>
  </si>
  <si>
    <t>Atrium_Zone_A7</t>
  </si>
  <si>
    <t>S.H. Ho Sport Hall</t>
    <phoneticPr fontId="2" type="noConversion"/>
  </si>
  <si>
    <t>Lee Shau Kee Library (Lift 7-9)</t>
    <phoneticPr fontId="2" type="noConversion"/>
  </si>
  <si>
    <t>Library_Building</t>
  </si>
  <si>
    <t>LSK (North Block)</t>
    <phoneticPr fontId="2" type="noConversion"/>
  </si>
  <si>
    <t>UST_LSK_N</t>
  </si>
  <si>
    <t>LSK (South Block)</t>
    <phoneticPr fontId="2" type="noConversion"/>
  </si>
  <si>
    <t>UST_LSK_S</t>
    <phoneticPr fontId="2" type="noConversion"/>
  </si>
  <si>
    <t>LKC Tower A</t>
    <phoneticPr fontId="2" type="noConversion"/>
  </si>
  <si>
    <t>0-5/wall mount</t>
    <phoneticPr fontId="2" type="noConversion"/>
  </si>
  <si>
    <t>UST_Tower_A</t>
  </si>
  <si>
    <t>LKC Tower B</t>
    <phoneticPr fontId="2" type="noConversion"/>
  </si>
  <si>
    <t>Can only download mannually from Sunny Portal dashboard. We may drop this station.</t>
  </si>
  <si>
    <t>Student Hall 2</t>
    <phoneticPr fontId="2" type="noConversion"/>
  </si>
  <si>
    <t>UST_UG2_RF</t>
  </si>
  <si>
    <t>Student Hall 2 (2nd floor)</t>
    <phoneticPr fontId="2" type="noConversion"/>
  </si>
  <si>
    <t>UST_UG2_2F</t>
  </si>
  <si>
    <t>Student Hall 3</t>
    <phoneticPr fontId="2" type="noConversion"/>
  </si>
  <si>
    <t>UST_UG3</t>
  </si>
  <si>
    <t>Student Hall 4</t>
    <phoneticPr fontId="2" type="noConversion"/>
  </si>
  <si>
    <t>0-5/wall mount/0</t>
    <phoneticPr fontId="2" type="noConversion"/>
  </si>
  <si>
    <t>UST_UG4_Flexible_PV / UST_UG4</t>
    <phoneticPr fontId="2" type="noConversion"/>
  </si>
  <si>
    <t>Student Hall 6</t>
    <phoneticPr fontId="2" type="noConversion"/>
  </si>
  <si>
    <t>UST_UG6</t>
  </si>
  <si>
    <t>Student Hall 7</t>
    <phoneticPr fontId="2" type="noConversion"/>
  </si>
  <si>
    <t>0-10/wall mount/0</t>
    <phoneticPr fontId="2" type="noConversion"/>
  </si>
  <si>
    <t>UST_UG7_Flexible_PV / UST_UG7</t>
    <phoneticPr fontId="2" type="noConversion"/>
  </si>
  <si>
    <t>Student Hall 8</t>
    <phoneticPr fontId="2" type="noConversion"/>
  </si>
  <si>
    <t>0-5</t>
    <phoneticPr fontId="2" type="noConversion"/>
  </si>
  <si>
    <t>Student Hall 9</t>
    <phoneticPr fontId="2" type="noConversion"/>
  </si>
  <si>
    <t>Staff Quarters Tower 1</t>
    <phoneticPr fontId="2" type="noConversion"/>
  </si>
  <si>
    <t>10/wall mount</t>
    <phoneticPr fontId="2" type="noConversion"/>
  </si>
  <si>
    <t>UST_SQ1</t>
  </si>
  <si>
    <t>Staff Quarters Tower 2</t>
    <phoneticPr fontId="2" type="noConversion"/>
  </si>
  <si>
    <t>UST_SQ2</t>
  </si>
  <si>
    <t>Staff Quarters Tower 3</t>
    <phoneticPr fontId="2" type="noConversion"/>
  </si>
  <si>
    <t>UST_SQ3</t>
  </si>
  <si>
    <t>Staff Quarters Tower 4</t>
    <phoneticPr fontId="2" type="noConversion"/>
  </si>
  <si>
    <t>UST_SQ4</t>
  </si>
  <si>
    <t>Staff Quarters Tower 5-7</t>
    <phoneticPr fontId="2" type="noConversion"/>
  </si>
  <si>
    <t>10/wall mount/0</t>
    <phoneticPr fontId="2" type="noConversion"/>
  </si>
  <si>
    <t>UST_SQ567_Flexible_PV / UST_SQ567</t>
    <phoneticPr fontId="2" type="noConversion"/>
  </si>
  <si>
    <t>Staff Quarters Tower 8</t>
    <phoneticPr fontId="2" type="noConversion"/>
  </si>
  <si>
    <t>UST_SQ8</t>
  </si>
  <si>
    <t>Staff Quarters Tower 9</t>
    <phoneticPr fontId="2" type="noConversion"/>
  </si>
  <si>
    <t>UST_SQ9</t>
  </si>
  <si>
    <t>Staff Quarters Tower 10</t>
    <phoneticPr fontId="2" type="noConversion"/>
  </si>
  <si>
    <t>UST_SQ10</t>
  </si>
  <si>
    <t>Staff Quarters Tower 11</t>
    <phoneticPr fontId="2" type="noConversion"/>
  </si>
  <si>
    <t>UST_SQ11</t>
  </si>
  <si>
    <t>Staff Quarters Tower 12</t>
    <phoneticPr fontId="2" type="noConversion"/>
  </si>
  <si>
    <t>UST_SQ12</t>
  </si>
  <si>
    <t>Staff Quarters Tower 13</t>
    <phoneticPr fontId="2" type="noConversion"/>
  </si>
  <si>
    <t>UST_SQ13</t>
  </si>
  <si>
    <t>Staff Quarters Tower 14</t>
    <phoneticPr fontId="2" type="noConversion"/>
  </si>
  <si>
    <t>UST_SQ14</t>
  </si>
  <si>
    <t>Staff Quarters Tower 15</t>
    <phoneticPr fontId="2" type="noConversion"/>
  </si>
  <si>
    <t>UST_SQ15</t>
  </si>
  <si>
    <t>Staff Quarters Tower 16</t>
    <phoneticPr fontId="2" type="noConversion"/>
  </si>
  <si>
    <t>UST_SQ16</t>
    <phoneticPr fontId="2" type="noConversion"/>
  </si>
  <si>
    <t>Staff Quarters Tower 17</t>
    <phoneticPr fontId="2" type="noConversion"/>
  </si>
  <si>
    <t>UST_SQ17</t>
  </si>
  <si>
    <t>Staff Quarters Tower 18</t>
    <phoneticPr fontId="2" type="noConversion"/>
  </si>
  <si>
    <t>UST_SQ18_new</t>
  </si>
  <si>
    <t>Staff Quarters Tower 19</t>
    <phoneticPr fontId="2" type="noConversion"/>
  </si>
  <si>
    <t>UST_SQ19</t>
  </si>
  <si>
    <t>Staff Quarter Apartment 1-12</t>
    <phoneticPr fontId="2" type="noConversion"/>
  </si>
  <si>
    <t>UST_Staff_Quarter_Apartment_1-12</t>
  </si>
  <si>
    <t>Staff Quarter Apartment 13-24</t>
    <phoneticPr fontId="2" type="noConversion"/>
  </si>
  <si>
    <t>UST_Staff_Quarter_Apartment_13-24</t>
  </si>
  <si>
    <t>Staff Quarter Apartment 25-36</t>
    <phoneticPr fontId="2" type="noConversion"/>
  </si>
  <si>
    <t>UST_Staff_Quarter_Apartment_25-36</t>
  </si>
  <si>
    <t>Staff Quarter Apartment 37-48</t>
  </si>
  <si>
    <t>10/0</t>
    <phoneticPr fontId="2" type="noConversion"/>
  </si>
  <si>
    <t>UST_SQ37-48</t>
  </si>
  <si>
    <t>It is available in ITSC database. The name is "UST_SQ37-48"</t>
  </si>
  <si>
    <t>Staff Quarter Block P</t>
    <phoneticPr fontId="2" type="noConversion"/>
  </si>
  <si>
    <t>Staff Quarter Block Q</t>
    <phoneticPr fontId="2" type="noConversion"/>
  </si>
  <si>
    <t>Staff Quarter Block R</t>
    <phoneticPr fontId="2" type="noConversion"/>
  </si>
  <si>
    <t>0/wall mount</t>
    <phoneticPr fontId="2" type="noConversion"/>
  </si>
  <si>
    <t>Staff_Quarter_Block_R</t>
  </si>
  <si>
    <t>Staff Quarter Block S</t>
    <phoneticPr fontId="2" type="noConversion"/>
  </si>
  <si>
    <t>Staff_Quarter_Block_S</t>
  </si>
  <si>
    <t>Wong Check She Research Center</t>
    <phoneticPr fontId="2" type="noConversion"/>
  </si>
  <si>
    <t>Wong_Check_She_Research_Center</t>
  </si>
  <si>
    <t>Indoor Sport Center</t>
    <phoneticPr fontId="2" type="noConversion"/>
  </si>
  <si>
    <t>UST_Indoor_Sports_Centre</t>
  </si>
  <si>
    <t>Covered walkway</t>
    <phoneticPr fontId="2" type="noConversion"/>
  </si>
  <si>
    <t>President Lodge</t>
    <phoneticPr fontId="2" type="noConversion"/>
  </si>
  <si>
    <t>Zone L2</t>
    <phoneticPr fontId="2" type="noConversion"/>
  </si>
  <si>
    <t>Chia_Wei_Woo_Concourse_Academic_Zone_L2</t>
  </si>
  <si>
    <t>Guest Lodge</t>
    <phoneticPr fontId="2" type="noConversion"/>
  </si>
  <si>
    <t>Shaw</t>
    <phoneticPr fontId="2" type="noConversion"/>
  </si>
  <si>
    <t>0-10/13</t>
    <phoneticPr fontId="2" type="noConversion"/>
  </si>
  <si>
    <t>?</t>
    <phoneticPr fontId="2" type="noConversion"/>
  </si>
  <si>
    <t>UST_Building_17</t>
  </si>
  <si>
    <t>Cant find location</t>
  </si>
  <si>
    <t>UST_Building17</t>
  </si>
  <si>
    <t>UST_GGT_by_UST</t>
  </si>
  <si>
    <t>新蒲崗雙喜街1號 安田中心 1802室</t>
  </si>
  <si>
    <t>UST_SQQ</t>
  </si>
  <si>
    <t>UST_SQQ_PHRASE2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</si>
</sst>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charset val="1"/>
    </font>
    <font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3" fillId="0" borderId="0" xfId="0" applyFont="1">
      <alignment vertical="center"/>
    </xf>
    <xf numFmtId="0" fontId="3" fillId="0" borderId="0" xfId="0" applyFont="1" applyAlignment="1"/>
    <xf numFmtId="0" fontId="4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left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0946-16AF-6E40-B7F4-740271AEEB62}">
  <dimension ref="A1:O69"/>
  <sheetViews>
    <sheetView tabSelected="1" topLeftCell="C1" zoomScale="120" zoomScaleNormal="120" workbookViewId="0">
      <selection activeCell="H2" sqref="H2"/>
    </sheetView>
  </sheetViews>
  <sheetFormatPr defaultColWidth="10.875" defaultRowHeight="15.95"/>
  <cols>
    <col min="1" max="1" width="27.625" style="4" customWidth="1"/>
    <col min="2" max="2" width="23.875" style="4" customWidth="1"/>
    <col min="3" max="3" width="22.5" style="4" customWidth="1"/>
    <col min="4" max="4" width="24.375" style="4" customWidth="1"/>
    <col min="5" max="5" width="28.125" style="4" customWidth="1"/>
    <col min="6" max="6" width="19.25" style="4" customWidth="1"/>
    <col min="7" max="7" width="24.125" style="4" customWidth="1"/>
    <col min="8" max="8" width="29.75" style="4" customWidth="1"/>
    <col min="9" max="9" width="28.625" style="4" customWidth="1"/>
    <col min="10" max="10" width="42.125" style="4" customWidth="1"/>
    <col min="11" max="11" width="26.375" style="4" customWidth="1"/>
    <col min="12" max="12" width="25.75" style="4" customWidth="1"/>
    <col min="13" max="13" width="20.125" style="7" customWidth="1"/>
    <col min="14" max="14" width="38.875" style="4" customWidth="1"/>
    <col min="15" max="15" width="70.875" style="4" customWidth="1"/>
    <col min="16" max="16384" width="10.875" style="4"/>
  </cols>
  <sheetData>
    <row r="1" spans="1:1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8" t="s">
        <v>12</v>
      </c>
      <c r="N1" s="1" t="s">
        <v>13</v>
      </c>
      <c r="O1" s="10" t="s">
        <v>14</v>
      </c>
    </row>
    <row r="2" spans="1:15" ht="48.75">
      <c r="A2" s="1" t="s">
        <v>15</v>
      </c>
      <c r="B2" s="1">
        <f>1855/1000*1029/1000</f>
        <v>1.908795</v>
      </c>
      <c r="C2" s="1">
        <v>154</v>
      </c>
      <c r="D2" s="1"/>
      <c r="E2" s="1"/>
      <c r="F2" s="1"/>
      <c r="G2" s="1"/>
      <c r="H2" s="1"/>
      <c r="I2" s="1"/>
      <c r="J2" s="1">
        <f>B2*C2+D2*E2+F2*G2+H2*I2</f>
        <v>293.95443</v>
      </c>
      <c r="K2" s="1">
        <v>61.62</v>
      </c>
      <c r="L2" s="1"/>
      <c r="M2" s="2" t="s">
        <v>16</v>
      </c>
      <c r="N2" s="1" t="s">
        <v>17</v>
      </c>
      <c r="O2" s="11" t="s">
        <v>18</v>
      </c>
    </row>
    <row r="3" spans="1:15">
      <c r="A3" s="1" t="s">
        <v>19</v>
      </c>
      <c r="B3" s="1">
        <f>1878/1000*1032/1000</f>
        <v>1.9380959999999998</v>
      </c>
      <c r="C3" s="1">
        <v>280</v>
      </c>
      <c r="D3" s="1"/>
      <c r="E3" s="1"/>
      <c r="F3" s="1"/>
      <c r="G3" s="1"/>
      <c r="H3" s="1"/>
      <c r="I3" s="1"/>
      <c r="J3" s="1">
        <f t="shared" ref="J3:J61" si="0">B3*C3+D3*E3+F3*G3+H3*I3</f>
        <v>542.66687999999999</v>
      </c>
      <c r="K3" s="1">
        <v>109.2</v>
      </c>
      <c r="L3" s="1"/>
      <c r="M3" s="2" t="s">
        <v>16</v>
      </c>
      <c r="N3" s="1" t="s">
        <v>20</v>
      </c>
    </row>
    <row r="4" spans="1:15">
      <c r="A4" s="1" t="s">
        <v>21</v>
      </c>
      <c r="B4" s="1">
        <f>1692/1000*1029/1000</f>
        <v>1.7410680000000001</v>
      </c>
      <c r="C4" s="1">
        <v>188</v>
      </c>
      <c r="D4" s="1">
        <f>1878/1000*1032/1000</f>
        <v>1.9380959999999998</v>
      </c>
      <c r="E4" s="1">
        <v>66</v>
      </c>
      <c r="F4" s="1"/>
      <c r="G4" s="1"/>
      <c r="H4" s="1"/>
      <c r="I4" s="1"/>
      <c r="J4" s="1">
        <f t="shared" si="0"/>
        <v>455.23511999999999</v>
      </c>
      <c r="K4" s="1">
        <v>94.36</v>
      </c>
      <c r="L4" s="1"/>
      <c r="M4" s="2" t="s">
        <v>22</v>
      </c>
      <c r="N4" s="1" t="s">
        <v>23</v>
      </c>
    </row>
    <row r="5" spans="1:15">
      <c r="A5" s="1" t="s">
        <v>24</v>
      </c>
      <c r="B5" s="1">
        <f>1692/1000*1029/1000</f>
        <v>1.7410680000000001</v>
      </c>
      <c r="C5" s="1">
        <v>335</v>
      </c>
      <c r="D5" s="1">
        <f>1878/1000*1032/1000</f>
        <v>1.9380959999999998</v>
      </c>
      <c r="E5" s="1">
        <v>28</v>
      </c>
      <c r="F5" s="1"/>
      <c r="G5" s="1"/>
      <c r="H5" s="1"/>
      <c r="I5" s="1"/>
      <c r="J5" s="1">
        <f t="shared" si="0"/>
        <v>637.52446800000007</v>
      </c>
      <c r="K5" s="1">
        <v>140.87200000000001</v>
      </c>
      <c r="L5" s="1"/>
      <c r="M5" s="2" t="s">
        <v>25</v>
      </c>
      <c r="N5" s="1"/>
      <c r="O5" s="4" t="s">
        <v>26</v>
      </c>
    </row>
    <row r="6" spans="1:15">
      <c r="A6" s="1" t="s">
        <v>27</v>
      </c>
      <c r="B6" s="1">
        <f>1692/1000*1029/1000</f>
        <v>1.7410680000000001</v>
      </c>
      <c r="C6" s="1">
        <v>175</v>
      </c>
      <c r="D6" s="1"/>
      <c r="E6" s="1"/>
      <c r="F6" s="1"/>
      <c r="G6" s="1"/>
      <c r="H6" s="1"/>
      <c r="I6" s="1"/>
      <c r="J6" s="1">
        <f t="shared" si="0"/>
        <v>304.68690000000004</v>
      </c>
      <c r="K6" s="1">
        <v>63.875</v>
      </c>
      <c r="L6" s="1"/>
      <c r="M6" s="2" t="s">
        <v>22</v>
      </c>
      <c r="N6" s="4" t="s">
        <v>28</v>
      </c>
    </row>
    <row r="7" spans="1:15">
      <c r="A7" s="1" t="s">
        <v>29</v>
      </c>
      <c r="B7" s="1">
        <f>1855/1000*1029/1000</f>
        <v>1.908795</v>
      </c>
      <c r="C7" s="1">
        <v>150</v>
      </c>
      <c r="D7" s="1"/>
      <c r="E7" s="1"/>
      <c r="F7" s="1"/>
      <c r="G7" s="1"/>
      <c r="H7" s="1"/>
      <c r="I7" s="1"/>
      <c r="J7" s="1">
        <f t="shared" si="0"/>
        <v>286.31925000000001</v>
      </c>
      <c r="K7" s="1">
        <v>59.25</v>
      </c>
      <c r="L7" s="1"/>
      <c r="M7" s="2">
        <v>10</v>
      </c>
      <c r="N7" s="1" t="s">
        <v>29</v>
      </c>
    </row>
    <row r="8" spans="1:15">
      <c r="A8" s="1" t="s">
        <v>30</v>
      </c>
      <c r="B8" s="1">
        <f>1670/1000*992/1000</f>
        <v>1.6566399999999999</v>
      </c>
      <c r="C8" s="1">
        <v>66</v>
      </c>
      <c r="D8" s="1">
        <f>1692/1000*1029/1000</f>
        <v>1.7410680000000001</v>
      </c>
      <c r="E8" s="1">
        <v>37</v>
      </c>
      <c r="F8" s="1"/>
      <c r="G8" s="1"/>
      <c r="H8" s="1"/>
      <c r="I8" s="1"/>
      <c r="J8" s="1">
        <f t="shared" si="0"/>
        <v>173.757756</v>
      </c>
      <c r="K8" s="1">
        <v>33.305</v>
      </c>
      <c r="L8" s="1"/>
      <c r="M8" s="2" t="s">
        <v>22</v>
      </c>
      <c r="N8" s="1" t="s">
        <v>31</v>
      </c>
    </row>
    <row r="9" spans="1:15">
      <c r="A9" s="1" t="s">
        <v>32</v>
      </c>
      <c r="B9" s="1">
        <f>1855/1000*1029/1000</f>
        <v>1.908795</v>
      </c>
      <c r="C9" s="1">
        <v>386</v>
      </c>
      <c r="D9" s="1">
        <f>1292/1000*1010/1000</f>
        <v>1.3049200000000001</v>
      </c>
      <c r="E9" s="1">
        <v>20</v>
      </c>
      <c r="F9" s="1">
        <f>1878/1000*1032/1000</f>
        <v>1.9380959999999998</v>
      </c>
      <c r="G9" s="1">
        <v>4</v>
      </c>
      <c r="H9" s="1"/>
      <c r="I9" s="1"/>
      <c r="J9" s="1">
        <f t="shared" si="0"/>
        <v>770.64565400000004</v>
      </c>
      <c r="K9" s="1">
        <v>252.9</v>
      </c>
      <c r="L9" s="1">
        <v>191.2</v>
      </c>
      <c r="M9" s="2" t="s">
        <v>33</v>
      </c>
      <c r="N9" s="1" t="s">
        <v>34</v>
      </c>
    </row>
    <row r="10" spans="1:15">
      <c r="A10" s="1" t="s">
        <v>35</v>
      </c>
      <c r="B10" s="1">
        <f>1878/1000*1032/1000</f>
        <v>1.9380959999999998</v>
      </c>
      <c r="C10" s="1">
        <v>52</v>
      </c>
      <c r="D10" s="1"/>
      <c r="E10" s="1"/>
      <c r="F10" s="1"/>
      <c r="G10" s="1"/>
      <c r="H10" s="1"/>
      <c r="I10" s="1"/>
      <c r="J10" s="1">
        <f t="shared" si="0"/>
        <v>100.780992</v>
      </c>
      <c r="K10" s="1">
        <v>20.28</v>
      </c>
      <c r="L10" s="1"/>
      <c r="M10" s="2" t="s">
        <v>36</v>
      </c>
      <c r="N10" s="1" t="s">
        <v>37</v>
      </c>
    </row>
    <row r="11" spans="1:15">
      <c r="A11" s="1" t="s">
        <v>38</v>
      </c>
      <c r="B11" s="1">
        <f>1878/1000*1032/1000</f>
        <v>1.9380959999999998</v>
      </c>
      <c r="C11" s="1">
        <v>176</v>
      </c>
      <c r="D11" s="1"/>
      <c r="E11" s="1"/>
      <c r="F11" s="1"/>
      <c r="G11" s="1"/>
      <c r="H11" s="1"/>
      <c r="I11" s="1"/>
      <c r="J11" s="1">
        <f t="shared" si="0"/>
        <v>341.10489599999994</v>
      </c>
      <c r="K11" s="1">
        <v>68.64</v>
      </c>
      <c r="L11" s="1"/>
      <c r="M11" s="2" t="s">
        <v>36</v>
      </c>
      <c r="N11" s="1" t="s">
        <v>39</v>
      </c>
    </row>
    <row r="12" spans="1:15">
      <c r="A12" s="1" t="s">
        <v>40</v>
      </c>
      <c r="B12" s="1">
        <f>1878/1000*1032/1000</f>
        <v>1.9380959999999998</v>
      </c>
      <c r="C12" s="1">
        <v>96</v>
      </c>
      <c r="D12" s="1"/>
      <c r="E12" s="1"/>
      <c r="F12" s="1"/>
      <c r="G12" s="1"/>
      <c r="H12" s="1"/>
      <c r="I12" s="1"/>
      <c r="J12" s="1">
        <f t="shared" si="0"/>
        <v>186.05721599999998</v>
      </c>
      <c r="K12" s="1">
        <v>37.44</v>
      </c>
      <c r="L12" s="1"/>
      <c r="M12" s="2" t="s">
        <v>36</v>
      </c>
      <c r="N12" s="1" t="s">
        <v>41</v>
      </c>
    </row>
    <row r="13" spans="1:15">
      <c r="A13" s="1" t="s">
        <v>42</v>
      </c>
      <c r="B13" s="1">
        <f>1878/1000*1032/1000</f>
        <v>1.9380959999999998</v>
      </c>
      <c r="C13" s="1">
        <f>18+17+64+51</f>
        <v>150</v>
      </c>
      <c r="D13" s="1">
        <f>1692/1000*1029/1000</f>
        <v>1.7410680000000001</v>
      </c>
      <c r="E13" s="1">
        <f>7+9</f>
        <v>16</v>
      </c>
      <c r="F13" s="1"/>
      <c r="G13" s="1"/>
      <c r="H13" s="1"/>
      <c r="I13" s="1"/>
      <c r="J13" s="1">
        <f>B13*C13+D13*E13+F13*G13+H13*I13</f>
        <v>318.57148799999993</v>
      </c>
      <c r="K13" s="1">
        <v>64.739999999999995</v>
      </c>
      <c r="L13" s="1"/>
      <c r="M13" s="2" t="s">
        <v>43</v>
      </c>
      <c r="N13" s="1" t="s">
        <v>44</v>
      </c>
    </row>
    <row r="14" spans="1:15">
      <c r="A14" s="1" t="s">
        <v>45</v>
      </c>
      <c r="B14" s="1">
        <f>1692/1000*1029/1000</f>
        <v>1.7410680000000001</v>
      </c>
      <c r="C14" s="1">
        <v>105</v>
      </c>
      <c r="D14" s="1"/>
      <c r="E14" s="1"/>
      <c r="F14" s="1"/>
      <c r="G14" s="1"/>
      <c r="H14" s="1"/>
      <c r="I14" s="1"/>
      <c r="J14" s="1">
        <f>B14*C14+D14*E14+F14*G14+H14*I14</f>
        <v>182.81214</v>
      </c>
      <c r="K14" s="1">
        <v>38.33</v>
      </c>
      <c r="L14" s="1"/>
      <c r="M14" s="2" t="s">
        <v>36</v>
      </c>
      <c r="N14" s="1" t="s">
        <v>46</v>
      </c>
    </row>
    <row r="15" spans="1:15">
      <c r="A15" s="1" t="s">
        <v>47</v>
      </c>
      <c r="B15" s="1">
        <f>1878/1000*1032/1000</f>
        <v>1.9380959999999998</v>
      </c>
      <c r="C15" s="1">
        <f>19+31+35+15</f>
        <v>100</v>
      </c>
      <c r="D15" s="1">
        <f>1878/1000*1032/1000</f>
        <v>1.9380959999999998</v>
      </c>
      <c r="E15" s="1">
        <f>8+6+4+7</f>
        <v>25</v>
      </c>
      <c r="F15" s="1"/>
      <c r="G15" s="1"/>
      <c r="H15" s="1"/>
      <c r="I15" s="1"/>
      <c r="J15" s="1">
        <f t="shared" si="0"/>
        <v>242.262</v>
      </c>
      <c r="K15" s="1">
        <v>48.75</v>
      </c>
      <c r="L15" s="1"/>
      <c r="M15" s="2" t="s">
        <v>43</v>
      </c>
      <c r="N15" s="1"/>
      <c r="O15" s="4" t="s">
        <v>26</v>
      </c>
    </row>
    <row r="16" spans="1:15">
      <c r="A16" s="1" t="s">
        <v>48</v>
      </c>
      <c r="B16" s="1">
        <f>1692/1000*1029/1000</f>
        <v>1.7410680000000001</v>
      </c>
      <c r="C16" s="1">
        <v>460</v>
      </c>
      <c r="D16" s="1"/>
      <c r="E16" s="1"/>
      <c r="F16" s="1"/>
      <c r="G16" s="1"/>
      <c r="H16" s="1"/>
      <c r="I16" s="1"/>
      <c r="J16" s="1">
        <f t="shared" si="0"/>
        <v>800.89128000000005</v>
      </c>
      <c r="K16" s="1">
        <v>170.2</v>
      </c>
      <c r="L16" s="1"/>
      <c r="M16" s="2" t="s">
        <v>36</v>
      </c>
      <c r="N16" s="1" t="s">
        <v>49</v>
      </c>
    </row>
    <row r="17" spans="1:15">
      <c r="A17" s="1" t="s">
        <v>50</v>
      </c>
      <c r="B17" s="1">
        <f>1878/1000*1032/1000</f>
        <v>1.9380959999999998</v>
      </c>
      <c r="C17" s="1">
        <v>170</v>
      </c>
      <c r="D17" s="1"/>
      <c r="E17" s="1"/>
      <c r="F17" s="1"/>
      <c r="G17" s="1"/>
      <c r="H17" s="1"/>
      <c r="I17" s="1"/>
      <c r="J17" s="1">
        <f t="shared" si="0"/>
        <v>329.47631999999999</v>
      </c>
      <c r="K17" s="1">
        <v>66.3</v>
      </c>
      <c r="L17" s="1"/>
      <c r="M17" s="2">
        <v>10</v>
      </c>
      <c r="N17" s="1" t="s">
        <v>51</v>
      </c>
    </row>
    <row r="18" spans="1:15">
      <c r="A18" s="1" t="s">
        <v>52</v>
      </c>
      <c r="B18" s="1">
        <f>1878/1000*1032/1000</f>
        <v>1.9380959999999998</v>
      </c>
      <c r="C18" s="1">
        <v>72</v>
      </c>
      <c r="D18" s="1"/>
      <c r="E18" s="1"/>
      <c r="F18" s="1"/>
      <c r="G18" s="1"/>
      <c r="H18" s="1"/>
      <c r="I18" s="1"/>
      <c r="J18" s="1">
        <f t="shared" si="0"/>
        <v>139.542912</v>
      </c>
      <c r="K18" s="1">
        <v>28.08</v>
      </c>
      <c r="L18" s="1"/>
      <c r="M18" s="2">
        <v>10</v>
      </c>
      <c r="N18" s="1" t="s">
        <v>53</v>
      </c>
    </row>
    <row r="19" spans="1:15">
      <c r="A19" s="1" t="s">
        <v>54</v>
      </c>
      <c r="B19" s="1">
        <f>1855/1000*1029/1000</f>
        <v>1.908795</v>
      </c>
      <c r="C19" s="1">
        <f>(3+6+4)*4</f>
        <v>52</v>
      </c>
      <c r="D19" s="1">
        <f>1855/1000*1029/1000</f>
        <v>1.908795</v>
      </c>
      <c r="E19" s="1">
        <f>26+24</f>
        <v>50</v>
      </c>
      <c r="F19" s="1"/>
      <c r="G19" s="1"/>
      <c r="H19" s="1"/>
      <c r="I19" s="1"/>
      <c r="J19" s="1">
        <f t="shared" si="0"/>
        <v>194.69709</v>
      </c>
      <c r="K19" s="1">
        <v>40.29</v>
      </c>
      <c r="L19" s="1"/>
      <c r="M19" s="2" t="s">
        <v>55</v>
      </c>
      <c r="N19" s="1" t="s">
        <v>56</v>
      </c>
    </row>
    <row r="20" spans="1:15">
      <c r="A20" s="3" t="s">
        <v>57</v>
      </c>
      <c r="B20" s="1">
        <f>1855/1000*1029/1000</f>
        <v>1.908795</v>
      </c>
      <c r="C20" s="3">
        <f>4*2+6*5</f>
        <v>38</v>
      </c>
      <c r="D20" s="1">
        <f>1855/1000*1029/1000</f>
        <v>1.908795</v>
      </c>
      <c r="E20" s="3">
        <f>7*7+4*5</f>
        <v>69</v>
      </c>
      <c r="F20" s="1"/>
      <c r="G20" s="1"/>
      <c r="H20" s="1"/>
      <c r="I20" s="1"/>
      <c r="J20" s="1">
        <f t="shared" si="0"/>
        <v>204.24106499999999</v>
      </c>
      <c r="K20" s="1">
        <v>43.844999999999999</v>
      </c>
      <c r="L20" s="1"/>
      <c r="M20" s="2" t="s">
        <v>55</v>
      </c>
      <c r="N20" s="1"/>
      <c r="O20" s="4" t="s">
        <v>58</v>
      </c>
    </row>
    <row r="21" spans="1:15">
      <c r="A21" s="1" t="s">
        <v>59</v>
      </c>
      <c r="B21" s="1">
        <f>1878/1000*1032/1000</f>
        <v>1.9380959999999998</v>
      </c>
      <c r="C21" s="1">
        <v>26</v>
      </c>
      <c r="D21" s="1"/>
      <c r="E21" s="1"/>
      <c r="F21" s="1"/>
      <c r="G21" s="1"/>
      <c r="H21" s="1"/>
      <c r="I21" s="1"/>
      <c r="J21" s="1">
        <f t="shared" si="0"/>
        <v>50.390495999999999</v>
      </c>
      <c r="K21" s="1">
        <v>10.14</v>
      </c>
      <c r="L21" s="1"/>
      <c r="M21" s="2" t="s">
        <v>36</v>
      </c>
      <c r="N21" s="1" t="s">
        <v>60</v>
      </c>
    </row>
    <row r="22" spans="1:15">
      <c r="A22" s="1" t="s">
        <v>61</v>
      </c>
      <c r="B22" s="1">
        <f>1878/1000*1032/1000</f>
        <v>1.9380959999999998</v>
      </c>
      <c r="C22" s="1">
        <v>60</v>
      </c>
      <c r="J22" s="1">
        <f t="shared" si="0"/>
        <v>116.28575999999998</v>
      </c>
      <c r="K22" s="1">
        <v>23.4</v>
      </c>
      <c r="M22" s="2">
        <v>0</v>
      </c>
      <c r="N22" s="4" t="s">
        <v>62</v>
      </c>
    </row>
    <row r="23" spans="1:15">
      <c r="A23" s="1" t="s">
        <v>63</v>
      </c>
      <c r="B23" s="1">
        <f>1878/1000*1032/1000</f>
        <v>1.9380959999999998</v>
      </c>
      <c r="C23" s="1">
        <v>70</v>
      </c>
      <c r="J23" s="1">
        <f t="shared" si="0"/>
        <v>135.66672</v>
      </c>
      <c r="K23" s="1">
        <v>27.3</v>
      </c>
      <c r="M23" s="2" t="s">
        <v>36</v>
      </c>
      <c r="N23" s="4" t="s">
        <v>64</v>
      </c>
    </row>
    <row r="24" spans="1:15">
      <c r="A24" s="1" t="s">
        <v>65</v>
      </c>
      <c r="B24" s="1">
        <f>1878/1000*1032/1000</f>
        <v>1.9380959999999998</v>
      </c>
      <c r="C24" s="4">
        <f>8+12+16+6+6</f>
        <v>48</v>
      </c>
      <c r="D24" s="1">
        <f>1878/1000*1032/1000</f>
        <v>1.9380959999999998</v>
      </c>
      <c r="E24" s="4">
        <f>5*2+7*2+12</f>
        <v>36</v>
      </c>
      <c r="F24" s="4">
        <f>1681/1000*1</f>
        <v>1.681</v>
      </c>
      <c r="G24" s="4">
        <v>64</v>
      </c>
      <c r="J24" s="1">
        <f t="shared" si="0"/>
        <v>270.38406399999997</v>
      </c>
      <c r="K24" s="1">
        <v>52.6</v>
      </c>
      <c r="M24" s="2" t="s">
        <v>66</v>
      </c>
      <c r="N24" s="4" t="s">
        <v>67</v>
      </c>
    </row>
    <row r="25" spans="1:15">
      <c r="A25" s="1" t="s">
        <v>68</v>
      </c>
      <c r="B25" s="1">
        <f>1878/1000*1032/1000</f>
        <v>1.9380959999999998</v>
      </c>
      <c r="C25" s="4">
        <v>78</v>
      </c>
      <c r="J25" s="1">
        <f t="shared" si="0"/>
        <v>151.17148799999998</v>
      </c>
      <c r="K25" s="4">
        <v>30.42</v>
      </c>
      <c r="M25" s="2" t="s">
        <v>36</v>
      </c>
      <c r="N25" s="4" t="s">
        <v>69</v>
      </c>
    </row>
    <row r="26" spans="1:15">
      <c r="A26" s="1" t="s">
        <v>70</v>
      </c>
      <c r="B26" s="1">
        <f>1878/1000*1032/1000</f>
        <v>1.9380959999999998</v>
      </c>
      <c r="C26" s="4">
        <f>14*2+3+9+4</f>
        <v>44</v>
      </c>
      <c r="D26" s="1">
        <f>1878/1000*1032/1000</f>
        <v>1.9380959999999998</v>
      </c>
      <c r="E26" s="4">
        <f>6+3+2+5+2+7+13</f>
        <v>38</v>
      </c>
      <c r="F26" s="4">
        <f>1681/1000*1</f>
        <v>1.681</v>
      </c>
      <c r="G26" s="4">
        <v>18</v>
      </c>
      <c r="J26" s="1">
        <f t="shared" si="0"/>
        <v>189.18187199999997</v>
      </c>
      <c r="K26" s="4">
        <v>37.56</v>
      </c>
      <c r="M26" s="2" t="s">
        <v>71</v>
      </c>
      <c r="N26" s="4" t="s">
        <v>72</v>
      </c>
    </row>
    <row r="27" spans="1:15">
      <c r="A27" s="1" t="s">
        <v>73</v>
      </c>
      <c r="B27" s="1">
        <f>1878/1000*1032/1000</f>
        <v>1.9380959999999998</v>
      </c>
      <c r="C27" s="4">
        <v>66</v>
      </c>
      <c r="J27" s="1">
        <f t="shared" si="0"/>
        <v>127.91433599999999</v>
      </c>
      <c r="K27" s="4">
        <v>25.74</v>
      </c>
      <c r="M27" s="2" t="s">
        <v>74</v>
      </c>
      <c r="O27" s="4" t="s">
        <v>26</v>
      </c>
    </row>
    <row r="28" spans="1:15">
      <c r="A28" s="5" t="s">
        <v>75</v>
      </c>
      <c r="B28" s="4">
        <f>1855/1000*1029/1000</f>
        <v>1.908795</v>
      </c>
      <c r="C28" s="4">
        <v>65</v>
      </c>
      <c r="J28" s="1">
        <f t="shared" si="0"/>
        <v>124.071675</v>
      </c>
      <c r="K28" s="4">
        <v>26.975000000000001</v>
      </c>
      <c r="M28" s="2" t="s">
        <v>36</v>
      </c>
      <c r="O28" s="4" t="s">
        <v>26</v>
      </c>
    </row>
    <row r="29" spans="1:15">
      <c r="A29" s="4" t="s">
        <v>76</v>
      </c>
      <c r="B29" s="1">
        <f>1878/1000*1032/1000</f>
        <v>1.9380959999999998</v>
      </c>
      <c r="C29" s="4">
        <f>11+3+8+7+8</f>
        <v>37</v>
      </c>
      <c r="D29" s="1">
        <f>1878/1000*1032/1000</f>
        <v>1.9380959999999998</v>
      </c>
      <c r="E29" s="4">
        <f>2+12+10+7+4+7+8+1</f>
        <v>51</v>
      </c>
      <c r="J29" s="1">
        <f t="shared" si="0"/>
        <v>170.55244799999997</v>
      </c>
      <c r="K29" s="4">
        <v>34.32</v>
      </c>
      <c r="M29" s="2" t="s">
        <v>77</v>
      </c>
      <c r="N29" s="4" t="s">
        <v>78</v>
      </c>
    </row>
    <row r="30" spans="1:15">
      <c r="A30" s="4" t="s">
        <v>79</v>
      </c>
      <c r="B30" s="1">
        <f>1878/1000*1032/1000</f>
        <v>1.9380959999999998</v>
      </c>
      <c r="C30" s="4">
        <f>11+8+8+4+8</f>
        <v>39</v>
      </c>
      <c r="D30" s="1">
        <f>1878/1000*1032/1000</f>
        <v>1.9380959999999998</v>
      </c>
      <c r="E30" s="4">
        <f>2+11+3+7+8+10+6</f>
        <v>47</v>
      </c>
      <c r="J30" s="1">
        <f t="shared" si="0"/>
        <v>166.67625599999997</v>
      </c>
      <c r="K30" s="4">
        <v>33.54</v>
      </c>
      <c r="M30" s="2" t="s">
        <v>77</v>
      </c>
      <c r="N30" s="4" t="s">
        <v>80</v>
      </c>
    </row>
    <row r="31" spans="1:15">
      <c r="A31" s="6" t="s">
        <v>81</v>
      </c>
      <c r="B31" s="1">
        <f>1878/1000*1032/1000</f>
        <v>1.9380959999999998</v>
      </c>
      <c r="C31" s="4">
        <f>8+8+11+8+3+5</f>
        <v>43</v>
      </c>
      <c r="D31" s="1">
        <f>1878/1000*1032/1000</f>
        <v>1.9380959999999998</v>
      </c>
      <c r="E31" s="4">
        <f>7+7+4+2+2+2+7+3+10+5</f>
        <v>49</v>
      </c>
      <c r="J31" s="1">
        <f t="shared" si="0"/>
        <v>178.30483199999998</v>
      </c>
      <c r="K31" s="4">
        <v>35.880000000000003</v>
      </c>
      <c r="M31" s="2" t="s">
        <v>55</v>
      </c>
      <c r="N31" s="4" t="s">
        <v>82</v>
      </c>
    </row>
    <row r="32" spans="1:15">
      <c r="A32" s="6" t="s">
        <v>83</v>
      </c>
      <c r="B32" s="1">
        <f>1878/1000*1032/1000</f>
        <v>1.9380959999999998</v>
      </c>
      <c r="C32" s="4">
        <f>6+4+11+9+7</f>
        <v>37</v>
      </c>
      <c r="D32" s="1">
        <f>1878/1000*1032/1000</f>
        <v>1.9380959999999998</v>
      </c>
      <c r="E32" s="4">
        <f>5+10+9+9+2+4+7+8</f>
        <v>54</v>
      </c>
      <c r="J32" s="1">
        <f t="shared" si="0"/>
        <v>176.36673599999997</v>
      </c>
      <c r="K32" s="4">
        <v>35.49</v>
      </c>
      <c r="M32" s="2" t="s">
        <v>55</v>
      </c>
      <c r="N32" s="4" t="s">
        <v>84</v>
      </c>
    </row>
    <row r="33" spans="1:14">
      <c r="A33" s="6" t="s">
        <v>85</v>
      </c>
      <c r="B33" s="1">
        <f>1878/1000*1032/1000</f>
        <v>1.9380959999999998</v>
      </c>
      <c r="C33" s="4">
        <f>10+10+2+10+5+2+2+10</f>
        <v>51</v>
      </c>
      <c r="D33" s="1">
        <f>1878/1000*1032/1000</f>
        <v>1.9380959999999998</v>
      </c>
      <c r="E33" s="4">
        <f>5+4+2+2+1+1+5+5+1+1+4+5+1+1+1+2+4+6+2+6+13</f>
        <v>72</v>
      </c>
      <c r="F33" s="4">
        <f>1681/1000*1</f>
        <v>1.681</v>
      </c>
      <c r="G33" s="4">
        <v>36</v>
      </c>
      <c r="J33" s="1">
        <f t="shared" si="0"/>
        <v>298.90180800000002</v>
      </c>
      <c r="K33" s="4">
        <v>59.13</v>
      </c>
      <c r="M33" s="2" t="s">
        <v>86</v>
      </c>
      <c r="N33" s="4" t="s">
        <v>87</v>
      </c>
    </row>
    <row r="34" spans="1:14">
      <c r="A34" s="6" t="s">
        <v>88</v>
      </c>
      <c r="B34" s="1">
        <f>1878/1000*1032/1000</f>
        <v>1.9380959999999998</v>
      </c>
      <c r="C34" s="4">
        <f>18+18+5+5+7</f>
        <v>53</v>
      </c>
      <c r="D34" s="1">
        <f>1878/1000*1032/1000</f>
        <v>1.9380959999999998</v>
      </c>
      <c r="E34" s="4">
        <f>3+5+6+5+5</f>
        <v>24</v>
      </c>
      <c r="F34" s="4">
        <f>1681/1000*1</f>
        <v>1.681</v>
      </c>
      <c r="G34" s="4">
        <v>8</v>
      </c>
      <c r="J34" s="1">
        <f t="shared" si="0"/>
        <v>162.68139199999999</v>
      </c>
      <c r="K34" s="4">
        <v>32.51</v>
      </c>
      <c r="M34" s="2" t="s">
        <v>86</v>
      </c>
      <c r="N34" s="4" t="s">
        <v>89</v>
      </c>
    </row>
    <row r="35" spans="1:14">
      <c r="A35" s="6" t="s">
        <v>90</v>
      </c>
      <c r="B35" s="1">
        <f>1878/1000*1032/1000</f>
        <v>1.9380959999999998</v>
      </c>
      <c r="C35" s="4">
        <f>18+16+5+6+7</f>
        <v>52</v>
      </c>
      <c r="D35" s="1">
        <f>1878/1000*1032/1000</f>
        <v>1.9380959999999998</v>
      </c>
      <c r="E35" s="4">
        <f>7+7+4+4+5</f>
        <v>27</v>
      </c>
      <c r="J35" s="1">
        <f t="shared" si="0"/>
        <v>153.10958399999998</v>
      </c>
      <c r="K35" s="4">
        <v>30.81</v>
      </c>
      <c r="M35" s="2" t="s">
        <v>77</v>
      </c>
      <c r="N35" s="4" t="s">
        <v>91</v>
      </c>
    </row>
    <row r="36" spans="1:14">
      <c r="A36" s="6" t="s">
        <v>92</v>
      </c>
      <c r="B36" s="1">
        <f>1878/1000*1032/1000</f>
        <v>1.9380959999999998</v>
      </c>
      <c r="C36" s="4">
        <f>14+16+5+6+7</f>
        <v>48</v>
      </c>
      <c r="D36" s="1">
        <f>1878/1000*1032/1000</f>
        <v>1.9380959999999998</v>
      </c>
      <c r="E36" s="4">
        <f>8+7+5*3</f>
        <v>30</v>
      </c>
      <c r="J36" s="1">
        <f t="shared" si="0"/>
        <v>151.17148799999998</v>
      </c>
      <c r="K36" s="4">
        <v>30.42</v>
      </c>
      <c r="M36" s="2" t="s">
        <v>77</v>
      </c>
      <c r="N36" s="4" t="s">
        <v>93</v>
      </c>
    </row>
    <row r="37" spans="1:14">
      <c r="A37" s="6" t="s">
        <v>94</v>
      </c>
      <c r="B37" s="1">
        <f>1878/1000*1032/1000</f>
        <v>1.9380959999999998</v>
      </c>
      <c r="C37" s="4">
        <f>18+16+6+6+7</f>
        <v>53</v>
      </c>
      <c r="D37" s="1">
        <f>1878/1000*1032/1000</f>
        <v>1.9380959999999998</v>
      </c>
      <c r="E37" s="4">
        <f>5+3+5+6+5</f>
        <v>24</v>
      </c>
      <c r="F37" s="4">
        <f>1681/1000*1</f>
        <v>1.681</v>
      </c>
      <c r="G37" s="4">
        <v>8</v>
      </c>
      <c r="J37" s="1">
        <f t="shared" si="0"/>
        <v>162.68139199999999</v>
      </c>
      <c r="K37" s="4">
        <v>32.51</v>
      </c>
      <c r="M37" s="2" t="s">
        <v>86</v>
      </c>
      <c r="N37" s="4" t="s">
        <v>95</v>
      </c>
    </row>
    <row r="38" spans="1:14">
      <c r="A38" s="6" t="s">
        <v>96</v>
      </c>
      <c r="B38" s="1">
        <f>1878/1000*1032/1000</f>
        <v>1.9380959999999998</v>
      </c>
      <c r="C38" s="4">
        <f>18+18+5+5+7</f>
        <v>53</v>
      </c>
      <c r="D38" s="1">
        <f>1878/1000*1032/1000</f>
        <v>1.9380959999999998</v>
      </c>
      <c r="E38" s="4">
        <f>3+4+4+8+4</f>
        <v>23</v>
      </c>
      <c r="F38" s="4">
        <f>1681/1000*1</f>
        <v>1.681</v>
      </c>
      <c r="G38" s="4">
        <v>8</v>
      </c>
      <c r="J38" s="1">
        <f t="shared" si="0"/>
        <v>160.74329599999999</v>
      </c>
      <c r="K38" s="4">
        <v>32.119999999999997</v>
      </c>
      <c r="M38" s="2" t="s">
        <v>86</v>
      </c>
      <c r="N38" s="4" t="s">
        <v>97</v>
      </c>
    </row>
    <row r="39" spans="1:14">
      <c r="A39" s="6" t="s">
        <v>98</v>
      </c>
      <c r="B39" s="1">
        <f>1878/1000*1032/1000</f>
        <v>1.9380959999999998</v>
      </c>
      <c r="C39" s="4">
        <f>16+7*3+5*2</f>
        <v>47</v>
      </c>
      <c r="D39" s="1">
        <f>1878/1000*1032/1000</f>
        <v>1.9380959999999998</v>
      </c>
      <c r="E39" s="4">
        <f>8+5*2+4*2</f>
        <v>26</v>
      </c>
      <c r="J39" s="1">
        <f t="shared" si="0"/>
        <v>141.48100799999997</v>
      </c>
      <c r="K39" s="4">
        <v>28.47</v>
      </c>
      <c r="M39" s="2" t="s">
        <v>77</v>
      </c>
      <c r="N39" s="4" t="s">
        <v>99</v>
      </c>
    </row>
    <row r="40" spans="1:14">
      <c r="A40" s="6" t="s">
        <v>100</v>
      </c>
      <c r="B40" s="1">
        <f>1878/1000*1032/1000</f>
        <v>1.9380959999999998</v>
      </c>
      <c r="C40" s="4">
        <f>16*2+6*2+5</f>
        <v>49</v>
      </c>
      <c r="D40" s="1">
        <f>1878/1000*1032/1000</f>
        <v>1.9380959999999998</v>
      </c>
      <c r="E40" s="4">
        <f>5*2+4*3+7</f>
        <v>29</v>
      </c>
      <c r="F40" s="4">
        <f>1681/1000*1</f>
        <v>1.681</v>
      </c>
      <c r="G40" s="4">
        <v>8</v>
      </c>
      <c r="J40" s="1">
        <f t="shared" si="0"/>
        <v>164.61948799999999</v>
      </c>
      <c r="K40" s="4">
        <v>32.9</v>
      </c>
      <c r="M40" s="2" t="s">
        <v>86</v>
      </c>
      <c r="N40" s="4" t="s">
        <v>101</v>
      </c>
    </row>
    <row r="41" spans="1:14">
      <c r="A41" s="6" t="s">
        <v>102</v>
      </c>
      <c r="B41" s="1">
        <f>1878/1000*1032/1000</f>
        <v>1.9380959999999998</v>
      </c>
      <c r="C41" s="4">
        <f>18*2+5+6+7</f>
        <v>54</v>
      </c>
      <c r="D41" s="1">
        <f>1878/1000*1032/1000</f>
        <v>1.9380959999999998</v>
      </c>
      <c r="E41" s="4">
        <f>3+4+5+6+7</f>
        <v>25</v>
      </c>
      <c r="F41" s="4">
        <f>1681/1000*1</f>
        <v>1.681</v>
      </c>
      <c r="G41" s="4">
        <v>8</v>
      </c>
      <c r="J41" s="1">
        <f t="shared" si="0"/>
        <v>166.55758399999999</v>
      </c>
      <c r="K41" s="4">
        <v>33.29</v>
      </c>
      <c r="M41" s="2" t="s">
        <v>86</v>
      </c>
      <c r="N41" s="4" t="s">
        <v>103</v>
      </c>
    </row>
    <row r="42" spans="1:14">
      <c r="A42" s="6" t="s">
        <v>104</v>
      </c>
      <c r="B42" s="1">
        <f>1878/1000*1032/1000</f>
        <v>1.9380959999999998</v>
      </c>
      <c r="C42" s="4">
        <f>16*2+6*3+7</f>
        <v>57</v>
      </c>
      <c r="D42" s="1">
        <f>1878/1000*1032/1000</f>
        <v>1.9380959999999998</v>
      </c>
      <c r="E42" s="4">
        <f>8+4+5+5+6</f>
        <v>28</v>
      </c>
      <c r="J42" s="1">
        <f t="shared" si="0"/>
        <v>164.73815999999999</v>
      </c>
      <c r="K42" s="4">
        <v>33.15</v>
      </c>
      <c r="M42" s="2" t="s">
        <v>77</v>
      </c>
      <c r="N42" s="4" t="s">
        <v>105</v>
      </c>
    </row>
    <row r="43" spans="1:14">
      <c r="A43" s="6" t="s">
        <v>106</v>
      </c>
      <c r="B43" s="1">
        <f>1878/1000*1032/1000</f>
        <v>1.9380959999999998</v>
      </c>
      <c r="C43" s="4">
        <f>16+18+7+6+5+7</f>
        <v>59</v>
      </c>
      <c r="D43" s="1">
        <f>1878/1000*1032/1000</f>
        <v>1.9380959999999998</v>
      </c>
      <c r="E43" s="4">
        <f>8+4+5+9+6+4</f>
        <v>36</v>
      </c>
      <c r="J43" s="1">
        <f t="shared" si="0"/>
        <v>184.11912000000001</v>
      </c>
      <c r="K43" s="4">
        <v>37.049999999999997</v>
      </c>
      <c r="M43" s="2" t="s">
        <v>77</v>
      </c>
      <c r="N43" s="4" t="s">
        <v>107</v>
      </c>
    </row>
    <row r="44" spans="1:14">
      <c r="A44" s="6" t="s">
        <v>108</v>
      </c>
      <c r="B44" s="1">
        <f>1878/1000*1032/1000</f>
        <v>1.9380959999999998</v>
      </c>
      <c r="C44" s="4">
        <f>7+16*2+6+5+8</f>
        <v>58</v>
      </c>
      <c r="D44" s="1">
        <f>1878/1000*1032/1000</f>
        <v>1.9380959999999998</v>
      </c>
      <c r="E44" s="4">
        <f>4+6+6+7+6</f>
        <v>29</v>
      </c>
      <c r="J44" s="1">
        <f t="shared" si="0"/>
        <v>168.614352</v>
      </c>
      <c r="K44" s="4">
        <v>33.93</v>
      </c>
      <c r="M44" s="2" t="s">
        <v>77</v>
      </c>
      <c r="N44" s="4" t="s">
        <v>109</v>
      </c>
    </row>
    <row r="45" spans="1:14">
      <c r="A45" s="6" t="s">
        <v>110</v>
      </c>
      <c r="B45" s="1">
        <f>1878/1000*1032/1000</f>
        <v>1.9380959999999998</v>
      </c>
      <c r="C45" s="4">
        <f>18*2+5*2+7</f>
        <v>53</v>
      </c>
      <c r="D45" s="1">
        <f>1878/1000*1032/1000</f>
        <v>1.9380959999999998</v>
      </c>
      <c r="E45" s="4">
        <f>5+4+4+8+5</f>
        <v>26</v>
      </c>
      <c r="F45" s="4">
        <f>1681/1000*1</f>
        <v>1.681</v>
      </c>
      <c r="G45" s="4">
        <v>8</v>
      </c>
      <c r="J45" s="1">
        <f t="shared" si="0"/>
        <v>166.55758399999999</v>
      </c>
      <c r="K45" s="4">
        <v>33.29</v>
      </c>
      <c r="M45" s="2" t="s">
        <v>86</v>
      </c>
      <c r="N45" s="4" t="s">
        <v>111</v>
      </c>
    </row>
    <row r="46" spans="1:14">
      <c r="A46" s="4" t="s">
        <v>112</v>
      </c>
      <c r="B46" s="1">
        <f t="shared" ref="B46:B49" si="1">1878/1000*1032/1000</f>
        <v>1.9380959999999998</v>
      </c>
      <c r="C46" s="4">
        <v>56</v>
      </c>
      <c r="J46" s="1">
        <f t="shared" si="0"/>
        <v>108.53337599999999</v>
      </c>
      <c r="K46" s="4">
        <v>21.84</v>
      </c>
      <c r="M46" s="7">
        <v>10</v>
      </c>
      <c r="N46" s="4" t="s">
        <v>113</v>
      </c>
    </row>
    <row r="47" spans="1:14">
      <c r="A47" s="4" t="s">
        <v>114</v>
      </c>
      <c r="B47" s="1">
        <f t="shared" si="1"/>
        <v>1.9380959999999998</v>
      </c>
      <c r="C47" s="4">
        <v>56</v>
      </c>
      <c r="J47" s="1">
        <f t="shared" si="0"/>
        <v>108.53337599999999</v>
      </c>
      <c r="K47" s="4">
        <v>21.84</v>
      </c>
      <c r="M47" s="7">
        <v>10</v>
      </c>
      <c r="N47" s="4" t="s">
        <v>115</v>
      </c>
    </row>
    <row r="48" spans="1:14">
      <c r="A48" s="4" t="s">
        <v>116</v>
      </c>
      <c r="B48" s="1">
        <f t="shared" si="1"/>
        <v>1.9380959999999998</v>
      </c>
      <c r="C48" s="4">
        <v>56</v>
      </c>
      <c r="J48" s="1">
        <f t="shared" ref="J48" si="2">B48*C48+D48*E48+F48*G48+H48*I48</f>
        <v>108.53337599999999</v>
      </c>
      <c r="K48" s="4">
        <v>21.84</v>
      </c>
      <c r="M48" s="7">
        <v>10</v>
      </c>
      <c r="N48" s="4" t="s">
        <v>117</v>
      </c>
    </row>
    <row r="49" spans="1:15">
      <c r="A49" s="4" t="s">
        <v>118</v>
      </c>
      <c r="B49" s="1">
        <f t="shared" si="1"/>
        <v>1.9380959999999998</v>
      </c>
      <c r="C49" s="4">
        <v>38</v>
      </c>
      <c r="D49" s="4">
        <f>1681/1000*1</f>
        <v>1.681</v>
      </c>
      <c r="E49" s="4">
        <v>12</v>
      </c>
      <c r="J49" s="1">
        <f t="shared" ref="J49" si="3">B49*C49+D49*E49+F49*G49+H49*I49</f>
        <v>93.819647999999987</v>
      </c>
      <c r="K49" s="4">
        <v>18.54</v>
      </c>
      <c r="M49" s="7" t="s">
        <v>119</v>
      </c>
      <c r="N49" s="4" t="s">
        <v>120</v>
      </c>
      <c r="O49" s="4" t="s">
        <v>121</v>
      </c>
    </row>
    <row r="50" spans="1:15">
      <c r="A50" s="4" t="s">
        <v>122</v>
      </c>
      <c r="B50" s="4">
        <f>1855/1000*1029/1000</f>
        <v>1.908795</v>
      </c>
      <c r="C50" s="4">
        <v>94</v>
      </c>
      <c r="J50" s="1">
        <f t="shared" si="0"/>
        <v>179.42672999999999</v>
      </c>
      <c r="K50" s="4">
        <v>37.130000000000003</v>
      </c>
      <c r="M50" s="7" t="s">
        <v>36</v>
      </c>
      <c r="O50" s="4" t="s">
        <v>26</v>
      </c>
    </row>
    <row r="51" spans="1:15">
      <c r="A51" s="4" t="s">
        <v>123</v>
      </c>
      <c r="B51" s="1">
        <f>1692/1000*1029/1000</f>
        <v>1.7410680000000001</v>
      </c>
      <c r="C51" s="4">
        <f>5*2+7*2+5*2+6*2</f>
        <v>46</v>
      </c>
      <c r="D51" s="1">
        <f>1692/1000*1029/1000</f>
        <v>1.7410680000000001</v>
      </c>
      <c r="E51" s="4">
        <f>100-C51</f>
        <v>54</v>
      </c>
      <c r="J51" s="1">
        <f t="shared" si="0"/>
        <v>174.10680000000002</v>
      </c>
      <c r="K51" s="4">
        <v>36.5</v>
      </c>
      <c r="M51" s="7" t="s">
        <v>43</v>
      </c>
      <c r="O51" s="4" t="s">
        <v>26</v>
      </c>
    </row>
    <row r="52" spans="1:15">
      <c r="A52" s="4" t="s">
        <v>124</v>
      </c>
      <c r="B52" s="1">
        <f>1692/1000*1029/1000</f>
        <v>1.7410680000000001</v>
      </c>
      <c r="C52" s="4">
        <f>5*4+6*4</f>
        <v>44</v>
      </c>
      <c r="D52" s="1">
        <f>1692/1000*1029/1000</f>
        <v>1.7410680000000001</v>
      </c>
      <c r="E52" s="4">
        <f>104-C52</f>
        <v>60</v>
      </c>
      <c r="J52" s="1">
        <f t="shared" si="0"/>
        <v>181.07107200000002</v>
      </c>
      <c r="K52" s="4">
        <v>37.96</v>
      </c>
      <c r="M52" s="7" t="s">
        <v>125</v>
      </c>
      <c r="N52" s="4" t="s">
        <v>126</v>
      </c>
    </row>
    <row r="53" spans="1:15">
      <c r="A53" s="4" t="s">
        <v>127</v>
      </c>
      <c r="B53" s="1">
        <f>1692/1000*1029/1000</f>
        <v>1.7410680000000001</v>
      </c>
      <c r="C53" s="4">
        <f>5*4+4*4</f>
        <v>36</v>
      </c>
      <c r="D53" s="1">
        <f>1692/1000*1029/1000</f>
        <v>1.7410680000000001</v>
      </c>
      <c r="E53" s="4">
        <f>90-C53</f>
        <v>54</v>
      </c>
      <c r="J53" s="1">
        <f t="shared" si="0"/>
        <v>156.69612000000001</v>
      </c>
      <c r="K53" s="4">
        <v>32.85</v>
      </c>
      <c r="M53" s="7" t="s">
        <v>125</v>
      </c>
      <c r="N53" s="4" t="s">
        <v>128</v>
      </c>
    </row>
    <row r="54" spans="1:15">
      <c r="A54" s="4" t="s">
        <v>129</v>
      </c>
      <c r="B54" s="1">
        <f>1878/1000*1032/1000</f>
        <v>1.9380959999999998</v>
      </c>
      <c r="C54" s="4">
        <v>306</v>
      </c>
      <c r="J54" s="1">
        <f t="shared" si="0"/>
        <v>593.05737599999998</v>
      </c>
      <c r="K54" s="4">
        <v>119.34</v>
      </c>
      <c r="M54" s="7">
        <v>0</v>
      </c>
      <c r="N54" s="4" t="s">
        <v>130</v>
      </c>
    </row>
    <row r="55" spans="1:15">
      <c r="A55" s="4" t="s">
        <v>131</v>
      </c>
      <c r="B55" s="1">
        <f>1692/1000*1029/1000</f>
        <v>1.7410680000000001</v>
      </c>
      <c r="C55" s="4">
        <v>120</v>
      </c>
      <c r="J55" s="1">
        <f t="shared" si="0"/>
        <v>208.92816000000002</v>
      </c>
      <c r="K55" s="4">
        <v>43.8</v>
      </c>
      <c r="M55" s="7">
        <v>10</v>
      </c>
      <c r="N55" s="4" t="s">
        <v>132</v>
      </c>
    </row>
    <row r="56" spans="1:15">
      <c r="A56" s="4" t="s">
        <v>133</v>
      </c>
      <c r="B56" s="4">
        <f>1362/1000*580/1000</f>
        <v>0.78996</v>
      </c>
      <c r="C56" s="4">
        <v>66</v>
      </c>
      <c r="J56" s="1">
        <f t="shared" si="0"/>
        <v>52.137360000000001</v>
      </c>
      <c r="K56" s="4">
        <v>9.9</v>
      </c>
      <c r="M56" s="7">
        <v>0</v>
      </c>
      <c r="O56" s="4" t="s">
        <v>58</v>
      </c>
    </row>
    <row r="57" spans="1:15">
      <c r="A57" s="4" t="s">
        <v>134</v>
      </c>
      <c r="B57" s="1">
        <f>1692/1000*1029/1000</f>
        <v>1.7410680000000001</v>
      </c>
      <c r="C57" s="4">
        <v>11</v>
      </c>
      <c r="D57" s="1">
        <f>1692/1000*1029/1000</f>
        <v>1.7410680000000001</v>
      </c>
      <c r="E57" s="4">
        <v>7</v>
      </c>
      <c r="J57" s="1">
        <f t="shared" si="0"/>
        <v>31.339224000000002</v>
      </c>
      <c r="K57" s="4">
        <v>6.57</v>
      </c>
      <c r="M57" s="7" t="s">
        <v>55</v>
      </c>
      <c r="O57" s="4" t="s">
        <v>58</v>
      </c>
    </row>
    <row r="58" spans="1:15">
      <c r="A58" s="4" t="s">
        <v>135</v>
      </c>
      <c r="B58" s="1">
        <f>1692/1000*1029/1000</f>
        <v>1.7410680000000001</v>
      </c>
      <c r="C58" s="4">
        <v>33</v>
      </c>
      <c r="J58" s="1">
        <f t="shared" si="0"/>
        <v>57.455244</v>
      </c>
      <c r="K58" s="4">
        <v>12.045</v>
      </c>
      <c r="M58" s="7" t="s">
        <v>36</v>
      </c>
      <c r="N58" s="4" t="s">
        <v>136</v>
      </c>
    </row>
    <row r="59" spans="1:15">
      <c r="A59" s="4" t="s">
        <v>137</v>
      </c>
      <c r="B59" s="1">
        <f>1692/1000*1029/1000</f>
        <v>1.7410680000000001</v>
      </c>
      <c r="C59" s="4">
        <v>10</v>
      </c>
      <c r="D59" s="1">
        <f>1692/1000*1029/1000</f>
        <v>1.7410680000000001</v>
      </c>
      <c r="E59" s="4">
        <v>14</v>
      </c>
      <c r="J59" s="1">
        <f t="shared" si="0"/>
        <v>41.785632</v>
      </c>
      <c r="K59" s="4">
        <v>8.76</v>
      </c>
      <c r="M59" s="7" t="s">
        <v>55</v>
      </c>
      <c r="O59" s="4" t="s">
        <v>58</v>
      </c>
    </row>
    <row r="60" spans="1:15">
      <c r="A60" s="4" t="s">
        <v>138</v>
      </c>
      <c r="B60" s="4">
        <f>1855/1000*1029/1000</f>
        <v>1.908795</v>
      </c>
      <c r="C60" s="4">
        <f>196+92</f>
        <v>288</v>
      </c>
      <c r="D60" s="4">
        <f>1683/1000*996/1000</f>
        <v>1.6762680000000001</v>
      </c>
      <c r="E60" s="4">
        <v>180</v>
      </c>
      <c r="J60" s="1">
        <f t="shared" si="0"/>
        <v>851.46120000000008</v>
      </c>
      <c r="K60" s="4">
        <v>161.595</v>
      </c>
      <c r="M60" s="7" t="s">
        <v>139</v>
      </c>
      <c r="O60" s="4" t="s">
        <v>26</v>
      </c>
    </row>
    <row r="61" spans="1:15">
      <c r="J61" s="1">
        <f t="shared" si="0"/>
        <v>0</v>
      </c>
    </row>
    <row r="64" spans="1:15">
      <c r="N64" s="4" t="s">
        <v>140</v>
      </c>
    </row>
    <row r="65" spans="14:15">
      <c r="N65" s="4" t="s">
        <v>141</v>
      </c>
      <c r="O65" s="4" t="s">
        <v>142</v>
      </c>
    </row>
    <row r="66" spans="14:15">
      <c r="N66" s="4" t="s">
        <v>143</v>
      </c>
      <c r="O66" s="4" t="s">
        <v>142</v>
      </c>
    </row>
    <row r="67" spans="14:15" ht="15.75">
      <c r="N67" s="4" t="s">
        <v>144</v>
      </c>
      <c r="O67" s="4" t="s">
        <v>145</v>
      </c>
    </row>
    <row r="68" spans="14:15" ht="15.75">
      <c r="N68" s="9" t="s">
        <v>146</v>
      </c>
    </row>
    <row r="69" spans="14:15" ht="15.75">
      <c r="N69" s="9" t="s">
        <v>147</v>
      </c>
    </row>
  </sheetData>
  <phoneticPr fontId="2" type="noConversion"/>
  <pageMargins left="0.7" right="0.7" top="0.75" bottom="0.75" header="0.3" footer="0.3"/>
  <ignoredErrors>
    <ignoredError sqref="B14:B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 Man Hei</dc:creator>
  <cp:keywords/>
  <dc:description/>
  <cp:lastModifiedBy/>
  <cp:revision/>
  <dcterms:created xsi:type="dcterms:W3CDTF">2024-01-19T07:01:10Z</dcterms:created>
  <dcterms:modified xsi:type="dcterms:W3CDTF">2024-02-28T05:33:08Z</dcterms:modified>
  <cp:category/>
  <cp:contentStatus/>
</cp:coreProperties>
</file>