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ollege updates/"/>
    </mc:Choice>
  </mc:AlternateContent>
  <xr:revisionPtr revIDLastSave="0" documentId="13_ncr:1_{ACE946A1-24A8-4F4E-89F0-049147E66ECA}" xr6:coauthVersionLast="47" xr6:coauthVersionMax="47" xr10:uidLastSave="{00000000-0000-0000-0000-000000000000}"/>
  <bookViews>
    <workbookView xWindow="780" yWindow="520" windowWidth="28800" windowHeight="12220" activeTab="9" xr2:uid="{B3E16C40-F77A-0745-8269-1DCCED549D24}"/>
  </bookViews>
  <sheets>
    <sheet name="4E#4  Capital Budgeting 06_04" sheetId="1" r:id="rId1"/>
    <sheet name="4E#18 Captial Buget Dorian Auto" sheetId="2" r:id="rId2"/>
    <sheet name="4E#18 Captial Buget Dorian _STS" sheetId="6" state="veryHidden" r:id="rId3"/>
    <sheet name="STS_1" sheetId="7" r:id="rId4"/>
    <sheet name="STS_2" sheetId="9" r:id="rId5"/>
    <sheet name="STS_3" sheetId="10" r:id="rId6"/>
    <sheet name="4E#28 United Copiers" sheetId="14" r:id="rId7"/>
    <sheet name="4E#28 United Copiers_STS" sheetId="15" state="veryHidden" r:id="rId8"/>
    <sheet name="STS_4" sheetId="16" r:id="rId9"/>
    <sheet name="STS_5" sheetId="17" r:id="rId10"/>
  </sheets>
  <definedNames>
    <definedName name="Amount_invested">'4E#4  Capital Budgeting 06_04'!$B$14</definedName>
    <definedName name="Assignments">'4E#28 United Copiers'!$B$23:$H$33</definedName>
    <definedName name="Budget">'4E#4  Capital Budgeting 06_04'!$D$14</definedName>
    <definedName name="ChartData" localSheetId="3">STS_1!$K$5:$K$20</definedName>
    <definedName name="ChartData" localSheetId="4">STS_2!$N$5:$N$11</definedName>
    <definedName name="ChartData" localSheetId="5">STS_3!$N$5:$N$12</definedName>
    <definedName name="ChartData" localSheetId="8">STS_4!$K$5:$K$15</definedName>
    <definedName name="ChartData" localSheetId="9">STS_5!$K$5:$K$15</definedName>
    <definedName name="Include_service_center">'4E#28 United Copiers'!$B$19:$H$19</definedName>
    <definedName name="InputValues" localSheetId="3">STS_1!$A$5:$A$20</definedName>
    <definedName name="InputValues" localSheetId="4">STS_2!$A$5:$A$11</definedName>
    <definedName name="InputValues" localSheetId="5">STS_3!$A$5:$A$12</definedName>
    <definedName name="InputValues" localSheetId="8">STS_4!$A$5:$A$15</definedName>
    <definedName name="InputValues" localSheetId="9">STS_5!$A$5:$A$15</definedName>
    <definedName name="Investment_levels">'4E#4  Capital Budgeting 06_04'!$B$10:$H$10</definedName>
    <definedName name="Investment_levels_2">'4E#4  Capital Budgeting 06_04'!$B$53:$H$53</definedName>
    <definedName name="Investment_levels_3">'4E#4  Capital Budgeting 06_04'!$B$74:$H$74</definedName>
    <definedName name="Investment_levels_4">'4E#4  Capital Budgeting 06_04'!$B$95:$H$95</definedName>
    <definedName name="Logical_capacity">'4E#18 Captial Buget Dorian Auto'!$B$19:$F$19</definedName>
    <definedName name="Logical_capacity_service">'4E#28 United Copiers'!$B$36:$H$36</definedName>
    <definedName name="Max_centers">'4E#28 United Copiers'!$M$19</definedName>
    <definedName name="Minimum_investment_level">'4E#4  Capital Budgeting 06_04'!#REF!</definedName>
    <definedName name="Minimum_production">'4E#18 Captial Buget Dorian Auto'!$B$15:$F$15</definedName>
    <definedName name="Number_serviced_by">'4E#28 United Copiers'!$B$34:$H$34</definedName>
    <definedName name="OutputAddresses" localSheetId="3">STS_1!$B$4:$G$4</definedName>
    <definedName name="OutputAddresses" localSheetId="4">STS_2!$B$4:$L$4</definedName>
    <definedName name="OutputAddresses" localSheetId="5">STS_3!$B$4:$L$4</definedName>
    <definedName name="OutputAddresses" localSheetId="8">STS_4!$B$4:$I$4</definedName>
    <definedName name="OutputAddresses" localSheetId="9">STS_5!$B$4:$I$4</definedName>
    <definedName name="OutputValues" localSheetId="3">STS_1!$B$5:$G$20</definedName>
    <definedName name="OutputValues" localSheetId="4">STS_2!$B$5:$L$11</definedName>
    <definedName name="OutputValues" localSheetId="5">STS_3!$B$5:$L$12</definedName>
    <definedName name="OutputValues" localSheetId="8">STS_4!$B$5:$I$15</definedName>
    <definedName name="OutputValues" localSheetId="9">STS_5!$B$5:$I$15</definedName>
    <definedName name="Produce_at_least_minimum">'4E#18 Captial Buget Dorian Auto'!$B$13:$F$13</definedName>
    <definedName name="Profit">'4E#18 Captial Buget Dorian Auto'!$B$27</definedName>
    <definedName name="Resource_available">'4E#18 Captial Buget Dorian Auto'!$D$23:$D$24</definedName>
    <definedName name="Resource_used">'4E#18 Captial Buget Dorian Auto'!$B$23:$B$24</definedName>
    <definedName name="Service_Centers">'4E#28 United Copiers'!$K$19</definedName>
    <definedName name="solver_adj" localSheetId="1" hidden="1">'4E#18 Captial Buget Dorian Auto'!$B$13:$F$13,'4E#18 Captial Buget Dorian Auto'!$B$17:$F$17</definedName>
    <definedName name="solver_adj" localSheetId="6" hidden="1">'4E#28 United Copiers'!$B$19:$H$19,'4E#28 United Copiers'!$B$23:$H$33</definedName>
    <definedName name="solver_adj" localSheetId="0" hidden="1">'4E#4  Capital Budgeting 06_04'!$B$10:$H$10</definedName>
    <definedName name="solver_cvg" localSheetId="1" hidden="1">0.0001</definedName>
    <definedName name="solver_cvg" localSheetId="6" hidden="1">0.0001</definedName>
    <definedName name="solver_cvg" localSheetId="0" hidden="1">0.0001</definedName>
    <definedName name="solver_drv" localSheetId="1" hidden="1">1</definedName>
    <definedName name="solver_drv" localSheetId="6" hidden="1">1</definedName>
    <definedName name="solver_drv" localSheetId="0" hidden="1">1</definedName>
    <definedName name="solver_eng" localSheetId="1" hidden="1">2</definedName>
    <definedName name="solver_eng" localSheetId="6" hidden="1">2</definedName>
    <definedName name="solver_eng" localSheetId="0" hidden="1">2</definedName>
    <definedName name="solver_est" localSheetId="0" hidden="1">1</definedName>
    <definedName name="solver_itr" localSheetId="1" hidden="1">2147483647</definedName>
    <definedName name="solver_itr" localSheetId="6" hidden="1">2147483647</definedName>
    <definedName name="solver_itr" localSheetId="0" hidden="1">100</definedName>
    <definedName name="solver_lhs1" localSheetId="1" hidden="1">'4E#18 Captial Buget Dorian Auto'!$B$13:$F$13</definedName>
    <definedName name="solver_lhs1" localSheetId="6" hidden="1">'4E#28 United Copiers'!$B$23:$H$33</definedName>
    <definedName name="solver_lhs1" localSheetId="0" hidden="1">'4E#4  Capital Budgeting 06_04'!$B$14</definedName>
    <definedName name="solver_lhs2" localSheetId="1" hidden="1">'4E#18 Captial Buget Dorian Auto'!$B$23:$B$24</definedName>
    <definedName name="solver_lhs2" localSheetId="6" hidden="1">'4E#28 United Copiers'!$B$19:$H$19</definedName>
    <definedName name="solver_lhs2" localSheetId="0" hidden="1">'4E#4  Capital Budgeting 06_04'!$B$10:$H$10</definedName>
    <definedName name="solver_lhs3" localSheetId="1" hidden="1">'4E#18 Captial Buget Dorian Auto'!$B$17:$F$17</definedName>
    <definedName name="solver_lhs3" localSheetId="6" hidden="1">'4E#28 United Copiers'!$B$34:$H$34</definedName>
    <definedName name="solver_lhs3" localSheetId="0" hidden="1">'4E#4  Capital Budgeting 06_04'!$B$14</definedName>
    <definedName name="solver_lhs4" localSheetId="1" hidden="1">'4E#18 Captial Buget Dorian Auto'!$B$17:$F$17</definedName>
    <definedName name="solver_lhs4" localSheetId="6" hidden="1">'4E#28 United Copiers'!$K$19</definedName>
    <definedName name="solver_lhs4" localSheetId="0" hidden="1">'4E#4  Capital Budgeting 06_04'!$B$10:$H$10</definedName>
    <definedName name="solver_lhs5" localSheetId="6" hidden="1">'4E#28 United Copiers'!$I$23:$I$33</definedName>
    <definedName name="solver_lin" localSheetId="1" hidden="1">1</definedName>
    <definedName name="solver_lin" localSheetId="6" hidden="1">1</definedName>
    <definedName name="solver_lin" localSheetId="0" hidden="1">1</definedName>
    <definedName name="solver_mip" localSheetId="1" hidden="1">2147483647</definedName>
    <definedName name="solver_mip" localSheetId="6" hidden="1">2147483647</definedName>
    <definedName name="solver_mip" localSheetId="0" hidden="1">5000</definedName>
    <definedName name="solver_mni" localSheetId="1" hidden="1">30</definedName>
    <definedName name="solver_mni" localSheetId="6" hidden="1">30</definedName>
    <definedName name="solver_mni" localSheetId="0" hidden="1">30</definedName>
    <definedName name="solver_mrt" localSheetId="1" hidden="1">0.075</definedName>
    <definedName name="solver_mrt" localSheetId="6" hidden="1">0.075</definedName>
    <definedName name="solver_mrt" localSheetId="0" hidden="1">0.075</definedName>
    <definedName name="solver_msl" localSheetId="1" hidden="1">2</definedName>
    <definedName name="solver_msl" localSheetId="6" hidden="1">2</definedName>
    <definedName name="solver_msl" localSheetId="0" hidden="1">2</definedName>
    <definedName name="solver_neg" localSheetId="1" hidden="1">1</definedName>
    <definedName name="solver_neg" localSheetId="6" hidden="1">1</definedName>
    <definedName name="solver_neg" localSheetId="0" hidden="1">1</definedName>
    <definedName name="solver_nod" localSheetId="1" hidden="1">2147483647</definedName>
    <definedName name="solver_nod" localSheetId="6" hidden="1">2147483647</definedName>
    <definedName name="solver_nod" localSheetId="0" hidden="1">5000</definedName>
    <definedName name="solver_num" localSheetId="1" hidden="1">4</definedName>
    <definedName name="solver_num" localSheetId="6" hidden="1">5</definedName>
    <definedName name="solver_num" localSheetId="0" hidden="1">2</definedName>
    <definedName name="solver_nwt" localSheetId="0" hidden="1">1</definedName>
    <definedName name="solver_opt" localSheetId="1" hidden="1">'4E#18 Captial Buget Dorian Auto'!$B$27</definedName>
    <definedName name="solver_opt" localSheetId="6" hidden="1">'4E#28 United Copiers'!$B$53</definedName>
    <definedName name="solver_opt" localSheetId="0" hidden="1">'4E#4  Capital Budgeting 06_04'!$B$17</definedName>
    <definedName name="solver_pre" localSheetId="1" hidden="1">0.000001</definedName>
    <definedName name="solver_pre" localSheetId="6" hidden="1">0.000001</definedName>
    <definedName name="solver_pre" localSheetId="0" hidden="1">0.000001</definedName>
    <definedName name="solver_rbv" localSheetId="1" hidden="1">1</definedName>
    <definedName name="solver_rbv" localSheetId="6" hidden="1">1</definedName>
    <definedName name="solver_rbv" localSheetId="0" hidden="1">1</definedName>
    <definedName name="solver_rel1" localSheetId="1" hidden="1">5</definedName>
    <definedName name="solver_rel1" localSheetId="6" hidden="1">5</definedName>
    <definedName name="solver_rel1" localSheetId="0" hidden="1">1</definedName>
    <definedName name="solver_rel2" localSheetId="1" hidden="1">1</definedName>
    <definedName name="solver_rel2" localSheetId="6" hidden="1">5</definedName>
    <definedName name="solver_rel2" localSheetId="0" hidden="1">5</definedName>
    <definedName name="solver_rel3" localSheetId="1" hidden="1">1</definedName>
    <definedName name="solver_rel3" localSheetId="6" hidden="1">1</definedName>
    <definedName name="solver_rel3" localSheetId="0" hidden="1">1</definedName>
    <definedName name="solver_rel4" localSheetId="1" hidden="1">3</definedName>
    <definedName name="solver_rel4" localSheetId="6" hidden="1">1</definedName>
    <definedName name="solver_rel4" localSheetId="0" hidden="1">5</definedName>
    <definedName name="solver_rel5" localSheetId="6" hidden="1">2</definedName>
    <definedName name="solver_rhs1" localSheetId="1" hidden="1">"binary"</definedName>
    <definedName name="solver_rhs1" localSheetId="6" hidden="1">"binary"</definedName>
    <definedName name="solver_rhs1" localSheetId="0" hidden="1">Budget</definedName>
    <definedName name="solver_rhs2" localSheetId="1" hidden="1">Resource_available</definedName>
    <definedName name="solver_rhs2" localSheetId="6" hidden="1">"binary"</definedName>
    <definedName name="solver_rhs2" localSheetId="0" hidden="1">"binary"</definedName>
    <definedName name="solver_rhs3" localSheetId="1" hidden="1">Logical_capacity</definedName>
    <definedName name="solver_rhs3" localSheetId="6" hidden="1">Logical_capacity_service</definedName>
    <definedName name="solver_rhs3" localSheetId="0" hidden="1">Budget</definedName>
    <definedName name="solver_rhs4" localSheetId="1" hidden="1">Minimum_production</definedName>
    <definedName name="solver_rhs4" localSheetId="6" hidden="1">Max_centers</definedName>
    <definedName name="solver_rhs4" localSheetId="0" hidden="1">"binary"</definedName>
    <definedName name="solver_rhs5" localSheetId="6" hidden="1">1</definedName>
    <definedName name="solver_rlx" localSheetId="1" hidden="1">2</definedName>
    <definedName name="solver_rlx" localSheetId="6" hidden="1">2</definedName>
    <definedName name="solver_rlx" localSheetId="0" hidden="1">2</definedName>
    <definedName name="solver_rsd" localSheetId="1" hidden="1">0</definedName>
    <definedName name="solver_rsd" localSheetId="6" hidden="1">0</definedName>
    <definedName name="solver_rsd" localSheetId="0" hidden="1">0</definedName>
    <definedName name="solver_scl" localSheetId="1" hidden="1">1</definedName>
    <definedName name="solver_scl" localSheetId="6" hidden="1">2</definedName>
    <definedName name="solver_scl" localSheetId="0" hidden="1">2</definedName>
    <definedName name="solver_sho" localSheetId="1" hidden="1">2</definedName>
    <definedName name="solver_sho" localSheetId="6" hidden="1">2</definedName>
    <definedName name="solver_sho" localSheetId="0" hidden="1">2</definedName>
    <definedName name="solver_ssz" localSheetId="1" hidden="1">100</definedName>
    <definedName name="solver_ssz" localSheetId="6" hidden="1">100</definedName>
    <definedName name="solver_ssz" localSheetId="0" hidden="1">100</definedName>
    <definedName name="solver_tim" localSheetId="1" hidden="1">2147483647</definedName>
    <definedName name="solver_tim" localSheetId="6" hidden="1">2147483647</definedName>
    <definedName name="solver_tim" localSheetId="0" hidden="1">100</definedName>
    <definedName name="solver_tol" localSheetId="1" hidden="1">0.01</definedName>
    <definedName name="solver_tol" localSheetId="6" hidden="1">0</definedName>
    <definedName name="solver_tol" localSheetId="0" hidden="1">0.05</definedName>
    <definedName name="solver_typ" localSheetId="1" hidden="1">1</definedName>
    <definedName name="solver_typ" localSheetId="6" hidden="1">2</definedName>
    <definedName name="solver_typ" localSheetId="0" hidden="1">1</definedName>
    <definedName name="solver_val" localSheetId="1" hidden="1">0</definedName>
    <definedName name="solver_val" localSheetId="6" hidden="1">0</definedName>
    <definedName name="solver_val" localSheetId="0" hidden="1">0</definedName>
    <definedName name="solver_ver" localSheetId="1" hidden="1">2</definedName>
    <definedName name="solver_ver" localSheetId="6" hidden="1">2</definedName>
    <definedName name="solver_ver" localSheetId="0" hidden="1">2</definedName>
    <definedName name="Total_Assignments">'4E#28 United Copiers'!$I$23:$I$33</definedName>
    <definedName name="Total_Distance">'4E#28 United Copiers'!$B$53</definedName>
    <definedName name="Total_investments">'4E#4  Capital Budgeting 06_04'!#REF!</definedName>
    <definedName name="Total_NPV">'4E#4  Capital Budgeting 06_04'!$B$17</definedName>
    <definedName name="Units_produced">'4E#18 Captial Buget Dorian Auto'!$B$17:$F$17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7" l="1"/>
  <c r="K15" i="17"/>
  <c r="K14" i="17"/>
  <c r="K13" i="17"/>
  <c r="K12" i="17"/>
  <c r="K11" i="17"/>
  <c r="K10" i="17"/>
  <c r="K9" i="17"/>
  <c r="K8" i="17"/>
  <c r="K7" i="17"/>
  <c r="K6" i="17"/>
  <c r="K5" i="17"/>
  <c r="J4" i="17"/>
  <c r="CJ1" i="16"/>
  <c r="J4" i="16"/>
  <c r="K15" i="16" s="1"/>
  <c r="K23" i="14"/>
  <c r="I24" i="14"/>
  <c r="I25" i="14"/>
  <c r="I26" i="14"/>
  <c r="I27" i="14"/>
  <c r="I28" i="14"/>
  <c r="I29" i="14"/>
  <c r="I30" i="14"/>
  <c r="I31" i="14"/>
  <c r="I32" i="14"/>
  <c r="I33" i="14"/>
  <c r="I23" i="14"/>
  <c r="C34" i="14"/>
  <c r="D34" i="14"/>
  <c r="E34" i="14"/>
  <c r="F34" i="14"/>
  <c r="G34" i="14"/>
  <c r="H34" i="14"/>
  <c r="B34" i="14"/>
  <c r="C41" i="14"/>
  <c r="C42" i="14"/>
  <c r="C43" i="14"/>
  <c r="C44" i="14"/>
  <c r="C45" i="14"/>
  <c r="C46" i="14"/>
  <c r="C47" i="14"/>
  <c r="C48" i="14"/>
  <c r="C49" i="14"/>
  <c r="C50" i="14"/>
  <c r="C40" i="14"/>
  <c r="C36" i="14"/>
  <c r="D36" i="14"/>
  <c r="E36" i="14"/>
  <c r="F36" i="14"/>
  <c r="G36" i="14"/>
  <c r="H36" i="14"/>
  <c r="B36" i="14"/>
  <c r="K24" i="14"/>
  <c r="K25" i="14"/>
  <c r="K26" i="14"/>
  <c r="K27" i="14"/>
  <c r="K28" i="14"/>
  <c r="K29" i="14"/>
  <c r="K30" i="14"/>
  <c r="K31" i="14"/>
  <c r="K32" i="14"/>
  <c r="K33" i="14"/>
  <c r="K19" i="14"/>
  <c r="N1" i="10"/>
  <c r="M4" i="10"/>
  <c r="N5" i="10" s="1"/>
  <c r="N1" i="9"/>
  <c r="N11" i="9"/>
  <c r="N8" i="9"/>
  <c r="M4" i="9"/>
  <c r="N6" i="9" s="1"/>
  <c r="B23" i="2"/>
  <c r="K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J4" i="7"/>
  <c r="K5" i="16" l="1"/>
  <c r="K6" i="16"/>
  <c r="K8" i="16"/>
  <c r="K9" i="16"/>
  <c r="K10" i="16"/>
  <c r="K11" i="16"/>
  <c r="K12" i="16"/>
  <c r="K13" i="16"/>
  <c r="K14" i="16"/>
  <c r="K7" i="16"/>
  <c r="B53" i="14"/>
  <c r="N6" i="10"/>
  <c r="N7" i="10"/>
  <c r="N8" i="10"/>
  <c r="N12" i="10"/>
  <c r="N9" i="10"/>
  <c r="N10" i="10"/>
  <c r="N11" i="10"/>
  <c r="N7" i="9"/>
  <c r="N9" i="9"/>
  <c r="N10" i="9"/>
  <c r="N5" i="9"/>
  <c r="B27" i="2" l="1"/>
  <c r="B24" i="2"/>
  <c r="F19" i="2"/>
  <c r="E19" i="2"/>
  <c r="D19" i="2"/>
  <c r="C19" i="2"/>
  <c r="B19" i="2"/>
  <c r="F15" i="2"/>
  <c r="E15" i="2"/>
  <c r="D15" i="2"/>
  <c r="C15" i="2"/>
  <c r="B15" i="2"/>
  <c r="B102" i="1"/>
  <c r="B99" i="1"/>
  <c r="B81" i="1"/>
  <c r="B78" i="1"/>
  <c r="B60" i="1"/>
  <c r="B57" i="1"/>
  <c r="F101" i="1"/>
  <c r="F99" i="1"/>
  <c r="H101" i="1" s="1"/>
  <c r="H78" i="1"/>
  <c r="F78" i="1"/>
  <c r="H57" i="1"/>
  <c r="B17" i="1"/>
  <c r="B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28C857A3-8E1D-B84C-B746-2986AD32AB0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F10C108E-AA9E-C742-91EF-4D9EC26FA100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7" authorId="0" shapeId="0" xr:uid="{68A6C15C-82E7-6348-848F-2B444E1EA89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680FDA56-4B76-4B44-B09E-C518DA376004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1AE5651A-1776-9F40-96CF-590E33FEA1E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C2D890E1-B905-BB4B-B1F5-FFB571F877DE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11" authorId="0" shapeId="0" xr:uid="{8E3C5EFA-1D81-7841-92BE-BAB09DF8DFF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61DF8221-F492-A240-B265-7ABA2E71724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213ED985-7B9B-044C-882E-C4B405635B1E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14" authorId="0" shapeId="0" xr:uid="{35655689-C6DE-6042-BA28-3B8C6BB0364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99C88B63-7353-6D47-AA94-61058F6B75F1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16" authorId="0" shapeId="0" xr:uid="{793EEE9D-8A1D-DC48-BCAD-D92329FE757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A343B273-790B-224F-9A26-01843BE85D2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7C1F180E-ED60-B747-AE75-5101A9EE285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A972C4F7-015D-1A44-9492-CC5A164771E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927CC83E-50EB-A34A-BFDA-04D97546588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97878086-96F2-FD4B-B0C2-9AFF765EEBB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C21E15F4-5AC5-874A-9B37-CBAC52B44EA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43CA1DD2-FF1D-6249-908B-C7D1434D8FB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401E6415-F201-5A4F-AC6A-AA5EC220927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A9BFC6A6-6D37-624C-BC04-21E94C6F7D1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5B2363F7-EC10-B543-981F-5D788602EC5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F3F8E4F4-E82D-E043-A76A-5D9F02A1A84A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2980DEAC-2F1A-214D-82DE-FC8FD640E04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1B022F82-E80E-2149-9802-E461B26564F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9F5736F5-7081-424C-A5E0-EF1540EC2D4E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CC93C01F-8735-3748-9EFE-DE8E794BB32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BC7426C2-E269-D54E-BE37-9972C8C26E3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00644973-CB0A-4448-B618-E4C26E17F010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E219764D-C77B-0B45-A260-54F54B3BCAF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8F1C378B-7468-5A4B-9AA0-91E64FDBFEE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7FFE26A4-5C0A-7141-B29B-1FD6606ABCA3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6" authorId="0" shapeId="0" xr:uid="{70A7C6AD-300F-6C47-AC03-FBC95672EDE3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7" authorId="0" shapeId="0" xr:uid="{7F325AEA-985D-BB40-A4D0-B916AFC2BA7C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8" authorId="0" shapeId="0" xr:uid="{306157BD-9CFA-E54F-81C5-57A9968A8CAD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28D0ADFB-D75E-4945-BEAD-146F6100E8E2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B712B354-6616-F840-8FE2-5F480A174CFE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11" authorId="0" shapeId="0" xr:uid="{60FF1052-2589-F340-8CA1-CACDFECDCA6A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12" authorId="0" shapeId="0" xr:uid="{516B304C-4C7D-2944-AD44-5080B19AB148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13" authorId="0" shapeId="0" xr:uid="{8E6232C5-B7C0-2145-A70F-8F59E87B2E27}">
      <text>
        <r>
          <rPr>
            <sz val="10"/>
            <color rgb="FF000000"/>
            <rFont val="Tahoma"/>
            <family val="2"/>
          </rPr>
          <t>The linearity conditions required by this LP Solver are not satisfied.</t>
        </r>
      </text>
    </comment>
    <comment ref="B14" authorId="0" shapeId="0" xr:uid="{1D71FC58-9543-C340-8A24-17A8FAA9EB8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E40F1DDF-33DE-8A4C-B494-821D3A64758C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DF99E541-8259-C440-BAA5-737810C564E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6C900780-ED81-3341-9CC0-4514A7F72E86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47F128B6-D532-7644-980A-78E63A113623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E9BBC5C0-890F-544C-BAD1-B616C84AF0F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D3244AA4-E74B-3A48-A9CE-1BE9BA742919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23009137-3A0B-1346-902D-2BA41F9BBBCF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BE6C6F9D-B563-6E45-9428-638342C1986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9EBD830E-4AA5-DF4A-92D3-8EFCEECB4C01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6142E6C3-3D6A-2948-9577-EB256E68D628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B285AB8A-56D6-EB4B-8494-D8564FF7AB15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F4A7D98F-D2CD-1546-93A4-25E1D9623F2B}">
      <text>
        <r>
          <rPr>
            <sz val="10"/>
            <color rgb="FF000000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<sst xmlns="http://schemas.openxmlformats.org/spreadsheetml/2006/main" count="318" uniqueCount="138">
  <si>
    <t>Tatham capital budgeting model</t>
  </si>
  <si>
    <t>Investment</t>
  </si>
  <si>
    <t>Investment cost</t>
  </si>
  <si>
    <t>NPV</t>
  </si>
  <si>
    <t>NPV per investment dollar</t>
  </si>
  <si>
    <t>Decision: whether to invest</t>
  </si>
  <si>
    <t>Investment levels</t>
  </si>
  <si>
    <t>Budget constraint</t>
  </si>
  <si>
    <t>Budget</t>
  </si>
  <si>
    <t>&lt;=</t>
  </si>
  <si>
    <t>Total NPV</t>
  </si>
  <si>
    <t>Amount invested</t>
  </si>
  <si>
    <t>Input data on potential investments</t>
  </si>
  <si>
    <t>Objective to maximize</t>
  </si>
  <si>
    <t xml:space="preserve">Minimum investment level </t>
  </si>
  <si>
    <t>Total investments</t>
  </si>
  <si>
    <t>$5,000</t>
  </si>
  <si>
    <t>$2,500</t>
  </si>
  <si>
    <t>$3,500</t>
  </si>
  <si>
    <t>$6,000</t>
  </si>
  <si>
    <t>$7,000</t>
  </si>
  <si>
    <t>$4,500</t>
  </si>
  <si>
    <t>$3,000</t>
  </si>
  <si>
    <t>$16,000</t>
  </si>
  <si>
    <t>$8,000</t>
  </si>
  <si>
    <t>$10,000</t>
  </si>
  <si>
    <t>$19,500</t>
  </si>
  <si>
    <t>$22,000</t>
  </si>
  <si>
    <t>$12,000</t>
  </si>
  <si>
    <t>$7,500</t>
  </si>
  <si>
    <t>$13,000</t>
  </si>
  <si>
    <t>$18,000</t>
  </si>
  <si>
    <t>$41,500</t>
  </si>
  <si>
    <t xml:space="preserve">Question 1 :	Suppose that at most two of projects 1 through 5 can be selected.  </t>
  </si>
  <si>
    <t xml:space="preserve">Question 2 :	Suppose that if investment 1 is selected, then investment 3 must also be selected. </t>
  </si>
  <si>
    <t>&gt;=</t>
  </si>
  <si>
    <t>Investment for 1</t>
  </si>
  <si>
    <t>Investment for 3</t>
  </si>
  <si>
    <t>Atleast one of 6 or 7 is selected</t>
  </si>
  <si>
    <t>total of selection</t>
  </si>
  <si>
    <t xml:space="preserve">Question 3: Suppose that at least one of investments 6 and 7 must be selected. </t>
  </si>
  <si>
    <t xml:space="preserve">Question 4: Suppose that investment 2 can be selected only if both investments 1 and 3 are selected. </t>
  </si>
  <si>
    <t xml:space="preserve">1&amp;3 are selected </t>
  </si>
  <si>
    <t>=</t>
  </si>
  <si>
    <t>Sum should be 2</t>
  </si>
  <si>
    <t xml:space="preserve">2 is selected </t>
  </si>
  <si>
    <t>Above condition satified</t>
  </si>
  <si>
    <t>Investment levels_2</t>
  </si>
  <si>
    <t>Dorian Auto production model with either or constraints</t>
  </si>
  <si>
    <t>Inputs</t>
  </si>
  <si>
    <t>Vehicle Type</t>
  </si>
  <si>
    <t>Compact car</t>
  </si>
  <si>
    <t>Midsize car</t>
  </si>
  <si>
    <t>Large car</t>
  </si>
  <si>
    <t>Midsize minivan</t>
  </si>
  <si>
    <t>Large minivan</t>
  </si>
  <si>
    <t>Steel(tons) /unit</t>
  </si>
  <si>
    <t>Labor hours/unit</t>
  </si>
  <si>
    <t>Minimum production(if any)</t>
  </si>
  <si>
    <t>Profit contribution/ unit</t>
  </si>
  <si>
    <t>Prouction plan and bounds on production quantities</t>
  </si>
  <si>
    <t>Type of car</t>
  </si>
  <si>
    <t>Produce at least minimum</t>
  </si>
  <si>
    <t xml:space="preserve">Minimum production </t>
  </si>
  <si>
    <t>Units produced</t>
  </si>
  <si>
    <t>Logical capacity</t>
  </si>
  <si>
    <t>Constraints on resources</t>
  </si>
  <si>
    <t>Resource used</t>
  </si>
  <si>
    <t>Resource available</t>
  </si>
  <si>
    <t>Steel</t>
  </si>
  <si>
    <t>Labor hours</t>
  </si>
  <si>
    <t>Profit</t>
  </si>
  <si>
    <t>Produce_at_least_minimum_1</t>
  </si>
  <si>
    <t>Produce_at_least_minimum_2</t>
  </si>
  <si>
    <t>Produce_at_least_minimum_3</t>
  </si>
  <si>
    <t>Produce_at_least_minimum_4</t>
  </si>
  <si>
    <t>Produce_at_least_minimum_5</t>
  </si>
  <si>
    <t>$B$17:$F$17,$B$27</t>
  </si>
  <si>
    <t>Oneway analysis for Solver model in 4E#18 Captial Buget Dorian Auto worksheet</t>
  </si>
  <si>
    <t>Steel Resource available (cell $D$23) values along side, output cell(s) along top</t>
  </si>
  <si>
    <t>Units_produced_1</t>
  </si>
  <si>
    <t>Units_produced_2</t>
  </si>
  <si>
    <t>Units_produced_3</t>
  </si>
  <si>
    <t>Units_produced_4</t>
  </si>
  <si>
    <t>Units_produced_5</t>
  </si>
  <si>
    <t>Data for chart</t>
  </si>
  <si>
    <t>Not linear</t>
  </si>
  <si>
    <t>$D$24</t>
  </si>
  <si>
    <t>Labor hours Resource available (cell $D$24) values along side, output cell(s) along top</t>
  </si>
  <si>
    <t>Unit Profit contributions for Large Minivans (cell $F$9) values along side, output cell(s) along top</t>
  </si>
  <si>
    <t>Labor hours Available</t>
  </si>
  <si>
    <t>Locating service centers and assigning service center to customer</t>
  </si>
  <si>
    <t>Distance between cities</t>
  </si>
  <si>
    <t>SC1</t>
  </si>
  <si>
    <t>SC2</t>
  </si>
  <si>
    <t>SC3</t>
  </si>
  <si>
    <t>SC4</t>
  </si>
  <si>
    <t>SC5</t>
  </si>
  <si>
    <t>SC6</t>
  </si>
  <si>
    <t>SC7</t>
  </si>
  <si>
    <t>Annual Trips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</si>
  <si>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</si>
  <si>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</si>
  <si>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</si>
  <si>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</si>
  <si>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</si>
  <si>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</si>
  <si>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</si>
  <si>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</si>
  <si>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</si>
  <si>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</si>
  <si>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</si>
  <si>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Locations of service cenrters</t>
  </si>
  <si>
    <t>Service Centers</t>
  </si>
  <si>
    <t>Max centers</t>
  </si>
  <si>
    <t>Include service center</t>
  </si>
  <si>
    <t>Assignments (1 if customers along side are services by sevice center along top, 0 otherwise)</t>
  </si>
  <si>
    <t>Number serviced by</t>
  </si>
  <si>
    <t>Logical Capacity</t>
  </si>
  <si>
    <t>Total Assignments</t>
  </si>
  <si>
    <t>Required</t>
  </si>
  <si>
    <t>Number of annual trips to customers and total distances (1000s of miles) traveled annualyy to customers</t>
  </si>
  <si>
    <t>Total Distance</t>
  </si>
  <si>
    <t>Objective to minimize(1000s of miles)</t>
  </si>
  <si>
    <t>Total Annual Distance</t>
  </si>
  <si>
    <t>$M$19</t>
  </si>
  <si>
    <t>Input</t>
  </si>
  <si>
    <t>Oneway analysis for Solver model in 4E#28 United Copiers worksheet</t>
  </si>
  <si>
    <t>Input (cell $M$19) values along side, output cell(s) along top</t>
  </si>
  <si>
    <t>Include_service_center_1</t>
  </si>
  <si>
    <t>Include_service_center_2</t>
  </si>
  <si>
    <t>Include_service_center_3</t>
  </si>
  <si>
    <t>Include_service_center_4</t>
  </si>
  <si>
    <t>Include_service_center_5</t>
  </si>
  <si>
    <t>Include_service_center_6</t>
  </si>
  <si>
    <t>Include_service_center_7</t>
  </si>
  <si>
    <t>Total_Distance</t>
  </si>
  <si>
    <t>$B$19:$H$19,$B$53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</si>
</sst>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;\-&quot;$&quot;#,##0"/>
    <numFmt numFmtId="171" formatCode="_([$$-409]* #,##0.00_);_([$$-409]* \(#,##0.00\);_([$$-409]* &quot;-&quot;??_);_(@_)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"/>
      <family val="1"/>
    </font>
    <font>
      <sz val="12"/>
      <color rgb="FFFFFFFF"/>
      <name val="Calibri"/>
      <family val="2"/>
      <scheme val="minor"/>
    </font>
    <font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4FE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5" fontId="4" fillId="0" borderId="0" xfId="0" applyNumberFormat="1" applyFont="1"/>
    <xf numFmtId="165" fontId="3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165" fontId="5" fillId="2" borderId="0" xfId="0" applyNumberFormat="1" applyFont="1" applyFill="1"/>
    <xf numFmtId="165" fontId="4" fillId="3" borderId="0" xfId="0" applyNumberFormat="1" applyFont="1" applyFill="1"/>
    <xf numFmtId="0" fontId="0" fillId="4" borderId="0" xfId="0" applyFill="1"/>
    <xf numFmtId="0" fontId="0" fillId="3" borderId="0" xfId="0" applyFill="1"/>
    <xf numFmtId="0" fontId="6" fillId="0" borderId="0" xfId="0" applyFont="1"/>
    <xf numFmtId="0" fontId="7" fillId="0" borderId="0" xfId="0" applyFont="1"/>
    <xf numFmtId="165" fontId="3" fillId="5" borderId="0" xfId="0" applyNumberFormat="1" applyFont="1" applyFill="1"/>
    <xf numFmtId="0" fontId="7" fillId="6" borderId="0" xfId="0" applyFont="1" applyFill="1"/>
    <xf numFmtId="0" fontId="7" fillId="0" borderId="0" xfId="0" applyFont="1" applyAlignment="1">
      <alignment horizontal="center"/>
    </xf>
    <xf numFmtId="0" fontId="7" fillId="5" borderId="0" xfId="0" applyFont="1" applyFill="1"/>
    <xf numFmtId="165" fontId="2" fillId="7" borderId="0" xfId="0" applyNumberFormat="1" applyFont="1" applyFill="1"/>
    <xf numFmtId="0" fontId="1" fillId="8" borderId="0" xfId="0" applyFont="1" applyFill="1"/>
    <xf numFmtId="0" fontId="8" fillId="0" borderId="0" xfId="0" applyFont="1" applyAlignment="1">
      <alignment horizontal="left" vertical="center" indent="4"/>
    </xf>
    <xf numFmtId="0" fontId="0" fillId="9" borderId="0" xfId="0" applyFill="1"/>
    <xf numFmtId="165" fontId="4" fillId="9" borderId="0" xfId="0" applyNumberFormat="1" applyFont="1" applyFill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textRotation="90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10" borderId="0" xfId="0" applyFill="1" applyAlignment="1">
      <alignment horizontal="right" textRotation="90"/>
    </xf>
    <xf numFmtId="0" fontId="9" fillId="0" borderId="0" xfId="0" applyFont="1"/>
    <xf numFmtId="0" fontId="0" fillId="0" borderId="2" xfId="0" applyNumberFormat="1" applyBorder="1"/>
    <xf numFmtId="0" fontId="0" fillId="0" borderId="3" xfId="0" applyNumberFormat="1" applyBorder="1"/>
    <xf numFmtId="0" fontId="0" fillId="11" borderId="5" xfId="0" applyFill="1" applyBorder="1"/>
    <xf numFmtId="0" fontId="0" fillId="0" borderId="5" xfId="0" applyNumberFormat="1" applyBorder="1"/>
    <xf numFmtId="0" fontId="0" fillId="0" borderId="0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11" borderId="2" xfId="0" applyFill="1" applyBorder="1"/>
    <xf numFmtId="0" fontId="0" fillId="0" borderId="6" xfId="0" applyNumberFormat="1" applyBorder="1"/>
    <xf numFmtId="0" fontId="0" fillId="0" borderId="9" xfId="0" applyNumberFormat="1" applyBorder="1"/>
    <xf numFmtId="171" fontId="0" fillId="0" borderId="4" xfId="0" applyNumberFormat="1" applyBorder="1"/>
    <xf numFmtId="171" fontId="0" fillId="0" borderId="6" xfId="0" applyNumberFormat="1" applyBorder="1"/>
    <xf numFmtId="171" fontId="0" fillId="0" borderId="9" xfId="0" applyNumberFormat="1" applyBorder="1"/>
    <xf numFmtId="171" fontId="0" fillId="0" borderId="0" xfId="0" applyNumberFormat="1"/>
    <xf numFmtId="0" fontId="4" fillId="9" borderId="1" xfId="0" applyFont="1" applyFill="1" applyBorder="1" applyAlignment="1">
      <alignment wrapText="1"/>
    </xf>
    <xf numFmtId="0" fontId="0" fillId="2" borderId="0" xfId="0" applyFill="1"/>
    <xf numFmtId="0" fontId="4" fillId="9" borderId="1" xfId="0" applyFont="1" applyFill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STS_1!$K$1</c:f>
          <c:strCache>
            <c:ptCount val="1"/>
            <c:pt idx="0">
              <c:v>Sensitivity of Units_produced_1 to Steel Resource available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STS_1!$A$5:$A$20</c:f>
              <c:numCache>
                <c:formatCode>General</c:formatCode>
                <c:ptCount val="1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</c:numCache>
            </c:numRef>
          </c:cat>
          <c:val>
            <c:numRef>
              <c:f>STS_1!$K$5:$K$20</c:f>
              <c:numCache>
                <c:formatCode>General</c:formatCode>
                <c:ptCount val="16"/>
                <c:pt idx="0">
                  <c:v>333.33333333333331</c:v>
                </c:pt>
                <c:pt idx="1">
                  <c:v>0</c:v>
                </c:pt>
                <c:pt idx="2">
                  <c:v>1000</c:v>
                </c:pt>
                <c:pt idx="3">
                  <c:v>1333.3333333333333</c:v>
                </c:pt>
                <c:pt idx="4">
                  <c:v>1666.6666666666665</c:v>
                </c:pt>
                <c:pt idx="5">
                  <c:v>0</c:v>
                </c:pt>
                <c:pt idx="6">
                  <c:v>2066.6666666666665</c:v>
                </c:pt>
                <c:pt idx="7">
                  <c:v>1866.6666666666665</c:v>
                </c:pt>
                <c:pt idx="8">
                  <c:v>0</c:v>
                </c:pt>
                <c:pt idx="9">
                  <c:v>1466.6666666666663</c:v>
                </c:pt>
                <c:pt idx="10">
                  <c:v>0</c:v>
                </c:pt>
                <c:pt idx="11">
                  <c:v>1066.6666666666665</c:v>
                </c:pt>
                <c:pt idx="12">
                  <c:v>866.66666666666561</c:v>
                </c:pt>
                <c:pt idx="13">
                  <c:v>666.66666666666572</c:v>
                </c:pt>
                <c:pt idx="14">
                  <c:v>466.66666666666583</c:v>
                </c:pt>
                <c:pt idx="15">
                  <c:v>266.6666666666664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4-E840-BBB1-CA20833EA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293744"/>
        <c:axId val="1057830816"/>
      </c:lineChart>
      <c:catAx>
        <c:axId val="190529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Steel Resource available ($D$23)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7830816"/>
        <c:crosses val="autoZero"/>
        <c:auto val="1"/>
        <c:lblAlgn val="ctr"/>
        <c:lblOffset val="100"/>
        <c:noMultiLvlLbl val="0"/>
      </c:catAx>
      <c:valAx>
        <c:axId val="105783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529374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STS_2!$N$1</c:f>
          <c:strCache>
            <c:ptCount val="1"/>
            <c:pt idx="0">
              <c:v>Sensitivity of Units_produced_4 to Labor hours Resource available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STS_2!$A$5:$A$11</c:f>
              <c:numCache>
                <c:formatCode>General</c:formatCode>
                <c:ptCount val="7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</c:numCache>
            </c:numRef>
          </c:cat>
          <c:val>
            <c:numRef>
              <c:f>STS_2!$N$5:$N$11</c:f>
              <c:numCache>
                <c:formatCode>General</c:formatCode>
                <c:ptCount val="7"/>
                <c:pt idx="0">
                  <c:v>1066.6666666666667</c:v>
                </c:pt>
                <c:pt idx="1">
                  <c:v>1000</c:v>
                </c:pt>
                <c:pt idx="2">
                  <c:v>933.33333333333337</c:v>
                </c:pt>
                <c:pt idx="3">
                  <c:v>866.66666666666674</c:v>
                </c:pt>
                <c:pt idx="4">
                  <c:v>800</c:v>
                </c:pt>
                <c:pt idx="5">
                  <c:v>733.33333333333337</c:v>
                </c:pt>
                <c:pt idx="6">
                  <c:v>666.66666666666674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AA-5848-8E92-F357A5AD0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719280"/>
        <c:axId val="1971311360"/>
      </c:lineChart>
      <c:catAx>
        <c:axId val="202371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Labor hours Resource available ($D$24)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1311360"/>
        <c:crosses val="autoZero"/>
        <c:auto val="1"/>
        <c:lblAlgn val="ctr"/>
        <c:lblOffset val="100"/>
        <c:noMultiLvlLbl val="0"/>
      </c:catAx>
      <c:valAx>
        <c:axId val="197131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371928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STS_3!$N$1</c:f>
          <c:strCache>
            <c:ptCount val="1"/>
            <c:pt idx="0">
              <c:v>Sensitivity of Units_produced_1 to Unit Profit contributions for Large Minivans</c:v>
            </c:pt>
          </c:strCache>
        </c:strRef>
      </c:tx>
      <c:layout>
        <c:manualLayout>
          <c:xMode val="edge"/>
          <c:yMode val="edge"/>
          <c:x val="0.15354802329396325"/>
          <c:y val="0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STS_3!$A$5:$A$12</c:f>
              <c:numCache>
                <c:formatCode>_([$$-409]* #,##0.00_);_([$$-409]* \(#,##0.00\);_([$$-409]* "-"??_);_(@_)</c:formatCode>
                <c:ptCount val="8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</c:numCache>
            </c:numRef>
          </c:cat>
          <c:val>
            <c:numRef>
              <c:f>STS_3!$N$5:$N$12</c:f>
              <c:numCache>
                <c:formatCode>General</c:formatCode>
                <c:ptCount val="8"/>
                <c:pt idx="0">
                  <c:v>866.66666666666606</c:v>
                </c:pt>
                <c:pt idx="1">
                  <c:v>866.66666666666606</c:v>
                </c:pt>
                <c:pt idx="2">
                  <c:v>866.66666666666606</c:v>
                </c:pt>
                <c:pt idx="3">
                  <c:v>866.66666666666561</c:v>
                </c:pt>
                <c:pt idx="4">
                  <c:v>866.66666666666561</c:v>
                </c:pt>
                <c:pt idx="5">
                  <c:v>1031.7460317460309</c:v>
                </c:pt>
                <c:pt idx="6">
                  <c:v>1031.7460317460309</c:v>
                </c:pt>
                <c:pt idx="7">
                  <c:v>1031.7460317460309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A-0643-8E1D-34047ECB4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533120"/>
        <c:axId val="1996910032"/>
      </c:lineChart>
      <c:catAx>
        <c:axId val="199653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Unit Profit contributions for Large Minivans ($F$9)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996910032"/>
        <c:crosses val="autoZero"/>
        <c:auto val="1"/>
        <c:lblAlgn val="ctr"/>
        <c:lblOffset val="100"/>
        <c:noMultiLvlLbl val="0"/>
      </c:catAx>
      <c:valAx>
        <c:axId val="199691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653312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STS_4!$CJ$1</c:f>
          <c:strCache>
            <c:ptCount val="1"/>
            <c:pt idx="0">
              <c:v>Sensitivity of Include_service_center_1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STS_4!$A$5:$A$15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STS_4!$K$5:$K$15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4-A14B-A370-09E836C12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866208"/>
        <c:axId val="1057180272"/>
      </c:lineChart>
      <c:catAx>
        <c:axId val="105786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Input ($M$19)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7180272"/>
        <c:crosses val="autoZero"/>
        <c:auto val="1"/>
        <c:lblAlgn val="ctr"/>
        <c:lblOffset val="100"/>
        <c:noMultiLvlLbl val="0"/>
      </c:catAx>
      <c:valAx>
        <c:axId val="105718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86620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STS_5!$K$1</c:f>
          <c:strCache>
            <c:ptCount val="1"/>
            <c:pt idx="0">
              <c:v>Sensitivity of Include_service_center_1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STS_5!$A$5:$A$15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STS_5!$K$5:$K$15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8-5946-B17D-9C4EE9AA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283728"/>
        <c:axId val="1040915280"/>
      </c:lineChart>
      <c:catAx>
        <c:axId val="51428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Input ($M$19)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0915280"/>
        <c:crosses val="autoZero"/>
        <c:auto val="1"/>
        <c:lblAlgn val="ctr"/>
        <c:lblOffset val="100"/>
        <c:noMultiLvlLbl val="0"/>
      </c:catAx>
      <c:valAx>
        <c:axId val="104091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428372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4800600</xdr:colOff>
      <xdr:row>19</xdr:row>
      <xdr:rowOff>127000</xdr:rowOff>
    </xdr:from>
    <xdr:to>
      <xdr:col>6</xdr:col>
      <xdr:colOff>241300</xdr:colOff>
      <xdr:row>33</xdr:row>
      <xdr:rowOff>139700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42510711-2043-CEF3-BCA6-186B31E5F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38100</xdr:colOff>
      <xdr:row>2</xdr:row>
      <xdr:rowOff>165100</xdr:rowOff>
    </xdr:from>
    <xdr:to>
      <xdr:col>8</xdr:col>
      <xdr:colOff>584200</xdr:colOff>
      <xdr:row>3</xdr:row>
      <xdr:rowOff>723900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6D5C77-EE45-30A7-57AA-63AC67A201F9}"/>
            </a:ext>
          </a:extLst>
        </xdr:cNvPr>
        <xdr:cNvSpPr txBox="1"/>
      </xdr:nvSpPr>
      <xdr:spPr>
        <a:xfrm>
          <a:off x="9474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GB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495300</xdr:colOff>
      <xdr:row>11</xdr:row>
      <xdr:rowOff>63500</xdr:rowOff>
    </xdr:from>
    <xdr:to>
      <xdr:col>15</xdr:col>
      <xdr:colOff>177800</xdr:colOff>
      <xdr:row>25</xdr:row>
      <xdr:rowOff>76200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D5A6D8AA-0BFA-C924-DD8F-7897006EF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152400</xdr:colOff>
      <xdr:row>2</xdr:row>
      <xdr:rowOff>165100</xdr:rowOff>
    </xdr:from>
    <xdr:to>
      <xdr:col>17</xdr:col>
      <xdr:colOff>114300</xdr:colOff>
      <xdr:row>3</xdr:row>
      <xdr:rowOff>723900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BFB936-5F13-43FC-54E2-181B0E13328E}"/>
            </a:ext>
          </a:extLst>
        </xdr:cNvPr>
        <xdr:cNvSpPr txBox="1"/>
      </xdr:nvSpPr>
      <xdr:spPr>
        <a:xfrm>
          <a:off x="119507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GB" sz="1100"/>
            <a:t>When you select an output from the dropdown list in cell $N$4, the chart will adapt to that output.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114300</xdr:colOff>
      <xdr:row>3</xdr:row>
      <xdr:rowOff>1663700</xdr:rowOff>
    </xdr:from>
    <xdr:to>
      <xdr:col>15</xdr:col>
      <xdr:colOff>622300</xdr:colOff>
      <xdr:row>16</xdr:row>
      <xdr:rowOff>38100</xdr:rowOff>
    </xdr:to>
    <xdr:graphicFrame macro="">
      <xdr:nvGraphicFramePr>
        <xdr:cNvPr id="2" name="STS_3_Chart">
          <a:extLst>
            <a:ext uri="{FF2B5EF4-FFF2-40B4-BE49-F238E27FC236}">
              <a16:creationId xmlns:a16="http://schemas.microsoft.com/office/drawing/2014/main" id="{C04DDF3E-BE4B-AF50-3B54-61C9ED9CC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101600</xdr:colOff>
      <xdr:row>2</xdr:row>
      <xdr:rowOff>165100</xdr:rowOff>
    </xdr:from>
    <xdr:to>
      <xdr:col>17</xdr:col>
      <xdr:colOff>63500</xdr:colOff>
      <xdr:row>3</xdr:row>
      <xdr:rowOff>723900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34B634-EEA4-DCDF-15DA-A6E2423C48B6}"/>
            </a:ext>
          </a:extLst>
        </xdr:cNvPr>
        <xdr:cNvSpPr txBox="1"/>
      </xdr:nvSpPr>
      <xdr:spPr>
        <a:xfrm>
          <a:off x="119507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GB" sz="1100"/>
            <a:t>When you select an output from the dropdown list in cell $N$4, the chart will adapt to that output.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64</xdr:col>
      <xdr:colOff>203200</xdr:colOff>
      <xdr:row>15</xdr:row>
      <xdr:rowOff>12700</xdr:rowOff>
    </xdr:from>
    <xdr:to>
      <xdr:col>70</xdr:col>
      <xdr:colOff>127000</xdr:colOff>
      <xdr:row>29</xdr:row>
      <xdr:rowOff>25400</xdr:rowOff>
    </xdr:to>
    <xdr:graphicFrame macro="">
      <xdr:nvGraphicFramePr>
        <xdr:cNvPr id="2" name="STS_4_Chart">
          <a:extLst>
            <a:ext uri="{FF2B5EF4-FFF2-40B4-BE49-F238E27FC236}">
              <a16:creationId xmlns:a16="http://schemas.microsoft.com/office/drawing/2014/main" id="{1C047375-514A-E658-E713-0F97F2CDC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88</xdr:col>
      <xdr:colOff>393700</xdr:colOff>
      <xdr:row>2</xdr:row>
      <xdr:rowOff>165100</xdr:rowOff>
    </xdr:from>
    <xdr:to>
      <xdr:col>91</xdr:col>
      <xdr:colOff>355600</xdr:colOff>
      <xdr:row>3</xdr:row>
      <xdr:rowOff>723900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187DB2-5132-F402-C6FE-F67216E7E9A5}"/>
            </a:ext>
          </a:extLst>
        </xdr:cNvPr>
        <xdr:cNvSpPr txBox="1"/>
      </xdr:nvSpPr>
      <xdr:spPr>
        <a:xfrm>
          <a:off x="730377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GB" sz="1100"/>
            <a:t>When you select an output from the dropdown list in cell $CJ$4, the chart will adapt to that output.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317500</xdr:colOff>
      <xdr:row>15</xdr:row>
      <xdr:rowOff>12700</xdr:rowOff>
    </xdr:from>
    <xdr:to>
      <xdr:col>13</xdr:col>
      <xdr:colOff>241300</xdr:colOff>
      <xdr:row>29</xdr:row>
      <xdr:rowOff>25400</xdr:rowOff>
    </xdr:to>
    <xdr:graphicFrame macro="">
      <xdr:nvGraphicFramePr>
        <xdr:cNvPr id="2" name="STS_5_Chart">
          <a:extLst>
            <a:ext uri="{FF2B5EF4-FFF2-40B4-BE49-F238E27FC236}">
              <a16:creationId xmlns:a16="http://schemas.microsoft.com/office/drawing/2014/main" id="{AD36C220-6AA2-49BC-38C4-D478E2E02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393700</xdr:colOff>
      <xdr:row>2</xdr:row>
      <xdr:rowOff>165100</xdr:rowOff>
    </xdr:from>
    <xdr:to>
      <xdr:col>14</xdr:col>
      <xdr:colOff>355600</xdr:colOff>
      <xdr:row>3</xdr:row>
      <xdr:rowOff>723900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2BECF5-2113-00D7-5C8C-F0BC407A4956}"/>
            </a:ext>
          </a:extLst>
        </xdr:cNvPr>
        <xdr:cNvSpPr txBox="1"/>
      </xdr:nvSpPr>
      <xdr:spPr>
        <a:xfrm>
          <a:off x="9474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GB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46CF8F-E111-6D4A-9704-72D5E04219B3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C02A-E412-1C4F-B1C5-4ADCEDCF825F}">
  <dimension ref="A1:I102"/>
  <sheetViews>
    <sheetView topLeftCell="A3" workbookViewId="0">
      <selection activeCell="B17" sqref="B17"/>
    </sheetView>
  </sheetViews>
  <sheetFormatPr baseColWidth="10" defaultColWidth="11" defaultRowHeight="16" x14ac:dyDescent="0.2"/>
  <cols>
    <col min="1" max="1" width="30" bestFit="1" customWidth="1"/>
    <col min="5" max="5" width="9" customWidth="1"/>
    <col min="6" max="6" width="10.6640625" customWidth="1"/>
    <col min="7" max="7" width="14.6640625" customWidth="1"/>
  </cols>
  <sheetData>
    <row r="1" spans="1:8" x14ac:dyDescent="0.2">
      <c r="A1" s="3" t="s">
        <v>0</v>
      </c>
    </row>
    <row r="3" spans="1:8" x14ac:dyDescent="0.2">
      <c r="A3" s="3" t="s">
        <v>12</v>
      </c>
    </row>
    <row r="4" spans="1:8" x14ac:dyDescent="0.2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</row>
    <row r="5" spans="1:8" x14ac:dyDescent="0.2">
      <c r="A5" t="s">
        <v>2</v>
      </c>
      <c r="B5" s="6">
        <v>5000</v>
      </c>
      <c r="C5" s="6">
        <v>2500</v>
      </c>
      <c r="D5" s="6">
        <v>3500</v>
      </c>
      <c r="E5" s="6">
        <v>6000</v>
      </c>
      <c r="F5" s="6">
        <v>7000</v>
      </c>
      <c r="G5" s="6">
        <v>4500</v>
      </c>
      <c r="H5" s="6">
        <v>3000</v>
      </c>
    </row>
    <row r="6" spans="1:8" x14ac:dyDescent="0.2">
      <c r="A6" t="s">
        <v>3</v>
      </c>
      <c r="B6" s="6">
        <v>16000</v>
      </c>
      <c r="C6" s="6">
        <v>8000</v>
      </c>
      <c r="D6" s="6">
        <v>10000</v>
      </c>
      <c r="E6" s="6">
        <v>19500</v>
      </c>
      <c r="F6" s="6">
        <v>22000</v>
      </c>
      <c r="G6" s="6">
        <v>12000</v>
      </c>
      <c r="H6" s="6">
        <v>7500</v>
      </c>
    </row>
    <row r="7" spans="1:8" x14ac:dyDescent="0.2">
      <c r="A7" t="s">
        <v>4</v>
      </c>
      <c r="B7">
        <v>3.2</v>
      </c>
      <c r="C7">
        <v>3.2</v>
      </c>
      <c r="D7">
        <v>2.86</v>
      </c>
      <c r="E7">
        <v>3.25</v>
      </c>
      <c r="F7">
        <v>3.14</v>
      </c>
      <c r="G7">
        <v>2.67</v>
      </c>
      <c r="H7">
        <v>2.5</v>
      </c>
    </row>
    <row r="9" spans="1:8" x14ac:dyDescent="0.2">
      <c r="A9" s="3" t="s">
        <v>5</v>
      </c>
    </row>
    <row r="10" spans="1:8" x14ac:dyDescent="0.2">
      <c r="A10" t="s">
        <v>6</v>
      </c>
      <c r="B10" s="7">
        <v>1</v>
      </c>
      <c r="C10" s="7">
        <v>0</v>
      </c>
      <c r="D10" s="7">
        <v>0</v>
      </c>
      <c r="E10" s="7">
        <v>1</v>
      </c>
      <c r="F10" s="7">
        <v>1</v>
      </c>
      <c r="G10" s="7">
        <v>0</v>
      </c>
      <c r="H10" s="7">
        <v>0</v>
      </c>
    </row>
    <row r="12" spans="1:8" x14ac:dyDescent="0.2">
      <c r="A12" s="3" t="s">
        <v>7</v>
      </c>
    </row>
    <row r="13" spans="1:8" x14ac:dyDescent="0.2">
      <c r="B13" t="s">
        <v>11</v>
      </c>
      <c r="D13" t="s">
        <v>8</v>
      </c>
      <c r="F13" s="3"/>
      <c r="H13" s="3"/>
    </row>
    <row r="14" spans="1:8" x14ac:dyDescent="0.2">
      <c r="B14" s="1">
        <f>SUMPRODUCT(B5:H5, Investment_levels)</f>
        <v>18000</v>
      </c>
      <c r="C14" s="4" t="s">
        <v>9</v>
      </c>
      <c r="D14" s="6">
        <v>18000</v>
      </c>
    </row>
    <row r="15" spans="1:8" x14ac:dyDescent="0.2">
      <c r="F15" s="3"/>
      <c r="H15" s="3"/>
    </row>
    <row r="16" spans="1:8" x14ac:dyDescent="0.2">
      <c r="A16" s="3" t="s">
        <v>13</v>
      </c>
    </row>
    <row r="17" spans="1:9" x14ac:dyDescent="0.2">
      <c r="A17" t="s">
        <v>10</v>
      </c>
      <c r="B17" s="5">
        <f>SUMPRODUCT(B6:H6, Investment_levels)</f>
        <v>57500</v>
      </c>
    </row>
    <row r="22" spans="1:9" s="16" customFormat="1" x14ac:dyDescent="0.2">
      <c r="A22" s="16" t="s">
        <v>33</v>
      </c>
    </row>
    <row r="24" spans="1:9" x14ac:dyDescent="0.2">
      <c r="A24" s="9" t="s">
        <v>0</v>
      </c>
      <c r="B24" s="10"/>
      <c r="C24" s="10"/>
      <c r="D24" s="10"/>
      <c r="E24" s="10"/>
      <c r="F24" s="10"/>
      <c r="G24" s="10"/>
      <c r="H24" s="10"/>
      <c r="I24" s="10"/>
    </row>
    <row r="25" spans="1:9" x14ac:dyDescent="0.2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">
      <c r="A26" s="9" t="s">
        <v>12</v>
      </c>
      <c r="B26" s="9"/>
      <c r="C26" s="10"/>
      <c r="D26" s="10"/>
      <c r="E26" s="10"/>
      <c r="F26" s="10"/>
      <c r="G26" s="10"/>
      <c r="H26" s="10"/>
      <c r="I26" s="10"/>
    </row>
    <row r="27" spans="1:9" x14ac:dyDescent="0.2">
      <c r="A27" s="10" t="s">
        <v>1</v>
      </c>
      <c r="B27" s="10">
        <v>1</v>
      </c>
      <c r="C27" s="10">
        <v>2</v>
      </c>
      <c r="D27" s="10">
        <v>3</v>
      </c>
      <c r="E27" s="10">
        <v>4</v>
      </c>
      <c r="F27" s="10">
        <v>5</v>
      </c>
      <c r="G27" s="10">
        <v>6</v>
      </c>
      <c r="H27" s="10">
        <v>7</v>
      </c>
      <c r="I27" s="10"/>
    </row>
    <row r="28" spans="1:9" x14ac:dyDescent="0.2">
      <c r="A28" s="10" t="s">
        <v>2</v>
      </c>
      <c r="B28" s="11" t="s">
        <v>16</v>
      </c>
      <c r="C28" s="11" t="s">
        <v>17</v>
      </c>
      <c r="D28" s="11" t="s">
        <v>18</v>
      </c>
      <c r="E28" s="11" t="s">
        <v>19</v>
      </c>
      <c r="F28" s="11" t="s">
        <v>20</v>
      </c>
      <c r="G28" s="11" t="s">
        <v>21</v>
      </c>
      <c r="H28" s="11" t="s">
        <v>22</v>
      </c>
      <c r="I28" s="10"/>
    </row>
    <row r="29" spans="1:9" x14ac:dyDescent="0.2">
      <c r="A29" s="10" t="s">
        <v>3</v>
      </c>
      <c r="B29" s="11" t="s">
        <v>23</v>
      </c>
      <c r="C29" s="11" t="s">
        <v>24</v>
      </c>
      <c r="D29" s="11" t="s">
        <v>25</v>
      </c>
      <c r="E29" s="11" t="s">
        <v>26</v>
      </c>
      <c r="F29" s="11" t="s">
        <v>27</v>
      </c>
      <c r="G29" s="11" t="s">
        <v>28</v>
      </c>
      <c r="H29" s="11" t="s">
        <v>29</v>
      </c>
      <c r="I29" s="10"/>
    </row>
    <row r="30" spans="1:9" x14ac:dyDescent="0.2">
      <c r="A30" s="10" t="s">
        <v>4</v>
      </c>
      <c r="B30" s="10">
        <v>3.2</v>
      </c>
      <c r="C30" s="10">
        <v>3.2</v>
      </c>
      <c r="D30" s="10">
        <v>2.86</v>
      </c>
      <c r="E30" s="10">
        <v>3.25</v>
      </c>
      <c r="F30" s="10">
        <v>3.14</v>
      </c>
      <c r="G30" s="10">
        <v>2.67</v>
      </c>
      <c r="H30" s="10">
        <v>2.5</v>
      </c>
      <c r="I30" s="10"/>
    </row>
    <row r="31" spans="1:9" x14ac:dyDescent="0.2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">
      <c r="A32" s="9" t="s">
        <v>5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">
      <c r="A33" s="10" t="s">
        <v>6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0</v>
      </c>
      <c r="H33" s="12">
        <v>0</v>
      </c>
      <c r="I33" s="10"/>
    </row>
    <row r="34" spans="1:9" x14ac:dyDescent="0.2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">
      <c r="A35" s="9" t="s">
        <v>7</v>
      </c>
      <c r="B35" s="10"/>
      <c r="C35" s="10"/>
      <c r="D35" s="10"/>
      <c r="E35" s="10"/>
      <c r="F35" s="10"/>
      <c r="G35" s="10"/>
      <c r="H35" s="10"/>
      <c r="I35" s="10"/>
    </row>
    <row r="36" spans="1:9" x14ac:dyDescent="0.2">
      <c r="A36" s="10"/>
      <c r="B36" s="10" t="s">
        <v>11</v>
      </c>
      <c r="C36" s="10"/>
      <c r="D36" s="10" t="s">
        <v>8</v>
      </c>
      <c r="E36" s="10"/>
      <c r="F36" s="9" t="s">
        <v>15</v>
      </c>
      <c r="G36" s="9"/>
      <c r="H36" s="9" t="s">
        <v>14</v>
      </c>
      <c r="I36" s="9"/>
    </row>
    <row r="37" spans="1:9" x14ac:dyDescent="0.2">
      <c r="A37" s="10"/>
      <c r="B37" s="2" t="s">
        <v>30</v>
      </c>
      <c r="C37" s="13" t="s">
        <v>9</v>
      </c>
      <c r="D37" s="11" t="s">
        <v>31</v>
      </c>
      <c r="E37" s="10"/>
      <c r="F37" s="10">
        <v>2</v>
      </c>
      <c r="G37" s="13" t="s">
        <v>9</v>
      </c>
      <c r="H37" s="14">
        <v>2</v>
      </c>
      <c r="I37" s="10"/>
    </row>
    <row r="38" spans="1:9" x14ac:dyDescent="0.2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">
      <c r="A39" s="9" t="s">
        <v>13</v>
      </c>
      <c r="B39" s="10"/>
      <c r="C39" s="10"/>
      <c r="D39" s="10"/>
      <c r="E39" s="10"/>
      <c r="F39" s="10"/>
      <c r="G39" s="10"/>
      <c r="H39" s="10"/>
      <c r="I39" s="10"/>
    </row>
    <row r="40" spans="1:9" x14ac:dyDescent="0.2">
      <c r="A40" s="10" t="s">
        <v>10</v>
      </c>
      <c r="B40" s="15" t="s">
        <v>32</v>
      </c>
      <c r="C40" s="10"/>
      <c r="D40" s="10"/>
      <c r="E40" s="10"/>
      <c r="F40" s="10"/>
      <c r="G40" s="10"/>
      <c r="H40" s="10"/>
      <c r="I40" s="10"/>
    </row>
    <row r="41" spans="1:9" x14ac:dyDescent="0.2">
      <c r="A41" s="10"/>
      <c r="B41" s="10"/>
      <c r="C41" s="10"/>
      <c r="D41" s="10"/>
      <c r="E41" s="10"/>
      <c r="F41" s="10"/>
      <c r="G41" s="10"/>
      <c r="H41" s="10"/>
      <c r="I41" s="10"/>
    </row>
    <row r="43" spans="1:9" s="16" customFormat="1" x14ac:dyDescent="0.2">
      <c r="A43" s="16" t="s">
        <v>34</v>
      </c>
    </row>
    <row r="44" spans="1:9" x14ac:dyDescent="0.2">
      <c r="A44" s="3" t="s">
        <v>0</v>
      </c>
    </row>
    <row r="46" spans="1:9" x14ac:dyDescent="0.2">
      <c r="A46" s="3" t="s">
        <v>12</v>
      </c>
    </row>
    <row r="47" spans="1:9" x14ac:dyDescent="0.2">
      <c r="A47" t="s">
        <v>1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</row>
    <row r="48" spans="1:9" x14ac:dyDescent="0.2">
      <c r="A48" t="s">
        <v>2</v>
      </c>
      <c r="B48" s="6">
        <v>5000</v>
      </c>
      <c r="C48" s="6">
        <v>2500</v>
      </c>
      <c r="D48" s="6">
        <v>3500</v>
      </c>
      <c r="E48" s="6">
        <v>6000</v>
      </c>
      <c r="F48" s="6">
        <v>7000</v>
      </c>
      <c r="G48" s="6">
        <v>4500</v>
      </c>
      <c r="H48" s="6">
        <v>3000</v>
      </c>
    </row>
    <row r="49" spans="1:8" x14ac:dyDescent="0.2">
      <c r="A49" t="s">
        <v>3</v>
      </c>
      <c r="B49" s="6">
        <v>16000</v>
      </c>
      <c r="C49" s="6">
        <v>8000</v>
      </c>
      <c r="D49" s="6">
        <v>10000</v>
      </c>
      <c r="E49" s="6">
        <v>19500</v>
      </c>
      <c r="F49" s="6">
        <v>22000</v>
      </c>
      <c r="G49" s="6">
        <v>12000</v>
      </c>
      <c r="H49" s="6">
        <v>7500</v>
      </c>
    </row>
    <row r="50" spans="1:8" x14ac:dyDescent="0.2">
      <c r="A50" t="s">
        <v>4</v>
      </c>
      <c r="B50">
        <v>3.2</v>
      </c>
      <c r="C50">
        <v>3.2</v>
      </c>
      <c r="D50">
        <v>2.86</v>
      </c>
      <c r="E50">
        <v>3.25</v>
      </c>
      <c r="F50">
        <v>3.14</v>
      </c>
      <c r="G50">
        <v>2.67</v>
      </c>
      <c r="H50">
        <v>2.5</v>
      </c>
    </row>
    <row r="52" spans="1:8" x14ac:dyDescent="0.2">
      <c r="A52" s="3" t="s">
        <v>5</v>
      </c>
    </row>
    <row r="53" spans="1:8" x14ac:dyDescent="0.2">
      <c r="A53" t="s">
        <v>47</v>
      </c>
      <c r="B53" s="7">
        <v>1</v>
      </c>
      <c r="C53" s="7">
        <v>1</v>
      </c>
      <c r="D53" s="7">
        <v>1</v>
      </c>
      <c r="E53" s="7">
        <v>0</v>
      </c>
      <c r="F53" s="7">
        <v>1</v>
      </c>
      <c r="G53" s="7">
        <v>0</v>
      </c>
      <c r="H53" s="7">
        <v>0</v>
      </c>
    </row>
    <row r="55" spans="1:8" x14ac:dyDescent="0.2">
      <c r="A55" s="3" t="s">
        <v>7</v>
      </c>
    </row>
    <row r="56" spans="1:8" x14ac:dyDescent="0.2">
      <c r="B56" t="s">
        <v>11</v>
      </c>
      <c r="D56" t="s">
        <v>8</v>
      </c>
      <c r="F56" s="3" t="s">
        <v>36</v>
      </c>
      <c r="H56" s="3" t="s">
        <v>37</v>
      </c>
    </row>
    <row r="57" spans="1:8" x14ac:dyDescent="0.2">
      <c r="B57" s="1">
        <f>SUMPRODUCT(B48:H48, Investment_levels_2)</f>
        <v>18000</v>
      </c>
      <c r="C57" s="4" t="s">
        <v>9</v>
      </c>
      <c r="D57" s="6">
        <v>18000</v>
      </c>
      <c r="F57">
        <v>1</v>
      </c>
      <c r="G57" s="4" t="s">
        <v>35</v>
      </c>
      <c r="H57" s="8">
        <f>B53</f>
        <v>1</v>
      </c>
    </row>
    <row r="59" spans="1:8" x14ac:dyDescent="0.2">
      <c r="A59" s="3" t="s">
        <v>13</v>
      </c>
    </row>
    <row r="60" spans="1:8" x14ac:dyDescent="0.2">
      <c r="A60" t="s">
        <v>10</v>
      </c>
      <c r="B60" s="5">
        <f>SUMPRODUCT(B49:H49, Investment_levels_2)</f>
        <v>56000</v>
      </c>
    </row>
    <row r="63" spans="1:8" x14ac:dyDescent="0.2">
      <c r="A63" s="17"/>
    </row>
    <row r="64" spans="1:8" s="16" customFormat="1" x14ac:dyDescent="0.2">
      <c r="A64" s="16" t="s">
        <v>40</v>
      </c>
    </row>
    <row r="65" spans="1:8" x14ac:dyDescent="0.2">
      <c r="A65" s="3" t="s">
        <v>0</v>
      </c>
    </row>
    <row r="67" spans="1:8" x14ac:dyDescent="0.2">
      <c r="A67" s="3" t="s">
        <v>12</v>
      </c>
    </row>
    <row r="68" spans="1:8" x14ac:dyDescent="0.2">
      <c r="A68" t="s">
        <v>1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</row>
    <row r="69" spans="1:8" x14ac:dyDescent="0.2">
      <c r="A69" t="s">
        <v>2</v>
      </c>
      <c r="B69" s="6">
        <v>5000</v>
      </c>
      <c r="C69" s="6">
        <v>2500</v>
      </c>
      <c r="D69" s="6">
        <v>3500</v>
      </c>
      <c r="E69" s="6">
        <v>6000</v>
      </c>
      <c r="F69" s="6">
        <v>7000</v>
      </c>
      <c r="G69" s="6">
        <v>4500</v>
      </c>
      <c r="H69" s="6">
        <v>3000</v>
      </c>
    </row>
    <row r="70" spans="1:8" x14ac:dyDescent="0.2">
      <c r="A70" t="s">
        <v>3</v>
      </c>
      <c r="B70" s="6">
        <v>16000</v>
      </c>
      <c r="C70" s="6">
        <v>8000</v>
      </c>
      <c r="D70" s="6">
        <v>10000</v>
      </c>
      <c r="E70" s="6">
        <v>19500</v>
      </c>
      <c r="F70" s="6">
        <v>22000</v>
      </c>
      <c r="G70" s="6">
        <v>12000</v>
      </c>
      <c r="H70" s="6">
        <v>7500</v>
      </c>
    </row>
    <row r="71" spans="1:8" x14ac:dyDescent="0.2">
      <c r="A71" t="s">
        <v>4</v>
      </c>
      <c r="B71">
        <v>3.2</v>
      </c>
      <c r="C71">
        <v>3.2</v>
      </c>
      <c r="D71">
        <v>2.86</v>
      </c>
      <c r="E71">
        <v>3.25</v>
      </c>
      <c r="F71">
        <v>3.14</v>
      </c>
      <c r="G71">
        <v>2.67</v>
      </c>
      <c r="H71">
        <v>2.5</v>
      </c>
    </row>
    <row r="73" spans="1:8" x14ac:dyDescent="0.2">
      <c r="A73" s="3" t="s">
        <v>5</v>
      </c>
    </row>
    <row r="74" spans="1:8" x14ac:dyDescent="0.2">
      <c r="A74" t="s">
        <v>6</v>
      </c>
      <c r="B74" s="7">
        <v>1</v>
      </c>
      <c r="C74" s="7">
        <v>1</v>
      </c>
      <c r="D74" s="7">
        <v>0</v>
      </c>
      <c r="E74" s="7">
        <v>1</v>
      </c>
      <c r="F74" s="7">
        <v>0</v>
      </c>
      <c r="G74" s="7">
        <v>1</v>
      </c>
      <c r="H74" s="7">
        <v>0</v>
      </c>
    </row>
    <row r="76" spans="1:8" x14ac:dyDescent="0.2">
      <c r="A76" s="3" t="s">
        <v>7</v>
      </c>
    </row>
    <row r="77" spans="1:8" x14ac:dyDescent="0.2">
      <c r="B77" t="s">
        <v>11</v>
      </c>
      <c r="D77" t="s">
        <v>8</v>
      </c>
      <c r="F77" s="3" t="s">
        <v>38</v>
      </c>
      <c r="H77" s="3" t="s">
        <v>39</v>
      </c>
    </row>
    <row r="78" spans="1:8" x14ac:dyDescent="0.2">
      <c r="B78" s="1">
        <f>SUMPRODUCT(B69:H69, Investment_levels_3)</f>
        <v>18000</v>
      </c>
      <c r="C78" s="4" t="s">
        <v>9</v>
      </c>
      <c r="D78" s="6">
        <v>18000</v>
      </c>
      <c r="F78">
        <f>SUM(G74, H74)</f>
        <v>1</v>
      </c>
      <c r="G78" s="4" t="s">
        <v>35</v>
      </c>
      <c r="H78" s="8">
        <f>1</f>
        <v>1</v>
      </c>
    </row>
    <row r="80" spans="1:8" x14ac:dyDescent="0.2">
      <c r="A80" s="3" t="s">
        <v>13</v>
      </c>
    </row>
    <row r="81" spans="1:8" x14ac:dyDescent="0.2">
      <c r="A81" t="s">
        <v>10</v>
      </c>
      <c r="B81" s="5">
        <f>SUMPRODUCT(B70:H70, Investment_levels_3)</f>
        <v>55500</v>
      </c>
    </row>
    <row r="84" spans="1:8" s="16" customFormat="1" x14ac:dyDescent="0.2">
      <c r="A84" s="16" t="s">
        <v>41</v>
      </c>
    </row>
    <row r="86" spans="1:8" x14ac:dyDescent="0.2">
      <c r="A86" s="3" t="s">
        <v>0</v>
      </c>
    </row>
    <row r="88" spans="1:8" x14ac:dyDescent="0.2">
      <c r="A88" s="3" t="s">
        <v>12</v>
      </c>
    </row>
    <row r="89" spans="1:8" x14ac:dyDescent="0.2">
      <c r="A89" t="s">
        <v>1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</row>
    <row r="90" spans="1:8" x14ac:dyDescent="0.2">
      <c r="A90" t="s">
        <v>2</v>
      </c>
      <c r="B90" s="6">
        <v>5000</v>
      </c>
      <c r="C90" s="6">
        <v>2500</v>
      </c>
      <c r="D90" s="6">
        <v>3500</v>
      </c>
      <c r="E90" s="6">
        <v>6000</v>
      </c>
      <c r="F90" s="6">
        <v>7000</v>
      </c>
      <c r="G90" s="6">
        <v>4500</v>
      </c>
      <c r="H90" s="6">
        <v>3000</v>
      </c>
    </row>
    <row r="91" spans="1:8" x14ac:dyDescent="0.2">
      <c r="A91" t="s">
        <v>3</v>
      </c>
      <c r="B91" s="6">
        <v>16000</v>
      </c>
      <c r="C91" s="6">
        <v>8000</v>
      </c>
      <c r="D91" s="6">
        <v>10000</v>
      </c>
      <c r="E91" s="6">
        <v>19500</v>
      </c>
      <c r="F91" s="6">
        <v>22000</v>
      </c>
      <c r="G91" s="6">
        <v>12000</v>
      </c>
      <c r="H91" s="6">
        <v>7500</v>
      </c>
    </row>
    <row r="92" spans="1:8" x14ac:dyDescent="0.2">
      <c r="A92" t="s">
        <v>4</v>
      </c>
      <c r="B92">
        <v>3.2</v>
      </c>
      <c r="C92">
        <v>3.2</v>
      </c>
      <c r="D92">
        <v>2.86</v>
      </c>
      <c r="E92">
        <v>3.25</v>
      </c>
      <c r="F92">
        <v>3.14</v>
      </c>
      <c r="G92">
        <v>2.67</v>
      </c>
      <c r="H92">
        <v>2.5</v>
      </c>
    </row>
    <row r="94" spans="1:8" x14ac:dyDescent="0.2">
      <c r="A94" s="3" t="s">
        <v>5</v>
      </c>
    </row>
    <row r="95" spans="1:8" x14ac:dyDescent="0.2">
      <c r="A95" t="s">
        <v>6</v>
      </c>
      <c r="B95" s="7">
        <v>1</v>
      </c>
      <c r="C95" s="7">
        <v>1</v>
      </c>
      <c r="D95" s="7">
        <v>1</v>
      </c>
      <c r="E95" s="7">
        <v>1</v>
      </c>
      <c r="F95" s="7">
        <v>0</v>
      </c>
      <c r="G95" s="7">
        <v>0</v>
      </c>
      <c r="H95" s="7">
        <v>0</v>
      </c>
    </row>
    <row r="97" spans="1:8" x14ac:dyDescent="0.2">
      <c r="A97" s="3" t="s">
        <v>7</v>
      </c>
    </row>
    <row r="98" spans="1:8" x14ac:dyDescent="0.2">
      <c r="B98" t="s">
        <v>11</v>
      </c>
      <c r="D98" t="s">
        <v>8</v>
      </c>
      <c r="F98" s="3" t="s">
        <v>42</v>
      </c>
      <c r="H98" s="3" t="s">
        <v>44</v>
      </c>
    </row>
    <row r="99" spans="1:8" x14ac:dyDescent="0.2">
      <c r="B99" s="1">
        <f>SUMPRODUCT(B90:H90, Investment_levels_4)</f>
        <v>17000</v>
      </c>
      <c r="C99" s="4" t="s">
        <v>9</v>
      </c>
      <c r="D99" s="6">
        <v>18000</v>
      </c>
      <c r="F99">
        <f>SUM(B95, D95)</f>
        <v>2</v>
      </c>
      <c r="G99" t="s">
        <v>43</v>
      </c>
      <c r="H99" s="8">
        <v>2</v>
      </c>
    </row>
    <row r="100" spans="1:8" x14ac:dyDescent="0.2">
      <c r="F100" s="3" t="s">
        <v>45</v>
      </c>
      <c r="H100" s="3" t="s">
        <v>46</v>
      </c>
    </row>
    <row r="101" spans="1:8" x14ac:dyDescent="0.2">
      <c r="A101" s="3" t="s">
        <v>13</v>
      </c>
      <c r="F101">
        <f>C95</f>
        <v>1</v>
      </c>
      <c r="G101" t="s">
        <v>35</v>
      </c>
      <c r="H101">
        <f>IF(F99, 1, 0)</f>
        <v>1</v>
      </c>
    </row>
    <row r="102" spans="1:8" x14ac:dyDescent="0.2">
      <c r="A102" t="s">
        <v>10</v>
      </c>
      <c r="B102" s="5">
        <f>SUMPRODUCT(B91:H91, Investment_levels_4)</f>
        <v>53500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A2B7-94A7-4545-93EE-94A05F622ED1}">
  <dimension ref="A1:F27"/>
  <sheetViews>
    <sheetView topLeftCell="A10" workbookViewId="0">
      <selection activeCell="D24" sqref="D24"/>
    </sheetView>
  </sheetViews>
  <sheetFormatPr baseColWidth="10" defaultColWidth="11" defaultRowHeight="16" x14ac:dyDescent="0.2"/>
  <cols>
    <col min="1" max="1" width="48" bestFit="1" customWidth="1"/>
  </cols>
  <sheetData>
    <row r="1" spans="1:6" x14ac:dyDescent="0.2">
      <c r="A1" s="3" t="s">
        <v>48</v>
      </c>
    </row>
    <row r="3" spans="1:6" x14ac:dyDescent="0.2">
      <c r="A3" s="3" t="s">
        <v>49</v>
      </c>
    </row>
    <row r="4" spans="1:6" x14ac:dyDescent="0.2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</row>
    <row r="5" spans="1:6" x14ac:dyDescent="0.2">
      <c r="A5" t="s">
        <v>56</v>
      </c>
      <c r="B5" s="18">
        <v>1.5</v>
      </c>
      <c r="C5" s="18">
        <v>3</v>
      </c>
      <c r="D5" s="18">
        <v>5</v>
      </c>
      <c r="E5" s="18">
        <v>6</v>
      </c>
      <c r="F5" s="18">
        <v>8</v>
      </c>
    </row>
    <row r="6" spans="1:6" x14ac:dyDescent="0.2">
      <c r="A6" t="s">
        <v>57</v>
      </c>
      <c r="B6" s="18">
        <v>30</v>
      </c>
      <c r="C6" s="18">
        <v>25</v>
      </c>
      <c r="D6" s="18">
        <v>40</v>
      </c>
      <c r="E6" s="18">
        <v>45</v>
      </c>
      <c r="F6" s="18">
        <v>55</v>
      </c>
    </row>
    <row r="7" spans="1:6" x14ac:dyDescent="0.2">
      <c r="A7" t="s">
        <v>58</v>
      </c>
      <c r="B7" s="18">
        <v>1000</v>
      </c>
      <c r="C7" s="18">
        <v>1000</v>
      </c>
      <c r="D7" s="18">
        <v>1000</v>
      </c>
      <c r="E7" s="18">
        <v>200</v>
      </c>
      <c r="F7" s="18">
        <v>200</v>
      </c>
    </row>
    <row r="9" spans="1:6" x14ac:dyDescent="0.2">
      <c r="A9" t="s">
        <v>59</v>
      </c>
      <c r="B9" s="19">
        <v>2000</v>
      </c>
      <c r="C9" s="19">
        <v>2500</v>
      </c>
      <c r="D9" s="19">
        <v>3000</v>
      </c>
      <c r="E9" s="19">
        <v>5500</v>
      </c>
      <c r="F9" s="19">
        <v>7000</v>
      </c>
    </row>
    <row r="11" spans="1:6" x14ac:dyDescent="0.2">
      <c r="A11" s="3" t="s">
        <v>60</v>
      </c>
    </row>
    <row r="12" spans="1:6" x14ac:dyDescent="0.2">
      <c r="A12" t="s">
        <v>61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">
      <c r="A13" t="s">
        <v>62</v>
      </c>
      <c r="B13" s="7">
        <v>1</v>
      </c>
      <c r="C13" s="7">
        <v>0</v>
      </c>
      <c r="D13" s="7">
        <v>0</v>
      </c>
      <c r="E13" s="7">
        <v>1</v>
      </c>
      <c r="F13" s="7">
        <v>1</v>
      </c>
    </row>
    <row r="15" spans="1:6" x14ac:dyDescent="0.2">
      <c r="A15" t="s">
        <v>63</v>
      </c>
      <c r="B15">
        <f>B7*B13</f>
        <v>1000</v>
      </c>
      <c r="C15">
        <f t="shared" ref="C15:F15" si="0">C7*C13</f>
        <v>0</v>
      </c>
      <c r="D15">
        <f t="shared" si="0"/>
        <v>0</v>
      </c>
      <c r="E15">
        <f t="shared" si="0"/>
        <v>200</v>
      </c>
      <c r="F15">
        <f t="shared" si="0"/>
        <v>200</v>
      </c>
    </row>
    <row r="16" spans="1:6" x14ac:dyDescent="0.2">
      <c r="B16" t="s">
        <v>9</v>
      </c>
      <c r="C16" t="s">
        <v>9</v>
      </c>
      <c r="D16" t="s">
        <v>9</v>
      </c>
      <c r="E16" t="s">
        <v>9</v>
      </c>
      <c r="F16" t="s">
        <v>9</v>
      </c>
    </row>
    <row r="17" spans="1:6" x14ac:dyDescent="0.2">
      <c r="A17" t="s">
        <v>64</v>
      </c>
      <c r="B17" s="7">
        <v>1000.0000000000002</v>
      </c>
      <c r="C17" s="7">
        <v>0</v>
      </c>
      <c r="D17" s="7">
        <v>0</v>
      </c>
      <c r="E17" s="7">
        <v>200</v>
      </c>
      <c r="F17" s="7">
        <v>472.72727272727246</v>
      </c>
    </row>
    <row r="18" spans="1:6" x14ac:dyDescent="0.2">
      <c r="B18" t="s">
        <v>9</v>
      </c>
      <c r="C18" t="s">
        <v>9</v>
      </c>
      <c r="D18" t="s">
        <v>9</v>
      </c>
      <c r="E18" t="s">
        <v>9</v>
      </c>
      <c r="F18" t="s">
        <v>9</v>
      </c>
    </row>
    <row r="19" spans="1:6" x14ac:dyDescent="0.2">
      <c r="A19" t="s">
        <v>65</v>
      </c>
      <c r="B19">
        <f>B13*MIN($D$23/B5, $D$24/B6)</f>
        <v>2166.6666666666665</v>
      </c>
      <c r="C19">
        <f t="shared" ref="C19:F19" si="1">C13*MIN($D$23/C5, $D$24/C6)</f>
        <v>0</v>
      </c>
      <c r="D19">
        <f t="shared" si="1"/>
        <v>0</v>
      </c>
      <c r="E19">
        <f t="shared" si="1"/>
        <v>1083.3333333333333</v>
      </c>
      <c r="F19">
        <f t="shared" si="1"/>
        <v>812.5</v>
      </c>
    </row>
    <row r="21" spans="1:6" x14ac:dyDescent="0.2">
      <c r="A21" s="3" t="s">
        <v>66</v>
      </c>
    </row>
    <row r="22" spans="1:6" x14ac:dyDescent="0.2">
      <c r="B22" t="s">
        <v>67</v>
      </c>
      <c r="D22" t="s">
        <v>68</v>
      </c>
    </row>
    <row r="23" spans="1:6" x14ac:dyDescent="0.2">
      <c r="A23" t="s">
        <v>69</v>
      </c>
      <c r="B23">
        <f>SUMPRODUCT(B5:F5, Units_produced)</f>
        <v>6481.8181818181802</v>
      </c>
      <c r="C23" s="4" t="s">
        <v>9</v>
      </c>
      <c r="D23" s="18">
        <v>6500</v>
      </c>
    </row>
    <row r="24" spans="1:6" x14ac:dyDescent="0.2">
      <c r="A24" t="s">
        <v>70</v>
      </c>
      <c r="B24">
        <f>SUMPRODUCT(B6:F6, Units_produced)</f>
        <v>64999.999999999993</v>
      </c>
      <c r="C24" s="4" t="s">
        <v>9</v>
      </c>
      <c r="D24" s="18">
        <v>65000</v>
      </c>
    </row>
    <row r="26" spans="1:6" x14ac:dyDescent="0.2">
      <c r="A26" s="3" t="s">
        <v>13</v>
      </c>
    </row>
    <row r="27" spans="1:6" x14ac:dyDescent="0.2">
      <c r="A27" t="s">
        <v>71</v>
      </c>
      <c r="B27" s="5">
        <f>SUMPRODUCT(B9:F9,Units_produced)</f>
        <v>6409090.9090909082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FC53-3E43-6247-8299-ACBA5E8A84E4}">
  <dimension ref="A1:B15"/>
  <sheetViews>
    <sheetView workbookViewId="0"/>
  </sheetViews>
  <sheetFormatPr baseColWidth="10" defaultRowHeight="16" x14ac:dyDescent="0.2"/>
  <sheetData>
    <row r="1" spans="1:2" x14ac:dyDescent="0.2">
      <c r="A1">
        <v>1</v>
      </c>
    </row>
    <row r="2" spans="1:2" x14ac:dyDescent="0.2">
      <c r="A2" t="s">
        <v>87</v>
      </c>
    </row>
    <row r="3" spans="1:2" x14ac:dyDescent="0.2">
      <c r="A3">
        <v>1</v>
      </c>
    </row>
    <row r="4" spans="1:2" x14ac:dyDescent="0.2">
      <c r="A4">
        <v>50000</v>
      </c>
    </row>
    <row r="5" spans="1:2" x14ac:dyDescent="0.2">
      <c r="A5">
        <v>70000</v>
      </c>
    </row>
    <row r="6" spans="1:2" x14ac:dyDescent="0.2">
      <c r="A6">
        <v>50000</v>
      </c>
    </row>
    <row r="8" spans="1:2" x14ac:dyDescent="0.2">
      <c r="A8" s="20"/>
      <c r="B8" s="20"/>
    </row>
    <row r="9" spans="1:2" x14ac:dyDescent="0.2">
      <c r="A9" t="s">
        <v>77</v>
      </c>
    </row>
    <row r="10" spans="1:2" x14ac:dyDescent="0.2">
      <c r="A10" t="s">
        <v>90</v>
      </c>
    </row>
    <row r="15" spans="1:2" x14ac:dyDescent="0.2">
      <c r="B15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6E7E-9D7D-7C41-8EBC-B1EA3448D0C7}">
  <dimension ref="A1:K20"/>
  <sheetViews>
    <sheetView topLeftCell="A10" workbookViewId="0">
      <selection activeCell="G5" sqref="G5:G20"/>
    </sheetView>
  </sheetViews>
  <sheetFormatPr baseColWidth="10" defaultRowHeight="16" x14ac:dyDescent="0.2"/>
  <cols>
    <col min="1" max="1" width="69.6640625" bestFit="1" customWidth="1"/>
    <col min="7" max="7" width="14" bestFit="1" customWidth="1"/>
  </cols>
  <sheetData>
    <row r="1" spans="1:11" x14ac:dyDescent="0.2">
      <c r="A1" s="3" t="s">
        <v>78</v>
      </c>
      <c r="K1" s="28" t="str">
        <f>CONCATENATE("Sensitivity of ",$K$4," to ","Steel Resource available")</f>
        <v>Sensitivity of Units_produced_1 to Steel Resource available</v>
      </c>
    </row>
    <row r="3" spans="1:11" x14ac:dyDescent="0.2">
      <c r="A3" t="s">
        <v>79</v>
      </c>
      <c r="K3" t="s">
        <v>85</v>
      </c>
    </row>
    <row r="4" spans="1:11" ht="96" x14ac:dyDescent="0.2">
      <c r="B4" s="22" t="s">
        <v>80</v>
      </c>
      <c r="C4" s="22" t="s">
        <v>81</v>
      </c>
      <c r="D4" s="22" t="s">
        <v>82</v>
      </c>
      <c r="E4" s="22" t="s">
        <v>83</v>
      </c>
      <c r="F4" s="22" t="s">
        <v>84</v>
      </c>
      <c r="G4" s="22" t="s">
        <v>71</v>
      </c>
      <c r="J4" s="28">
        <f>MATCH($K$4,OutputAddresses,0)</f>
        <v>1</v>
      </c>
      <c r="K4" s="27" t="s">
        <v>80</v>
      </c>
    </row>
    <row r="5" spans="1:11" x14ac:dyDescent="0.2">
      <c r="A5" s="21">
        <v>500</v>
      </c>
      <c r="B5" s="29">
        <v>333.33333333333331</v>
      </c>
      <c r="C5" s="30">
        <v>0</v>
      </c>
      <c r="D5" s="30">
        <v>0</v>
      </c>
      <c r="E5" s="30">
        <v>0</v>
      </c>
      <c r="F5" s="30">
        <v>0</v>
      </c>
      <c r="G5" s="39">
        <v>666666.66666666663</v>
      </c>
      <c r="K5">
        <f>INDEX(OutputValues,1,$J$4)</f>
        <v>333.33333333333331</v>
      </c>
    </row>
    <row r="6" spans="1:11" x14ac:dyDescent="0.2">
      <c r="A6" s="21">
        <v>1000</v>
      </c>
      <c r="B6" s="31" t="s">
        <v>86</v>
      </c>
      <c r="C6" s="25"/>
      <c r="D6" s="25"/>
      <c r="E6" s="25"/>
      <c r="F6" s="25"/>
      <c r="G6" s="40"/>
      <c r="K6" t="str">
        <f>INDEX(OutputValues,2,$J$4)</f>
        <v>Not linear</v>
      </c>
    </row>
    <row r="7" spans="1:11" x14ac:dyDescent="0.2">
      <c r="A7" s="21">
        <v>1500</v>
      </c>
      <c r="B7" s="32">
        <v>1000</v>
      </c>
      <c r="C7" s="33">
        <v>0</v>
      </c>
      <c r="D7" s="33">
        <v>0</v>
      </c>
      <c r="E7" s="33">
        <v>0</v>
      </c>
      <c r="F7" s="33">
        <v>0</v>
      </c>
      <c r="G7" s="40">
        <v>2000000</v>
      </c>
      <c r="K7">
        <f>INDEX(OutputValues,3,$J$4)</f>
        <v>1000</v>
      </c>
    </row>
    <row r="8" spans="1:11" x14ac:dyDescent="0.2">
      <c r="A8" s="21">
        <v>2000</v>
      </c>
      <c r="B8" s="32">
        <v>1333.3333333333333</v>
      </c>
      <c r="C8" s="33">
        <v>0</v>
      </c>
      <c r="D8" s="33">
        <v>0</v>
      </c>
      <c r="E8" s="33">
        <v>0</v>
      </c>
      <c r="F8" s="33">
        <v>0</v>
      </c>
      <c r="G8" s="40">
        <v>2666666.6666666665</v>
      </c>
      <c r="K8">
        <f>INDEX(OutputValues,4,$J$4)</f>
        <v>1333.3333333333333</v>
      </c>
    </row>
    <row r="9" spans="1:11" x14ac:dyDescent="0.2">
      <c r="A9" s="21">
        <v>2500</v>
      </c>
      <c r="B9" s="32">
        <v>1666.6666666666665</v>
      </c>
      <c r="C9" s="33">
        <v>0</v>
      </c>
      <c r="D9" s="33">
        <v>0</v>
      </c>
      <c r="E9" s="33">
        <v>0</v>
      </c>
      <c r="F9" s="33">
        <v>0</v>
      </c>
      <c r="G9" s="40">
        <v>3333333.333333333</v>
      </c>
      <c r="K9">
        <f>INDEX(OutputValues,5,$J$4)</f>
        <v>1666.6666666666665</v>
      </c>
    </row>
    <row r="10" spans="1:11" x14ac:dyDescent="0.2">
      <c r="A10" s="21">
        <v>3000</v>
      </c>
      <c r="B10" s="31" t="s">
        <v>86</v>
      </c>
      <c r="C10" s="25"/>
      <c r="D10" s="25"/>
      <c r="E10" s="25"/>
      <c r="F10" s="25"/>
      <c r="G10" s="40"/>
      <c r="K10" t="str">
        <f>INDEX(OutputValues,6,$J$4)</f>
        <v>Not linear</v>
      </c>
    </row>
    <row r="11" spans="1:11" x14ac:dyDescent="0.2">
      <c r="A11" s="21">
        <v>3500</v>
      </c>
      <c r="B11" s="32">
        <v>2066.6666666666665</v>
      </c>
      <c r="C11" s="33">
        <v>0</v>
      </c>
      <c r="D11" s="33">
        <v>0</v>
      </c>
      <c r="E11" s="33">
        <v>66.666666666666671</v>
      </c>
      <c r="F11" s="33">
        <v>0</v>
      </c>
      <c r="G11" s="40">
        <v>4500000</v>
      </c>
      <c r="K11">
        <f>INDEX(OutputValues,7,$J$4)</f>
        <v>2066.6666666666665</v>
      </c>
    </row>
    <row r="12" spans="1:11" x14ac:dyDescent="0.2">
      <c r="A12" s="21">
        <v>4000</v>
      </c>
      <c r="B12" s="32">
        <v>1866.6666666666665</v>
      </c>
      <c r="C12" s="33">
        <v>0</v>
      </c>
      <c r="D12" s="33">
        <v>0</v>
      </c>
      <c r="E12" s="33">
        <v>200</v>
      </c>
      <c r="F12" s="33">
        <v>0</v>
      </c>
      <c r="G12" s="40">
        <v>4833333.333333333</v>
      </c>
      <c r="K12">
        <f>INDEX(OutputValues,8,$J$4)</f>
        <v>1866.6666666666665</v>
      </c>
    </row>
    <row r="13" spans="1:11" x14ac:dyDescent="0.2">
      <c r="A13" s="21">
        <v>4500</v>
      </c>
      <c r="B13" s="31" t="s">
        <v>86</v>
      </c>
      <c r="C13" s="25"/>
      <c r="D13" s="25"/>
      <c r="E13" s="25"/>
      <c r="F13" s="25"/>
      <c r="G13" s="40"/>
      <c r="K13" t="str">
        <f>INDEX(OutputValues,9,$J$4)</f>
        <v>Not linear</v>
      </c>
    </row>
    <row r="14" spans="1:11" x14ac:dyDescent="0.2">
      <c r="A14" s="21">
        <v>5000</v>
      </c>
      <c r="B14" s="32">
        <v>1466.6666666666663</v>
      </c>
      <c r="C14" s="33">
        <v>0</v>
      </c>
      <c r="D14" s="33">
        <v>0</v>
      </c>
      <c r="E14" s="33">
        <v>466.66666666666669</v>
      </c>
      <c r="F14" s="33">
        <v>0</v>
      </c>
      <c r="G14" s="40">
        <v>5500000</v>
      </c>
      <c r="K14">
        <f>INDEX(OutputValues,10,$J$4)</f>
        <v>1466.6666666666663</v>
      </c>
    </row>
    <row r="15" spans="1:11" x14ac:dyDescent="0.2">
      <c r="A15" s="21">
        <v>5500</v>
      </c>
      <c r="B15" s="31" t="s">
        <v>86</v>
      </c>
      <c r="C15" s="25"/>
      <c r="D15" s="25"/>
      <c r="E15" s="25"/>
      <c r="F15" s="25"/>
      <c r="G15" s="40"/>
      <c r="K15" t="str">
        <f>INDEX(OutputValues,11,$J$4)</f>
        <v>Not linear</v>
      </c>
    </row>
    <row r="16" spans="1:11" x14ac:dyDescent="0.2">
      <c r="A16" s="21">
        <v>6000</v>
      </c>
      <c r="B16" s="32">
        <v>1066.6666666666665</v>
      </c>
      <c r="C16" s="33">
        <v>0</v>
      </c>
      <c r="D16" s="33">
        <v>0</v>
      </c>
      <c r="E16" s="33">
        <v>733.33333333333337</v>
      </c>
      <c r="F16" s="33">
        <v>0</v>
      </c>
      <c r="G16" s="40">
        <v>6166666.666666666</v>
      </c>
      <c r="K16">
        <f>INDEX(OutputValues,12,$J$4)</f>
        <v>1066.6666666666665</v>
      </c>
    </row>
    <row r="17" spans="1:11" x14ac:dyDescent="0.2">
      <c r="A17" s="21">
        <v>6500</v>
      </c>
      <c r="B17" s="32">
        <v>866.66666666666561</v>
      </c>
      <c r="C17" s="33">
        <v>0</v>
      </c>
      <c r="D17" s="33">
        <v>0</v>
      </c>
      <c r="E17" s="33">
        <v>866.66666666666674</v>
      </c>
      <c r="F17" s="33">
        <v>0</v>
      </c>
      <c r="G17" s="40">
        <v>6499999.9999999981</v>
      </c>
      <c r="K17">
        <f>INDEX(OutputValues,13,$J$4)</f>
        <v>866.66666666666561</v>
      </c>
    </row>
    <row r="18" spans="1:11" x14ac:dyDescent="0.2">
      <c r="A18" s="21">
        <v>7000</v>
      </c>
      <c r="B18" s="32">
        <v>666.66666666666572</v>
      </c>
      <c r="C18" s="33">
        <v>0</v>
      </c>
      <c r="D18" s="33">
        <v>0</v>
      </c>
      <c r="E18" s="33">
        <v>1000</v>
      </c>
      <c r="F18" s="33">
        <v>0</v>
      </c>
      <c r="G18" s="40">
        <v>6833333.3333333312</v>
      </c>
      <c r="K18">
        <f>INDEX(OutputValues,14,$J$4)</f>
        <v>666.66666666666572</v>
      </c>
    </row>
    <row r="19" spans="1:11" x14ac:dyDescent="0.2">
      <c r="A19" s="21">
        <v>7500</v>
      </c>
      <c r="B19" s="32">
        <v>466.66666666666583</v>
      </c>
      <c r="C19" s="33">
        <v>0</v>
      </c>
      <c r="D19" s="33">
        <v>0</v>
      </c>
      <c r="E19" s="33">
        <v>1133.3333333333335</v>
      </c>
      <c r="F19" s="33">
        <v>0</v>
      </c>
      <c r="G19" s="40">
        <v>7166666.666666666</v>
      </c>
      <c r="K19">
        <f>INDEX(OutputValues,15,$J$4)</f>
        <v>466.66666666666583</v>
      </c>
    </row>
    <row r="20" spans="1:11" x14ac:dyDescent="0.2">
      <c r="A20" s="21">
        <v>8000</v>
      </c>
      <c r="B20" s="34">
        <v>266.6666666666664</v>
      </c>
      <c r="C20" s="35">
        <v>0</v>
      </c>
      <c r="D20" s="35">
        <v>0</v>
      </c>
      <c r="E20" s="35">
        <v>1266.6666666666667</v>
      </c>
      <c r="F20" s="35">
        <v>0</v>
      </c>
      <c r="G20" s="41">
        <v>7500000</v>
      </c>
      <c r="K20">
        <f>INDEX(OutputValues,16,$J$4)</f>
        <v>266.6666666666664</v>
      </c>
    </row>
  </sheetData>
  <dataValidations count="1">
    <dataValidation type="list" allowBlank="1" showInputMessage="1" showErrorMessage="1" sqref="K4" xr:uid="{2F816C6A-81A1-ED4D-A2DA-60D429B7EA6C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EF2B-4733-8246-A87D-DE9CADEC56C2}">
  <dimension ref="A1:N12"/>
  <sheetViews>
    <sheetView topLeftCell="A4" workbookViewId="0">
      <selection activeCell="N4" sqref="N4"/>
    </sheetView>
  </sheetViews>
  <sheetFormatPr baseColWidth="10" defaultRowHeight="16" x14ac:dyDescent="0.2"/>
  <cols>
    <col min="12" max="12" width="14" bestFit="1" customWidth="1"/>
  </cols>
  <sheetData>
    <row r="1" spans="1:14" x14ac:dyDescent="0.2">
      <c r="A1" s="3" t="s">
        <v>78</v>
      </c>
      <c r="N1" s="28" t="str">
        <f>CONCATENATE("Sensitivity of ",$N$4," to ","Labor hours Resource available")</f>
        <v>Sensitivity of Units_produced_4 to Labor hours Resource available</v>
      </c>
    </row>
    <row r="3" spans="1:14" x14ac:dyDescent="0.2">
      <c r="A3" t="s">
        <v>88</v>
      </c>
      <c r="N3" t="s">
        <v>85</v>
      </c>
    </row>
    <row r="4" spans="1:14" ht="161" x14ac:dyDescent="0.2">
      <c r="B4" s="22" t="s">
        <v>72</v>
      </c>
      <c r="C4" s="22" t="s">
        <v>73</v>
      </c>
      <c r="D4" s="22" t="s">
        <v>74</v>
      </c>
      <c r="E4" s="22" t="s">
        <v>75</v>
      </c>
      <c r="F4" s="22" t="s">
        <v>76</v>
      </c>
      <c r="G4" s="22" t="s">
        <v>80</v>
      </c>
      <c r="H4" s="22" t="s">
        <v>81</v>
      </c>
      <c r="I4" s="22" t="s">
        <v>82</v>
      </c>
      <c r="J4" s="22" t="s">
        <v>83</v>
      </c>
      <c r="K4" s="22" t="s">
        <v>84</v>
      </c>
      <c r="L4" s="22" t="s">
        <v>71</v>
      </c>
      <c r="M4" s="28">
        <f>MATCH($N$4,OutputAddresses,0)</f>
        <v>9</v>
      </c>
      <c r="N4" s="27" t="s">
        <v>83</v>
      </c>
    </row>
    <row r="5" spans="1:14" x14ac:dyDescent="0.2">
      <c r="A5" s="21">
        <v>50000</v>
      </c>
      <c r="B5" s="29">
        <v>0</v>
      </c>
      <c r="C5" s="30">
        <v>0</v>
      </c>
      <c r="D5" s="30">
        <v>0</v>
      </c>
      <c r="E5" s="30">
        <v>0</v>
      </c>
      <c r="F5" s="30">
        <v>0</v>
      </c>
      <c r="G5" s="30">
        <v>66.666666666666003</v>
      </c>
      <c r="H5" s="30">
        <v>0</v>
      </c>
      <c r="I5" s="30">
        <v>0</v>
      </c>
      <c r="J5" s="30">
        <v>1066.6666666666667</v>
      </c>
      <c r="K5" s="30">
        <v>0</v>
      </c>
      <c r="L5" s="39">
        <v>5999999.9999999991</v>
      </c>
      <c r="N5">
        <f>INDEX(OutputValues,1,$M$4)</f>
        <v>1066.6666666666667</v>
      </c>
    </row>
    <row r="6" spans="1:14" x14ac:dyDescent="0.2">
      <c r="A6" s="21">
        <v>55000</v>
      </c>
      <c r="B6" s="32">
        <v>0</v>
      </c>
      <c r="C6" s="33">
        <v>0</v>
      </c>
      <c r="D6" s="33">
        <v>0</v>
      </c>
      <c r="E6" s="33">
        <v>0</v>
      </c>
      <c r="F6" s="33">
        <v>0</v>
      </c>
      <c r="G6" s="33">
        <v>333.33333333333269</v>
      </c>
      <c r="H6" s="33">
        <v>0</v>
      </c>
      <c r="I6" s="33">
        <v>0</v>
      </c>
      <c r="J6" s="33">
        <v>1000</v>
      </c>
      <c r="K6" s="33">
        <v>0</v>
      </c>
      <c r="L6" s="40">
        <v>6166666.6666666651</v>
      </c>
      <c r="N6">
        <f>INDEX(OutputValues,2,$M$4)</f>
        <v>1000</v>
      </c>
    </row>
    <row r="7" spans="1:14" x14ac:dyDescent="0.2">
      <c r="A7" s="21">
        <v>60000</v>
      </c>
      <c r="B7" s="32">
        <v>0</v>
      </c>
      <c r="C7" s="33">
        <v>0</v>
      </c>
      <c r="D7" s="33">
        <v>0</v>
      </c>
      <c r="E7" s="33">
        <v>0</v>
      </c>
      <c r="F7" s="33">
        <v>0</v>
      </c>
      <c r="G7" s="33">
        <v>599.99999999999943</v>
      </c>
      <c r="H7" s="33">
        <v>0</v>
      </c>
      <c r="I7" s="33">
        <v>0</v>
      </c>
      <c r="J7" s="33">
        <v>933.33333333333337</v>
      </c>
      <c r="K7" s="33">
        <v>0</v>
      </c>
      <c r="L7" s="40">
        <v>6333333.333333333</v>
      </c>
      <c r="N7">
        <f>INDEX(OutputValues,3,$M$4)</f>
        <v>933.33333333333337</v>
      </c>
    </row>
    <row r="8" spans="1:14" x14ac:dyDescent="0.2">
      <c r="A8" s="21">
        <v>65000</v>
      </c>
      <c r="B8" s="32">
        <v>0</v>
      </c>
      <c r="C8" s="33">
        <v>0</v>
      </c>
      <c r="D8" s="33">
        <v>0</v>
      </c>
      <c r="E8" s="33">
        <v>0</v>
      </c>
      <c r="F8" s="33">
        <v>0</v>
      </c>
      <c r="G8" s="33">
        <v>866.66666666666561</v>
      </c>
      <c r="H8" s="33">
        <v>0</v>
      </c>
      <c r="I8" s="33">
        <v>0</v>
      </c>
      <c r="J8" s="33">
        <v>866.66666666666674</v>
      </c>
      <c r="K8" s="33">
        <v>0</v>
      </c>
      <c r="L8" s="40">
        <v>6499999.9999999981</v>
      </c>
      <c r="N8">
        <f>INDEX(OutputValues,4,$M$4)</f>
        <v>866.66666666666674</v>
      </c>
    </row>
    <row r="9" spans="1:14" x14ac:dyDescent="0.2">
      <c r="A9" s="21">
        <v>70000</v>
      </c>
      <c r="B9" s="32">
        <v>0</v>
      </c>
      <c r="C9" s="33">
        <v>0</v>
      </c>
      <c r="D9" s="33">
        <v>0</v>
      </c>
      <c r="E9" s="33">
        <v>0</v>
      </c>
      <c r="F9" s="33">
        <v>0</v>
      </c>
      <c r="G9" s="33">
        <v>1133.3333333333328</v>
      </c>
      <c r="H9" s="33">
        <v>0</v>
      </c>
      <c r="I9" s="33">
        <v>0</v>
      </c>
      <c r="J9" s="33">
        <v>800</v>
      </c>
      <c r="K9" s="33">
        <v>0</v>
      </c>
      <c r="L9" s="40">
        <v>6666666.666666666</v>
      </c>
      <c r="N9">
        <f>INDEX(OutputValues,5,$M$4)</f>
        <v>800</v>
      </c>
    </row>
    <row r="10" spans="1:14" x14ac:dyDescent="0.2">
      <c r="A10" s="21">
        <v>75000</v>
      </c>
      <c r="B10" s="32">
        <v>0</v>
      </c>
      <c r="C10" s="33">
        <v>0</v>
      </c>
      <c r="D10" s="33">
        <v>0</v>
      </c>
      <c r="E10" s="33">
        <v>0</v>
      </c>
      <c r="F10" s="33">
        <v>0</v>
      </c>
      <c r="G10" s="33">
        <v>1399.9999999999995</v>
      </c>
      <c r="H10" s="33">
        <v>0</v>
      </c>
      <c r="I10" s="33">
        <v>0</v>
      </c>
      <c r="J10" s="33">
        <v>733.33333333333337</v>
      </c>
      <c r="K10" s="33">
        <v>0</v>
      </c>
      <c r="L10" s="40">
        <v>6833333.3333333321</v>
      </c>
      <c r="N10">
        <f>INDEX(OutputValues,6,$M$4)</f>
        <v>733.33333333333337</v>
      </c>
    </row>
    <row r="11" spans="1:14" x14ac:dyDescent="0.2">
      <c r="A11" s="21">
        <v>80000</v>
      </c>
      <c r="B11" s="34">
        <v>0</v>
      </c>
      <c r="C11" s="35">
        <v>0</v>
      </c>
      <c r="D11" s="35">
        <v>0</v>
      </c>
      <c r="E11" s="35">
        <v>0</v>
      </c>
      <c r="F11" s="35">
        <v>0</v>
      </c>
      <c r="G11" s="35">
        <v>1666.6666666666661</v>
      </c>
      <c r="H11" s="35">
        <v>0</v>
      </c>
      <c r="I11" s="35">
        <v>0</v>
      </c>
      <c r="J11" s="35">
        <v>666.66666666666674</v>
      </c>
      <c r="K11" s="35">
        <v>0</v>
      </c>
      <c r="L11" s="41">
        <v>6999999.9999999991</v>
      </c>
      <c r="N11">
        <f>INDEX(OutputValues,7,$M$4)</f>
        <v>666.66666666666674</v>
      </c>
    </row>
    <row r="12" spans="1:14" x14ac:dyDescent="0.2">
      <c r="L12" s="42"/>
    </row>
  </sheetData>
  <dataValidations count="1">
    <dataValidation type="list" allowBlank="1" showInputMessage="1" showErrorMessage="1" sqref="N4" xr:uid="{D6E0D50B-3B28-1640-AC08-4F3D9B67F7AA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37DC-4A25-4B43-9BD0-9C6ABE08E94B}">
  <dimension ref="A1:N12"/>
  <sheetViews>
    <sheetView topLeftCell="A5" workbookViewId="0">
      <selection activeCell="N4" sqref="N4"/>
    </sheetView>
  </sheetViews>
  <sheetFormatPr baseColWidth="10" defaultRowHeight="16" x14ac:dyDescent="0.2"/>
  <cols>
    <col min="1" max="1" width="11.5" bestFit="1" customWidth="1"/>
    <col min="12" max="12" width="14" bestFit="1" customWidth="1"/>
  </cols>
  <sheetData>
    <row r="1" spans="1:14" x14ac:dyDescent="0.2">
      <c r="A1" s="3" t="s">
        <v>78</v>
      </c>
      <c r="N1" s="28" t="str">
        <f>CONCATENATE("Sensitivity of ",$N$4," to ","Unit Profit contributions for Large Minivans")</f>
        <v>Sensitivity of Units_produced_1 to Unit Profit contributions for Large Minivans</v>
      </c>
    </row>
    <row r="3" spans="1:14" x14ac:dyDescent="0.2">
      <c r="A3" t="s">
        <v>89</v>
      </c>
      <c r="N3" t="s">
        <v>85</v>
      </c>
    </row>
    <row r="4" spans="1:14" ht="161" x14ac:dyDescent="0.2">
      <c r="B4" s="22" t="s">
        <v>72</v>
      </c>
      <c r="C4" s="22" t="s">
        <v>73</v>
      </c>
      <c r="D4" s="22" t="s">
        <v>74</v>
      </c>
      <c r="E4" s="22" t="s">
        <v>75</v>
      </c>
      <c r="F4" s="22" t="s">
        <v>76</v>
      </c>
      <c r="G4" s="22" t="s">
        <v>80</v>
      </c>
      <c r="H4" s="22" t="s">
        <v>81</v>
      </c>
      <c r="I4" s="22" t="s">
        <v>82</v>
      </c>
      <c r="J4" s="22" t="s">
        <v>83</v>
      </c>
      <c r="K4" s="22" t="s">
        <v>84</v>
      </c>
      <c r="L4" s="22" t="s">
        <v>71</v>
      </c>
      <c r="M4" s="28">
        <f>MATCH($N$4,OutputAddresses,0)</f>
        <v>6</v>
      </c>
      <c r="N4" s="27" t="s">
        <v>80</v>
      </c>
    </row>
    <row r="5" spans="1:14" x14ac:dyDescent="0.2">
      <c r="A5" s="42">
        <v>3000</v>
      </c>
      <c r="B5" s="29">
        <v>0</v>
      </c>
      <c r="C5" s="30">
        <v>0</v>
      </c>
      <c r="D5" s="30">
        <v>0</v>
      </c>
      <c r="E5" s="30">
        <v>0</v>
      </c>
      <c r="F5" s="30">
        <v>0</v>
      </c>
      <c r="G5" s="30">
        <v>866.66666666666606</v>
      </c>
      <c r="H5" s="30">
        <v>0</v>
      </c>
      <c r="I5" s="30">
        <v>0</v>
      </c>
      <c r="J5" s="30">
        <v>866.66666666666674</v>
      </c>
      <c r="K5" s="30">
        <v>0</v>
      </c>
      <c r="L5" s="39">
        <v>6499999.9999999991</v>
      </c>
      <c r="N5">
        <f>INDEX(OutputValues,1,$M$4)</f>
        <v>866.66666666666606</v>
      </c>
    </row>
    <row r="6" spans="1:14" x14ac:dyDescent="0.2">
      <c r="A6" s="42">
        <v>4000</v>
      </c>
      <c r="B6" s="32">
        <v>0</v>
      </c>
      <c r="C6" s="33">
        <v>0</v>
      </c>
      <c r="D6" s="33">
        <v>0</v>
      </c>
      <c r="E6" s="33">
        <v>0</v>
      </c>
      <c r="F6" s="33">
        <v>0</v>
      </c>
      <c r="G6" s="33">
        <v>866.66666666666606</v>
      </c>
      <c r="H6" s="33">
        <v>0</v>
      </c>
      <c r="I6" s="33">
        <v>0</v>
      </c>
      <c r="J6" s="33">
        <v>866.66666666666674</v>
      </c>
      <c r="K6" s="33">
        <v>0</v>
      </c>
      <c r="L6" s="40">
        <v>6499999.9999999991</v>
      </c>
      <c r="N6">
        <f>INDEX(OutputValues,2,$M$4)</f>
        <v>866.66666666666606</v>
      </c>
    </row>
    <row r="7" spans="1:14" x14ac:dyDescent="0.2">
      <c r="A7" s="42">
        <v>5000</v>
      </c>
      <c r="B7" s="32">
        <v>0</v>
      </c>
      <c r="C7" s="33">
        <v>0</v>
      </c>
      <c r="D7" s="33">
        <v>0</v>
      </c>
      <c r="E7" s="33">
        <v>0</v>
      </c>
      <c r="F7" s="33">
        <v>0</v>
      </c>
      <c r="G7" s="33">
        <v>866.66666666666606</v>
      </c>
      <c r="H7" s="33">
        <v>0</v>
      </c>
      <c r="I7" s="33">
        <v>0</v>
      </c>
      <c r="J7" s="33">
        <v>866.66666666666674</v>
      </c>
      <c r="K7" s="33">
        <v>0</v>
      </c>
      <c r="L7" s="40">
        <v>6499999.9999999991</v>
      </c>
      <c r="N7">
        <f>INDEX(OutputValues,3,$M$4)</f>
        <v>866.66666666666606</v>
      </c>
    </row>
    <row r="8" spans="1:14" x14ac:dyDescent="0.2">
      <c r="A8" s="42">
        <v>6000</v>
      </c>
      <c r="B8" s="32">
        <v>0</v>
      </c>
      <c r="C8" s="33">
        <v>0</v>
      </c>
      <c r="D8" s="33">
        <v>0</v>
      </c>
      <c r="E8" s="33">
        <v>0</v>
      </c>
      <c r="F8" s="33">
        <v>0</v>
      </c>
      <c r="G8" s="33">
        <v>866.66666666666561</v>
      </c>
      <c r="H8" s="33">
        <v>0</v>
      </c>
      <c r="I8" s="33">
        <v>0</v>
      </c>
      <c r="J8" s="33">
        <v>866.66666666666674</v>
      </c>
      <c r="K8" s="33">
        <v>0</v>
      </c>
      <c r="L8" s="40">
        <v>6499999.9999999981</v>
      </c>
      <c r="N8">
        <f>INDEX(OutputValues,4,$M$4)</f>
        <v>866.66666666666561</v>
      </c>
    </row>
    <row r="9" spans="1:14" x14ac:dyDescent="0.2">
      <c r="A9" s="42">
        <v>7000</v>
      </c>
      <c r="B9" s="32">
        <v>0</v>
      </c>
      <c r="C9" s="33">
        <v>0</v>
      </c>
      <c r="D9" s="33">
        <v>0</v>
      </c>
      <c r="E9" s="33">
        <v>0</v>
      </c>
      <c r="F9" s="33">
        <v>0</v>
      </c>
      <c r="G9" s="33">
        <v>866.66666666666561</v>
      </c>
      <c r="H9" s="33">
        <v>0</v>
      </c>
      <c r="I9" s="33">
        <v>0</v>
      </c>
      <c r="J9" s="33">
        <v>866.66666666666674</v>
      </c>
      <c r="K9" s="33">
        <v>0</v>
      </c>
      <c r="L9" s="40">
        <v>6499999.9999999981</v>
      </c>
      <c r="N9">
        <f>INDEX(OutputValues,5,$M$4)</f>
        <v>866.66666666666561</v>
      </c>
    </row>
    <row r="10" spans="1:14" x14ac:dyDescent="0.2">
      <c r="A10" s="42">
        <v>8000</v>
      </c>
      <c r="B10" s="32">
        <v>0</v>
      </c>
      <c r="C10" s="33">
        <v>0</v>
      </c>
      <c r="D10" s="33">
        <v>0</v>
      </c>
      <c r="E10" s="33">
        <v>0</v>
      </c>
      <c r="F10" s="33">
        <v>0</v>
      </c>
      <c r="G10" s="33">
        <v>1031.7460317460309</v>
      </c>
      <c r="H10" s="33">
        <v>0</v>
      </c>
      <c r="I10" s="33">
        <v>0</v>
      </c>
      <c r="J10" s="33">
        <v>0</v>
      </c>
      <c r="K10" s="33">
        <v>619.04761904761915</v>
      </c>
      <c r="L10" s="40">
        <v>7015873.0158730149</v>
      </c>
      <c r="N10">
        <f>INDEX(OutputValues,6,$M$4)</f>
        <v>1031.7460317460309</v>
      </c>
    </row>
    <row r="11" spans="1:14" x14ac:dyDescent="0.2">
      <c r="A11" s="42">
        <v>9000</v>
      </c>
      <c r="B11" s="32">
        <v>0</v>
      </c>
      <c r="C11" s="33">
        <v>0</v>
      </c>
      <c r="D11" s="33">
        <v>0</v>
      </c>
      <c r="E11" s="33">
        <v>0</v>
      </c>
      <c r="F11" s="33">
        <v>0</v>
      </c>
      <c r="G11" s="33">
        <v>1031.7460317460309</v>
      </c>
      <c r="H11" s="33">
        <v>0</v>
      </c>
      <c r="I11" s="33">
        <v>0</v>
      </c>
      <c r="J11" s="33">
        <v>0</v>
      </c>
      <c r="K11" s="33">
        <v>619.04761904761915</v>
      </c>
      <c r="L11" s="40">
        <v>7634920.6349206343</v>
      </c>
      <c r="N11">
        <f>INDEX(OutputValues,7,$M$4)</f>
        <v>1031.7460317460309</v>
      </c>
    </row>
    <row r="12" spans="1:14" x14ac:dyDescent="0.2">
      <c r="A12" s="42">
        <v>10000</v>
      </c>
      <c r="B12" s="34">
        <v>0</v>
      </c>
      <c r="C12" s="35">
        <v>0</v>
      </c>
      <c r="D12" s="35">
        <v>0</v>
      </c>
      <c r="E12" s="35">
        <v>0</v>
      </c>
      <c r="F12" s="35">
        <v>0</v>
      </c>
      <c r="G12" s="35">
        <v>1031.7460317460309</v>
      </c>
      <c r="H12" s="35">
        <v>0</v>
      </c>
      <c r="I12" s="35">
        <v>0</v>
      </c>
      <c r="J12" s="35">
        <v>0</v>
      </c>
      <c r="K12" s="35">
        <v>619.04761904761915</v>
      </c>
      <c r="L12" s="41">
        <v>8253968.2539682528</v>
      </c>
      <c r="N12">
        <f>INDEX(OutputValues,8,$M$4)</f>
        <v>1031.7460317460309</v>
      </c>
    </row>
  </sheetData>
  <dataValidations count="1">
    <dataValidation type="list" allowBlank="1" showInputMessage="1" showErrorMessage="1" sqref="N4" xr:uid="{B6981D55-6D3A-8841-A916-66A50A2C202C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CD63-EC90-064D-B74E-AC43127F8A62}">
  <dimension ref="A1:M53"/>
  <sheetViews>
    <sheetView topLeftCell="A8" workbookViewId="0">
      <selection activeCell="M19" sqref="M19"/>
    </sheetView>
  </sheetViews>
  <sheetFormatPr baseColWidth="10" defaultColWidth="8.83203125" defaultRowHeight="16" x14ac:dyDescent="0.2"/>
  <cols>
    <col min="1" max="1" width="20" customWidth="1"/>
  </cols>
  <sheetData>
    <row r="1" spans="1:8" x14ac:dyDescent="0.2">
      <c r="A1" s="3" t="s">
        <v>91</v>
      </c>
    </row>
    <row r="3" spans="1:8" x14ac:dyDescent="0.2">
      <c r="A3" s="3" t="s">
        <v>92</v>
      </c>
    </row>
    <row r="4" spans="1:8" x14ac:dyDescent="0.2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">
      <c r="A5" t="s">
        <v>101</v>
      </c>
      <c r="B5" s="43">
        <v>1770</v>
      </c>
      <c r="C5" s="43">
        <v>1354</v>
      </c>
      <c r="D5" s="43">
        <v>615</v>
      </c>
      <c r="E5" s="43">
        <v>1831</v>
      </c>
      <c r="F5" s="43">
        <v>1035</v>
      </c>
      <c r="G5" s="43">
        <v>1735</v>
      </c>
      <c r="H5" s="43">
        <v>1834</v>
      </c>
    </row>
    <row r="6" spans="1:8" x14ac:dyDescent="0.2">
      <c r="A6" t="s">
        <v>102</v>
      </c>
      <c r="B6" s="43">
        <v>1694</v>
      </c>
      <c r="C6" s="43">
        <v>2115</v>
      </c>
      <c r="D6" s="43">
        <v>1980</v>
      </c>
      <c r="E6" s="43">
        <v>1631</v>
      </c>
      <c r="F6" s="43">
        <v>1909</v>
      </c>
      <c r="G6" s="43">
        <v>459</v>
      </c>
      <c r="H6" s="43">
        <v>2405</v>
      </c>
    </row>
    <row r="7" spans="1:8" x14ac:dyDescent="0.2">
      <c r="A7" t="s">
        <v>103</v>
      </c>
      <c r="B7" s="43">
        <v>319</v>
      </c>
      <c r="C7" s="43">
        <v>1280</v>
      </c>
      <c r="D7" s="43">
        <v>866</v>
      </c>
      <c r="E7" s="43">
        <v>2450</v>
      </c>
      <c r="F7" s="43">
        <v>1369</v>
      </c>
      <c r="G7" s="43">
        <v>795</v>
      </c>
      <c r="H7" s="43">
        <v>1007</v>
      </c>
    </row>
    <row r="8" spans="1:8" x14ac:dyDescent="0.2">
      <c r="A8" t="s">
        <v>104</v>
      </c>
      <c r="B8" s="43">
        <v>2500</v>
      </c>
      <c r="C8" s="43">
        <v>647</v>
      </c>
      <c r="D8" s="43">
        <v>1155</v>
      </c>
      <c r="E8" s="43">
        <v>1367</v>
      </c>
      <c r="F8" s="43">
        <v>2462</v>
      </c>
      <c r="G8" s="43">
        <v>997</v>
      </c>
      <c r="H8" s="43">
        <v>868</v>
      </c>
    </row>
    <row r="9" spans="1:8" x14ac:dyDescent="0.2">
      <c r="A9" t="s">
        <v>105</v>
      </c>
      <c r="B9" s="43">
        <v>614</v>
      </c>
      <c r="C9" s="43">
        <v>1471</v>
      </c>
      <c r="D9" s="43">
        <v>2041</v>
      </c>
      <c r="E9" s="43">
        <v>1230</v>
      </c>
      <c r="F9" s="43">
        <v>1072</v>
      </c>
      <c r="G9" s="43">
        <v>393</v>
      </c>
      <c r="H9" s="43">
        <v>2053</v>
      </c>
    </row>
    <row r="10" spans="1:8" x14ac:dyDescent="0.2">
      <c r="A10" t="s">
        <v>106</v>
      </c>
      <c r="B10" s="43">
        <v>2542</v>
      </c>
      <c r="C10" s="43">
        <v>2438</v>
      </c>
      <c r="D10" s="43">
        <v>1187</v>
      </c>
      <c r="E10" s="43">
        <v>1815</v>
      </c>
      <c r="F10" s="43">
        <v>420</v>
      </c>
      <c r="G10" s="43">
        <v>217</v>
      </c>
      <c r="H10" s="43">
        <v>383</v>
      </c>
    </row>
    <row r="11" spans="1:8" x14ac:dyDescent="0.2">
      <c r="A11" t="s">
        <v>107</v>
      </c>
      <c r="B11" s="43">
        <v>2378</v>
      </c>
      <c r="C11" s="43">
        <v>563</v>
      </c>
      <c r="D11" s="43">
        <v>2196</v>
      </c>
      <c r="E11" s="43">
        <v>2678</v>
      </c>
      <c r="F11" s="43">
        <v>2838</v>
      </c>
      <c r="G11" s="43">
        <v>1881</v>
      </c>
      <c r="H11" s="43">
        <v>1042</v>
      </c>
    </row>
    <row r="12" spans="1:8" x14ac:dyDescent="0.2">
      <c r="A12" t="s">
        <v>108</v>
      </c>
      <c r="B12" s="43">
        <v>2977</v>
      </c>
      <c r="C12" s="43">
        <v>2859</v>
      </c>
      <c r="D12" s="43">
        <v>1451</v>
      </c>
      <c r="E12" s="43">
        <v>317</v>
      </c>
      <c r="F12" s="43">
        <v>740</v>
      </c>
      <c r="G12" s="43">
        <v>1272</v>
      </c>
      <c r="H12" s="43">
        <v>1216</v>
      </c>
    </row>
    <row r="13" spans="1:8" x14ac:dyDescent="0.2">
      <c r="A13" t="s">
        <v>109</v>
      </c>
      <c r="B13" s="43">
        <v>1431</v>
      </c>
      <c r="C13" s="43">
        <v>2462</v>
      </c>
      <c r="D13" s="43">
        <v>2007</v>
      </c>
      <c r="E13" s="43">
        <v>1322</v>
      </c>
      <c r="F13" s="43">
        <v>132</v>
      </c>
      <c r="G13" s="43">
        <v>1788</v>
      </c>
      <c r="H13" s="43">
        <v>1488</v>
      </c>
    </row>
    <row r="14" spans="1:8" x14ac:dyDescent="0.2">
      <c r="A14" t="s">
        <v>110</v>
      </c>
      <c r="B14" s="43">
        <v>1302</v>
      </c>
      <c r="C14" s="43">
        <v>1421</v>
      </c>
      <c r="D14" s="43">
        <v>1813</v>
      </c>
      <c r="E14" s="43">
        <v>2746</v>
      </c>
      <c r="F14" s="43">
        <v>1762</v>
      </c>
      <c r="G14" s="43">
        <v>941</v>
      </c>
      <c r="H14" s="43">
        <v>1656</v>
      </c>
    </row>
    <row r="15" spans="1:8" x14ac:dyDescent="0.2">
      <c r="A15" t="s">
        <v>111</v>
      </c>
      <c r="B15" s="43">
        <v>978</v>
      </c>
      <c r="C15" s="43">
        <v>1967</v>
      </c>
      <c r="D15" s="43">
        <v>1195</v>
      </c>
      <c r="E15" s="43">
        <v>836</v>
      </c>
      <c r="F15" s="43">
        <v>540</v>
      </c>
      <c r="G15" s="43">
        <v>851</v>
      </c>
      <c r="H15" s="43">
        <v>1230</v>
      </c>
    </row>
    <row r="17" spans="1:13" x14ac:dyDescent="0.2">
      <c r="A17" s="3" t="s">
        <v>112</v>
      </c>
    </row>
    <row r="18" spans="1:13" x14ac:dyDescent="0.2"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K18" t="s">
        <v>113</v>
      </c>
      <c r="M18" t="s">
        <v>114</v>
      </c>
    </row>
    <row r="19" spans="1:13" x14ac:dyDescent="0.2">
      <c r="A19" t="s">
        <v>115</v>
      </c>
      <c r="B19" s="7">
        <v>0</v>
      </c>
      <c r="C19" s="7">
        <v>1</v>
      </c>
      <c r="D19" s="7">
        <v>0</v>
      </c>
      <c r="E19" s="7">
        <v>0</v>
      </c>
      <c r="F19" s="7">
        <v>1</v>
      </c>
      <c r="G19" s="7">
        <v>1</v>
      </c>
      <c r="H19" s="7">
        <v>0</v>
      </c>
      <c r="K19">
        <f>SUM(Include_service_center)</f>
        <v>3</v>
      </c>
      <c r="L19" t="s">
        <v>9</v>
      </c>
      <c r="M19" s="18">
        <v>3</v>
      </c>
    </row>
    <row r="21" spans="1:13" x14ac:dyDescent="0.2">
      <c r="A21" s="3" t="s">
        <v>116</v>
      </c>
    </row>
    <row r="22" spans="1:13" x14ac:dyDescent="0.2"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  <c r="I22" t="s">
        <v>119</v>
      </c>
      <c r="K22" t="s">
        <v>120</v>
      </c>
    </row>
    <row r="23" spans="1:13" x14ac:dyDescent="0.2">
      <c r="A23" t="s">
        <v>101</v>
      </c>
      <c r="B23" s="7">
        <v>0</v>
      </c>
      <c r="C23" s="7">
        <v>0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>
        <f>SUM(B23:H23)</f>
        <v>1</v>
      </c>
      <c r="J23" t="s">
        <v>43</v>
      </c>
      <c r="K23">
        <f>SUM(B23:H23)</f>
        <v>1</v>
      </c>
    </row>
    <row r="24" spans="1:13" x14ac:dyDescent="0.2">
      <c r="A24" t="s">
        <v>102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1</v>
      </c>
      <c r="H24" s="7">
        <v>0</v>
      </c>
      <c r="I24">
        <f t="shared" ref="I24:I34" si="0">SUM(B24:H24)</f>
        <v>1</v>
      </c>
      <c r="J24" t="s">
        <v>43</v>
      </c>
      <c r="K24">
        <f t="shared" ref="K24:K33" si="1">SUM(B24:H24)</f>
        <v>1</v>
      </c>
    </row>
    <row r="25" spans="1:13" x14ac:dyDescent="0.2">
      <c r="A25" t="s">
        <v>103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1</v>
      </c>
      <c r="H25" s="7">
        <v>0</v>
      </c>
      <c r="I25">
        <f t="shared" si="0"/>
        <v>1</v>
      </c>
      <c r="J25" t="s">
        <v>43</v>
      </c>
      <c r="K25">
        <f t="shared" si="1"/>
        <v>1</v>
      </c>
    </row>
    <row r="26" spans="1:13" x14ac:dyDescent="0.2">
      <c r="A26" t="s">
        <v>104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>
        <f t="shared" si="0"/>
        <v>1</v>
      </c>
      <c r="J26" t="s">
        <v>43</v>
      </c>
      <c r="K26">
        <f t="shared" si="1"/>
        <v>1</v>
      </c>
    </row>
    <row r="27" spans="1:13" x14ac:dyDescent="0.2">
      <c r="A27" t="s">
        <v>105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1</v>
      </c>
      <c r="H27" s="7">
        <v>0</v>
      </c>
      <c r="I27">
        <f t="shared" si="0"/>
        <v>1</v>
      </c>
      <c r="J27" t="s">
        <v>43</v>
      </c>
      <c r="K27">
        <f t="shared" si="1"/>
        <v>1</v>
      </c>
    </row>
    <row r="28" spans="1:13" x14ac:dyDescent="0.2">
      <c r="A28" t="s">
        <v>106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>
        <f t="shared" si="0"/>
        <v>1</v>
      </c>
      <c r="J28" t="s">
        <v>43</v>
      </c>
      <c r="K28">
        <f t="shared" si="1"/>
        <v>1</v>
      </c>
    </row>
    <row r="29" spans="1:13" x14ac:dyDescent="0.2">
      <c r="A29" t="s">
        <v>107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>
        <f t="shared" si="0"/>
        <v>1</v>
      </c>
      <c r="J29" t="s">
        <v>43</v>
      </c>
      <c r="K29">
        <f t="shared" si="1"/>
        <v>1</v>
      </c>
    </row>
    <row r="30" spans="1:13" x14ac:dyDescent="0.2">
      <c r="A30" t="s">
        <v>108</v>
      </c>
      <c r="B30" s="7">
        <v>0</v>
      </c>
      <c r="C30" s="7">
        <v>0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>
        <f t="shared" si="0"/>
        <v>1</v>
      </c>
      <c r="J30" t="s">
        <v>43</v>
      </c>
      <c r="K30">
        <f t="shared" si="1"/>
        <v>1</v>
      </c>
    </row>
    <row r="31" spans="1:13" x14ac:dyDescent="0.2">
      <c r="A31" t="s">
        <v>109</v>
      </c>
      <c r="B31" s="7">
        <v>0</v>
      </c>
      <c r="C31" s="7">
        <v>0</v>
      </c>
      <c r="D31" s="7">
        <v>0</v>
      </c>
      <c r="E31" s="7">
        <v>0</v>
      </c>
      <c r="F31" s="7">
        <v>1</v>
      </c>
      <c r="G31" s="7">
        <v>0</v>
      </c>
      <c r="H31" s="7">
        <v>0</v>
      </c>
      <c r="I31">
        <f t="shared" si="0"/>
        <v>1</v>
      </c>
      <c r="J31" t="s">
        <v>43</v>
      </c>
      <c r="K31">
        <f t="shared" si="1"/>
        <v>1</v>
      </c>
    </row>
    <row r="32" spans="1:13" x14ac:dyDescent="0.2">
      <c r="A32" t="s">
        <v>110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1</v>
      </c>
      <c r="H32" s="7">
        <v>0</v>
      </c>
      <c r="I32">
        <f t="shared" si="0"/>
        <v>1</v>
      </c>
      <c r="J32" t="s">
        <v>43</v>
      </c>
      <c r="K32">
        <f t="shared" si="1"/>
        <v>1</v>
      </c>
    </row>
    <row r="33" spans="1:11" x14ac:dyDescent="0.2">
      <c r="A33" t="s">
        <v>111</v>
      </c>
      <c r="B33" s="7">
        <v>0</v>
      </c>
      <c r="C33" s="7">
        <v>0</v>
      </c>
      <c r="D33" s="7">
        <v>0</v>
      </c>
      <c r="E33" s="7">
        <v>0</v>
      </c>
      <c r="F33" s="7">
        <v>1</v>
      </c>
      <c r="G33" s="7">
        <v>0</v>
      </c>
      <c r="H33" s="7">
        <v>0</v>
      </c>
      <c r="I33">
        <f t="shared" si="0"/>
        <v>1</v>
      </c>
      <c r="J33" t="s">
        <v>43</v>
      </c>
      <c r="K33">
        <f t="shared" si="1"/>
        <v>1</v>
      </c>
    </row>
    <row r="34" spans="1:11" x14ac:dyDescent="0.2">
      <c r="A34" t="s">
        <v>117</v>
      </c>
      <c r="B34">
        <f>SUM(B23:B33)</f>
        <v>0</v>
      </c>
      <c r="C34">
        <f t="shared" ref="C34:H34" si="2">SUM(C23:C33)</f>
        <v>2</v>
      </c>
      <c r="D34">
        <f t="shared" si="2"/>
        <v>0</v>
      </c>
      <c r="E34">
        <f t="shared" si="2"/>
        <v>0</v>
      </c>
      <c r="F34">
        <f t="shared" si="2"/>
        <v>4</v>
      </c>
      <c r="G34">
        <f t="shared" si="2"/>
        <v>5</v>
      </c>
      <c r="H34">
        <f t="shared" si="2"/>
        <v>0</v>
      </c>
    </row>
    <row r="35" spans="1:11" x14ac:dyDescent="0.2"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11" x14ac:dyDescent="0.2">
      <c r="A36" t="s">
        <v>118</v>
      </c>
      <c r="B36">
        <f>11*B19</f>
        <v>0</v>
      </c>
      <c r="C36">
        <f t="shared" ref="C36:H36" si="3">11*C19</f>
        <v>11</v>
      </c>
      <c r="D36">
        <f t="shared" si="3"/>
        <v>0</v>
      </c>
      <c r="E36">
        <f t="shared" si="3"/>
        <v>0</v>
      </c>
      <c r="F36">
        <f t="shared" si="3"/>
        <v>11</v>
      </c>
      <c r="G36">
        <f t="shared" si="3"/>
        <v>11</v>
      </c>
      <c r="H36">
        <f t="shared" si="3"/>
        <v>0</v>
      </c>
    </row>
    <row r="38" spans="1:11" x14ac:dyDescent="0.2">
      <c r="A38" s="3" t="s">
        <v>121</v>
      </c>
    </row>
    <row r="39" spans="1:11" x14ac:dyDescent="0.2">
      <c r="B39" t="s">
        <v>100</v>
      </c>
      <c r="C39" t="s">
        <v>124</v>
      </c>
    </row>
    <row r="40" spans="1:11" x14ac:dyDescent="0.2">
      <c r="A40" t="s">
        <v>101</v>
      </c>
      <c r="B40" s="45">
        <v>885</v>
      </c>
      <c r="C40">
        <f>B40*SUMPRODUCT(B5:H5, B23:H23)/1000</f>
        <v>915.97500000000002</v>
      </c>
    </row>
    <row r="41" spans="1:11" x14ac:dyDescent="0.2">
      <c r="A41" t="s">
        <v>102</v>
      </c>
      <c r="B41" s="45">
        <v>760</v>
      </c>
      <c r="C41">
        <f t="shared" ref="C41:C50" si="4">B41*SUMPRODUCT(B6:H6, B24:H24)/1000</f>
        <v>348.84</v>
      </c>
    </row>
    <row r="42" spans="1:11" x14ac:dyDescent="0.2">
      <c r="A42" t="s">
        <v>103</v>
      </c>
      <c r="B42" s="45">
        <v>1124</v>
      </c>
      <c r="C42">
        <f t="shared" si="4"/>
        <v>893.58</v>
      </c>
    </row>
    <row r="43" spans="1:11" x14ac:dyDescent="0.2">
      <c r="A43" t="s">
        <v>104</v>
      </c>
      <c r="B43" s="45">
        <v>700</v>
      </c>
      <c r="C43">
        <f t="shared" si="4"/>
        <v>452.9</v>
      </c>
    </row>
    <row r="44" spans="1:11" x14ac:dyDescent="0.2">
      <c r="A44" t="s">
        <v>105</v>
      </c>
      <c r="B44" s="45">
        <v>1224</v>
      </c>
      <c r="C44">
        <f t="shared" si="4"/>
        <v>481.03199999999998</v>
      </c>
    </row>
    <row r="45" spans="1:11" x14ac:dyDescent="0.2">
      <c r="A45" t="s">
        <v>106</v>
      </c>
      <c r="B45" s="45">
        <v>1152</v>
      </c>
      <c r="C45">
        <f t="shared" si="4"/>
        <v>249.98400000000001</v>
      </c>
    </row>
    <row r="46" spans="1:11" x14ac:dyDescent="0.2">
      <c r="A46" t="s">
        <v>107</v>
      </c>
      <c r="B46" s="45">
        <v>1560</v>
      </c>
      <c r="C46">
        <f t="shared" si="4"/>
        <v>878.28</v>
      </c>
    </row>
    <row r="47" spans="1:11" x14ac:dyDescent="0.2">
      <c r="A47" t="s">
        <v>108</v>
      </c>
      <c r="B47" s="45">
        <v>1222</v>
      </c>
      <c r="C47">
        <f t="shared" si="4"/>
        <v>904.28</v>
      </c>
    </row>
    <row r="48" spans="1:11" x14ac:dyDescent="0.2">
      <c r="A48" t="s">
        <v>109</v>
      </c>
      <c r="B48" s="45">
        <v>856</v>
      </c>
      <c r="C48">
        <f t="shared" si="4"/>
        <v>112.992</v>
      </c>
    </row>
    <row r="49" spans="1:3" x14ac:dyDescent="0.2">
      <c r="A49" t="s">
        <v>110</v>
      </c>
      <c r="B49" s="45">
        <v>1443</v>
      </c>
      <c r="C49">
        <f t="shared" si="4"/>
        <v>1357.8630000000001</v>
      </c>
    </row>
    <row r="50" spans="1:3" x14ac:dyDescent="0.2">
      <c r="A50" t="s">
        <v>111</v>
      </c>
      <c r="B50" s="45">
        <v>612</v>
      </c>
      <c r="C50">
        <f t="shared" si="4"/>
        <v>330.48</v>
      </c>
    </row>
    <row r="52" spans="1:3" x14ac:dyDescent="0.2">
      <c r="A52" s="3" t="s">
        <v>123</v>
      </c>
    </row>
    <row r="53" spans="1:3" x14ac:dyDescent="0.2">
      <c r="A53" t="s">
        <v>122</v>
      </c>
      <c r="B53" s="44">
        <f>SUM(C40:C50)</f>
        <v>6926.2060000000001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03A1-C859-B646-9400-6FC5A8FC49C8}">
  <dimension ref="A1:B15"/>
  <sheetViews>
    <sheetView workbookViewId="0"/>
  </sheetViews>
  <sheetFormatPr baseColWidth="10" defaultRowHeight="16" x14ac:dyDescent="0.2"/>
  <sheetData>
    <row r="1" spans="1:2" x14ac:dyDescent="0.2">
      <c r="A1">
        <v>1</v>
      </c>
    </row>
    <row r="2" spans="1:2" x14ac:dyDescent="0.2">
      <c r="A2" t="s">
        <v>125</v>
      </c>
    </row>
    <row r="3" spans="1:2" x14ac:dyDescent="0.2">
      <c r="A3">
        <v>1</v>
      </c>
    </row>
    <row r="4" spans="1:2" x14ac:dyDescent="0.2">
      <c r="A4">
        <v>1</v>
      </c>
    </row>
    <row r="5" spans="1:2" x14ac:dyDescent="0.2">
      <c r="A5">
        <v>11</v>
      </c>
    </row>
    <row r="6" spans="1:2" x14ac:dyDescent="0.2">
      <c r="A6">
        <v>1</v>
      </c>
    </row>
    <row r="8" spans="1:2" x14ac:dyDescent="0.2">
      <c r="A8" s="20"/>
      <c r="B8" s="20"/>
    </row>
    <row r="9" spans="1:2" x14ac:dyDescent="0.2">
      <c r="A9" t="s">
        <v>137</v>
      </c>
    </row>
    <row r="10" spans="1:2" x14ac:dyDescent="0.2">
      <c r="A10" t="s">
        <v>126</v>
      </c>
    </row>
    <row r="15" spans="1:2" x14ac:dyDescent="0.2">
      <c r="B15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C21B-5C51-054D-B514-40097400FEE1}">
  <dimension ref="A1:CJ15"/>
  <sheetViews>
    <sheetView workbookViewId="0">
      <selection activeCell="I16" sqref="I16"/>
    </sheetView>
  </sheetViews>
  <sheetFormatPr baseColWidth="10" defaultRowHeight="16" x14ac:dyDescent="0.2"/>
  <sheetData>
    <row r="1" spans="1:88" x14ac:dyDescent="0.2">
      <c r="A1" s="3" t="s">
        <v>127</v>
      </c>
      <c r="CJ1" s="28" t="str">
        <f>CONCATENATE("Sensitivity of ",$K$4," to ","Input")</f>
        <v>Sensitivity of Include_service_center_1 to Input</v>
      </c>
    </row>
    <row r="3" spans="1:88" x14ac:dyDescent="0.2">
      <c r="A3" t="s">
        <v>128</v>
      </c>
      <c r="CJ3" t="s">
        <v>85</v>
      </c>
    </row>
    <row r="4" spans="1:88" ht="133" x14ac:dyDescent="0.2">
      <c r="B4" s="22" t="s">
        <v>129</v>
      </c>
      <c r="C4" s="22" t="s">
        <v>130</v>
      </c>
      <c r="D4" s="22" t="s">
        <v>131</v>
      </c>
      <c r="E4" s="22" t="s">
        <v>132</v>
      </c>
      <c r="F4" s="22" t="s">
        <v>133</v>
      </c>
      <c r="G4" s="22" t="s">
        <v>134</v>
      </c>
      <c r="H4" s="22" t="s">
        <v>135</v>
      </c>
      <c r="I4" s="22" t="s">
        <v>136</v>
      </c>
      <c r="J4" s="28">
        <f>MATCH($K$4,OutputAddresses,0)</f>
        <v>1</v>
      </c>
      <c r="K4" s="27" t="s">
        <v>129</v>
      </c>
    </row>
    <row r="5" spans="1:88" x14ac:dyDescent="0.2">
      <c r="A5" s="21">
        <v>1</v>
      </c>
      <c r="B5" s="36" t="s">
        <v>86</v>
      </c>
      <c r="C5" s="23"/>
      <c r="D5" s="23"/>
      <c r="E5" s="23"/>
      <c r="F5" s="23"/>
      <c r="G5" s="23"/>
      <c r="H5" s="23"/>
      <c r="I5" s="24"/>
      <c r="K5" t="str">
        <f>INDEX(OutputValues,1,$J$4)</f>
        <v>Not linear</v>
      </c>
    </row>
    <row r="6" spans="1:88" x14ac:dyDescent="0.2">
      <c r="A6" s="21">
        <v>2</v>
      </c>
      <c r="B6" s="31" t="s">
        <v>86</v>
      </c>
      <c r="C6" s="25"/>
      <c r="D6" s="25"/>
      <c r="E6" s="25"/>
      <c r="F6" s="25"/>
      <c r="G6" s="25"/>
      <c r="H6" s="25"/>
      <c r="I6" s="26"/>
      <c r="K6" t="str">
        <f>INDEX(OutputValues,2,$J$4)</f>
        <v>Not linear</v>
      </c>
    </row>
    <row r="7" spans="1:88" x14ac:dyDescent="0.2">
      <c r="A7" s="21">
        <v>3</v>
      </c>
      <c r="B7" s="31" t="s">
        <v>86</v>
      </c>
      <c r="C7" s="25"/>
      <c r="D7" s="25"/>
      <c r="E7" s="25"/>
      <c r="F7" s="25"/>
      <c r="G7" s="25"/>
      <c r="H7" s="25"/>
      <c r="I7" s="26"/>
      <c r="K7" t="str">
        <f>INDEX(OutputValues,3,$J$4)</f>
        <v>Not linear</v>
      </c>
    </row>
    <row r="8" spans="1:88" x14ac:dyDescent="0.2">
      <c r="A8" s="21">
        <v>4</v>
      </c>
      <c r="B8" s="32">
        <v>1</v>
      </c>
      <c r="C8" s="33">
        <v>1</v>
      </c>
      <c r="D8" s="33">
        <v>0</v>
      </c>
      <c r="E8" s="33">
        <v>0</v>
      </c>
      <c r="F8" s="33">
        <v>1</v>
      </c>
      <c r="G8" s="33">
        <v>1</v>
      </c>
      <c r="H8" s="33">
        <v>0</v>
      </c>
      <c r="I8" s="37">
        <v>6391.1820000000007</v>
      </c>
      <c r="K8">
        <f>INDEX(OutputValues,4,$J$4)</f>
        <v>1</v>
      </c>
    </row>
    <row r="9" spans="1:88" x14ac:dyDescent="0.2">
      <c r="A9" s="21">
        <v>5</v>
      </c>
      <c r="B9" s="32">
        <v>1</v>
      </c>
      <c r="C9" s="33">
        <v>1</v>
      </c>
      <c r="D9" s="33">
        <v>0</v>
      </c>
      <c r="E9" s="33">
        <v>1</v>
      </c>
      <c r="F9" s="33">
        <v>1</v>
      </c>
      <c r="G9" s="33">
        <v>1</v>
      </c>
      <c r="H9" s="33">
        <v>0</v>
      </c>
      <c r="I9" s="37">
        <v>5874.2759999999998</v>
      </c>
      <c r="K9">
        <f>INDEX(OutputValues,5,$J$4)</f>
        <v>1</v>
      </c>
    </row>
    <row r="10" spans="1:88" x14ac:dyDescent="0.2">
      <c r="A10" s="21">
        <v>6</v>
      </c>
      <c r="B10" s="31" t="s">
        <v>86</v>
      </c>
      <c r="C10" s="25"/>
      <c r="D10" s="25"/>
      <c r="E10" s="25"/>
      <c r="F10" s="25"/>
      <c r="G10" s="25"/>
      <c r="H10" s="25"/>
      <c r="I10" s="26"/>
      <c r="K10" t="str">
        <f>INDEX(OutputValues,6,$J$4)</f>
        <v>Not linear</v>
      </c>
    </row>
    <row r="11" spans="1:88" x14ac:dyDescent="0.2">
      <c r="A11" s="21">
        <v>7</v>
      </c>
      <c r="B11" s="31" t="s">
        <v>86</v>
      </c>
      <c r="C11" s="25"/>
      <c r="D11" s="25"/>
      <c r="E11" s="25"/>
      <c r="F11" s="25"/>
      <c r="G11" s="25"/>
      <c r="H11" s="25"/>
      <c r="I11" s="26"/>
      <c r="K11" t="str">
        <f>INDEX(OutputValues,7,$J$4)</f>
        <v>Not linear</v>
      </c>
    </row>
    <row r="12" spans="1:88" x14ac:dyDescent="0.2">
      <c r="A12" s="21">
        <v>8</v>
      </c>
      <c r="B12" s="31" t="s">
        <v>86</v>
      </c>
      <c r="C12" s="25"/>
      <c r="D12" s="25"/>
      <c r="E12" s="25"/>
      <c r="F12" s="25"/>
      <c r="G12" s="25"/>
      <c r="H12" s="25"/>
      <c r="I12" s="26"/>
      <c r="K12" t="str">
        <f>INDEX(OutputValues,8,$J$4)</f>
        <v>Not linear</v>
      </c>
    </row>
    <row r="13" spans="1:88" x14ac:dyDescent="0.2">
      <c r="A13" s="21">
        <v>9</v>
      </c>
      <c r="B13" s="31" t="s">
        <v>86</v>
      </c>
      <c r="C13" s="25"/>
      <c r="D13" s="25"/>
      <c r="E13" s="25"/>
      <c r="F13" s="25"/>
      <c r="G13" s="25"/>
      <c r="H13" s="25"/>
      <c r="I13" s="26"/>
      <c r="K13" t="str">
        <f>INDEX(OutputValues,9,$J$4)</f>
        <v>Not linear</v>
      </c>
    </row>
    <row r="14" spans="1:88" x14ac:dyDescent="0.2">
      <c r="A14" s="21">
        <v>10</v>
      </c>
      <c r="B14" s="32">
        <v>1</v>
      </c>
      <c r="C14" s="33">
        <v>1</v>
      </c>
      <c r="D14" s="33">
        <v>1</v>
      </c>
      <c r="E14" s="33">
        <v>1</v>
      </c>
      <c r="F14" s="33">
        <v>1</v>
      </c>
      <c r="G14" s="33">
        <v>1</v>
      </c>
      <c r="H14" s="33">
        <v>0</v>
      </c>
      <c r="I14" s="37">
        <v>5502.5760000000009</v>
      </c>
      <c r="K14">
        <f>INDEX(OutputValues,10,$J$4)</f>
        <v>1</v>
      </c>
    </row>
    <row r="15" spans="1:88" x14ac:dyDescent="0.2">
      <c r="A15" s="21">
        <v>11</v>
      </c>
      <c r="B15" s="34">
        <v>1</v>
      </c>
      <c r="C15" s="35">
        <v>1</v>
      </c>
      <c r="D15" s="35">
        <v>1</v>
      </c>
      <c r="E15" s="35">
        <v>1</v>
      </c>
      <c r="F15" s="35">
        <v>1</v>
      </c>
      <c r="G15" s="35">
        <v>1</v>
      </c>
      <c r="H15" s="35">
        <v>0</v>
      </c>
      <c r="I15" s="38">
        <v>5502.5760000000009</v>
      </c>
      <c r="K15">
        <f>INDEX(OutputValues,11,$J$4)</f>
        <v>1</v>
      </c>
    </row>
  </sheetData>
  <dataValidations count="1">
    <dataValidation type="list" allowBlank="1" showInputMessage="1" showErrorMessage="1" sqref="K4" xr:uid="{AE487FBB-7FC5-3243-85BC-4B628AB08D0B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89F7-D858-F049-B2AF-A54A7363BBA6}">
  <dimension ref="A1:K15"/>
  <sheetViews>
    <sheetView tabSelected="1" topLeftCell="A3" workbookViewId="0"/>
  </sheetViews>
  <sheetFormatPr baseColWidth="10" defaultRowHeight="16" x14ac:dyDescent="0.2"/>
  <sheetData>
    <row r="1" spans="1:11" x14ac:dyDescent="0.2">
      <c r="A1" s="3" t="s">
        <v>127</v>
      </c>
      <c r="K1" s="28" t="str">
        <f>CONCATENATE("Sensitivity of ",$K$4," to ","Input")</f>
        <v>Sensitivity of Include_service_center_1 to Input</v>
      </c>
    </row>
    <row r="3" spans="1:11" x14ac:dyDescent="0.2">
      <c r="A3" t="s">
        <v>128</v>
      </c>
      <c r="K3" t="s">
        <v>85</v>
      </c>
    </row>
    <row r="4" spans="1:11" ht="133" x14ac:dyDescent="0.2">
      <c r="B4" s="22" t="s">
        <v>129</v>
      </c>
      <c r="C4" s="22" t="s">
        <v>130</v>
      </c>
      <c r="D4" s="22" t="s">
        <v>131</v>
      </c>
      <c r="E4" s="22" t="s">
        <v>132</v>
      </c>
      <c r="F4" s="22" t="s">
        <v>133</v>
      </c>
      <c r="G4" s="22" t="s">
        <v>134</v>
      </c>
      <c r="H4" s="22" t="s">
        <v>135</v>
      </c>
      <c r="I4" s="22" t="s">
        <v>136</v>
      </c>
      <c r="J4" s="28">
        <f>MATCH($K$4,OutputAddresses,0)</f>
        <v>1</v>
      </c>
      <c r="K4" s="27" t="s">
        <v>129</v>
      </c>
    </row>
    <row r="5" spans="1:11" x14ac:dyDescent="0.2">
      <c r="A5" s="21">
        <v>1</v>
      </c>
      <c r="B5" s="29">
        <v>0</v>
      </c>
      <c r="C5" s="30">
        <v>0</v>
      </c>
      <c r="D5" s="30">
        <v>0</v>
      </c>
      <c r="E5" s="30">
        <v>0</v>
      </c>
      <c r="F5" s="30">
        <v>0</v>
      </c>
      <c r="G5" s="30">
        <v>1</v>
      </c>
      <c r="H5" s="30">
        <v>0</v>
      </c>
      <c r="I5" s="46">
        <v>12104.758</v>
      </c>
      <c r="K5">
        <f>INDEX(OutputValues,1,$J$4)</f>
        <v>0</v>
      </c>
    </row>
    <row r="6" spans="1:11" x14ac:dyDescent="0.2">
      <c r="A6" s="21">
        <v>2</v>
      </c>
      <c r="B6" s="32">
        <v>0</v>
      </c>
      <c r="C6" s="33">
        <v>0</v>
      </c>
      <c r="D6" s="33">
        <v>0</v>
      </c>
      <c r="E6" s="33">
        <v>0</v>
      </c>
      <c r="F6" s="33">
        <v>1</v>
      </c>
      <c r="G6" s="33">
        <v>1</v>
      </c>
      <c r="H6" s="33">
        <v>0</v>
      </c>
      <c r="I6" s="37">
        <v>9227.2860000000001</v>
      </c>
      <c r="K6">
        <f>INDEX(OutputValues,2,$J$4)</f>
        <v>0</v>
      </c>
    </row>
    <row r="7" spans="1:11" x14ac:dyDescent="0.2">
      <c r="A7" s="21">
        <v>3</v>
      </c>
      <c r="B7" s="32">
        <v>0</v>
      </c>
      <c r="C7" s="33">
        <v>1</v>
      </c>
      <c r="D7" s="33">
        <v>0</v>
      </c>
      <c r="E7" s="33">
        <v>0</v>
      </c>
      <c r="F7" s="33">
        <v>1</v>
      </c>
      <c r="G7" s="33">
        <v>1</v>
      </c>
      <c r="H7" s="33">
        <v>0</v>
      </c>
      <c r="I7" s="37">
        <v>6926.2060000000001</v>
      </c>
      <c r="K7">
        <f>INDEX(OutputValues,3,$J$4)</f>
        <v>0</v>
      </c>
    </row>
    <row r="8" spans="1:11" x14ac:dyDescent="0.2">
      <c r="A8" s="21">
        <v>4</v>
      </c>
      <c r="B8" s="32">
        <v>1</v>
      </c>
      <c r="C8" s="33">
        <v>1</v>
      </c>
      <c r="D8" s="33">
        <v>0</v>
      </c>
      <c r="E8" s="33">
        <v>0</v>
      </c>
      <c r="F8" s="33">
        <v>1</v>
      </c>
      <c r="G8" s="33">
        <v>1</v>
      </c>
      <c r="H8" s="33">
        <v>0</v>
      </c>
      <c r="I8" s="37">
        <v>6391.1820000000007</v>
      </c>
      <c r="K8">
        <f>INDEX(OutputValues,4,$J$4)</f>
        <v>1</v>
      </c>
    </row>
    <row r="9" spans="1:11" x14ac:dyDescent="0.2">
      <c r="A9" s="21">
        <v>5</v>
      </c>
      <c r="B9" s="32">
        <v>1</v>
      </c>
      <c r="C9" s="33">
        <v>1</v>
      </c>
      <c r="D9" s="33">
        <v>0</v>
      </c>
      <c r="E9" s="33">
        <v>1</v>
      </c>
      <c r="F9" s="33">
        <v>1</v>
      </c>
      <c r="G9" s="33">
        <v>1</v>
      </c>
      <c r="H9" s="33">
        <v>0</v>
      </c>
      <c r="I9" s="37">
        <v>5874.2759999999998</v>
      </c>
      <c r="K9">
        <f>INDEX(OutputValues,5,$J$4)</f>
        <v>1</v>
      </c>
    </row>
    <row r="10" spans="1:11" x14ac:dyDescent="0.2">
      <c r="A10" s="21">
        <v>6</v>
      </c>
      <c r="B10" s="32">
        <v>1</v>
      </c>
      <c r="C10" s="33">
        <v>1</v>
      </c>
      <c r="D10" s="33">
        <v>1</v>
      </c>
      <c r="E10" s="33">
        <v>1</v>
      </c>
      <c r="F10" s="33">
        <v>1</v>
      </c>
      <c r="G10" s="33">
        <v>1</v>
      </c>
      <c r="H10" s="33">
        <v>0</v>
      </c>
      <c r="I10" s="37">
        <v>5502.5760000000009</v>
      </c>
      <c r="K10">
        <f>INDEX(OutputValues,6,$J$4)</f>
        <v>1</v>
      </c>
    </row>
    <row r="11" spans="1:11" x14ac:dyDescent="0.2">
      <c r="A11" s="21">
        <v>7</v>
      </c>
      <c r="B11" s="32">
        <v>1</v>
      </c>
      <c r="C11" s="33">
        <v>1</v>
      </c>
      <c r="D11" s="33">
        <v>1</v>
      </c>
      <c r="E11" s="33">
        <v>1</v>
      </c>
      <c r="F11" s="33">
        <v>1</v>
      </c>
      <c r="G11" s="33">
        <v>1</v>
      </c>
      <c r="H11" s="33">
        <v>0</v>
      </c>
      <c r="I11" s="37">
        <v>5502.5760000000009</v>
      </c>
      <c r="K11">
        <f>INDEX(OutputValues,7,$J$4)</f>
        <v>1</v>
      </c>
    </row>
    <row r="12" spans="1:11" x14ac:dyDescent="0.2">
      <c r="A12" s="21">
        <v>8</v>
      </c>
      <c r="B12" s="32">
        <v>1</v>
      </c>
      <c r="C12" s="33">
        <v>1</v>
      </c>
      <c r="D12" s="33">
        <v>1</v>
      </c>
      <c r="E12" s="33">
        <v>1</v>
      </c>
      <c r="F12" s="33">
        <v>1</v>
      </c>
      <c r="G12" s="33">
        <v>1</v>
      </c>
      <c r="H12" s="33">
        <v>0</v>
      </c>
      <c r="I12" s="37">
        <v>5502.5760000000009</v>
      </c>
      <c r="K12">
        <f>INDEX(OutputValues,8,$J$4)</f>
        <v>1</v>
      </c>
    </row>
    <row r="13" spans="1:11" x14ac:dyDescent="0.2">
      <c r="A13" s="21">
        <v>9</v>
      </c>
      <c r="B13" s="32">
        <v>1</v>
      </c>
      <c r="C13" s="33">
        <v>1</v>
      </c>
      <c r="D13" s="33">
        <v>1</v>
      </c>
      <c r="E13" s="33">
        <v>1</v>
      </c>
      <c r="F13" s="33">
        <v>1</v>
      </c>
      <c r="G13" s="33">
        <v>1</v>
      </c>
      <c r="H13" s="33">
        <v>0</v>
      </c>
      <c r="I13" s="37">
        <v>5502.5760000000009</v>
      </c>
      <c r="K13">
        <f>INDEX(OutputValues,9,$J$4)</f>
        <v>1</v>
      </c>
    </row>
    <row r="14" spans="1:11" x14ac:dyDescent="0.2">
      <c r="A14" s="21">
        <v>10</v>
      </c>
      <c r="B14" s="32">
        <v>1</v>
      </c>
      <c r="C14" s="33">
        <v>1</v>
      </c>
      <c r="D14" s="33">
        <v>1</v>
      </c>
      <c r="E14" s="33">
        <v>1</v>
      </c>
      <c r="F14" s="33">
        <v>1</v>
      </c>
      <c r="G14" s="33">
        <v>1</v>
      </c>
      <c r="H14" s="33">
        <v>0</v>
      </c>
      <c r="I14" s="37">
        <v>5502.5760000000009</v>
      </c>
      <c r="K14">
        <f>INDEX(OutputValues,10,$J$4)</f>
        <v>1</v>
      </c>
    </row>
    <row r="15" spans="1:11" x14ac:dyDescent="0.2">
      <c r="A15" s="21">
        <v>11</v>
      </c>
      <c r="B15" s="34">
        <v>1</v>
      </c>
      <c r="C15" s="35">
        <v>1</v>
      </c>
      <c r="D15" s="35">
        <v>1</v>
      </c>
      <c r="E15" s="35">
        <v>1</v>
      </c>
      <c r="F15" s="35">
        <v>1</v>
      </c>
      <c r="G15" s="35">
        <v>1</v>
      </c>
      <c r="H15" s="35">
        <v>0</v>
      </c>
      <c r="I15" s="38">
        <v>5502.5760000000009</v>
      </c>
      <c r="K15">
        <f>INDEX(OutputValues,11,$J$4)</f>
        <v>1</v>
      </c>
    </row>
  </sheetData>
  <dataValidations count="1">
    <dataValidation type="list" allowBlank="1" showInputMessage="1" showErrorMessage="1" sqref="K4" xr:uid="{9677AEAE-5801-1A44-87DD-F103B8E5EE94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42</vt:i4>
      </vt:variant>
    </vt:vector>
  </HeadingPairs>
  <TitlesOfParts>
    <vt:vector size="50" baseType="lpstr">
      <vt:lpstr>4E#4  Capital Budgeting 06_04</vt:lpstr>
      <vt:lpstr>4E#18 Captial Buget Dorian Auto</vt:lpstr>
      <vt:lpstr>STS_1</vt:lpstr>
      <vt:lpstr>STS_2</vt:lpstr>
      <vt:lpstr>STS_3</vt:lpstr>
      <vt:lpstr>4E#28 United Copiers</vt:lpstr>
      <vt:lpstr>STS_4</vt:lpstr>
      <vt:lpstr>STS_5</vt:lpstr>
      <vt:lpstr>Amount_invested</vt:lpstr>
      <vt:lpstr>Assignments</vt:lpstr>
      <vt:lpstr>Budget</vt:lpstr>
      <vt:lpstr>STS_1!ChartData</vt:lpstr>
      <vt:lpstr>STS_2!ChartData</vt:lpstr>
      <vt:lpstr>STS_3!ChartData</vt:lpstr>
      <vt:lpstr>STS_4!ChartData</vt:lpstr>
      <vt:lpstr>STS_5!ChartData</vt:lpstr>
      <vt:lpstr>Include_service_center</vt:lpstr>
      <vt:lpstr>STS_1!InputValues</vt:lpstr>
      <vt:lpstr>STS_2!InputValues</vt:lpstr>
      <vt:lpstr>STS_3!InputValues</vt:lpstr>
      <vt:lpstr>STS_4!InputValues</vt:lpstr>
      <vt:lpstr>STS_5!InputValues</vt:lpstr>
      <vt:lpstr>Investment_levels</vt:lpstr>
      <vt:lpstr>Investment_levels_2</vt:lpstr>
      <vt:lpstr>Investment_levels_3</vt:lpstr>
      <vt:lpstr>Investment_levels_4</vt:lpstr>
      <vt:lpstr>Logical_capacity</vt:lpstr>
      <vt:lpstr>Logical_capacity_service</vt:lpstr>
      <vt:lpstr>Max_centers</vt:lpstr>
      <vt:lpstr>Minimum_production</vt:lpstr>
      <vt:lpstr>Number_serviced_by</vt:lpstr>
      <vt:lpstr>STS_1!OutputAddresses</vt:lpstr>
      <vt:lpstr>STS_2!OutputAddresses</vt:lpstr>
      <vt:lpstr>STS_3!OutputAddresses</vt:lpstr>
      <vt:lpstr>STS_4!OutputAddresses</vt:lpstr>
      <vt:lpstr>STS_5!OutputAddresses</vt:lpstr>
      <vt:lpstr>STS_1!OutputValues</vt:lpstr>
      <vt:lpstr>STS_2!OutputValues</vt:lpstr>
      <vt:lpstr>STS_3!OutputValues</vt:lpstr>
      <vt:lpstr>STS_4!OutputValues</vt:lpstr>
      <vt:lpstr>STS_5!OutputValues</vt:lpstr>
      <vt:lpstr>Produce_at_least_minimum</vt:lpstr>
      <vt:lpstr>Profit</vt:lpstr>
      <vt:lpstr>Resource_available</vt:lpstr>
      <vt:lpstr>Resource_used</vt:lpstr>
      <vt:lpstr>Service_Centers</vt:lpstr>
      <vt:lpstr>Total_Assignments</vt:lpstr>
      <vt:lpstr>Total_Distance</vt:lpstr>
      <vt:lpstr>Total_NPV</vt:lpstr>
      <vt:lpstr>Units_produced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2022-10-10T03:07:43Z</dcterms:created>
  <dcterms:modified xsi:type="dcterms:W3CDTF">2022-10-12T20:01:39Z</dcterms:modified>
</cp:coreProperties>
</file>