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pple/Desktop/2nd Semester/650 Optimization and Process Analytics/Homework Assignments/"/>
    </mc:Choice>
  </mc:AlternateContent>
  <xr:revisionPtr revIDLastSave="0" documentId="8_{07EC9EED-1660-7B4C-A285-7DF0009739FB}" xr6:coauthVersionLast="47" xr6:coauthVersionMax="47" xr10:uidLastSave="{00000000-0000-0000-0000-000000000000}"/>
  <bookViews>
    <workbookView xWindow="0" yWindow="0" windowWidth="28800" windowHeight="18000" activeTab="6" xr2:uid="{418BEFF5-F009-4648-9EC7-3B0087BF3CE3}"/>
  </bookViews>
  <sheets>
    <sheet name="Q_20 Without root constraints" sheetId="4" r:id="rId1"/>
    <sheet name="Q_20 Sensitivity Report 1" sheetId="6" r:id="rId2"/>
    <sheet name="Q_20 With Root constraint" sheetId="1" r:id="rId3"/>
    <sheet name="Q_20 Sensitivity Report 2_const" sheetId="7" r:id="rId4"/>
    <sheet name="Q_30 Maudes shortest path" sheetId="5" r:id="rId5"/>
    <sheet name="Q67 Allied Freight" sheetId="8" r:id="rId6"/>
    <sheet name="STS 1" sheetId="9" r:id="rId7"/>
    <sheet name="STS 2" sheetId="10" r:id="rId8"/>
  </sheets>
  <externalReferences>
    <externalReference r:id="rId9"/>
  </externalReferences>
  <definedNames>
    <definedName name="Arc_capacity">'Q_20 With Root constraint'!$F$8:$F$33</definedName>
    <definedName name="Arc_capacity_wc">'Q_20 Without root constraints'!$F$6:$F$31</definedName>
    <definedName name="Customer_demand">'Q_20 With Root constraint'!$K$20:$K$21</definedName>
    <definedName name="Customer_demand_wc">'Q_20 Without root constraints'!$K$18:$K$19</definedName>
    <definedName name="Customer_net_inflow">'Q_20 With Root constraint'!$I$20:$I$21</definedName>
    <definedName name="Customer_net_inflow_wc">'Q_20 Without root constraints'!$I$18:$I$19</definedName>
    <definedName name="Dest">'Q_30 Maudes shortest path'!$B$5:$B$56</definedName>
    <definedName name="Destiantion">'Q67 Allied Freight'!$B$6:$B$11</definedName>
    <definedName name="Destination">'Q_20 With Root constraint'!$B$8:$B$33</definedName>
    <definedName name="Destination_wc">'Q_20 Without root constraints'!$B$6:$B$31</definedName>
    <definedName name="Distance">'Q_30 Maudes shortest path'!$C$5:$C$56</definedName>
    <definedName name="Flo">'Q_30 Maudes shortest path'!$D$5:$D$56</definedName>
    <definedName name="Flow">'Q_20 With Root constraint'!$D$8:$D$33</definedName>
    <definedName name="Flow_67">'Q67 Allied Freight'!$D$6:$D$11</definedName>
    <definedName name="Flow_wc">'Q_20 Without root constraints'!$D$6:$D$31</definedName>
    <definedName name="Orig">'Q_30 Maudes shortest path'!$A$5:$A$56</definedName>
    <definedName name="Origin">'Q_20 With Root constraint'!$A$8:$A$33</definedName>
    <definedName name="Origin_67">'Q67 Allied Freight'!$A$6:$A$11</definedName>
    <definedName name="Origin_wc">'Q_20 Without root constraints'!$A$6:$A$31</definedName>
    <definedName name="OutputAddresses" localSheetId="6">'STS 1'!$B$4</definedName>
    <definedName name="OutputAddresses" localSheetId="7">'STS 2'!$B$4</definedName>
    <definedName name="OutputValues" localSheetId="6">'STS 1'!$B$5:$B$24</definedName>
    <definedName name="OutputValues" localSheetId="7">'STS 2'!$B$5:$B$25</definedName>
    <definedName name="Penalty_Cost_per_Customer">'Q67 Allied Freight'!$F$21:$F$23</definedName>
    <definedName name="Plant_capacit_wc">'Q_20 Without root constraints'!$K$7:$K$9</definedName>
    <definedName name="Plant_capacity">'Q_20 With Root constraint'!$K$9:$K$11</definedName>
    <definedName name="Plant_capacity_wc">'Q_20 Without root constraints'!$K$7:$K$9</definedName>
    <definedName name="Plant_net_outflow">'Q_20 With Root constraint'!$I$9:$I$11</definedName>
    <definedName name="Plant_net_outflow_wc">'Q_20 Without root constraints'!$I$7:$I$9</definedName>
    <definedName name="solver_adj" localSheetId="2" hidden="1">'Q_20 With Root constraint'!$D$8:$D$33</definedName>
    <definedName name="solver_adj" localSheetId="0" hidden="1">'Q_20 Without root constraints'!$D$6:$D$31</definedName>
    <definedName name="solver_adj" localSheetId="5" hidden="1">'Q67 Allied Freight'!$D$6:$D$11</definedName>
    <definedName name="solver_cvg" localSheetId="2" hidden="1">0.0001</definedName>
    <definedName name="solver_cvg" localSheetId="0" hidden="1">0.0001</definedName>
    <definedName name="solver_cvg" localSheetId="5" hidden="1">0.0001</definedName>
    <definedName name="solver_drv" localSheetId="2" hidden="1">2</definedName>
    <definedName name="solver_drv" localSheetId="0" hidden="1">1</definedName>
    <definedName name="solver_drv" localSheetId="5" hidden="1">1</definedName>
    <definedName name="solver_eng" localSheetId="2" hidden="1">2</definedName>
    <definedName name="solver_eng" localSheetId="0" hidden="1">2</definedName>
    <definedName name="solver_eng" localSheetId="5" hidden="1">2</definedName>
    <definedName name="solver_est" localSheetId="2" hidden="1">1</definedName>
    <definedName name="solver_itr" localSheetId="2" hidden="1">2147483647</definedName>
    <definedName name="solver_itr" localSheetId="0" hidden="1">2147483647</definedName>
    <definedName name="solver_itr" localSheetId="5" hidden="1">2147483647</definedName>
    <definedName name="solver_lhs1" localSheetId="2" hidden="1">'Q_20 With Root constraint'!$I$20:$I$21</definedName>
    <definedName name="solver_lhs1" localSheetId="0" hidden="1">'Q_20 Without root constraints'!$I$18:$I$19</definedName>
    <definedName name="solver_lhs1" localSheetId="5" hidden="1">'Q67 Allied Freight'!$B$16:$B$17</definedName>
    <definedName name="solver_lhs2" localSheetId="2" hidden="1">'Q_20 With Root constraint'!$D$8:$D$33</definedName>
    <definedName name="solver_lhs2" localSheetId="0" hidden="1">'Q_20 Without root constraints'!$D$6:$D$31</definedName>
    <definedName name="solver_lhs2" localSheetId="5" hidden="1">'Q67 Allied Freight'!$B$21:$B$23</definedName>
    <definedName name="solver_lhs3" localSheetId="2" hidden="1">'Q_20 With Root constraint'!$I$9:$I$11</definedName>
    <definedName name="solver_lhs3" localSheetId="0" hidden="1">'Q_20 Without root constraints'!$I$7:$I$9</definedName>
    <definedName name="solver_lhs4" localSheetId="2" hidden="1">'Q_20 With Root constraint'!$I$15:$I$16</definedName>
    <definedName name="solver_lhs4" localSheetId="0" hidden="1">'Q_20 Without root constraints'!$I$13:$I$14</definedName>
    <definedName name="solver_lin" localSheetId="2" hidden="1">1</definedName>
    <definedName name="solver_lin" localSheetId="0" hidden="1">1</definedName>
    <definedName name="solver_lin" localSheetId="5" hidden="1">1</definedName>
    <definedName name="solver_mip" localSheetId="2" hidden="1">2147483647</definedName>
    <definedName name="solver_mip" localSheetId="0" hidden="1">2147483647</definedName>
    <definedName name="solver_mip" localSheetId="5" hidden="1">2147483647</definedName>
    <definedName name="solver_mni" localSheetId="2" hidden="1">30</definedName>
    <definedName name="solver_mni" localSheetId="0" hidden="1">30</definedName>
    <definedName name="solver_mni" localSheetId="5" hidden="1">30</definedName>
    <definedName name="solver_mrt" localSheetId="2" hidden="1">0.075</definedName>
    <definedName name="solver_mrt" localSheetId="0" hidden="1">0.075</definedName>
    <definedName name="solver_mrt" localSheetId="5" hidden="1">0.075</definedName>
    <definedName name="solver_msl" localSheetId="2" hidden="1">2</definedName>
    <definedName name="solver_msl" localSheetId="0" hidden="1">2</definedName>
    <definedName name="solver_msl" localSheetId="5" hidden="1">2</definedName>
    <definedName name="solver_neg" localSheetId="2" hidden="1">1</definedName>
    <definedName name="solver_neg" localSheetId="0" hidden="1">1</definedName>
    <definedName name="solver_neg" localSheetId="5" hidden="1">1</definedName>
    <definedName name="solver_nod" localSheetId="2" hidden="1">2147483647</definedName>
    <definedName name="solver_nod" localSheetId="0" hidden="1">2147483647</definedName>
    <definedName name="solver_nod" localSheetId="5" hidden="1">2147483647</definedName>
    <definedName name="solver_num" localSheetId="2" hidden="1">4</definedName>
    <definedName name="solver_num" localSheetId="0" hidden="1">4</definedName>
    <definedName name="solver_num" localSheetId="5" hidden="1">2</definedName>
    <definedName name="solver_nwt" localSheetId="2" hidden="1">1</definedName>
    <definedName name="solver_opt" localSheetId="2" hidden="1">'Q_20 With Root constraint'!$B$36</definedName>
    <definedName name="solver_opt" localSheetId="0" hidden="1">'Q_20 Without root constraints'!$B$34</definedName>
    <definedName name="solver_opt" localSheetId="5" hidden="1">'Q67 Allied Freight'!$B$27</definedName>
    <definedName name="solver_pre" localSheetId="2" hidden="1">0.000001</definedName>
    <definedName name="solver_pre" localSheetId="0" hidden="1">0.000001</definedName>
    <definedName name="solver_pre" localSheetId="5" hidden="1">0.000001</definedName>
    <definedName name="solver_rbv" localSheetId="2" hidden="1">2</definedName>
    <definedName name="solver_rbv" localSheetId="0" hidden="1">1</definedName>
    <definedName name="solver_rbv" localSheetId="5" hidden="1">1</definedName>
    <definedName name="solver_rel1" localSheetId="2" hidden="1">3</definedName>
    <definedName name="solver_rel1" localSheetId="0" hidden="1">3</definedName>
    <definedName name="solver_rel1" localSheetId="5" hidden="1">1</definedName>
    <definedName name="solver_rel2" localSheetId="2" hidden="1">1</definedName>
    <definedName name="solver_rel2" localSheetId="0" hidden="1">1</definedName>
    <definedName name="solver_rel2" localSheetId="5" hidden="1">1</definedName>
    <definedName name="solver_rel3" localSheetId="2" hidden="1">1</definedName>
    <definedName name="solver_rel3" localSheetId="0" hidden="1">1</definedName>
    <definedName name="solver_rel4" localSheetId="2" hidden="1">2</definedName>
    <definedName name="solver_rel4" localSheetId="0" hidden="1">2</definedName>
    <definedName name="solver_rhs1" localSheetId="2" hidden="1">Customer_demand</definedName>
    <definedName name="solver_rhs1" localSheetId="0" hidden="1">Customer_demand_wc</definedName>
    <definedName name="solver_rhs1" localSheetId="5" hidden="1">'Q67 Allied Freight'!$D$16:$D$17</definedName>
    <definedName name="solver_rhs2" localSheetId="2" hidden="1">Arc_capacity</definedName>
    <definedName name="solver_rhs2" localSheetId="0" hidden="1">Arc_capacity_wc</definedName>
    <definedName name="solver_rhs2" localSheetId="5" hidden="1">'Q67 Allied Freight'!$D$21:$D$23</definedName>
    <definedName name="solver_rhs3" localSheetId="2" hidden="1">Plant_capacity</definedName>
    <definedName name="solver_rhs3" localSheetId="0" hidden="1">Plant_capacit_wc</definedName>
    <definedName name="solver_rhs4" localSheetId="2" hidden="1">0</definedName>
    <definedName name="solver_rhs4" localSheetId="0" hidden="1">0</definedName>
    <definedName name="solver_rlx" localSheetId="2" hidden="1">2</definedName>
    <definedName name="solver_rlx" localSheetId="0" hidden="1">2</definedName>
    <definedName name="solver_rlx" localSheetId="5" hidden="1">1</definedName>
    <definedName name="solver_rsd" localSheetId="2" hidden="1">0</definedName>
    <definedName name="solver_rsd" localSheetId="0" hidden="1">0</definedName>
    <definedName name="solver_rsd" localSheetId="5" hidden="1">0</definedName>
    <definedName name="solver_scl" localSheetId="2" hidden="1">2</definedName>
    <definedName name="solver_scl" localSheetId="0" hidden="1">1</definedName>
    <definedName name="solver_scl" localSheetId="5" hidden="1">2</definedName>
    <definedName name="solver_sho" localSheetId="2" hidden="1">2</definedName>
    <definedName name="solver_sho" localSheetId="0" hidden="1">2</definedName>
    <definedName name="solver_sho" localSheetId="5" hidden="1">2</definedName>
    <definedName name="solver_ssz" localSheetId="2" hidden="1">100</definedName>
    <definedName name="solver_ssz" localSheetId="0" hidden="1">100</definedName>
    <definedName name="solver_ssz" localSheetId="5" hidden="1">100</definedName>
    <definedName name="solver_tim" localSheetId="2" hidden="1">2147483647</definedName>
    <definedName name="solver_tim" localSheetId="0" hidden="1">2147483647</definedName>
    <definedName name="solver_tim" localSheetId="5" hidden="1">2147483647</definedName>
    <definedName name="solver_tol" localSheetId="2" hidden="1">0.01</definedName>
    <definedName name="solver_tol" localSheetId="0" hidden="1">0.01</definedName>
    <definedName name="solver_tol" localSheetId="5" hidden="1">0.01</definedName>
    <definedName name="solver_typ" localSheetId="2" hidden="1">2</definedName>
    <definedName name="solver_typ" localSheetId="0" hidden="1">2</definedName>
    <definedName name="solver_typ" localSheetId="5" hidden="1">1</definedName>
    <definedName name="solver_val" localSheetId="2" hidden="1">0</definedName>
    <definedName name="solver_val" localSheetId="0" hidden="1">0</definedName>
    <definedName name="solver_val" localSheetId="5" hidden="1">0</definedName>
    <definedName name="solver_ver" localSheetId="2" hidden="1">2</definedName>
    <definedName name="solver_ver" localSheetId="0" hidden="1">2</definedName>
    <definedName name="solver_ver" localSheetId="5" hidden="1">2</definedName>
    <definedName name="Total_cost">'Q_20 With Root constraint'!$B$36</definedName>
    <definedName name="Unit_cost">'Q_20 With Root constraint'!$C$8:$C$33</definedName>
    <definedName name="Unit_cost_wc">'Q_20 Without root constraints'!$C$6:$C$31</definedName>
    <definedName name="Warehouse_net_outflow">'Q_20 With Root constraint'!$I$15:$I$16</definedName>
    <definedName name="Warehouse_net_outflow_wc">'Q_20 Without root constraints'!$I$13:$I$14</definedName>
    <definedName name="without_const_arc_capacity">#REF!</definedName>
    <definedName name="without_const_cust_demand">#REF!</definedName>
    <definedName name="without_const_cust_net_inflow">#REF!</definedName>
    <definedName name="without_const_destination">#REF!</definedName>
    <definedName name="without_const_flow">#REF!</definedName>
    <definedName name="without_const_origin">#REF!</definedName>
    <definedName name="without_const_plant_capacity">#REF!</definedName>
    <definedName name="without_const_plant_net_outflow">#REF!</definedName>
    <definedName name="without_const_warehousenetoutflow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10" l="1"/>
  <c r="K25" i="10" s="1"/>
  <c r="K1" i="10"/>
  <c r="J4" i="9"/>
  <c r="K24" i="9" s="1"/>
  <c r="K1" i="9"/>
  <c r="B23" i="8"/>
  <c r="F23" i="8" s="1"/>
  <c r="B22" i="8"/>
  <c r="F22" i="8" s="1"/>
  <c r="B21" i="8"/>
  <c r="F21" i="8" s="1"/>
  <c r="B17" i="8"/>
  <c r="B16" i="8"/>
  <c r="B61" i="5"/>
  <c r="G14" i="5"/>
  <c r="G13" i="5"/>
  <c r="G12" i="5"/>
  <c r="G11" i="5"/>
  <c r="G10" i="5"/>
  <c r="G9" i="5"/>
  <c r="G8" i="5"/>
  <c r="G7" i="5"/>
  <c r="G6" i="5"/>
  <c r="G5" i="5"/>
  <c r="K9" i="10" l="1"/>
  <c r="K17" i="10"/>
  <c r="K10" i="10"/>
  <c r="K18" i="10"/>
  <c r="K19" i="10"/>
  <c r="K11" i="10"/>
  <c r="K12" i="10"/>
  <c r="K20" i="10"/>
  <c r="K5" i="10"/>
  <c r="K13" i="10"/>
  <c r="K21" i="10"/>
  <c r="K6" i="10"/>
  <c r="K14" i="10"/>
  <c r="K22" i="10"/>
  <c r="K7" i="10"/>
  <c r="K15" i="10"/>
  <c r="K23" i="10"/>
  <c r="K8" i="10"/>
  <c r="K16" i="10"/>
  <c r="K24" i="10"/>
  <c r="K17" i="9"/>
  <c r="K9" i="9"/>
  <c r="K10" i="9"/>
  <c r="K18" i="9"/>
  <c r="K11" i="9"/>
  <c r="K12" i="9"/>
  <c r="K5" i="9"/>
  <c r="K21" i="9"/>
  <c r="K6" i="9"/>
  <c r="K14" i="9"/>
  <c r="K22" i="9"/>
  <c r="K7" i="9"/>
  <c r="K15" i="9"/>
  <c r="K23" i="9"/>
  <c r="K19" i="9"/>
  <c r="K20" i="9"/>
  <c r="K13" i="9"/>
  <c r="K8" i="9"/>
  <c r="K16" i="9"/>
  <c r="B27" i="8"/>
  <c r="B34" i="4" l="1"/>
  <c r="I19" i="4"/>
  <c r="I18" i="4"/>
  <c r="I14" i="4"/>
  <c r="I13" i="4"/>
  <c r="I8" i="4"/>
  <c r="I9" i="4"/>
  <c r="I7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6" i="4"/>
  <c r="I10" i="1" l="1"/>
  <c r="I11" i="1"/>
  <c r="I9" i="1"/>
  <c r="I21" i="1"/>
  <c r="I20" i="1"/>
  <c r="I16" i="1"/>
  <c r="I15" i="1"/>
  <c r="B36" i="1"/>
  <c r="F10" i="1"/>
  <c r="F11" i="1"/>
  <c r="F12" i="1"/>
  <c r="F13" i="1"/>
  <c r="F16" i="1"/>
  <c r="F17" i="1"/>
  <c r="F18" i="1"/>
  <c r="F19" i="1"/>
  <c r="F22" i="1"/>
  <c r="F23" i="1"/>
  <c r="F24" i="1"/>
  <c r="F25" i="1"/>
  <c r="F26" i="1"/>
  <c r="F27" i="1"/>
  <c r="F28" i="1"/>
  <c r="F29" i="1"/>
  <c r="F30" i="1"/>
  <c r="F3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Asad Sajid Awan</author>
  </authors>
  <commentList>
    <comment ref="B5" authorId="0" shapeId="0" xr:uid="{24FEFC55-85CD-5F4B-9C93-B2927DD34D28}">
      <text>
        <r>
          <rPr>
            <sz val="9"/>
            <color rgb="FF000000"/>
            <rFont val="Tahoma"/>
            <family val="2"/>
          </rPr>
          <t>Solver found a solution. All constraints and optimality conditions are satisfied.</t>
        </r>
      </text>
    </comment>
    <comment ref="B6" authorId="0" shapeId="0" xr:uid="{BFE11AEC-EDC7-374B-B127-94F2B1BFCB1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7" authorId="0" shapeId="0" xr:uid="{49433FC1-3578-6E42-8E90-63E6BE0DA53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8" authorId="0" shapeId="0" xr:uid="{CBBFAAE9-79E0-7543-97E0-26F2892C624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9" authorId="0" shapeId="0" xr:uid="{69D290FD-BCF3-F545-98EB-6722446AF1F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0" authorId="0" shapeId="0" xr:uid="{9C48B5F7-500C-8948-BF73-FFF7D45AEA9F}">
      <text>
        <r>
          <rPr>
            <sz val="9"/>
            <color rgb="FF000000"/>
            <rFont val="Tahoma"/>
            <family val="2"/>
          </rPr>
          <t>Solver found a solution. All constraints and optimality conditions are satisfied.</t>
        </r>
      </text>
    </comment>
    <comment ref="B11" authorId="0" shapeId="0" xr:uid="{56086364-E8DE-8448-97F7-05100532893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2" authorId="0" shapeId="0" xr:uid="{ECA262DE-895A-C64B-87F3-4BA693A6577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3" authorId="0" shapeId="0" xr:uid="{7A66C37F-FEEB-9749-83BE-21C1975ECE9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4" authorId="0" shapeId="0" xr:uid="{50926DFB-8E62-BB4A-A47A-9A4AB4E84FA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5" authorId="0" shapeId="0" xr:uid="{802AC878-9C40-1146-B486-96BF2210FAA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6" authorId="0" shapeId="0" xr:uid="{6002E5CE-FB3F-6648-BD71-DB8B083030D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7" authorId="0" shapeId="0" xr:uid="{4B3AF933-631B-2349-AB82-DB8F8B059DB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8" authorId="0" shapeId="0" xr:uid="{53C8AF15-48BD-5A4A-86CF-138E4D7F32B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9" authorId="0" shapeId="0" xr:uid="{A733DB90-8B63-9C41-A9C0-C3C55518E7D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0" authorId="0" shapeId="0" xr:uid="{F4718CA7-D95F-E241-B1DF-40DDBD80531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1" authorId="0" shapeId="0" xr:uid="{21BB07EF-096E-B645-A5A9-12DFCDB2FEF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2" authorId="0" shapeId="0" xr:uid="{C9AC42BC-DE91-D341-AB1C-B792E25F92D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3" authorId="0" shapeId="0" xr:uid="{8AC8CAE1-F747-ED4C-94EE-6C965591E37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4" authorId="0" shapeId="0" xr:uid="{18573013-D99C-5D43-9FC3-3C1F1F849D3D}">
      <text>
        <r>
          <rPr>
            <sz val="9"/>
            <color rgb="FF000000"/>
            <rFont val="Tahoma"/>
            <family val="2"/>
          </rPr>
          <t>Solver found a solution. All constraints and optimality conditions are satisfied.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Asad Sajid Awan</author>
  </authors>
  <commentList>
    <comment ref="B5" authorId="0" shapeId="0" xr:uid="{9D39DFB7-BF55-9847-9B4F-3AFF3575643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6" authorId="0" shapeId="0" xr:uid="{48A84198-88EC-6544-8E64-00125B9CF1D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7" authorId="0" shapeId="0" xr:uid="{8E6C5E04-1A89-A244-979C-726F9619003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8" authorId="0" shapeId="0" xr:uid="{8B001733-D2CD-5B47-883D-B6AE7F2EE68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9" authorId="0" shapeId="0" xr:uid="{7A72783C-36F4-5949-8C5C-34DBFC54B67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0" authorId="0" shapeId="0" xr:uid="{A9AF1210-0EFE-274A-8D86-B5E893750DC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1" authorId="0" shapeId="0" xr:uid="{92D0DC3E-83AD-5941-9DD8-7AB5D21E764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2" authorId="0" shapeId="0" xr:uid="{54838F52-99D4-B04C-903E-2C5A6138EDA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3" authorId="0" shapeId="0" xr:uid="{1DF9DF6F-DD46-214E-9428-8C7E4C99270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4" authorId="0" shapeId="0" xr:uid="{0AF68821-DD97-9F4F-8759-857F8186566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5" authorId="0" shapeId="0" xr:uid="{53036DBF-E183-4F4C-9880-37EA034D0AE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6" authorId="0" shapeId="0" xr:uid="{F571EFF6-34B7-464D-A498-A7FA96E310B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7" authorId="0" shapeId="0" xr:uid="{96F78F8D-4D15-6F4E-8B4E-587931A3DCC8}">
      <text>
        <r>
          <rPr>
            <sz val="9"/>
            <color rgb="FF000000"/>
            <rFont val="Tahoma"/>
            <family val="2"/>
          </rPr>
          <t>Solver found a solution. All constraints and optimality conditions are satisfied.</t>
        </r>
      </text>
    </comment>
    <comment ref="B18" authorId="0" shapeId="0" xr:uid="{06383F27-0E1E-AA4B-A3C6-922E9A8B077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9" authorId="0" shapeId="0" xr:uid="{398AAB82-A9FD-5C44-AC20-6EB776582E4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0" authorId="0" shapeId="0" xr:uid="{1AD6403B-6D47-F744-820D-AD3133F8232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1" authorId="0" shapeId="0" xr:uid="{F9DCC2C7-0572-2C4B-B57B-C5945160300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2" authorId="0" shapeId="0" xr:uid="{E1E45B48-4D32-C042-9E8C-711780400B0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3" authorId="0" shapeId="0" xr:uid="{9E127B3F-0B00-194B-9316-2F8D5CED0A7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4" authorId="0" shapeId="0" xr:uid="{2DE708C0-8DE6-8444-9EA6-D1F151C253D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5" authorId="0" shapeId="0" xr:uid="{5EF20C00-5E6D-B544-9A82-B149599F924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</commentList>
</comments>
</file>

<file path=xl/sharedStrings.xml><?xml version="1.0" encoding="utf-8"?>
<sst xmlns="http://schemas.openxmlformats.org/spreadsheetml/2006/main" count="386" uniqueCount="130">
  <si>
    <t>RedBrand Shipping method</t>
  </si>
  <si>
    <t>Inputs</t>
  </si>
  <si>
    <t>Common arc capacity</t>
  </si>
  <si>
    <t>Network structure. Flows and arc capacity constraints</t>
  </si>
  <si>
    <t>Origin</t>
  </si>
  <si>
    <t>Destination</t>
  </si>
  <si>
    <t>Unit cost</t>
  </si>
  <si>
    <t>Flow</t>
  </si>
  <si>
    <t>&lt;=</t>
  </si>
  <si>
    <t>Node balance constraints</t>
  </si>
  <si>
    <t>Plant constraints</t>
  </si>
  <si>
    <t>Plant net outflow</t>
  </si>
  <si>
    <t>Plant capacity</t>
  </si>
  <si>
    <t>Warehouse constraints</t>
  </si>
  <si>
    <t>Node</t>
  </si>
  <si>
    <t>Warehouse net outflow</t>
  </si>
  <si>
    <t>Required</t>
  </si>
  <si>
    <t>Customer constraints</t>
  </si>
  <si>
    <t>Customer net inflow</t>
  </si>
  <si>
    <t>&gt;=</t>
  </si>
  <si>
    <t>Customer demand</t>
  </si>
  <si>
    <t>=</t>
  </si>
  <si>
    <t>Arc capacity</t>
  </si>
  <si>
    <t>Objective to minimize</t>
  </si>
  <si>
    <t>Total cost</t>
  </si>
  <si>
    <t>Maude's Shortest Path Across the State</t>
  </si>
  <si>
    <t>City Network and Distances</t>
  </si>
  <si>
    <t>Flow balance constraints</t>
  </si>
  <si>
    <t>Distance</t>
  </si>
  <si>
    <t>Netoutflow</t>
  </si>
  <si>
    <t>required net ooutflow</t>
  </si>
  <si>
    <t xml:space="preserve">Total distance </t>
  </si>
  <si>
    <t>Microsoft Excel 16.65 Sensitivity Report</t>
  </si>
  <si>
    <t>Worksheet: [Redbrand shipping model_sol1.xlsx]Q_20 Without root constraints</t>
  </si>
  <si>
    <t>Report Created: 06/10/22 11:23:23 PM</t>
  </si>
  <si>
    <t>Variable Cells</t>
  </si>
  <si>
    <t>Cell</t>
  </si>
  <si>
    <t>Name</t>
  </si>
  <si>
    <t>Final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</si>
  <si>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</si>
  <si>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</si>
  <si>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</si>
  <si>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</si>
  <si>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</si>
  <si>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</si>
  <si>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</si>
  <si>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</si>
  <si>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Constraints</t>
  </si>
  <si>
    <t>Shadow</t>
  </si>
  <si>
    <t>Price</t>
  </si>
  <si>
    <t>Constraint</t>
  </si>
  <si>
    <t>R.H. Side</t>
  </si>
  <si>
    <t>$D$6</t>
  </si>
  <si>
    <t>$D$7</t>
  </si>
  <si>
    <t>$D$8</t>
  </si>
  <si>
    <t>$D$9</t>
  </si>
  <si>
    <t>$D$10</t>
  </si>
  <si>
    <t>$D$11</t>
  </si>
  <si>
    <t>$D$12</t>
  </si>
  <si>
    <t>$D$13</t>
  </si>
  <si>
    <t>$D$14</t>
  </si>
  <si>
    <t>$D$15</t>
  </si>
  <si>
    <t>$D$16</t>
  </si>
  <si>
    <t>$D$17</t>
  </si>
  <si>
    <t>$D$18</t>
  </si>
  <si>
    <t>$D$19</t>
  </si>
  <si>
    <t>$D$20</t>
  </si>
  <si>
    <t>$D$21</t>
  </si>
  <si>
    <t>$D$22</t>
  </si>
  <si>
    <t>$D$23</t>
  </si>
  <si>
    <t>$D$24</t>
  </si>
  <si>
    <t>$D$25</t>
  </si>
  <si>
    <t>$D$26</t>
  </si>
  <si>
    <t>$D$27</t>
  </si>
  <si>
    <t>$D$28</t>
  </si>
  <si>
    <t>$D$29</t>
  </si>
  <si>
    <t>$D$30</t>
  </si>
  <si>
    <t>$D$31</t>
  </si>
  <si>
    <t>$I$18</t>
  </si>
  <si>
    <t>&lt;= Customer net inflow</t>
  </si>
  <si>
    <t>$I$19</t>
  </si>
  <si>
    <t>$I$7</t>
  </si>
  <si>
    <t>&lt;= Plant net outflow</t>
  </si>
  <si>
    <t>$I$8</t>
  </si>
  <si>
    <t>$I$9</t>
  </si>
  <si>
    <t>$I$13</t>
  </si>
  <si>
    <t>&lt;= Warehouse net outflow</t>
  </si>
  <si>
    <t>$I$14</t>
  </si>
  <si>
    <t>Worksheet: [Redbrand shipping model_sol1.xlsx]Q_20 With Root constraint</t>
  </si>
  <si>
    <t>Report Created: 06/10/22 11:24:04 PM</t>
  </si>
  <si>
    <t>$D$32</t>
  </si>
  <si>
    <t>$D$33</t>
  </si>
  <si>
    <t>$I$20</t>
  </si>
  <si>
    <t>$I$21</t>
  </si>
  <si>
    <t>$I$10</t>
  </si>
  <si>
    <t>$I$11</t>
  </si>
  <si>
    <t>$I$15</t>
  </si>
  <si>
    <t>$I$16</t>
  </si>
  <si>
    <t>Input</t>
  </si>
  <si>
    <t>Destiantion</t>
  </si>
  <si>
    <t>Shipping Cost</t>
  </si>
  <si>
    <t>Range names</t>
  </si>
  <si>
    <t>W1</t>
  </si>
  <si>
    <t>C1</t>
  </si>
  <si>
    <t>='P67'!$B$6:$B$11</t>
  </si>
  <si>
    <t>C2</t>
  </si>
  <si>
    <t>='P67'!$D$6:$D$11</t>
  </si>
  <si>
    <t>C3</t>
  </si>
  <si>
    <t>='P67'!$A$6:$A$11</t>
  </si>
  <si>
    <t>W2</t>
  </si>
  <si>
    <t>Penalty_Cost_per_Customer</t>
  </si>
  <si>
    <t>='P67'!$F$21:$F$23</t>
  </si>
  <si>
    <t>Penalty_Cost_per_unit</t>
  </si>
  <si>
    <t>='P67'!$E$21:$E$23</t>
  </si>
  <si>
    <t>Shipping_Cost</t>
  </si>
  <si>
    <t>='P67'!$C$6:$C$11</t>
  </si>
  <si>
    <t>Total_Cost</t>
  </si>
  <si>
    <t>='P67'!$B$28</t>
  </si>
  <si>
    <t>Flow Balance Constraints</t>
  </si>
  <si>
    <t>Capacity</t>
  </si>
  <si>
    <t>Allowed Capacity</t>
  </si>
  <si>
    <t>Demand</t>
  </si>
  <si>
    <t>Demand by Customer</t>
  </si>
  <si>
    <t>Penalty Cost per unit</t>
  </si>
  <si>
    <t>Penalty Cost per Customer</t>
  </si>
  <si>
    <t>Total Cost</t>
  </si>
  <si>
    <t>Oneway analysis for Solver model in P67 worksheet</t>
  </si>
  <si>
    <t>Unit Penalty Cost for Customer 3 (cell $J$12) values along side, output cell(s) along top</t>
  </si>
  <si>
    <t>Data for chart</t>
  </si>
  <si>
    <t>Capacity of warehouse 2 (cell $I$6) values along side, output cell(s) along top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</si>
</sst>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$-409]#,##0.00;[Red][$$-409]#,##0.00"/>
    <numFmt numFmtId="165" formatCode="&quot;$&quot;#,##0_);[Red]\(&quot;$&quot;#,##0\)"/>
    <numFmt numFmtId="166" formatCode="&quot;$&quot;#,##0.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18"/>
      <name val="Calibri"/>
      <family val="2"/>
      <scheme val="minor"/>
    </font>
    <font>
      <sz val="10"/>
      <name val="Arial"/>
      <family val="2"/>
    </font>
    <font>
      <sz val="11"/>
      <color rgb="FFFFFFFF"/>
      <name val="Calibri"/>
      <family val="2"/>
      <scheme val="minor"/>
    </font>
    <font>
      <sz val="9"/>
      <color indexed="81"/>
      <name val="Tahoma"/>
      <family val="2"/>
    </font>
    <font>
      <sz val="9"/>
      <color rgb="FF000000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74F7FF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51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5" borderId="0" xfId="0" applyFill="1" applyAlignment="1">
      <alignment horizontal="center"/>
    </xf>
    <xf numFmtId="164" fontId="0" fillId="2" borderId="0" xfId="0" applyNumberFormat="1" applyFill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4" borderId="3" xfId="0" applyFill="1" applyBorder="1"/>
    <xf numFmtId="0" fontId="0" fillId="3" borderId="3" xfId="0" applyFill="1" applyBorder="1"/>
    <xf numFmtId="0" fontId="0" fillId="0" borderId="3" xfId="0" applyBorder="1" applyAlignment="1">
      <alignment horizontal="center"/>
    </xf>
    <xf numFmtId="0" fontId="0" fillId="4" borderId="4" xfId="0" applyFill="1" applyBorder="1"/>
    <xf numFmtId="0" fontId="0" fillId="0" borderId="5" xfId="0" applyBorder="1"/>
    <xf numFmtId="0" fontId="0" fillId="0" borderId="0" xfId="0" applyBorder="1"/>
    <xf numFmtId="0" fontId="0" fillId="4" borderId="0" xfId="0" applyFill="1" applyBorder="1"/>
    <xf numFmtId="0" fontId="0" fillId="3" borderId="0" xfId="0" applyFill="1" applyBorder="1"/>
    <xf numFmtId="0" fontId="0" fillId="0" borderId="0" xfId="0" applyBorder="1" applyAlignment="1">
      <alignment horizontal="center"/>
    </xf>
    <xf numFmtId="0" fontId="0" fillId="4" borderId="6" xfId="0" applyFill="1" applyBorder="1"/>
    <xf numFmtId="0" fontId="0" fillId="0" borderId="7" xfId="0" applyBorder="1"/>
    <xf numFmtId="0" fontId="0" fillId="0" borderId="8" xfId="0" applyBorder="1"/>
    <xf numFmtId="0" fontId="0" fillId="4" borderId="8" xfId="0" applyFill="1" applyBorder="1"/>
    <xf numFmtId="0" fontId="0" fillId="3" borderId="8" xfId="0" applyFill="1" applyBorder="1"/>
    <xf numFmtId="0" fontId="0" fillId="0" borderId="8" xfId="0" applyBorder="1" applyAlignment="1">
      <alignment horizontal="center"/>
    </xf>
    <xf numFmtId="0" fontId="0" fillId="4" borderId="9" xfId="0" applyFill="1" applyBorder="1"/>
    <xf numFmtId="0" fontId="0" fillId="4" borderId="1" xfId="0" applyFill="1" applyBorder="1"/>
    <xf numFmtId="164" fontId="0" fillId="2" borderId="1" xfId="0" applyNumberFormat="1" applyFill="1" applyBorder="1"/>
    <xf numFmtId="0" fontId="2" fillId="0" borderId="1" xfId="0" applyFont="1" applyBorder="1"/>
    <xf numFmtId="0" fontId="3" fillId="0" borderId="1" xfId="0" applyFont="1" applyBorder="1"/>
    <xf numFmtId="0" fontId="3" fillId="0" borderId="1" xfId="0" applyFont="1" applyBorder="1" applyAlignment="1">
      <alignment horizontal="right"/>
    </xf>
    <xf numFmtId="0" fontId="3" fillId="0" borderId="1" xfId="0" applyFont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0" fillId="0" borderId="13" xfId="0" applyFill="1" applyBorder="1" applyAlignment="1"/>
    <xf numFmtId="0" fontId="0" fillId="0" borderId="14" xfId="0" applyFill="1" applyBorder="1" applyAlignment="1"/>
    <xf numFmtId="0" fontId="4" fillId="0" borderId="11" xfId="0" applyFont="1" applyFill="1" applyBorder="1" applyAlignment="1">
      <alignment horizontal="center"/>
    </xf>
    <xf numFmtId="0" fontId="4" fillId="0" borderId="12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165" fontId="5" fillId="7" borderId="0" xfId="1" applyNumberFormat="1" applyFill="1"/>
    <xf numFmtId="0" fontId="0" fillId="8" borderId="0" xfId="0" applyFill="1"/>
    <xf numFmtId="166" fontId="0" fillId="0" borderId="0" xfId="0" applyNumberFormat="1"/>
    <xf numFmtId="165" fontId="0" fillId="9" borderId="0" xfId="0" applyNumberFormat="1" applyFill="1"/>
    <xf numFmtId="165" fontId="0" fillId="0" borderId="0" xfId="0" applyNumberFormat="1"/>
    <xf numFmtId="0" fontId="6" fillId="0" borderId="0" xfId="0" applyFont="1"/>
    <xf numFmtId="0" fontId="0" fillId="0" borderId="0" xfId="0" applyAlignment="1">
      <alignment horizontal="right" textRotation="90"/>
    </xf>
    <xf numFmtId="0" fontId="0" fillId="10" borderId="0" xfId="0" applyFill="1" applyAlignment="1">
      <alignment horizontal="right" textRotation="90"/>
    </xf>
    <xf numFmtId="0" fontId="0" fillId="0" borderId="15" xfId="0" applyBorder="1"/>
    <xf numFmtId="0" fontId="0" fillId="0" borderId="10" xfId="0" applyBorder="1"/>
    <xf numFmtId="0" fontId="0" fillId="0" borderId="16" xfId="0" applyBorder="1"/>
  </cellXfs>
  <cellStyles count="2">
    <cellStyle name="Normal" xfId="0" builtinId="0"/>
    <cellStyle name="Normal 2" xfId="1" xr:uid="{2BB7A678-23D6-2D48-B8AC-EB7662B4CE1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'[1]P67 - STS_1'!$K$1</c:f>
          <c:strCache>
            <c:ptCount val="1"/>
            <c:pt idx="0">
              <c:v>Sensitivity of Total_Cost to Unit Penalty Cost for Customer 3</c:v>
            </c:pt>
          </c:strCache>
        </c:strRef>
      </c:tx>
      <c:layout>
        <c:manualLayout>
          <c:xMode val="edge"/>
          <c:yMode val="edge"/>
          <c:x val="0.10463434110830486"/>
          <c:y val="2.6666666666666668E-2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'[1]P67 - STS_1'!$A$5:$A$24</c:f>
              <c:numCache>
                <c:formatCode>General</c:formatCod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numCache>
            </c:numRef>
          </c:cat>
          <c:val>
            <c:numRef>
              <c:f>'[1]P67 - STS_1'!$K$5:$K$24</c:f>
              <c:numCache>
                <c:formatCode>General</c:formatCode>
                <c:ptCount val="20"/>
                <c:pt idx="0">
                  <c:v>1650</c:v>
                </c:pt>
                <c:pt idx="1">
                  <c:v>1950</c:v>
                </c:pt>
                <c:pt idx="2">
                  <c:v>2200</c:v>
                </c:pt>
                <c:pt idx="3">
                  <c:v>2400</c:v>
                </c:pt>
                <c:pt idx="4">
                  <c:v>2600</c:v>
                </c:pt>
                <c:pt idx="5">
                  <c:v>2800</c:v>
                </c:pt>
                <c:pt idx="6">
                  <c:v>3000</c:v>
                </c:pt>
                <c:pt idx="7">
                  <c:v>3000</c:v>
                </c:pt>
                <c:pt idx="8">
                  <c:v>3000</c:v>
                </c:pt>
                <c:pt idx="9">
                  <c:v>3000</c:v>
                </c:pt>
                <c:pt idx="10">
                  <c:v>3000</c:v>
                </c:pt>
                <c:pt idx="11">
                  <c:v>3000</c:v>
                </c:pt>
                <c:pt idx="12">
                  <c:v>3000</c:v>
                </c:pt>
                <c:pt idx="13">
                  <c:v>3000</c:v>
                </c:pt>
                <c:pt idx="14">
                  <c:v>3000</c:v>
                </c:pt>
                <c:pt idx="15">
                  <c:v>3000</c:v>
                </c:pt>
                <c:pt idx="16">
                  <c:v>3000</c:v>
                </c:pt>
                <c:pt idx="17">
                  <c:v>3000</c:v>
                </c:pt>
                <c:pt idx="18">
                  <c:v>3000</c:v>
                </c:pt>
                <c:pt idx="19">
                  <c:v>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4E-B44A-B77A-10E44591FD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8184976"/>
        <c:axId val="1468072176"/>
      </c:lineChart>
      <c:catAx>
        <c:axId val="1468184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Unit Penalty Cost for Customer 3 ($J$12)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68072176"/>
        <c:crosses val="autoZero"/>
        <c:auto val="1"/>
        <c:lblAlgn val="ctr"/>
        <c:lblOffset val="100"/>
        <c:noMultiLvlLbl val="0"/>
      </c:catAx>
      <c:valAx>
        <c:axId val="1468072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68184976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15875" cap="flat" cmpd="sng" algn="ctr">
      <a:solidFill>
        <a:schemeClr val="accent1">
          <a:lumMod val="100000"/>
        </a:schemeClr>
      </a:solidFill>
      <a:prstDash val="solid"/>
      <a:round/>
      <a:headEnd type="none" w="med" len="med"/>
      <a:tailEnd type="none" w="med" len="med"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'[1]P67- STS_2'!$K$1</c:f>
          <c:strCache>
            <c:ptCount val="1"/>
            <c:pt idx="0">
              <c:v>Sensitivity of Total_Cost to Capacity of warehouse 2</c:v>
            </c:pt>
          </c:strCache>
        </c:strRef>
      </c:tx>
      <c:overlay val="0"/>
      <c:txPr>
        <a:bodyPr/>
        <a:lstStyle/>
        <a:p>
          <a:pPr>
            <a:defRPr sz="1200"/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'[1]P67- STS_2'!$A$5:$A$25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'[1]P67- STS_2'!$K$5:$K$25</c:f>
              <c:numCache>
                <c:formatCode>General</c:formatCode>
                <c:ptCount val="21"/>
                <c:pt idx="0">
                  <c:v>5100</c:v>
                </c:pt>
                <c:pt idx="1">
                  <c:v>4700</c:v>
                </c:pt>
                <c:pt idx="2">
                  <c:v>4300</c:v>
                </c:pt>
                <c:pt idx="3">
                  <c:v>3900</c:v>
                </c:pt>
                <c:pt idx="4">
                  <c:v>3500</c:v>
                </c:pt>
                <c:pt idx="5">
                  <c:v>3250</c:v>
                </c:pt>
                <c:pt idx="6">
                  <c:v>3000</c:v>
                </c:pt>
                <c:pt idx="7">
                  <c:v>2750</c:v>
                </c:pt>
                <c:pt idx="8">
                  <c:v>2500</c:v>
                </c:pt>
                <c:pt idx="9">
                  <c:v>2250</c:v>
                </c:pt>
                <c:pt idx="10">
                  <c:v>2000</c:v>
                </c:pt>
                <c:pt idx="11">
                  <c:v>1975</c:v>
                </c:pt>
                <c:pt idx="12">
                  <c:v>1950</c:v>
                </c:pt>
                <c:pt idx="13">
                  <c:v>1950</c:v>
                </c:pt>
                <c:pt idx="14">
                  <c:v>1950</c:v>
                </c:pt>
                <c:pt idx="15">
                  <c:v>1950</c:v>
                </c:pt>
                <c:pt idx="16">
                  <c:v>1950</c:v>
                </c:pt>
                <c:pt idx="17">
                  <c:v>1950</c:v>
                </c:pt>
                <c:pt idx="18">
                  <c:v>1950</c:v>
                </c:pt>
                <c:pt idx="19">
                  <c:v>1950</c:v>
                </c:pt>
                <c:pt idx="20">
                  <c:v>1950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40-2746-8543-32579E01C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8185376"/>
        <c:axId val="1477634784"/>
      </c:lineChart>
      <c:catAx>
        <c:axId val="1468185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Capacity of warehouse 2 ($I$6)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77634784"/>
        <c:crosses val="autoZero"/>
        <c:auto val="1"/>
        <c:lblAlgn val="ctr"/>
        <c:lblOffset val="100"/>
        <c:noMultiLvlLbl val="0"/>
      </c:catAx>
      <c:valAx>
        <c:axId val="1477634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68185376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15875" cap="flat" cmpd="sng" algn="ctr">
      <a:solidFill>
        <a:schemeClr val="accent1">
          <a:lumMod val="100000"/>
        </a:schemeClr>
      </a:solidFill>
      <a:prstDash val="solid"/>
      <a:round/>
      <a:headEnd type="none" w="med" len="med"/>
      <a:tailEnd type="none" w="med" len="med"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266700</xdr:colOff>
      <xdr:row>3</xdr:row>
      <xdr:rowOff>622300</xdr:rowOff>
    </xdr:from>
    <xdr:to>
      <xdr:col>10</xdr:col>
      <xdr:colOff>266700</xdr:colOff>
      <xdr:row>18</xdr:row>
      <xdr:rowOff>114300</xdr:rowOff>
    </xdr:to>
    <xdr:graphicFrame macro="">
      <xdr:nvGraphicFramePr>
        <xdr:cNvPr id="5" name="STS_2_Chart">
          <a:extLst>
            <a:ext uri="{FF2B5EF4-FFF2-40B4-BE49-F238E27FC236}">
              <a16:creationId xmlns:a16="http://schemas.microsoft.com/office/drawing/2014/main" id="{BB062563-DA41-114F-AA9F-602172578C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12</xdr:col>
      <xdr:colOff>177800</xdr:colOff>
      <xdr:row>3</xdr:row>
      <xdr:rowOff>139700</xdr:rowOff>
    </xdr:from>
    <xdr:to>
      <xdr:col>20</xdr:col>
      <xdr:colOff>177800</xdr:colOff>
      <xdr:row>16</xdr:row>
      <xdr:rowOff>12700</xdr:rowOff>
    </xdr:to>
    <xdr:graphicFrame macro="">
      <xdr:nvGraphicFramePr>
        <xdr:cNvPr id="2" name="STS_2_Chart">
          <a:extLst>
            <a:ext uri="{FF2B5EF4-FFF2-40B4-BE49-F238E27FC236}">
              <a16:creationId xmlns:a16="http://schemas.microsoft.com/office/drawing/2014/main" id="{FCBEA6A7-DC3B-B34E-A540-046356EEB6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pple/Downloads/Practice%20Chpater%20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nsitivity Report 1"/>
      <sheetName val="5.1 LP"/>
      <sheetName val="5.1 Network"/>
      <sheetName val="5.2"/>
      <sheetName val="5.3"/>
      <sheetName val="5.4"/>
      <sheetName val="P20 Sir Plants can ship"/>
      <sheetName val="P20 Sir Plants cant ship"/>
      <sheetName val="P20"/>
      <sheetName val="5.5 Book"/>
      <sheetName val="P30"/>
      <sheetName val="P67 - Allied Freight"/>
      <sheetName val="P67_STS"/>
      <sheetName val="P67 - STS_1"/>
      <sheetName val="P67- STS_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1">
          <cell r="K1" t="str">
            <v>Sensitivity of Total_Cost to Unit Penalty Cost for Customer 3</v>
          </cell>
        </row>
        <row r="5">
          <cell r="A5">
            <v>10</v>
          </cell>
          <cell r="K5">
            <v>1650</v>
          </cell>
        </row>
        <row r="6">
          <cell r="A6">
            <v>20</v>
          </cell>
          <cell r="K6">
            <v>1950</v>
          </cell>
        </row>
        <row r="7">
          <cell r="A7">
            <v>30</v>
          </cell>
          <cell r="K7">
            <v>2200</v>
          </cell>
        </row>
        <row r="8">
          <cell r="A8">
            <v>40</v>
          </cell>
          <cell r="K8">
            <v>2400</v>
          </cell>
        </row>
        <row r="9">
          <cell r="A9">
            <v>50</v>
          </cell>
          <cell r="K9">
            <v>2600</v>
          </cell>
        </row>
        <row r="10">
          <cell r="A10">
            <v>60</v>
          </cell>
          <cell r="K10">
            <v>2800</v>
          </cell>
        </row>
        <row r="11">
          <cell r="A11">
            <v>70</v>
          </cell>
          <cell r="K11">
            <v>3000</v>
          </cell>
        </row>
        <row r="12">
          <cell r="A12">
            <v>80</v>
          </cell>
          <cell r="K12">
            <v>3000</v>
          </cell>
        </row>
        <row r="13">
          <cell r="A13">
            <v>90</v>
          </cell>
          <cell r="K13">
            <v>3000</v>
          </cell>
        </row>
        <row r="14">
          <cell r="A14">
            <v>100</v>
          </cell>
          <cell r="K14">
            <v>3000</v>
          </cell>
        </row>
        <row r="15">
          <cell r="A15">
            <v>110</v>
          </cell>
          <cell r="K15">
            <v>3000</v>
          </cell>
        </row>
        <row r="16">
          <cell r="A16">
            <v>120</v>
          </cell>
          <cell r="K16">
            <v>3000</v>
          </cell>
        </row>
        <row r="17">
          <cell r="A17">
            <v>130</v>
          </cell>
          <cell r="K17">
            <v>3000</v>
          </cell>
        </row>
        <row r="18">
          <cell r="A18">
            <v>140</v>
          </cell>
          <cell r="K18">
            <v>3000</v>
          </cell>
        </row>
        <row r="19">
          <cell r="A19">
            <v>150</v>
          </cell>
          <cell r="K19">
            <v>3000</v>
          </cell>
        </row>
        <row r="20">
          <cell r="A20">
            <v>160</v>
          </cell>
          <cell r="K20">
            <v>3000</v>
          </cell>
        </row>
        <row r="21">
          <cell r="A21">
            <v>170</v>
          </cell>
          <cell r="K21">
            <v>3000</v>
          </cell>
        </row>
        <row r="22">
          <cell r="A22">
            <v>180</v>
          </cell>
          <cell r="K22">
            <v>3000</v>
          </cell>
        </row>
        <row r="23">
          <cell r="A23">
            <v>190</v>
          </cell>
          <cell r="K23">
            <v>3000</v>
          </cell>
        </row>
        <row r="24">
          <cell r="A24">
            <v>200</v>
          </cell>
          <cell r="K24">
            <v>3000</v>
          </cell>
        </row>
      </sheetData>
      <sheetData sheetId="14">
        <row r="1">
          <cell r="K1" t="str">
            <v>Sensitivity of Total_Cost to Capacity of warehouse 2</v>
          </cell>
        </row>
        <row r="5">
          <cell r="A5">
            <v>0</v>
          </cell>
          <cell r="K5">
            <v>5100</v>
          </cell>
        </row>
        <row r="6">
          <cell r="A6">
            <v>5</v>
          </cell>
          <cell r="K6">
            <v>4700</v>
          </cell>
        </row>
        <row r="7">
          <cell r="A7">
            <v>10</v>
          </cell>
          <cell r="K7">
            <v>4300</v>
          </cell>
        </row>
        <row r="8">
          <cell r="A8">
            <v>15</v>
          </cell>
          <cell r="K8">
            <v>3900</v>
          </cell>
        </row>
        <row r="9">
          <cell r="A9">
            <v>20</v>
          </cell>
          <cell r="K9">
            <v>3500</v>
          </cell>
        </row>
        <row r="10">
          <cell r="A10">
            <v>25</v>
          </cell>
          <cell r="K10">
            <v>3250</v>
          </cell>
        </row>
        <row r="11">
          <cell r="A11">
            <v>30</v>
          </cell>
          <cell r="K11">
            <v>3000</v>
          </cell>
        </row>
        <row r="12">
          <cell r="A12">
            <v>35</v>
          </cell>
          <cell r="K12">
            <v>2750</v>
          </cell>
        </row>
        <row r="13">
          <cell r="A13">
            <v>40</v>
          </cell>
          <cell r="K13">
            <v>2500</v>
          </cell>
        </row>
        <row r="14">
          <cell r="A14">
            <v>45</v>
          </cell>
          <cell r="K14">
            <v>2250</v>
          </cell>
        </row>
        <row r="15">
          <cell r="A15">
            <v>50</v>
          </cell>
          <cell r="K15">
            <v>2000</v>
          </cell>
        </row>
        <row r="16">
          <cell r="A16">
            <v>55</v>
          </cell>
          <cell r="K16">
            <v>1975</v>
          </cell>
        </row>
        <row r="17">
          <cell r="A17">
            <v>60</v>
          </cell>
          <cell r="K17">
            <v>1950</v>
          </cell>
        </row>
        <row r="18">
          <cell r="A18">
            <v>65</v>
          </cell>
          <cell r="K18">
            <v>1950</v>
          </cell>
        </row>
        <row r="19">
          <cell r="A19">
            <v>70</v>
          </cell>
          <cell r="K19">
            <v>1950</v>
          </cell>
        </row>
        <row r="20">
          <cell r="A20">
            <v>75</v>
          </cell>
          <cell r="K20">
            <v>1950</v>
          </cell>
        </row>
        <row r="21">
          <cell r="A21">
            <v>80</v>
          </cell>
          <cell r="K21">
            <v>1950</v>
          </cell>
        </row>
        <row r="22">
          <cell r="A22">
            <v>85</v>
          </cell>
          <cell r="K22">
            <v>1950</v>
          </cell>
        </row>
        <row r="23">
          <cell r="A23">
            <v>90</v>
          </cell>
          <cell r="K23">
            <v>1950</v>
          </cell>
        </row>
        <row r="24">
          <cell r="A24">
            <v>95</v>
          </cell>
          <cell r="K24">
            <v>1950</v>
          </cell>
        </row>
        <row r="25">
          <cell r="A25">
            <v>100</v>
          </cell>
          <cell r="K25">
            <v>1950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72086-D4FF-9848-BCDA-E88FB9B580B6}">
  <dimension ref="A1:K34"/>
  <sheetViews>
    <sheetView zoomScale="98" workbookViewId="0">
      <selection activeCell="B34" sqref="B34"/>
    </sheetView>
  </sheetViews>
  <sheetFormatPr baseColWidth="10" defaultRowHeight="15" x14ac:dyDescent="0.2"/>
  <cols>
    <col min="5" max="5" width="10.83203125" style="2"/>
    <col min="10" max="10" width="10.83203125" style="2"/>
    <col min="11" max="11" width="15.33203125" bestFit="1" customWidth="1"/>
  </cols>
  <sheetData>
    <row r="1" spans="1:11" x14ac:dyDescent="0.2">
      <c r="A1" s="1" t="s">
        <v>1</v>
      </c>
    </row>
    <row r="2" spans="1:11" x14ac:dyDescent="0.2">
      <c r="A2" t="s">
        <v>2</v>
      </c>
      <c r="B2" s="4">
        <v>215</v>
      </c>
    </row>
    <row r="4" spans="1:11" x14ac:dyDescent="0.2">
      <c r="A4" s="1" t="s">
        <v>3</v>
      </c>
      <c r="H4" s="1" t="s">
        <v>9</v>
      </c>
    </row>
    <row r="5" spans="1:11" x14ac:dyDescent="0.2">
      <c r="A5" s="8" t="s">
        <v>4</v>
      </c>
      <c r="B5" s="8" t="s">
        <v>5</v>
      </c>
      <c r="C5" s="8" t="s">
        <v>6</v>
      </c>
      <c r="D5" s="8" t="s">
        <v>7</v>
      </c>
      <c r="E5" s="9"/>
      <c r="F5" s="8" t="s">
        <v>22</v>
      </c>
      <c r="H5" t="s">
        <v>10</v>
      </c>
    </row>
    <row r="6" spans="1:11" x14ac:dyDescent="0.2">
      <c r="A6" s="10">
        <v>1</v>
      </c>
      <c r="B6" s="11">
        <v>2</v>
      </c>
      <c r="C6" s="12">
        <v>5</v>
      </c>
      <c r="D6" s="13">
        <v>0</v>
      </c>
      <c r="E6" s="14" t="s">
        <v>8</v>
      </c>
      <c r="F6" s="15">
        <f>$B$2</f>
        <v>215</v>
      </c>
      <c r="H6" s="8" t="s">
        <v>9</v>
      </c>
      <c r="I6" s="8" t="s">
        <v>11</v>
      </c>
      <c r="J6" s="9"/>
      <c r="K6" s="8" t="s">
        <v>12</v>
      </c>
    </row>
    <row r="7" spans="1:11" x14ac:dyDescent="0.2">
      <c r="A7" s="16">
        <v>1</v>
      </c>
      <c r="B7" s="17">
        <v>3</v>
      </c>
      <c r="C7" s="18">
        <v>3</v>
      </c>
      <c r="D7" s="19">
        <v>180</v>
      </c>
      <c r="E7" s="20" t="s">
        <v>8</v>
      </c>
      <c r="F7" s="21">
        <f t="shared" ref="F7:F31" si="0">$B$2</f>
        <v>215</v>
      </c>
      <c r="H7" s="8">
        <v>1</v>
      </c>
      <c r="I7" s="8">
        <f>SUMIF(Origin_wc,H7, Flow_wc)-SUMIF(Destination_wc, H7, Flow_wc)</f>
        <v>180</v>
      </c>
      <c r="J7" s="9" t="s">
        <v>8</v>
      </c>
      <c r="K7" s="8">
        <v>200</v>
      </c>
    </row>
    <row r="8" spans="1:11" x14ac:dyDescent="0.2">
      <c r="A8" s="16">
        <v>1</v>
      </c>
      <c r="B8" s="17">
        <v>4</v>
      </c>
      <c r="C8" s="18">
        <v>5</v>
      </c>
      <c r="D8" s="19">
        <v>0</v>
      </c>
      <c r="E8" s="20" t="s">
        <v>8</v>
      </c>
      <c r="F8" s="21">
        <f t="shared" si="0"/>
        <v>215</v>
      </c>
      <c r="H8" s="8">
        <v>2</v>
      </c>
      <c r="I8" s="8">
        <f>SUMIF(Origin_wc,H8, Flow_wc)-SUMIF(Destination_wc, H8, Flow_wc)</f>
        <v>300</v>
      </c>
      <c r="J8" s="9" t="s">
        <v>8</v>
      </c>
      <c r="K8" s="8">
        <v>300</v>
      </c>
    </row>
    <row r="9" spans="1:11" x14ac:dyDescent="0.2">
      <c r="A9" s="16">
        <v>1</v>
      </c>
      <c r="B9" s="17">
        <v>5</v>
      </c>
      <c r="C9" s="18">
        <v>5</v>
      </c>
      <c r="D9" s="19">
        <v>0</v>
      </c>
      <c r="E9" s="20" t="s">
        <v>8</v>
      </c>
      <c r="F9" s="21">
        <f t="shared" si="0"/>
        <v>215</v>
      </c>
      <c r="H9" s="8">
        <v>3</v>
      </c>
      <c r="I9" s="8">
        <f>SUMIF(Origin_wc,H9, Flow_wc)-SUMIF(Destination_wc, H9, Flow_wc)</f>
        <v>100</v>
      </c>
      <c r="J9" s="9" t="s">
        <v>8</v>
      </c>
      <c r="K9" s="8">
        <v>100</v>
      </c>
    </row>
    <row r="10" spans="1:11" x14ac:dyDescent="0.2">
      <c r="A10" s="16">
        <v>1</v>
      </c>
      <c r="B10" s="17">
        <v>6</v>
      </c>
      <c r="C10" s="18">
        <v>20</v>
      </c>
      <c r="D10" s="19">
        <v>0</v>
      </c>
      <c r="E10" s="20" t="s">
        <v>8</v>
      </c>
      <c r="F10" s="21">
        <f t="shared" si="0"/>
        <v>215</v>
      </c>
    </row>
    <row r="11" spans="1:11" x14ac:dyDescent="0.2">
      <c r="A11" s="16">
        <v>1</v>
      </c>
      <c r="B11" s="17">
        <v>7</v>
      </c>
      <c r="C11" s="18">
        <v>20</v>
      </c>
      <c r="D11" s="19">
        <v>0</v>
      </c>
      <c r="E11" s="20" t="s">
        <v>8</v>
      </c>
      <c r="F11" s="21">
        <f t="shared" si="0"/>
        <v>215</v>
      </c>
      <c r="H11" t="s">
        <v>13</v>
      </c>
    </row>
    <row r="12" spans="1:11" x14ac:dyDescent="0.2">
      <c r="A12" s="16">
        <v>2</v>
      </c>
      <c r="B12" s="17">
        <v>1</v>
      </c>
      <c r="C12" s="18">
        <v>9</v>
      </c>
      <c r="D12" s="19">
        <v>0</v>
      </c>
      <c r="E12" s="20" t="s">
        <v>8</v>
      </c>
      <c r="F12" s="21">
        <f t="shared" si="0"/>
        <v>215</v>
      </c>
      <c r="H12" s="8" t="s">
        <v>14</v>
      </c>
      <c r="I12" s="8" t="s">
        <v>15</v>
      </c>
      <c r="J12" s="9"/>
      <c r="K12" s="8" t="s">
        <v>16</v>
      </c>
    </row>
    <row r="13" spans="1:11" x14ac:dyDescent="0.2">
      <c r="A13" s="16">
        <v>2</v>
      </c>
      <c r="B13" s="17">
        <v>3</v>
      </c>
      <c r="C13" s="18">
        <v>9</v>
      </c>
      <c r="D13" s="19">
        <v>0</v>
      </c>
      <c r="E13" s="20" t="s">
        <v>8</v>
      </c>
      <c r="F13" s="21">
        <f t="shared" si="0"/>
        <v>215</v>
      </c>
      <c r="H13" s="8">
        <v>4</v>
      </c>
      <c r="I13" s="8">
        <f>SUMIF(Origin_wc, H13,Flow_wc)-SUMIF(Destination_wc, H13, Flow_wc)</f>
        <v>0</v>
      </c>
      <c r="J13" s="9" t="s">
        <v>21</v>
      </c>
      <c r="K13" s="8">
        <v>0</v>
      </c>
    </row>
    <row r="14" spans="1:11" x14ac:dyDescent="0.2">
      <c r="A14" s="16">
        <v>2</v>
      </c>
      <c r="B14" s="17">
        <v>4</v>
      </c>
      <c r="C14" s="18">
        <v>1</v>
      </c>
      <c r="D14" s="19">
        <v>150</v>
      </c>
      <c r="E14" s="20" t="s">
        <v>8</v>
      </c>
      <c r="F14" s="21">
        <f t="shared" si="0"/>
        <v>215</v>
      </c>
      <c r="H14" s="8">
        <v>5</v>
      </c>
      <c r="I14" s="8">
        <f>SUMIF(Origin_wc, H14,Flow_wc)-SUMIF(Destination_wc, H14, Flow_wc)</f>
        <v>0</v>
      </c>
      <c r="J14" s="9" t="s">
        <v>21</v>
      </c>
      <c r="K14" s="8">
        <v>0</v>
      </c>
    </row>
    <row r="15" spans="1:11" x14ac:dyDescent="0.2">
      <c r="A15" s="16">
        <v>2</v>
      </c>
      <c r="B15" s="17">
        <v>5</v>
      </c>
      <c r="C15" s="18">
        <v>1</v>
      </c>
      <c r="D15" s="19">
        <v>0</v>
      </c>
      <c r="E15" s="20" t="s">
        <v>8</v>
      </c>
      <c r="F15" s="21">
        <f t="shared" si="0"/>
        <v>215</v>
      </c>
    </row>
    <row r="16" spans="1:11" x14ac:dyDescent="0.2">
      <c r="A16" s="16">
        <v>2</v>
      </c>
      <c r="B16" s="17">
        <v>6</v>
      </c>
      <c r="C16" s="18">
        <v>8</v>
      </c>
      <c r="D16" s="19">
        <v>150</v>
      </c>
      <c r="E16" s="20" t="s">
        <v>8</v>
      </c>
      <c r="F16" s="21">
        <f t="shared" si="0"/>
        <v>215</v>
      </c>
      <c r="H16" t="s">
        <v>17</v>
      </c>
    </row>
    <row r="17" spans="1:11" x14ac:dyDescent="0.2">
      <c r="A17" s="16">
        <v>2</v>
      </c>
      <c r="B17" s="17">
        <v>7</v>
      </c>
      <c r="C17" s="18">
        <v>15</v>
      </c>
      <c r="D17" s="19">
        <v>0</v>
      </c>
      <c r="E17" s="20" t="s">
        <v>8</v>
      </c>
      <c r="F17" s="21">
        <f t="shared" si="0"/>
        <v>215</v>
      </c>
      <c r="H17" s="8" t="s">
        <v>14</v>
      </c>
      <c r="I17" s="8" t="s">
        <v>18</v>
      </c>
      <c r="J17" s="9"/>
      <c r="K17" s="8" t="s">
        <v>20</v>
      </c>
    </row>
    <row r="18" spans="1:11" x14ac:dyDescent="0.2">
      <c r="A18" s="16">
        <v>3</v>
      </c>
      <c r="B18" s="17">
        <v>1</v>
      </c>
      <c r="C18" s="18">
        <v>0.4</v>
      </c>
      <c r="D18" s="19">
        <v>0</v>
      </c>
      <c r="E18" s="20" t="s">
        <v>8</v>
      </c>
      <c r="F18" s="21">
        <f t="shared" si="0"/>
        <v>215</v>
      </c>
      <c r="H18" s="8">
        <v>6</v>
      </c>
      <c r="I18" s="8">
        <f>SUMIF(Destination_wc,H18, Flow_wc)-SUMIF(Origin_wc, H18, Flow_wc)</f>
        <v>400</v>
      </c>
      <c r="J18" s="9" t="s">
        <v>19</v>
      </c>
      <c r="K18" s="28">
        <v>400</v>
      </c>
    </row>
    <row r="19" spans="1:11" x14ac:dyDescent="0.2">
      <c r="A19" s="16">
        <v>3</v>
      </c>
      <c r="B19" s="17">
        <v>2</v>
      </c>
      <c r="C19" s="18">
        <v>8</v>
      </c>
      <c r="D19" s="19">
        <v>0</v>
      </c>
      <c r="E19" s="20" t="s">
        <v>8</v>
      </c>
      <c r="F19" s="21">
        <f t="shared" si="0"/>
        <v>215</v>
      </c>
      <c r="H19" s="8">
        <v>7</v>
      </c>
      <c r="I19" s="8">
        <f>SUMIF(Destination_wc,H19, Flow_wc)-SUMIF(Origin_wc, H19, Flow_wc)</f>
        <v>180</v>
      </c>
      <c r="J19" s="9" t="s">
        <v>19</v>
      </c>
      <c r="K19" s="28">
        <v>180</v>
      </c>
    </row>
    <row r="20" spans="1:11" x14ac:dyDescent="0.2">
      <c r="A20" s="16">
        <v>3</v>
      </c>
      <c r="B20" s="17">
        <v>4</v>
      </c>
      <c r="C20" s="18">
        <v>1</v>
      </c>
      <c r="D20" s="19">
        <v>65</v>
      </c>
      <c r="E20" s="20" t="s">
        <v>8</v>
      </c>
      <c r="F20" s="21">
        <f t="shared" si="0"/>
        <v>215</v>
      </c>
    </row>
    <row r="21" spans="1:11" x14ac:dyDescent="0.2">
      <c r="A21" s="16">
        <v>3</v>
      </c>
      <c r="B21" s="17">
        <v>5</v>
      </c>
      <c r="C21" s="18">
        <v>0.5</v>
      </c>
      <c r="D21" s="19">
        <v>215</v>
      </c>
      <c r="E21" s="20" t="s">
        <v>8</v>
      </c>
      <c r="F21" s="21">
        <f t="shared" si="0"/>
        <v>215</v>
      </c>
    </row>
    <row r="22" spans="1:11" x14ac:dyDescent="0.2">
      <c r="A22" s="16">
        <v>3</v>
      </c>
      <c r="B22" s="17">
        <v>6</v>
      </c>
      <c r="C22" s="18">
        <v>10</v>
      </c>
      <c r="D22" s="19">
        <v>0</v>
      </c>
      <c r="E22" s="20" t="s">
        <v>8</v>
      </c>
      <c r="F22" s="21">
        <f t="shared" si="0"/>
        <v>215</v>
      </c>
    </row>
    <row r="23" spans="1:11" x14ac:dyDescent="0.2">
      <c r="A23" s="16">
        <v>3</v>
      </c>
      <c r="B23" s="17">
        <v>7</v>
      </c>
      <c r="C23" s="18">
        <v>12</v>
      </c>
      <c r="D23" s="19">
        <v>0</v>
      </c>
      <c r="E23" s="20" t="s">
        <v>8</v>
      </c>
      <c r="F23" s="21">
        <f t="shared" si="0"/>
        <v>215</v>
      </c>
    </row>
    <row r="24" spans="1:11" x14ac:dyDescent="0.2">
      <c r="A24" s="16">
        <v>4</v>
      </c>
      <c r="B24" s="17">
        <v>5</v>
      </c>
      <c r="C24" s="18">
        <v>1.2</v>
      </c>
      <c r="D24" s="19">
        <v>0</v>
      </c>
      <c r="E24" s="20" t="s">
        <v>8</v>
      </c>
      <c r="F24" s="21">
        <f t="shared" si="0"/>
        <v>215</v>
      </c>
    </row>
    <row r="25" spans="1:11" x14ac:dyDescent="0.2">
      <c r="A25" s="16">
        <v>4</v>
      </c>
      <c r="B25" s="17">
        <v>6</v>
      </c>
      <c r="C25" s="18">
        <v>2</v>
      </c>
      <c r="D25" s="19">
        <v>215</v>
      </c>
      <c r="E25" s="20" t="s">
        <v>8</v>
      </c>
      <c r="F25" s="21">
        <f t="shared" si="0"/>
        <v>215</v>
      </c>
    </row>
    <row r="26" spans="1:11" x14ac:dyDescent="0.2">
      <c r="A26" s="16">
        <v>4</v>
      </c>
      <c r="B26" s="17">
        <v>7</v>
      </c>
      <c r="C26" s="18">
        <v>12</v>
      </c>
      <c r="D26" s="19">
        <v>0</v>
      </c>
      <c r="E26" s="20" t="s">
        <v>8</v>
      </c>
      <c r="F26" s="21">
        <f t="shared" si="0"/>
        <v>215</v>
      </c>
    </row>
    <row r="27" spans="1:11" x14ac:dyDescent="0.2">
      <c r="A27" s="16">
        <v>5</v>
      </c>
      <c r="B27" s="17">
        <v>4</v>
      </c>
      <c r="C27" s="18">
        <v>0.8</v>
      </c>
      <c r="D27" s="19">
        <v>0</v>
      </c>
      <c r="E27" s="20" t="s">
        <v>8</v>
      </c>
      <c r="F27" s="21">
        <f t="shared" si="0"/>
        <v>215</v>
      </c>
    </row>
    <row r="28" spans="1:11" x14ac:dyDescent="0.2">
      <c r="A28" s="16">
        <v>5</v>
      </c>
      <c r="B28" s="17">
        <v>6</v>
      </c>
      <c r="C28" s="18">
        <v>2</v>
      </c>
      <c r="D28" s="19">
        <v>215</v>
      </c>
      <c r="E28" s="20" t="s">
        <v>8</v>
      </c>
      <c r="F28" s="21">
        <f t="shared" si="0"/>
        <v>215</v>
      </c>
    </row>
    <row r="29" spans="1:11" x14ac:dyDescent="0.2">
      <c r="A29" s="16">
        <v>5</v>
      </c>
      <c r="B29" s="17">
        <v>7</v>
      </c>
      <c r="C29" s="18">
        <v>12</v>
      </c>
      <c r="D29" s="19">
        <v>0</v>
      </c>
      <c r="E29" s="20" t="s">
        <v>8</v>
      </c>
      <c r="F29" s="21">
        <f t="shared" si="0"/>
        <v>215</v>
      </c>
    </row>
    <row r="30" spans="1:11" x14ac:dyDescent="0.2">
      <c r="A30" s="16">
        <v>6</v>
      </c>
      <c r="B30" s="17">
        <v>7</v>
      </c>
      <c r="C30" s="18">
        <v>1</v>
      </c>
      <c r="D30" s="19">
        <v>180</v>
      </c>
      <c r="E30" s="20" t="s">
        <v>8</v>
      </c>
      <c r="F30" s="21">
        <f t="shared" si="0"/>
        <v>215</v>
      </c>
    </row>
    <row r="31" spans="1:11" x14ac:dyDescent="0.2">
      <c r="A31" s="22">
        <v>7</v>
      </c>
      <c r="B31" s="23">
        <v>6</v>
      </c>
      <c r="C31" s="24">
        <v>7</v>
      </c>
      <c r="D31" s="25">
        <v>0</v>
      </c>
      <c r="E31" s="26" t="s">
        <v>8</v>
      </c>
      <c r="F31" s="27">
        <f t="shared" si="0"/>
        <v>215</v>
      </c>
    </row>
    <row r="33" spans="1:2" x14ac:dyDescent="0.2">
      <c r="A33" s="1" t="s">
        <v>23</v>
      </c>
    </row>
    <row r="34" spans="1:2" x14ac:dyDescent="0.2">
      <c r="A34" s="8" t="s">
        <v>24</v>
      </c>
      <c r="B34" s="29">
        <f>SUMPRODUCT(Unit_cost_wc,Flow_wc)</f>
        <v>3102.5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E830C-27F9-654D-ACCA-A92549C30798}">
  <dimension ref="A1:H45"/>
  <sheetViews>
    <sheetView showGridLines="0" workbookViewId="0">
      <selection activeCell="K33" sqref="K33"/>
    </sheetView>
  </sheetViews>
  <sheetFormatPr baseColWidth="10" defaultRowHeight="15" x14ac:dyDescent="0.2"/>
  <cols>
    <col min="1" max="1" width="2.33203125" customWidth="1"/>
    <col min="2" max="2" width="6.33203125" bestFit="1" customWidth="1"/>
    <col min="3" max="3" width="21" bestFit="1" customWidth="1"/>
    <col min="4" max="4" width="5.6640625" bestFit="1" customWidth="1"/>
    <col min="5" max="5" width="8" bestFit="1" customWidth="1"/>
    <col min="6" max="6" width="9.6640625" bestFit="1" customWidth="1"/>
    <col min="7" max="8" width="9" bestFit="1" customWidth="1"/>
  </cols>
  <sheetData>
    <row r="1" spans="1:8" x14ac:dyDescent="0.2">
      <c r="A1" s="1" t="s">
        <v>32</v>
      </c>
    </row>
    <row r="2" spans="1:8" x14ac:dyDescent="0.2">
      <c r="A2" s="1" t="s">
        <v>33</v>
      </c>
    </row>
    <row r="3" spans="1:8" x14ac:dyDescent="0.2">
      <c r="A3" s="1" t="s">
        <v>34</v>
      </c>
    </row>
    <row r="6" spans="1:8" ht="16" thickBot="1" x14ac:dyDescent="0.25">
      <c r="A6" t="s">
        <v>35</v>
      </c>
    </row>
    <row r="7" spans="1:8" x14ac:dyDescent="0.2">
      <c r="B7" s="37"/>
      <c r="C7" s="37"/>
      <c r="D7" s="37" t="s">
        <v>38</v>
      </c>
      <c r="E7" s="37" t="s">
        <v>40</v>
      </c>
      <c r="F7" s="37" t="s">
        <v>42</v>
      </c>
      <c r="G7" s="37" t="s">
        <v>44</v>
      </c>
      <c r="H7" s="37" t="s">
        <v>44</v>
      </c>
    </row>
    <row r="8" spans="1:8" ht="16" thickBot="1" x14ac:dyDescent="0.25">
      <c r="B8" s="38" t="s">
        <v>36</v>
      </c>
      <c r="C8" s="38" t="s">
        <v>37</v>
      </c>
      <c r="D8" s="38" t="s">
        <v>39</v>
      </c>
      <c r="E8" s="38" t="s">
        <v>41</v>
      </c>
      <c r="F8" s="38" t="s">
        <v>43</v>
      </c>
      <c r="G8" s="38" t="s">
        <v>45</v>
      </c>
      <c r="H8" s="38" t="s">
        <v>46</v>
      </c>
    </row>
    <row r="9" spans="1:8" x14ac:dyDescent="0.2">
      <c r="B9" s="35" t="s">
        <v>52</v>
      </c>
      <c r="C9" s="35" t="s">
        <v>7</v>
      </c>
      <c r="D9" s="35">
        <v>0</v>
      </c>
      <c r="E9" s="35">
        <v>2</v>
      </c>
      <c r="F9" s="35">
        <v>5</v>
      </c>
      <c r="G9" s="35">
        <v>1E+30</v>
      </c>
      <c r="H9" s="35">
        <v>2</v>
      </c>
    </row>
    <row r="10" spans="1:8" x14ac:dyDescent="0.2">
      <c r="B10" s="35" t="s">
        <v>53</v>
      </c>
      <c r="C10" s="35" t="s">
        <v>7</v>
      </c>
      <c r="D10" s="35">
        <v>180</v>
      </c>
      <c r="E10" s="35">
        <v>0</v>
      </c>
      <c r="F10" s="35">
        <v>3</v>
      </c>
      <c r="G10" s="35">
        <v>1</v>
      </c>
      <c r="H10" s="35">
        <v>3</v>
      </c>
    </row>
    <row r="11" spans="1:8" x14ac:dyDescent="0.2">
      <c r="B11" s="35" t="s">
        <v>54</v>
      </c>
      <c r="C11" s="35" t="s">
        <v>7</v>
      </c>
      <c r="D11" s="35">
        <v>0</v>
      </c>
      <c r="E11" s="35">
        <v>1</v>
      </c>
      <c r="F11" s="35">
        <v>5</v>
      </c>
      <c r="G11" s="35">
        <v>1E+30</v>
      </c>
      <c r="H11" s="35">
        <v>1</v>
      </c>
    </row>
    <row r="12" spans="1:8" x14ac:dyDescent="0.2">
      <c r="B12" s="35" t="s">
        <v>55</v>
      </c>
      <c r="C12" s="35" t="s">
        <v>7</v>
      </c>
      <c r="D12" s="35">
        <v>0</v>
      </c>
      <c r="E12" s="35">
        <v>1</v>
      </c>
      <c r="F12" s="35">
        <v>5</v>
      </c>
      <c r="G12" s="35">
        <v>1E+30</v>
      </c>
      <c r="H12" s="35">
        <v>1</v>
      </c>
    </row>
    <row r="13" spans="1:8" x14ac:dyDescent="0.2">
      <c r="B13" s="35" t="s">
        <v>56</v>
      </c>
      <c r="C13" s="35" t="s">
        <v>7</v>
      </c>
      <c r="D13" s="35">
        <v>0</v>
      </c>
      <c r="E13" s="35">
        <v>9</v>
      </c>
      <c r="F13" s="35">
        <v>20</v>
      </c>
      <c r="G13" s="35">
        <v>1E+30</v>
      </c>
      <c r="H13" s="35">
        <v>9</v>
      </c>
    </row>
    <row r="14" spans="1:8" x14ac:dyDescent="0.2">
      <c r="B14" s="35" t="s">
        <v>57</v>
      </c>
      <c r="C14" s="35" t="s">
        <v>7</v>
      </c>
      <c r="D14" s="35">
        <v>0</v>
      </c>
      <c r="E14" s="35">
        <v>8</v>
      </c>
      <c r="F14" s="35">
        <v>20</v>
      </c>
      <c r="G14" s="35">
        <v>1E+30</v>
      </c>
      <c r="H14" s="35">
        <v>8</v>
      </c>
    </row>
    <row r="15" spans="1:8" x14ac:dyDescent="0.2">
      <c r="B15" s="35" t="s">
        <v>58</v>
      </c>
      <c r="C15" s="35" t="s">
        <v>7</v>
      </c>
      <c r="D15" s="35">
        <v>0</v>
      </c>
      <c r="E15" s="35">
        <v>12</v>
      </c>
      <c r="F15" s="35">
        <v>9</v>
      </c>
      <c r="G15" s="35">
        <v>1E+30</v>
      </c>
      <c r="H15" s="35">
        <v>12</v>
      </c>
    </row>
    <row r="16" spans="1:8" x14ac:dyDescent="0.2">
      <c r="B16" s="35" t="s">
        <v>59</v>
      </c>
      <c r="C16" s="35" t="s">
        <v>7</v>
      </c>
      <c r="D16" s="35">
        <v>0</v>
      </c>
      <c r="E16" s="35">
        <v>9</v>
      </c>
      <c r="F16" s="35">
        <v>9</v>
      </c>
      <c r="G16" s="35">
        <v>1E+30</v>
      </c>
      <c r="H16" s="35">
        <v>9</v>
      </c>
    </row>
    <row r="17" spans="2:8" x14ac:dyDescent="0.2">
      <c r="B17" s="35" t="s">
        <v>60</v>
      </c>
      <c r="C17" s="35" t="s">
        <v>7</v>
      </c>
      <c r="D17" s="35">
        <v>150</v>
      </c>
      <c r="E17" s="35">
        <v>0</v>
      </c>
      <c r="F17" s="35">
        <v>1</v>
      </c>
      <c r="G17" s="35">
        <v>0.5</v>
      </c>
      <c r="H17" s="35">
        <v>1</v>
      </c>
    </row>
    <row r="18" spans="2:8" x14ac:dyDescent="0.2">
      <c r="B18" s="35" t="s">
        <v>61</v>
      </c>
      <c r="C18" s="35" t="s">
        <v>7</v>
      </c>
      <c r="D18" s="35">
        <v>0</v>
      </c>
      <c r="E18" s="35">
        <v>0</v>
      </c>
      <c r="F18" s="35">
        <v>1</v>
      </c>
      <c r="G18" s="35">
        <v>1</v>
      </c>
      <c r="H18" s="35">
        <v>0.5</v>
      </c>
    </row>
    <row r="19" spans="2:8" x14ac:dyDescent="0.2">
      <c r="B19" s="35" t="s">
        <v>62</v>
      </c>
      <c r="C19" s="35" t="s">
        <v>7</v>
      </c>
      <c r="D19" s="35">
        <v>150</v>
      </c>
      <c r="E19" s="35">
        <v>0</v>
      </c>
      <c r="F19" s="35">
        <v>8</v>
      </c>
      <c r="G19" s="35">
        <v>2</v>
      </c>
      <c r="H19" s="35">
        <v>5</v>
      </c>
    </row>
    <row r="20" spans="2:8" x14ac:dyDescent="0.2">
      <c r="B20" s="35" t="s">
        <v>63</v>
      </c>
      <c r="C20" s="35" t="s">
        <v>7</v>
      </c>
      <c r="D20" s="35">
        <v>0</v>
      </c>
      <c r="E20" s="35">
        <v>6</v>
      </c>
      <c r="F20" s="35">
        <v>15</v>
      </c>
      <c r="G20" s="35">
        <v>1E+30</v>
      </c>
      <c r="H20" s="35">
        <v>6</v>
      </c>
    </row>
    <row r="21" spans="2:8" x14ac:dyDescent="0.2">
      <c r="B21" s="35" t="s">
        <v>64</v>
      </c>
      <c r="C21" s="35" t="s">
        <v>7</v>
      </c>
      <c r="D21" s="35">
        <v>0</v>
      </c>
      <c r="E21" s="35">
        <v>3.4000000000000057</v>
      </c>
      <c r="F21" s="35">
        <v>0.40000000000000568</v>
      </c>
      <c r="G21" s="35">
        <v>1E+30</v>
      </c>
      <c r="H21" s="35">
        <v>3.4000000000000057</v>
      </c>
    </row>
    <row r="22" spans="2:8" x14ac:dyDescent="0.2">
      <c r="B22" s="35" t="s">
        <v>65</v>
      </c>
      <c r="C22" s="35" t="s">
        <v>7</v>
      </c>
      <c r="D22" s="35">
        <v>0</v>
      </c>
      <c r="E22" s="35">
        <v>8</v>
      </c>
      <c r="F22" s="35">
        <v>8</v>
      </c>
      <c r="G22" s="35">
        <v>1E+30</v>
      </c>
      <c r="H22" s="35">
        <v>8</v>
      </c>
    </row>
    <row r="23" spans="2:8" x14ac:dyDescent="0.2">
      <c r="B23" s="35" t="s">
        <v>66</v>
      </c>
      <c r="C23" s="35" t="s">
        <v>7</v>
      </c>
      <c r="D23" s="35">
        <v>65</v>
      </c>
      <c r="E23" s="35">
        <v>0</v>
      </c>
      <c r="F23" s="35">
        <v>1</v>
      </c>
      <c r="G23" s="35">
        <v>1</v>
      </c>
      <c r="H23" s="35">
        <v>0.5</v>
      </c>
    </row>
    <row r="24" spans="2:8" x14ac:dyDescent="0.2">
      <c r="B24" s="35" t="s">
        <v>67</v>
      </c>
      <c r="C24" s="35" t="s">
        <v>7</v>
      </c>
      <c r="D24" s="35">
        <v>215</v>
      </c>
      <c r="E24" s="35">
        <v>-0.5</v>
      </c>
      <c r="F24" s="35">
        <v>0.5</v>
      </c>
      <c r="G24" s="35">
        <v>0.5</v>
      </c>
      <c r="H24" s="35">
        <v>1E+30</v>
      </c>
    </row>
    <row r="25" spans="2:8" x14ac:dyDescent="0.2">
      <c r="B25" s="35" t="s">
        <v>68</v>
      </c>
      <c r="C25" s="35" t="s">
        <v>7</v>
      </c>
      <c r="D25" s="35">
        <v>0</v>
      </c>
      <c r="E25" s="35">
        <v>2</v>
      </c>
      <c r="F25" s="35">
        <v>10</v>
      </c>
      <c r="G25" s="35">
        <v>1E+30</v>
      </c>
      <c r="H25" s="35">
        <v>2</v>
      </c>
    </row>
    <row r="26" spans="2:8" x14ac:dyDescent="0.2">
      <c r="B26" s="35" t="s">
        <v>69</v>
      </c>
      <c r="C26" s="35" t="s">
        <v>7</v>
      </c>
      <c r="D26" s="35">
        <v>0</v>
      </c>
      <c r="E26" s="35">
        <v>3</v>
      </c>
      <c r="F26" s="35">
        <v>12</v>
      </c>
      <c r="G26" s="35">
        <v>1E+30</v>
      </c>
      <c r="H26" s="35">
        <v>3</v>
      </c>
    </row>
    <row r="27" spans="2:8" x14ac:dyDescent="0.2">
      <c r="B27" s="35" t="s">
        <v>70</v>
      </c>
      <c r="C27" s="35" t="s">
        <v>7</v>
      </c>
      <c r="D27" s="35">
        <v>0</v>
      </c>
      <c r="E27" s="35">
        <v>1.1999999999999886</v>
      </c>
      <c r="F27" s="35">
        <v>1.1999999999999886</v>
      </c>
      <c r="G27" s="35">
        <v>1E+30</v>
      </c>
      <c r="H27" s="35">
        <v>1.1999999999999886</v>
      </c>
    </row>
    <row r="28" spans="2:8" x14ac:dyDescent="0.2">
      <c r="B28" s="35" t="s">
        <v>71</v>
      </c>
      <c r="C28" s="35" t="s">
        <v>7</v>
      </c>
      <c r="D28" s="35">
        <v>215</v>
      </c>
      <c r="E28" s="35">
        <v>-5</v>
      </c>
      <c r="F28" s="35">
        <v>2</v>
      </c>
      <c r="G28" s="35">
        <v>5</v>
      </c>
      <c r="H28" s="35">
        <v>1E+30</v>
      </c>
    </row>
    <row r="29" spans="2:8" x14ac:dyDescent="0.2">
      <c r="B29" s="35" t="s">
        <v>72</v>
      </c>
      <c r="C29" s="35" t="s">
        <v>7</v>
      </c>
      <c r="D29" s="35">
        <v>0</v>
      </c>
      <c r="E29" s="35">
        <v>4</v>
      </c>
      <c r="F29" s="35">
        <v>12</v>
      </c>
      <c r="G29" s="35">
        <v>1E+30</v>
      </c>
      <c r="H29" s="35">
        <v>4</v>
      </c>
    </row>
    <row r="30" spans="2:8" x14ac:dyDescent="0.2">
      <c r="B30" s="35" t="s">
        <v>73</v>
      </c>
      <c r="C30" s="35" t="s">
        <v>7</v>
      </c>
      <c r="D30" s="35">
        <v>0</v>
      </c>
      <c r="E30" s="35">
        <v>0.80000000000001137</v>
      </c>
      <c r="F30" s="35">
        <v>0.80000000000001137</v>
      </c>
      <c r="G30" s="35">
        <v>1E+30</v>
      </c>
      <c r="H30" s="35">
        <v>0.80000000000001137</v>
      </c>
    </row>
    <row r="31" spans="2:8" x14ac:dyDescent="0.2">
      <c r="B31" s="35" t="s">
        <v>74</v>
      </c>
      <c r="C31" s="35" t="s">
        <v>7</v>
      </c>
      <c r="D31" s="35">
        <v>215</v>
      </c>
      <c r="E31" s="35">
        <v>-5</v>
      </c>
      <c r="F31" s="35">
        <v>2</v>
      </c>
      <c r="G31" s="35">
        <v>5</v>
      </c>
      <c r="H31" s="35">
        <v>1E+30</v>
      </c>
    </row>
    <row r="32" spans="2:8" x14ac:dyDescent="0.2">
      <c r="B32" s="35" t="s">
        <v>75</v>
      </c>
      <c r="C32" s="35" t="s">
        <v>7</v>
      </c>
      <c r="D32" s="35">
        <v>0</v>
      </c>
      <c r="E32" s="35">
        <v>4</v>
      </c>
      <c r="F32" s="35">
        <v>12</v>
      </c>
      <c r="G32" s="35">
        <v>1E+30</v>
      </c>
      <c r="H32" s="35">
        <v>4</v>
      </c>
    </row>
    <row r="33" spans="1:8" x14ac:dyDescent="0.2">
      <c r="B33" s="35" t="s">
        <v>76</v>
      </c>
      <c r="C33" s="35" t="s">
        <v>7</v>
      </c>
      <c r="D33" s="35">
        <v>180</v>
      </c>
      <c r="E33" s="35">
        <v>0</v>
      </c>
      <c r="F33" s="35">
        <v>1</v>
      </c>
      <c r="G33" s="35">
        <v>3</v>
      </c>
      <c r="H33" s="35">
        <v>8</v>
      </c>
    </row>
    <row r="34" spans="1:8" ht="16" thickBot="1" x14ac:dyDescent="0.25">
      <c r="B34" s="36" t="s">
        <v>77</v>
      </c>
      <c r="C34" s="36" t="s">
        <v>7</v>
      </c>
      <c r="D34" s="36">
        <v>0</v>
      </c>
      <c r="E34" s="36">
        <v>8</v>
      </c>
      <c r="F34" s="36">
        <v>7</v>
      </c>
      <c r="G34" s="36">
        <v>1E+30</v>
      </c>
      <c r="H34" s="36">
        <v>8</v>
      </c>
    </row>
    <row r="36" spans="1:8" ht="16" thickBot="1" x14ac:dyDescent="0.25">
      <c r="A36" t="s">
        <v>47</v>
      </c>
    </row>
    <row r="37" spans="1:8" x14ac:dyDescent="0.2">
      <c r="B37" s="37"/>
      <c r="C37" s="37"/>
      <c r="D37" s="37" t="s">
        <v>38</v>
      </c>
      <c r="E37" s="37" t="s">
        <v>48</v>
      </c>
      <c r="F37" s="37" t="s">
        <v>50</v>
      </c>
      <c r="G37" s="37" t="s">
        <v>44</v>
      </c>
      <c r="H37" s="37" t="s">
        <v>44</v>
      </c>
    </row>
    <row r="38" spans="1:8" ht="16" thickBot="1" x14ac:dyDescent="0.25">
      <c r="B38" s="38" t="s">
        <v>36</v>
      </c>
      <c r="C38" s="38" t="s">
        <v>37</v>
      </c>
      <c r="D38" s="38" t="s">
        <v>39</v>
      </c>
      <c r="E38" s="38" t="s">
        <v>49</v>
      </c>
      <c r="F38" s="38" t="s">
        <v>51</v>
      </c>
      <c r="G38" s="38" t="s">
        <v>45</v>
      </c>
      <c r="H38" s="38" t="s">
        <v>46</v>
      </c>
    </row>
    <row r="39" spans="1:8" x14ac:dyDescent="0.2">
      <c r="B39" s="35" t="s">
        <v>78</v>
      </c>
      <c r="C39" s="35" t="s">
        <v>79</v>
      </c>
      <c r="D39" s="35">
        <v>400</v>
      </c>
      <c r="E39" s="35">
        <v>11</v>
      </c>
      <c r="F39" s="35">
        <v>400</v>
      </c>
      <c r="G39" s="35">
        <v>20</v>
      </c>
      <c r="H39" s="35">
        <v>65</v>
      </c>
    </row>
    <row r="40" spans="1:8" x14ac:dyDescent="0.2">
      <c r="B40" s="35" t="s">
        <v>80</v>
      </c>
      <c r="C40" s="35" t="s">
        <v>79</v>
      </c>
      <c r="D40" s="35">
        <v>180</v>
      </c>
      <c r="E40" s="35">
        <v>12</v>
      </c>
      <c r="F40" s="35">
        <v>180</v>
      </c>
      <c r="G40" s="35">
        <v>20</v>
      </c>
      <c r="H40" s="35">
        <v>65</v>
      </c>
    </row>
    <row r="41" spans="1:8" x14ac:dyDescent="0.2">
      <c r="B41" s="35" t="s">
        <v>81</v>
      </c>
      <c r="C41" s="35" t="s">
        <v>82</v>
      </c>
      <c r="D41" s="35">
        <v>180</v>
      </c>
      <c r="E41" s="35">
        <v>0</v>
      </c>
      <c r="F41" s="35">
        <v>200</v>
      </c>
      <c r="G41" s="35">
        <v>1E+30</v>
      </c>
      <c r="H41" s="35">
        <v>20</v>
      </c>
    </row>
    <row r="42" spans="1:8" x14ac:dyDescent="0.2">
      <c r="B42" s="35" t="s">
        <v>83</v>
      </c>
      <c r="C42" s="35" t="s">
        <v>82</v>
      </c>
      <c r="D42" s="35">
        <v>300</v>
      </c>
      <c r="E42" s="35">
        <v>-3</v>
      </c>
      <c r="F42" s="35">
        <v>300</v>
      </c>
      <c r="G42" s="35">
        <v>65</v>
      </c>
      <c r="H42" s="35">
        <v>20</v>
      </c>
    </row>
    <row r="43" spans="1:8" x14ac:dyDescent="0.2">
      <c r="B43" s="35" t="s">
        <v>84</v>
      </c>
      <c r="C43" s="35" t="s">
        <v>82</v>
      </c>
      <c r="D43" s="35">
        <v>100</v>
      </c>
      <c r="E43" s="35">
        <v>-3</v>
      </c>
      <c r="F43" s="35">
        <v>100</v>
      </c>
      <c r="G43" s="35">
        <v>180</v>
      </c>
      <c r="H43" s="35">
        <v>20</v>
      </c>
    </row>
    <row r="44" spans="1:8" x14ac:dyDescent="0.2">
      <c r="B44" s="35" t="s">
        <v>85</v>
      </c>
      <c r="C44" s="35" t="s">
        <v>86</v>
      </c>
      <c r="D44" s="35">
        <v>0</v>
      </c>
      <c r="E44" s="35">
        <v>-4</v>
      </c>
      <c r="F44" s="35">
        <v>0</v>
      </c>
      <c r="G44" s="35">
        <v>65</v>
      </c>
      <c r="H44" s="35">
        <v>20</v>
      </c>
    </row>
    <row r="45" spans="1:8" ht="16" thickBot="1" x14ac:dyDescent="0.25">
      <c r="B45" s="36" t="s">
        <v>87</v>
      </c>
      <c r="C45" s="36" t="s">
        <v>86</v>
      </c>
      <c r="D45" s="36">
        <v>0</v>
      </c>
      <c r="E45" s="36">
        <v>-4</v>
      </c>
      <c r="F45" s="36">
        <v>0</v>
      </c>
      <c r="G45" s="36">
        <v>0</v>
      </c>
      <c r="H45" s="36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1782A-DECF-40BF-AE1F-A270DB90EC6B}">
  <dimension ref="A1:K71"/>
  <sheetViews>
    <sheetView workbookViewId="0">
      <selection activeCell="B36" sqref="B36"/>
    </sheetView>
  </sheetViews>
  <sheetFormatPr baseColWidth="10" defaultColWidth="8.83203125" defaultRowHeight="15" x14ac:dyDescent="0.2"/>
  <cols>
    <col min="1" max="1" width="14.1640625" customWidth="1"/>
    <col min="2" max="2" width="11.33203125" bestFit="1" customWidth="1"/>
    <col min="5" max="5" width="9.1640625" style="2"/>
    <col min="10" max="10" width="9.1640625" style="2"/>
  </cols>
  <sheetData>
    <row r="1" spans="1:11" x14ac:dyDescent="0.2">
      <c r="A1" s="1" t="s">
        <v>0</v>
      </c>
    </row>
    <row r="3" spans="1:11" x14ac:dyDescent="0.2">
      <c r="A3" s="1" t="s">
        <v>1</v>
      </c>
    </row>
    <row r="4" spans="1:11" x14ac:dyDescent="0.2">
      <c r="A4" t="s">
        <v>2</v>
      </c>
      <c r="B4" s="4">
        <v>215</v>
      </c>
    </row>
    <row r="6" spans="1:11" x14ac:dyDescent="0.2">
      <c r="A6" s="1" t="s">
        <v>3</v>
      </c>
      <c r="H6" s="1" t="s">
        <v>9</v>
      </c>
    </row>
    <row r="7" spans="1:11" x14ac:dyDescent="0.2">
      <c r="A7" t="s">
        <v>4</v>
      </c>
      <c r="B7" t="s">
        <v>5</v>
      </c>
      <c r="C7" t="s">
        <v>6</v>
      </c>
      <c r="D7" t="s">
        <v>7</v>
      </c>
      <c r="F7" t="s">
        <v>22</v>
      </c>
      <c r="H7" t="s">
        <v>10</v>
      </c>
    </row>
    <row r="8" spans="1:11" x14ac:dyDescent="0.2">
      <c r="A8" s="5">
        <v>1</v>
      </c>
      <c r="B8" s="5">
        <v>2</v>
      </c>
      <c r="C8" s="5">
        <v>5</v>
      </c>
      <c r="D8" s="5">
        <v>0</v>
      </c>
      <c r="E8" s="6" t="s">
        <v>8</v>
      </c>
      <c r="F8" s="5">
        <v>0</v>
      </c>
      <c r="H8" t="s">
        <v>9</v>
      </c>
      <c r="I8" t="s">
        <v>11</v>
      </c>
      <c r="K8" t="s">
        <v>12</v>
      </c>
    </row>
    <row r="9" spans="1:11" x14ac:dyDescent="0.2">
      <c r="A9" s="5">
        <v>1</v>
      </c>
      <c r="B9" s="5">
        <v>3</v>
      </c>
      <c r="C9" s="5">
        <v>3</v>
      </c>
      <c r="D9" s="5">
        <v>0</v>
      </c>
      <c r="E9" s="6" t="s">
        <v>8</v>
      </c>
      <c r="F9" s="5">
        <v>0</v>
      </c>
      <c r="H9">
        <v>1</v>
      </c>
      <c r="I9">
        <f>SUMIF(Origin,H9, Flow)-SUMIF(Destination, H9, Flow)</f>
        <v>180</v>
      </c>
      <c r="J9" s="2" t="s">
        <v>8</v>
      </c>
      <c r="K9" s="4">
        <v>200</v>
      </c>
    </row>
    <row r="10" spans="1:11" x14ac:dyDescent="0.2">
      <c r="A10">
        <v>1</v>
      </c>
      <c r="B10">
        <v>4</v>
      </c>
      <c r="C10" s="4">
        <v>5</v>
      </c>
      <c r="D10" s="3">
        <v>0</v>
      </c>
      <c r="E10" s="2" t="s">
        <v>8</v>
      </c>
      <c r="F10" s="4">
        <f t="shared" ref="F9:F33" si="0">$B$4</f>
        <v>215</v>
      </c>
      <c r="H10">
        <v>2</v>
      </c>
      <c r="I10">
        <f>SUMIF(Origin,H10, Flow)-SUMIF(Destination, H10, Flow)</f>
        <v>300</v>
      </c>
      <c r="J10" s="2" t="s">
        <v>8</v>
      </c>
      <c r="K10" s="4">
        <v>300</v>
      </c>
    </row>
    <row r="11" spans="1:11" x14ac:dyDescent="0.2">
      <c r="A11">
        <v>1</v>
      </c>
      <c r="B11">
        <v>5</v>
      </c>
      <c r="C11" s="4">
        <v>5</v>
      </c>
      <c r="D11" s="3">
        <v>180</v>
      </c>
      <c r="E11" s="2" t="s">
        <v>8</v>
      </c>
      <c r="F11" s="4">
        <f t="shared" si="0"/>
        <v>215</v>
      </c>
      <c r="H11">
        <v>3</v>
      </c>
      <c r="I11">
        <f>SUMIF(Origin,H11, Flow)-SUMIF(Destination, H11, Flow)</f>
        <v>100</v>
      </c>
      <c r="J11" s="2" t="s">
        <v>8</v>
      </c>
      <c r="K11" s="4">
        <v>100</v>
      </c>
    </row>
    <row r="12" spans="1:11" x14ac:dyDescent="0.2">
      <c r="A12">
        <v>1</v>
      </c>
      <c r="B12">
        <v>6</v>
      </c>
      <c r="C12" s="4">
        <v>20</v>
      </c>
      <c r="D12" s="3">
        <v>0</v>
      </c>
      <c r="E12" s="2" t="s">
        <v>8</v>
      </c>
      <c r="F12" s="4">
        <f t="shared" si="0"/>
        <v>215</v>
      </c>
    </row>
    <row r="13" spans="1:11" x14ac:dyDescent="0.2">
      <c r="A13">
        <v>1</v>
      </c>
      <c r="B13">
        <v>7</v>
      </c>
      <c r="C13" s="4">
        <v>20</v>
      </c>
      <c r="D13" s="3">
        <v>0</v>
      </c>
      <c r="E13" s="2" t="s">
        <v>8</v>
      </c>
      <c r="F13" s="4">
        <f t="shared" si="0"/>
        <v>215</v>
      </c>
      <c r="H13" t="s">
        <v>13</v>
      </c>
    </row>
    <row r="14" spans="1:11" x14ac:dyDescent="0.2">
      <c r="A14" s="5">
        <v>2</v>
      </c>
      <c r="B14" s="5">
        <v>1</v>
      </c>
      <c r="C14" s="5">
        <v>9</v>
      </c>
      <c r="D14" s="5">
        <v>0</v>
      </c>
      <c r="E14" s="6" t="s">
        <v>8</v>
      </c>
      <c r="F14" s="5">
        <v>0</v>
      </c>
      <c r="H14" t="s">
        <v>14</v>
      </c>
      <c r="I14" t="s">
        <v>15</v>
      </c>
      <c r="K14" t="s">
        <v>16</v>
      </c>
    </row>
    <row r="15" spans="1:11" x14ac:dyDescent="0.2">
      <c r="A15" s="5">
        <v>2</v>
      </c>
      <c r="B15" s="5">
        <v>3</v>
      </c>
      <c r="C15" s="5">
        <v>9</v>
      </c>
      <c r="D15" s="5">
        <v>0</v>
      </c>
      <c r="E15" s="6" t="s">
        <v>8</v>
      </c>
      <c r="F15" s="5">
        <v>0</v>
      </c>
      <c r="H15">
        <v>4</v>
      </c>
      <c r="I15">
        <f>SUMIF(Origin, H15,Flow)-SUMIF(Destination, H15, Flow)</f>
        <v>0</v>
      </c>
      <c r="J15" s="2" t="s">
        <v>21</v>
      </c>
      <c r="K15">
        <v>0</v>
      </c>
    </row>
    <row r="16" spans="1:11" x14ac:dyDescent="0.2">
      <c r="A16">
        <v>2</v>
      </c>
      <c r="B16">
        <v>4</v>
      </c>
      <c r="C16" s="4">
        <v>1</v>
      </c>
      <c r="D16" s="3">
        <v>215</v>
      </c>
      <c r="E16" s="2" t="s">
        <v>8</v>
      </c>
      <c r="F16" s="4">
        <f t="shared" si="0"/>
        <v>215</v>
      </c>
      <c r="H16">
        <v>5</v>
      </c>
      <c r="I16">
        <f>SUMIF(Origin, H16,Flow)-SUMIF(Destination, H16, Flow)</f>
        <v>0</v>
      </c>
      <c r="J16" s="2" t="s">
        <v>21</v>
      </c>
      <c r="K16">
        <v>0</v>
      </c>
    </row>
    <row r="17" spans="1:11" x14ac:dyDescent="0.2">
      <c r="A17">
        <v>2</v>
      </c>
      <c r="B17">
        <v>5</v>
      </c>
      <c r="C17" s="4">
        <v>1</v>
      </c>
      <c r="D17" s="3">
        <v>85</v>
      </c>
      <c r="E17" s="2" t="s">
        <v>8</v>
      </c>
      <c r="F17" s="4">
        <f t="shared" si="0"/>
        <v>215</v>
      </c>
    </row>
    <row r="18" spans="1:11" x14ac:dyDescent="0.2">
      <c r="A18">
        <v>2</v>
      </c>
      <c r="B18">
        <v>6</v>
      </c>
      <c r="C18" s="4">
        <v>8</v>
      </c>
      <c r="D18" s="3">
        <v>0</v>
      </c>
      <c r="E18" s="2" t="s">
        <v>8</v>
      </c>
      <c r="F18" s="4">
        <f t="shared" si="0"/>
        <v>215</v>
      </c>
      <c r="H18" t="s">
        <v>17</v>
      </c>
    </row>
    <row r="19" spans="1:11" x14ac:dyDescent="0.2">
      <c r="A19">
        <v>2</v>
      </c>
      <c r="B19">
        <v>7</v>
      </c>
      <c r="C19" s="4">
        <v>15</v>
      </c>
      <c r="D19" s="3">
        <v>0</v>
      </c>
      <c r="E19" s="2" t="s">
        <v>8</v>
      </c>
      <c r="F19" s="4">
        <f t="shared" si="0"/>
        <v>215</v>
      </c>
      <c r="H19" t="s">
        <v>14</v>
      </c>
      <c r="I19" t="s">
        <v>18</v>
      </c>
      <c r="K19" t="s">
        <v>20</v>
      </c>
    </row>
    <row r="20" spans="1:11" x14ac:dyDescent="0.2">
      <c r="A20" s="5">
        <v>3</v>
      </c>
      <c r="B20" s="5">
        <v>1</v>
      </c>
      <c r="C20" s="5">
        <v>0.4</v>
      </c>
      <c r="D20" s="5">
        <v>0</v>
      </c>
      <c r="E20" s="6" t="s">
        <v>8</v>
      </c>
      <c r="F20" s="5">
        <v>0</v>
      </c>
      <c r="H20">
        <v>6</v>
      </c>
      <c r="I20">
        <f>SUMIF(Destination,H20, Flow)-SUMIF(Origin, H20, Flow)</f>
        <v>400</v>
      </c>
      <c r="J20" s="2" t="s">
        <v>19</v>
      </c>
      <c r="K20" s="4">
        <v>400</v>
      </c>
    </row>
    <row r="21" spans="1:11" x14ac:dyDescent="0.2">
      <c r="A21" s="5">
        <v>3</v>
      </c>
      <c r="B21" s="5">
        <v>2</v>
      </c>
      <c r="C21" s="5">
        <v>8</v>
      </c>
      <c r="D21" s="5">
        <v>0</v>
      </c>
      <c r="E21" s="6" t="s">
        <v>8</v>
      </c>
      <c r="F21" s="5">
        <v>0</v>
      </c>
      <c r="H21">
        <v>7</v>
      </c>
      <c r="I21">
        <f>SUMIF(Destination,H21, Flow)-SUMIF(Origin, H21, Flow)</f>
        <v>180</v>
      </c>
      <c r="J21" s="2" t="s">
        <v>19</v>
      </c>
      <c r="K21" s="4">
        <v>180</v>
      </c>
    </row>
    <row r="22" spans="1:11" x14ac:dyDescent="0.2">
      <c r="A22">
        <v>3</v>
      </c>
      <c r="B22">
        <v>4</v>
      </c>
      <c r="C22" s="4">
        <v>1</v>
      </c>
      <c r="D22" s="3">
        <v>0</v>
      </c>
      <c r="E22" s="2" t="s">
        <v>8</v>
      </c>
      <c r="F22" s="4">
        <f t="shared" si="0"/>
        <v>215</v>
      </c>
    </row>
    <row r="23" spans="1:11" x14ac:dyDescent="0.2">
      <c r="A23">
        <v>3</v>
      </c>
      <c r="B23">
        <v>5</v>
      </c>
      <c r="C23" s="4">
        <v>0.5</v>
      </c>
      <c r="D23" s="3">
        <v>0</v>
      </c>
      <c r="E23" s="2" t="s">
        <v>8</v>
      </c>
      <c r="F23" s="4">
        <f t="shared" si="0"/>
        <v>215</v>
      </c>
    </row>
    <row r="24" spans="1:11" x14ac:dyDescent="0.2">
      <c r="A24">
        <v>3</v>
      </c>
      <c r="B24">
        <v>6</v>
      </c>
      <c r="C24" s="4">
        <v>10</v>
      </c>
      <c r="D24" s="3">
        <v>0</v>
      </c>
      <c r="E24" s="2" t="s">
        <v>8</v>
      </c>
      <c r="F24" s="4">
        <f t="shared" si="0"/>
        <v>215</v>
      </c>
    </row>
    <row r="25" spans="1:11" x14ac:dyDescent="0.2">
      <c r="A25">
        <v>3</v>
      </c>
      <c r="B25">
        <v>7</v>
      </c>
      <c r="C25" s="4">
        <v>12</v>
      </c>
      <c r="D25" s="3">
        <v>100</v>
      </c>
      <c r="E25" s="2" t="s">
        <v>8</v>
      </c>
      <c r="F25" s="4">
        <f t="shared" si="0"/>
        <v>215</v>
      </c>
    </row>
    <row r="26" spans="1:11" x14ac:dyDescent="0.2">
      <c r="A26">
        <v>4</v>
      </c>
      <c r="B26">
        <v>5</v>
      </c>
      <c r="C26" s="4">
        <v>1.2</v>
      </c>
      <c r="D26" s="3">
        <v>0</v>
      </c>
      <c r="E26" s="2" t="s">
        <v>8</v>
      </c>
      <c r="F26" s="4">
        <f t="shared" si="0"/>
        <v>215</v>
      </c>
    </row>
    <row r="27" spans="1:11" x14ac:dyDescent="0.2">
      <c r="A27">
        <v>4</v>
      </c>
      <c r="B27">
        <v>6</v>
      </c>
      <c r="C27" s="4">
        <v>2</v>
      </c>
      <c r="D27" s="3">
        <v>215</v>
      </c>
      <c r="E27" s="2" t="s">
        <v>8</v>
      </c>
      <c r="F27" s="4">
        <f t="shared" si="0"/>
        <v>215</v>
      </c>
    </row>
    <row r="28" spans="1:11" x14ac:dyDescent="0.2">
      <c r="A28">
        <v>4</v>
      </c>
      <c r="B28">
        <v>7</v>
      </c>
      <c r="C28" s="4">
        <v>12</v>
      </c>
      <c r="D28" s="3">
        <v>0</v>
      </c>
      <c r="E28" s="2" t="s">
        <v>8</v>
      </c>
      <c r="F28" s="4">
        <f t="shared" si="0"/>
        <v>215</v>
      </c>
    </row>
    <row r="29" spans="1:11" x14ac:dyDescent="0.2">
      <c r="A29">
        <v>5</v>
      </c>
      <c r="B29">
        <v>4</v>
      </c>
      <c r="C29" s="4">
        <v>0.8</v>
      </c>
      <c r="D29" s="3">
        <v>0</v>
      </c>
      <c r="E29" s="2" t="s">
        <v>8</v>
      </c>
      <c r="F29" s="4">
        <f t="shared" si="0"/>
        <v>215</v>
      </c>
    </row>
    <row r="30" spans="1:11" x14ac:dyDescent="0.2">
      <c r="A30">
        <v>5</v>
      </c>
      <c r="B30">
        <v>6</v>
      </c>
      <c r="C30" s="4">
        <v>2</v>
      </c>
      <c r="D30" s="3">
        <v>185</v>
      </c>
      <c r="E30" s="2" t="s">
        <v>8</v>
      </c>
      <c r="F30" s="4">
        <f t="shared" si="0"/>
        <v>215</v>
      </c>
    </row>
    <row r="31" spans="1:11" x14ac:dyDescent="0.2">
      <c r="A31">
        <v>5</v>
      </c>
      <c r="B31">
        <v>7</v>
      </c>
      <c r="C31" s="4">
        <v>12</v>
      </c>
      <c r="D31" s="3">
        <v>80</v>
      </c>
      <c r="E31" s="2" t="s">
        <v>8</v>
      </c>
      <c r="F31" s="4">
        <f t="shared" si="0"/>
        <v>215</v>
      </c>
    </row>
    <row r="32" spans="1:11" x14ac:dyDescent="0.2">
      <c r="A32" s="5">
        <v>6</v>
      </c>
      <c r="B32" s="5">
        <v>7</v>
      </c>
      <c r="C32" s="5">
        <v>1</v>
      </c>
      <c r="D32" s="5">
        <v>0</v>
      </c>
      <c r="E32" s="6" t="s">
        <v>8</v>
      </c>
      <c r="F32" s="5">
        <v>0</v>
      </c>
    </row>
    <row r="33" spans="1:8" x14ac:dyDescent="0.2">
      <c r="A33" s="5">
        <v>7</v>
      </c>
      <c r="B33" s="5">
        <v>6</v>
      </c>
      <c r="C33" s="5">
        <v>7</v>
      </c>
      <c r="D33" s="5">
        <v>0</v>
      </c>
      <c r="E33" s="6" t="s">
        <v>8</v>
      </c>
      <c r="F33" s="5">
        <v>0</v>
      </c>
    </row>
    <row r="35" spans="1:8" x14ac:dyDescent="0.2">
      <c r="A35" t="s">
        <v>23</v>
      </c>
    </row>
    <row r="36" spans="1:8" x14ac:dyDescent="0.2">
      <c r="A36" t="s">
        <v>24</v>
      </c>
      <c r="B36" s="7">
        <f>SUMPRODUCT(Unit_cost,Flow)</f>
        <v>4160</v>
      </c>
    </row>
    <row r="41" spans="1:8" x14ac:dyDescent="0.2">
      <c r="A41" s="1"/>
    </row>
    <row r="44" spans="1:8" x14ac:dyDescent="0.2">
      <c r="A44" s="1"/>
      <c r="H44" s="1"/>
    </row>
    <row r="46" spans="1:8" x14ac:dyDescent="0.2">
      <c r="E46"/>
    </row>
    <row r="47" spans="1:8" x14ac:dyDescent="0.2">
      <c r="E47"/>
    </row>
    <row r="48" spans="1:8" x14ac:dyDescent="0.2">
      <c r="E48"/>
    </row>
    <row r="49" spans="5:5" x14ac:dyDescent="0.2">
      <c r="E49"/>
    </row>
    <row r="50" spans="5:5" x14ac:dyDescent="0.2">
      <c r="E50"/>
    </row>
    <row r="51" spans="5:5" x14ac:dyDescent="0.2">
      <c r="E51"/>
    </row>
    <row r="52" spans="5:5" x14ac:dyDescent="0.2">
      <c r="E52"/>
    </row>
    <row r="53" spans="5:5" x14ac:dyDescent="0.2">
      <c r="E53"/>
    </row>
    <row r="54" spans="5:5" x14ac:dyDescent="0.2">
      <c r="E54"/>
    </row>
    <row r="55" spans="5:5" x14ac:dyDescent="0.2">
      <c r="E55"/>
    </row>
    <row r="56" spans="5:5" x14ac:dyDescent="0.2">
      <c r="E56"/>
    </row>
    <row r="57" spans="5:5" x14ac:dyDescent="0.2">
      <c r="E57"/>
    </row>
    <row r="58" spans="5:5" x14ac:dyDescent="0.2">
      <c r="E58"/>
    </row>
    <row r="59" spans="5:5" x14ac:dyDescent="0.2">
      <c r="E59"/>
    </row>
    <row r="60" spans="5:5" x14ac:dyDescent="0.2">
      <c r="E60"/>
    </row>
    <row r="61" spans="5:5" x14ac:dyDescent="0.2">
      <c r="E61"/>
    </row>
    <row r="62" spans="5:5" x14ac:dyDescent="0.2">
      <c r="E62"/>
    </row>
    <row r="63" spans="5:5" x14ac:dyDescent="0.2">
      <c r="E63"/>
    </row>
    <row r="64" spans="5:5" x14ac:dyDescent="0.2">
      <c r="E64"/>
    </row>
    <row r="65" spans="5:5" x14ac:dyDescent="0.2">
      <c r="E65"/>
    </row>
    <row r="66" spans="5:5" x14ac:dyDescent="0.2">
      <c r="E66"/>
    </row>
    <row r="67" spans="5:5" x14ac:dyDescent="0.2">
      <c r="E67"/>
    </row>
    <row r="68" spans="5:5" x14ac:dyDescent="0.2">
      <c r="E68"/>
    </row>
    <row r="69" spans="5:5" x14ac:dyDescent="0.2">
      <c r="E69"/>
    </row>
    <row r="70" spans="5:5" x14ac:dyDescent="0.2">
      <c r="E70"/>
    </row>
    <row r="71" spans="5:5" x14ac:dyDescent="0.2">
      <c r="E7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8F54F-4A5D-3142-AB41-0B383ADCCC74}">
  <dimension ref="A1:H45"/>
  <sheetViews>
    <sheetView showGridLines="0" workbookViewId="0">
      <selection sqref="A1:A3"/>
    </sheetView>
  </sheetViews>
  <sheetFormatPr baseColWidth="10" defaultRowHeight="15" x14ac:dyDescent="0.2"/>
  <cols>
    <col min="1" max="1" width="2.33203125" customWidth="1"/>
    <col min="2" max="2" width="6.33203125" bestFit="1" customWidth="1"/>
    <col min="3" max="3" width="21" bestFit="1" customWidth="1"/>
    <col min="4" max="4" width="5.6640625" bestFit="1" customWidth="1"/>
    <col min="5" max="5" width="8" bestFit="1" customWidth="1"/>
    <col min="6" max="6" width="9.6640625" bestFit="1" customWidth="1"/>
    <col min="7" max="8" width="9" bestFit="1" customWidth="1"/>
  </cols>
  <sheetData>
    <row r="1" spans="1:8" x14ac:dyDescent="0.2">
      <c r="A1" s="1" t="s">
        <v>32</v>
      </c>
    </row>
    <row r="2" spans="1:8" x14ac:dyDescent="0.2">
      <c r="A2" s="1" t="s">
        <v>88</v>
      </c>
    </row>
    <row r="3" spans="1:8" x14ac:dyDescent="0.2">
      <c r="A3" s="1" t="s">
        <v>89</v>
      </c>
    </row>
    <row r="6" spans="1:8" ht="16" thickBot="1" x14ac:dyDescent="0.25">
      <c r="A6" t="s">
        <v>35</v>
      </c>
    </row>
    <row r="7" spans="1:8" x14ac:dyDescent="0.2">
      <c r="B7" s="37"/>
      <c r="C7" s="37"/>
      <c r="D7" s="37" t="s">
        <v>38</v>
      </c>
      <c r="E7" s="37" t="s">
        <v>40</v>
      </c>
      <c r="F7" s="37" t="s">
        <v>42</v>
      </c>
      <c r="G7" s="37" t="s">
        <v>44</v>
      </c>
      <c r="H7" s="37" t="s">
        <v>44</v>
      </c>
    </row>
    <row r="8" spans="1:8" ht="16" thickBot="1" x14ac:dyDescent="0.25">
      <c r="B8" s="38" t="s">
        <v>36</v>
      </c>
      <c r="C8" s="38" t="s">
        <v>37</v>
      </c>
      <c r="D8" s="38" t="s">
        <v>39</v>
      </c>
      <c r="E8" s="38" t="s">
        <v>41</v>
      </c>
      <c r="F8" s="38" t="s">
        <v>43</v>
      </c>
      <c r="G8" s="38" t="s">
        <v>45</v>
      </c>
      <c r="H8" s="38" t="s">
        <v>46</v>
      </c>
    </row>
    <row r="9" spans="1:8" x14ac:dyDescent="0.2">
      <c r="B9" s="35" t="s">
        <v>54</v>
      </c>
      <c r="C9" s="35" t="s">
        <v>7</v>
      </c>
      <c r="D9" s="35">
        <v>0</v>
      </c>
      <c r="E9" s="35">
        <v>1</v>
      </c>
      <c r="F9" s="35">
        <v>5</v>
      </c>
      <c r="G9" s="35">
        <v>1E+30</v>
      </c>
      <c r="H9" s="35">
        <v>1</v>
      </c>
    </row>
    <row r="10" spans="1:8" x14ac:dyDescent="0.2">
      <c r="B10" s="35" t="s">
        <v>55</v>
      </c>
      <c r="C10" s="35" t="s">
        <v>7</v>
      </c>
      <c r="D10" s="35">
        <v>0</v>
      </c>
      <c r="E10" s="35">
        <v>-2</v>
      </c>
      <c r="F10" s="35">
        <v>3</v>
      </c>
      <c r="G10" s="35">
        <v>1E+30</v>
      </c>
      <c r="H10" s="35">
        <v>2</v>
      </c>
    </row>
    <row r="11" spans="1:8" x14ac:dyDescent="0.2">
      <c r="B11" s="35" t="s">
        <v>56</v>
      </c>
      <c r="C11" s="35" t="s">
        <v>7</v>
      </c>
      <c r="D11" s="35">
        <v>0</v>
      </c>
      <c r="E11" s="35">
        <v>0</v>
      </c>
      <c r="F11" s="35">
        <v>5</v>
      </c>
      <c r="G11" s="35">
        <v>0</v>
      </c>
      <c r="H11" s="35">
        <v>0</v>
      </c>
    </row>
    <row r="12" spans="1:8" x14ac:dyDescent="0.2">
      <c r="B12" s="35" t="s">
        <v>57</v>
      </c>
      <c r="C12" s="35" t="s">
        <v>7</v>
      </c>
      <c r="D12" s="35">
        <v>180</v>
      </c>
      <c r="E12" s="35">
        <v>0</v>
      </c>
      <c r="F12" s="35">
        <v>5</v>
      </c>
      <c r="G12" s="35">
        <v>0</v>
      </c>
      <c r="H12" s="35">
        <v>0</v>
      </c>
    </row>
    <row r="13" spans="1:8" x14ac:dyDescent="0.2">
      <c r="B13" s="35" t="s">
        <v>58</v>
      </c>
      <c r="C13" s="35" t="s">
        <v>7</v>
      </c>
      <c r="D13" s="35">
        <v>0</v>
      </c>
      <c r="E13" s="35">
        <v>13</v>
      </c>
      <c r="F13" s="35">
        <v>20</v>
      </c>
      <c r="G13" s="35">
        <v>1E+30</v>
      </c>
      <c r="H13" s="35">
        <v>13</v>
      </c>
    </row>
    <row r="14" spans="1:8" x14ac:dyDescent="0.2">
      <c r="B14" s="35" t="s">
        <v>59</v>
      </c>
      <c r="C14" s="35" t="s">
        <v>7</v>
      </c>
      <c r="D14" s="35">
        <v>0</v>
      </c>
      <c r="E14" s="35">
        <v>3</v>
      </c>
      <c r="F14" s="35">
        <v>20</v>
      </c>
      <c r="G14" s="35">
        <v>1E+30</v>
      </c>
      <c r="H14" s="35">
        <v>3</v>
      </c>
    </row>
    <row r="15" spans="1:8" x14ac:dyDescent="0.2">
      <c r="B15" s="35" t="s">
        <v>60</v>
      </c>
      <c r="C15" s="35" t="s">
        <v>7</v>
      </c>
      <c r="D15" s="35">
        <v>0</v>
      </c>
      <c r="E15" s="35">
        <v>13</v>
      </c>
      <c r="F15" s="35">
        <v>9</v>
      </c>
      <c r="G15" s="35">
        <v>1E+30</v>
      </c>
      <c r="H15" s="35">
        <v>13</v>
      </c>
    </row>
    <row r="16" spans="1:8" x14ac:dyDescent="0.2">
      <c r="B16" s="35" t="s">
        <v>61</v>
      </c>
      <c r="C16" s="35" t="s">
        <v>7</v>
      </c>
      <c r="D16" s="35">
        <v>0</v>
      </c>
      <c r="E16" s="35">
        <v>8</v>
      </c>
      <c r="F16" s="35">
        <v>9</v>
      </c>
      <c r="G16" s="35">
        <v>1E+30</v>
      </c>
      <c r="H16" s="35">
        <v>8</v>
      </c>
    </row>
    <row r="17" spans="2:8" x14ac:dyDescent="0.2">
      <c r="B17" s="35" t="s">
        <v>62</v>
      </c>
      <c r="C17" s="35" t="s">
        <v>7</v>
      </c>
      <c r="D17" s="35">
        <v>215</v>
      </c>
      <c r="E17" s="35">
        <v>0</v>
      </c>
      <c r="F17" s="35">
        <v>1</v>
      </c>
      <c r="G17" s="35">
        <v>0</v>
      </c>
      <c r="H17" s="35">
        <v>1E+30</v>
      </c>
    </row>
    <row r="18" spans="2:8" x14ac:dyDescent="0.2">
      <c r="B18" s="35" t="s">
        <v>63</v>
      </c>
      <c r="C18" s="35" t="s">
        <v>7</v>
      </c>
      <c r="D18" s="35">
        <v>85</v>
      </c>
      <c r="E18" s="35">
        <v>0</v>
      </c>
      <c r="F18" s="35">
        <v>1</v>
      </c>
      <c r="G18" s="35">
        <v>2</v>
      </c>
      <c r="H18" s="35">
        <v>0</v>
      </c>
    </row>
    <row r="19" spans="2:8" x14ac:dyDescent="0.2">
      <c r="B19" s="35" t="s">
        <v>64</v>
      </c>
      <c r="C19" s="35" t="s">
        <v>7</v>
      </c>
      <c r="D19" s="35">
        <v>0</v>
      </c>
      <c r="E19" s="35">
        <v>5</v>
      </c>
      <c r="F19" s="35">
        <v>8</v>
      </c>
      <c r="G19" s="35">
        <v>1E+30</v>
      </c>
      <c r="H19" s="35">
        <v>5</v>
      </c>
    </row>
    <row r="20" spans="2:8" x14ac:dyDescent="0.2">
      <c r="B20" s="35" t="s">
        <v>65</v>
      </c>
      <c r="C20" s="35" t="s">
        <v>7</v>
      </c>
      <c r="D20" s="35">
        <v>0</v>
      </c>
      <c r="E20" s="35">
        <v>2</v>
      </c>
      <c r="F20" s="35">
        <v>15</v>
      </c>
      <c r="G20" s="35">
        <v>1E+30</v>
      </c>
      <c r="H20" s="35">
        <v>2</v>
      </c>
    </row>
    <row r="21" spans="2:8" x14ac:dyDescent="0.2">
      <c r="B21" s="35" t="s">
        <v>66</v>
      </c>
      <c r="C21" s="35" t="s">
        <v>7</v>
      </c>
      <c r="D21" s="35">
        <v>0</v>
      </c>
      <c r="E21" s="35">
        <v>5.4000000000000057</v>
      </c>
      <c r="F21" s="35">
        <v>0.40000000000000568</v>
      </c>
      <c r="G21" s="35">
        <v>1E+30</v>
      </c>
      <c r="H21" s="35">
        <v>5.4000000000000057</v>
      </c>
    </row>
    <row r="22" spans="2:8" x14ac:dyDescent="0.2">
      <c r="B22" s="35" t="s">
        <v>67</v>
      </c>
      <c r="C22" s="35" t="s">
        <v>7</v>
      </c>
      <c r="D22" s="35">
        <v>0</v>
      </c>
      <c r="E22" s="35">
        <v>9</v>
      </c>
      <c r="F22" s="35">
        <v>8</v>
      </c>
      <c r="G22" s="35">
        <v>1E+30</v>
      </c>
      <c r="H22" s="35">
        <v>9</v>
      </c>
    </row>
    <row r="23" spans="2:8" x14ac:dyDescent="0.2">
      <c r="B23" s="35" t="s">
        <v>68</v>
      </c>
      <c r="C23" s="35" t="s">
        <v>7</v>
      </c>
      <c r="D23" s="35">
        <v>0</v>
      </c>
      <c r="E23" s="35">
        <v>1</v>
      </c>
      <c r="F23" s="35">
        <v>1</v>
      </c>
      <c r="G23" s="35">
        <v>1E+30</v>
      </c>
      <c r="H23" s="35">
        <v>1</v>
      </c>
    </row>
    <row r="24" spans="2:8" x14ac:dyDescent="0.2">
      <c r="B24" s="35" t="s">
        <v>69</v>
      </c>
      <c r="C24" s="35" t="s">
        <v>7</v>
      </c>
      <c r="D24" s="35">
        <v>0</v>
      </c>
      <c r="E24" s="35">
        <v>0.5</v>
      </c>
      <c r="F24" s="35">
        <v>0.5</v>
      </c>
      <c r="G24" s="35">
        <v>1E+30</v>
      </c>
      <c r="H24" s="35">
        <v>0.5</v>
      </c>
    </row>
    <row r="25" spans="2:8" x14ac:dyDescent="0.2">
      <c r="B25" s="35" t="s">
        <v>70</v>
      </c>
      <c r="C25" s="35" t="s">
        <v>7</v>
      </c>
      <c r="D25" s="35">
        <v>0</v>
      </c>
      <c r="E25" s="35">
        <v>8</v>
      </c>
      <c r="F25" s="35">
        <v>10</v>
      </c>
      <c r="G25" s="35">
        <v>1E+30</v>
      </c>
      <c r="H25" s="35">
        <v>8</v>
      </c>
    </row>
    <row r="26" spans="2:8" x14ac:dyDescent="0.2">
      <c r="B26" s="35" t="s">
        <v>71</v>
      </c>
      <c r="C26" s="35" t="s">
        <v>7</v>
      </c>
      <c r="D26" s="35">
        <v>100</v>
      </c>
      <c r="E26" s="35">
        <v>0</v>
      </c>
      <c r="F26" s="35">
        <v>12</v>
      </c>
      <c r="G26" s="35">
        <v>0.5</v>
      </c>
      <c r="H26" s="35">
        <v>2</v>
      </c>
    </row>
    <row r="27" spans="2:8" x14ac:dyDescent="0.2">
      <c r="B27" s="35" t="s">
        <v>72</v>
      </c>
      <c r="C27" s="35" t="s">
        <v>7</v>
      </c>
      <c r="D27" s="35">
        <v>0</v>
      </c>
      <c r="E27" s="35">
        <v>1.1999999999999886</v>
      </c>
      <c r="F27" s="35">
        <v>1.1999999999999886</v>
      </c>
      <c r="G27" s="35">
        <v>1E+30</v>
      </c>
      <c r="H27" s="35">
        <v>1.1999999999999886</v>
      </c>
    </row>
    <row r="28" spans="2:8" x14ac:dyDescent="0.2">
      <c r="B28" s="35" t="s">
        <v>73</v>
      </c>
      <c r="C28" s="35" t="s">
        <v>7</v>
      </c>
      <c r="D28" s="35">
        <v>215</v>
      </c>
      <c r="E28" s="35">
        <v>0</v>
      </c>
      <c r="F28" s="35">
        <v>2</v>
      </c>
      <c r="G28" s="35">
        <v>0</v>
      </c>
      <c r="H28" s="35">
        <v>1E+30</v>
      </c>
    </row>
    <row r="29" spans="2:8" x14ac:dyDescent="0.2">
      <c r="B29" s="35" t="s">
        <v>74</v>
      </c>
      <c r="C29" s="35" t="s">
        <v>7</v>
      </c>
      <c r="D29" s="35">
        <v>0</v>
      </c>
      <c r="E29" s="35">
        <v>0</v>
      </c>
      <c r="F29" s="35">
        <v>12</v>
      </c>
      <c r="G29" s="35">
        <v>1E+30</v>
      </c>
      <c r="H29" s="35">
        <v>0</v>
      </c>
    </row>
    <row r="30" spans="2:8" x14ac:dyDescent="0.2">
      <c r="B30" s="35" t="s">
        <v>75</v>
      </c>
      <c r="C30" s="35" t="s">
        <v>7</v>
      </c>
      <c r="D30" s="35">
        <v>0</v>
      </c>
      <c r="E30" s="35">
        <v>0.80000000000001137</v>
      </c>
      <c r="F30" s="35">
        <v>0.80000000000001137</v>
      </c>
      <c r="G30" s="35">
        <v>1E+30</v>
      </c>
      <c r="H30" s="35">
        <v>0.80000000000001137</v>
      </c>
    </row>
    <row r="31" spans="2:8" x14ac:dyDescent="0.2">
      <c r="B31" s="35" t="s">
        <v>76</v>
      </c>
      <c r="C31" s="35" t="s">
        <v>7</v>
      </c>
      <c r="D31" s="35">
        <v>185</v>
      </c>
      <c r="E31" s="35">
        <v>0</v>
      </c>
      <c r="F31" s="35">
        <v>2</v>
      </c>
      <c r="G31" s="35">
        <v>5</v>
      </c>
      <c r="H31" s="35">
        <v>0</v>
      </c>
    </row>
    <row r="32" spans="2:8" x14ac:dyDescent="0.2">
      <c r="B32" s="35" t="s">
        <v>77</v>
      </c>
      <c r="C32" s="35" t="s">
        <v>7</v>
      </c>
      <c r="D32" s="35">
        <v>80</v>
      </c>
      <c r="E32" s="35">
        <v>0</v>
      </c>
      <c r="F32" s="35">
        <v>12</v>
      </c>
      <c r="G32" s="35">
        <v>0</v>
      </c>
      <c r="H32" s="35">
        <v>0.5</v>
      </c>
    </row>
    <row r="33" spans="1:8" x14ac:dyDescent="0.2">
      <c r="B33" s="35" t="s">
        <v>90</v>
      </c>
      <c r="C33" s="35" t="s">
        <v>7</v>
      </c>
      <c r="D33" s="35">
        <v>0</v>
      </c>
      <c r="E33" s="35">
        <v>-9</v>
      </c>
      <c r="F33" s="35">
        <v>1</v>
      </c>
      <c r="G33" s="35">
        <v>1E+30</v>
      </c>
      <c r="H33" s="35">
        <v>9</v>
      </c>
    </row>
    <row r="34" spans="1:8" ht="16" thickBot="1" x14ac:dyDescent="0.25">
      <c r="B34" s="36" t="s">
        <v>91</v>
      </c>
      <c r="C34" s="36" t="s">
        <v>7</v>
      </c>
      <c r="D34" s="36">
        <v>0</v>
      </c>
      <c r="E34" s="36">
        <v>17</v>
      </c>
      <c r="F34" s="36">
        <v>7</v>
      </c>
      <c r="G34" s="36">
        <v>1E+30</v>
      </c>
      <c r="H34" s="36">
        <v>17</v>
      </c>
    </row>
    <row r="36" spans="1:8" ht="16" thickBot="1" x14ac:dyDescent="0.25">
      <c r="A36" t="s">
        <v>47</v>
      </c>
    </row>
    <row r="37" spans="1:8" x14ac:dyDescent="0.2">
      <c r="B37" s="37"/>
      <c r="C37" s="37"/>
      <c r="D37" s="37" t="s">
        <v>38</v>
      </c>
      <c r="E37" s="37" t="s">
        <v>48</v>
      </c>
      <c r="F37" s="37" t="s">
        <v>50</v>
      </c>
      <c r="G37" s="37" t="s">
        <v>44</v>
      </c>
      <c r="H37" s="37" t="s">
        <v>44</v>
      </c>
    </row>
    <row r="38" spans="1:8" ht="16" thickBot="1" x14ac:dyDescent="0.25">
      <c r="B38" s="38" t="s">
        <v>36</v>
      </c>
      <c r="C38" s="38" t="s">
        <v>37</v>
      </c>
      <c r="D38" s="38" t="s">
        <v>39</v>
      </c>
      <c r="E38" s="38" t="s">
        <v>49</v>
      </c>
      <c r="F38" s="38" t="s">
        <v>51</v>
      </c>
      <c r="G38" s="38" t="s">
        <v>45</v>
      </c>
      <c r="H38" s="38" t="s">
        <v>46</v>
      </c>
    </row>
    <row r="39" spans="1:8" x14ac:dyDescent="0.2">
      <c r="B39" s="35" t="s">
        <v>92</v>
      </c>
      <c r="C39" s="35" t="s">
        <v>79</v>
      </c>
      <c r="D39" s="35">
        <v>400</v>
      </c>
      <c r="E39" s="35">
        <v>7</v>
      </c>
      <c r="F39" s="35">
        <v>400</v>
      </c>
      <c r="G39" s="35">
        <v>20</v>
      </c>
      <c r="H39" s="35">
        <v>180</v>
      </c>
    </row>
    <row r="40" spans="1:8" x14ac:dyDescent="0.2">
      <c r="B40" s="35" t="s">
        <v>93</v>
      </c>
      <c r="C40" s="35" t="s">
        <v>79</v>
      </c>
      <c r="D40" s="35">
        <v>180</v>
      </c>
      <c r="E40" s="35">
        <v>17</v>
      </c>
      <c r="F40" s="35">
        <v>180</v>
      </c>
      <c r="G40" s="35">
        <v>20</v>
      </c>
      <c r="H40" s="35">
        <v>80</v>
      </c>
    </row>
    <row r="41" spans="1:8" x14ac:dyDescent="0.2">
      <c r="B41" s="35" t="s">
        <v>84</v>
      </c>
      <c r="C41" s="35" t="s">
        <v>82</v>
      </c>
      <c r="D41" s="35">
        <v>180</v>
      </c>
      <c r="E41" s="35">
        <v>0</v>
      </c>
      <c r="F41" s="35">
        <v>200</v>
      </c>
      <c r="G41" s="35">
        <v>1E+30</v>
      </c>
      <c r="H41" s="35">
        <v>20</v>
      </c>
    </row>
    <row r="42" spans="1:8" x14ac:dyDescent="0.2">
      <c r="B42" s="35" t="s">
        <v>94</v>
      </c>
      <c r="C42" s="35" t="s">
        <v>82</v>
      </c>
      <c r="D42" s="35">
        <v>300</v>
      </c>
      <c r="E42" s="35">
        <v>-4</v>
      </c>
      <c r="F42" s="35">
        <v>300</v>
      </c>
      <c r="G42" s="35">
        <v>130</v>
      </c>
      <c r="H42" s="35">
        <v>20</v>
      </c>
    </row>
    <row r="43" spans="1:8" x14ac:dyDescent="0.2">
      <c r="B43" s="35" t="s">
        <v>95</v>
      </c>
      <c r="C43" s="35" t="s">
        <v>82</v>
      </c>
      <c r="D43" s="35">
        <v>100</v>
      </c>
      <c r="E43" s="35">
        <v>-5</v>
      </c>
      <c r="F43" s="35">
        <v>100</v>
      </c>
      <c r="G43" s="35">
        <v>80</v>
      </c>
      <c r="H43" s="35">
        <v>20</v>
      </c>
    </row>
    <row r="44" spans="1:8" x14ac:dyDescent="0.2">
      <c r="B44" s="35" t="s">
        <v>96</v>
      </c>
      <c r="C44" s="35" t="s">
        <v>86</v>
      </c>
      <c r="D44" s="35">
        <v>0</v>
      </c>
      <c r="E44" s="35">
        <v>-5</v>
      </c>
      <c r="F44" s="35">
        <v>0</v>
      </c>
      <c r="G44" s="35">
        <v>0</v>
      </c>
      <c r="H44" s="35">
        <v>20</v>
      </c>
    </row>
    <row r="45" spans="1:8" ht="16" thickBot="1" x14ac:dyDescent="0.25">
      <c r="B45" s="36" t="s">
        <v>97</v>
      </c>
      <c r="C45" s="36" t="s">
        <v>86</v>
      </c>
      <c r="D45" s="36">
        <v>0</v>
      </c>
      <c r="E45" s="36">
        <v>-5</v>
      </c>
      <c r="F45" s="36">
        <v>0</v>
      </c>
      <c r="G45" s="36">
        <v>180</v>
      </c>
      <c r="H45" s="36">
        <v>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1339F-24CC-C243-991F-FFDCC228BABF}">
  <dimension ref="A1:I62"/>
  <sheetViews>
    <sheetView workbookViewId="0">
      <selection activeCell="B61" sqref="B61"/>
    </sheetView>
  </sheetViews>
  <sheetFormatPr baseColWidth="10" defaultColWidth="22" defaultRowHeight="15" x14ac:dyDescent="0.2"/>
  <cols>
    <col min="7" max="7" width="8.33203125" customWidth="1"/>
    <col min="8" max="8" width="8.6640625" style="2" customWidth="1"/>
  </cols>
  <sheetData>
    <row r="1" spans="1:9" x14ac:dyDescent="0.2">
      <c r="A1" s="30" t="s">
        <v>25</v>
      </c>
      <c r="B1" s="31"/>
      <c r="C1" s="31"/>
    </row>
    <row r="2" spans="1:9" x14ac:dyDescent="0.2">
      <c r="A2" s="31"/>
      <c r="B2" s="31"/>
      <c r="C2" s="31"/>
    </row>
    <row r="3" spans="1:9" x14ac:dyDescent="0.2">
      <c r="A3" s="30" t="s">
        <v>26</v>
      </c>
      <c r="B3" s="31"/>
      <c r="C3" s="31"/>
      <c r="F3" s="1" t="s">
        <v>27</v>
      </c>
    </row>
    <row r="4" spans="1:9" x14ac:dyDescent="0.2">
      <c r="A4" s="33" t="s">
        <v>4</v>
      </c>
      <c r="B4" s="33" t="s">
        <v>5</v>
      </c>
      <c r="C4" s="33" t="s">
        <v>28</v>
      </c>
      <c r="D4" s="33" t="s">
        <v>7</v>
      </c>
      <c r="F4" s="32" t="s">
        <v>14</v>
      </c>
      <c r="G4" s="32" t="s">
        <v>29</v>
      </c>
      <c r="H4" s="9"/>
      <c r="I4" s="32" t="s">
        <v>30</v>
      </c>
    </row>
    <row r="5" spans="1:9" x14ac:dyDescent="0.2">
      <c r="A5" s="33">
        <v>1</v>
      </c>
      <c r="B5" s="33">
        <v>2</v>
      </c>
      <c r="C5" s="34">
        <v>70</v>
      </c>
      <c r="D5" s="39">
        <v>0</v>
      </c>
      <c r="F5" s="8">
        <v>1</v>
      </c>
      <c r="G5" s="8">
        <f t="shared" ref="G5:G14" si="0">SUMIF(Orig,F5,Flo)-SUMIF(Dest,F5,Flo)</f>
        <v>1</v>
      </c>
      <c r="H5" s="9" t="s">
        <v>21</v>
      </c>
      <c r="I5" s="8">
        <v>1</v>
      </c>
    </row>
    <row r="6" spans="1:9" x14ac:dyDescent="0.2">
      <c r="A6" s="33">
        <v>1</v>
      </c>
      <c r="B6" s="33">
        <v>3</v>
      </c>
      <c r="C6" s="34">
        <v>63</v>
      </c>
      <c r="D6" s="39">
        <v>0</v>
      </c>
      <c r="F6" s="8">
        <v>2</v>
      </c>
      <c r="G6" s="8">
        <f t="shared" si="0"/>
        <v>0</v>
      </c>
      <c r="H6" s="9" t="s">
        <v>21</v>
      </c>
      <c r="I6" s="8">
        <v>0</v>
      </c>
    </row>
    <row r="7" spans="1:9" x14ac:dyDescent="0.2">
      <c r="A7" s="33">
        <v>1</v>
      </c>
      <c r="B7" s="33">
        <v>4</v>
      </c>
      <c r="C7" s="34">
        <v>56</v>
      </c>
      <c r="D7" s="39">
        <v>1</v>
      </c>
      <c r="F7" s="8">
        <v>3</v>
      </c>
      <c r="G7" s="8">
        <f t="shared" si="0"/>
        <v>0</v>
      </c>
      <c r="H7" s="9" t="s">
        <v>21</v>
      </c>
      <c r="I7" s="8">
        <v>0</v>
      </c>
    </row>
    <row r="8" spans="1:9" x14ac:dyDescent="0.2">
      <c r="A8" s="33">
        <v>2</v>
      </c>
      <c r="B8" s="33">
        <v>1</v>
      </c>
      <c r="C8" s="34">
        <v>70</v>
      </c>
      <c r="D8" s="39">
        <v>0</v>
      </c>
      <c r="F8" s="8">
        <v>4</v>
      </c>
      <c r="G8" s="8">
        <f t="shared" si="0"/>
        <v>0</v>
      </c>
      <c r="H8" s="9" t="s">
        <v>21</v>
      </c>
      <c r="I8" s="8">
        <v>0</v>
      </c>
    </row>
    <row r="9" spans="1:9" x14ac:dyDescent="0.2">
      <c r="A9" s="33">
        <v>2</v>
      </c>
      <c r="B9" s="33">
        <v>3</v>
      </c>
      <c r="C9" s="34">
        <v>25</v>
      </c>
      <c r="D9" s="39">
        <v>0</v>
      </c>
      <c r="F9" s="8">
        <v>5</v>
      </c>
      <c r="G9" s="8">
        <f t="shared" si="0"/>
        <v>0</v>
      </c>
      <c r="H9" s="9" t="s">
        <v>21</v>
      </c>
      <c r="I9" s="8">
        <v>0</v>
      </c>
    </row>
    <row r="10" spans="1:9" x14ac:dyDescent="0.2">
      <c r="A10" s="33">
        <v>2</v>
      </c>
      <c r="B10" s="33">
        <v>4</v>
      </c>
      <c r="C10" s="34">
        <v>19</v>
      </c>
      <c r="D10" s="39">
        <v>0</v>
      </c>
      <c r="F10" s="8">
        <v>6</v>
      </c>
      <c r="G10" s="8">
        <f t="shared" si="0"/>
        <v>0</v>
      </c>
      <c r="H10" s="9" t="s">
        <v>21</v>
      </c>
      <c r="I10" s="8">
        <v>0</v>
      </c>
    </row>
    <row r="11" spans="1:9" x14ac:dyDescent="0.2">
      <c r="A11" s="33">
        <v>2</v>
      </c>
      <c r="B11" s="33">
        <v>5</v>
      </c>
      <c r="C11" s="34">
        <v>73</v>
      </c>
      <c r="D11" s="39">
        <v>0</v>
      </c>
      <c r="F11" s="8">
        <v>7</v>
      </c>
      <c r="G11" s="8">
        <f t="shared" si="0"/>
        <v>0</v>
      </c>
      <c r="H11" s="9" t="s">
        <v>21</v>
      </c>
      <c r="I11" s="8">
        <v>0</v>
      </c>
    </row>
    <row r="12" spans="1:9" x14ac:dyDescent="0.2">
      <c r="A12" s="33">
        <v>2</v>
      </c>
      <c r="B12" s="33">
        <v>6</v>
      </c>
      <c r="C12" s="34">
        <v>50</v>
      </c>
      <c r="D12" s="39">
        <v>0</v>
      </c>
      <c r="F12" s="8">
        <v>8</v>
      </c>
      <c r="G12" s="8">
        <f t="shared" si="0"/>
        <v>0</v>
      </c>
      <c r="H12" s="9" t="s">
        <v>21</v>
      </c>
      <c r="I12" s="8">
        <v>0</v>
      </c>
    </row>
    <row r="13" spans="1:9" x14ac:dyDescent="0.2">
      <c r="A13" s="33">
        <v>2</v>
      </c>
      <c r="B13" s="33">
        <v>7</v>
      </c>
      <c r="C13" s="34">
        <v>79</v>
      </c>
      <c r="D13" s="39">
        <v>0</v>
      </c>
      <c r="F13" s="8">
        <v>9</v>
      </c>
      <c r="G13" s="8">
        <f t="shared" si="0"/>
        <v>0</v>
      </c>
      <c r="H13" s="9" t="s">
        <v>21</v>
      </c>
      <c r="I13" s="8">
        <v>0</v>
      </c>
    </row>
    <row r="14" spans="1:9" x14ac:dyDescent="0.2">
      <c r="A14" s="33">
        <v>3</v>
      </c>
      <c r="B14" s="33">
        <v>1</v>
      </c>
      <c r="C14" s="34">
        <v>63</v>
      </c>
      <c r="D14" s="39">
        <v>0</v>
      </c>
      <c r="F14" s="8">
        <v>10</v>
      </c>
      <c r="G14" s="8">
        <f t="shared" si="0"/>
        <v>-1</v>
      </c>
      <c r="H14" s="9" t="s">
        <v>21</v>
      </c>
      <c r="I14" s="8">
        <v>-1</v>
      </c>
    </row>
    <row r="15" spans="1:9" x14ac:dyDescent="0.2">
      <c r="A15" s="33">
        <v>3</v>
      </c>
      <c r="B15" s="33">
        <v>2</v>
      </c>
      <c r="C15" s="34">
        <v>25</v>
      </c>
      <c r="D15" s="39">
        <v>0</v>
      </c>
    </row>
    <row r="16" spans="1:9" x14ac:dyDescent="0.2">
      <c r="A16" s="33">
        <v>3</v>
      </c>
      <c r="B16" s="33">
        <v>4</v>
      </c>
      <c r="C16" s="34">
        <v>29</v>
      </c>
      <c r="D16" s="39">
        <v>0</v>
      </c>
    </row>
    <row r="17" spans="1:4" x14ac:dyDescent="0.2">
      <c r="A17" s="33">
        <v>3</v>
      </c>
      <c r="B17" s="33">
        <v>5</v>
      </c>
      <c r="C17" s="34">
        <v>69</v>
      </c>
      <c r="D17" s="39">
        <v>0</v>
      </c>
    </row>
    <row r="18" spans="1:4" x14ac:dyDescent="0.2">
      <c r="A18" s="33">
        <v>3</v>
      </c>
      <c r="B18" s="33">
        <v>6</v>
      </c>
      <c r="C18" s="34">
        <v>61</v>
      </c>
      <c r="D18" s="39">
        <v>0</v>
      </c>
    </row>
    <row r="19" spans="1:4" x14ac:dyDescent="0.2">
      <c r="A19" s="33">
        <v>4</v>
      </c>
      <c r="B19" s="33">
        <v>1</v>
      </c>
      <c r="C19" s="34">
        <v>56</v>
      </c>
      <c r="D19" s="39">
        <v>0</v>
      </c>
    </row>
    <row r="20" spans="1:4" x14ac:dyDescent="0.2">
      <c r="A20" s="33">
        <v>4</v>
      </c>
      <c r="B20" s="33">
        <v>2</v>
      </c>
      <c r="C20" s="34">
        <v>19</v>
      </c>
      <c r="D20" s="39">
        <v>0</v>
      </c>
    </row>
    <row r="21" spans="1:4" x14ac:dyDescent="0.2">
      <c r="A21" s="33">
        <v>4</v>
      </c>
      <c r="B21" s="33">
        <v>3</v>
      </c>
      <c r="C21" s="34">
        <v>29</v>
      </c>
      <c r="D21" s="39">
        <v>0</v>
      </c>
    </row>
    <row r="22" spans="1:4" x14ac:dyDescent="0.2">
      <c r="A22" s="33">
        <v>4</v>
      </c>
      <c r="B22" s="33">
        <v>5</v>
      </c>
      <c r="C22" s="34">
        <v>67</v>
      </c>
      <c r="D22" s="39">
        <v>0</v>
      </c>
    </row>
    <row r="23" spans="1:4" x14ac:dyDescent="0.2">
      <c r="A23" s="33">
        <v>4</v>
      </c>
      <c r="B23" s="33">
        <v>6</v>
      </c>
      <c r="C23" s="34">
        <v>45</v>
      </c>
      <c r="D23" s="39">
        <v>1</v>
      </c>
    </row>
    <row r="24" spans="1:4" x14ac:dyDescent="0.2">
      <c r="A24" s="33">
        <v>4</v>
      </c>
      <c r="B24" s="33">
        <v>9</v>
      </c>
      <c r="C24" s="34">
        <v>85</v>
      </c>
      <c r="D24" s="39">
        <v>0</v>
      </c>
    </row>
    <row r="25" spans="1:4" x14ac:dyDescent="0.2">
      <c r="A25" s="33">
        <v>5</v>
      </c>
      <c r="B25" s="33">
        <v>2</v>
      </c>
      <c r="C25" s="34">
        <v>73</v>
      </c>
      <c r="D25" s="39">
        <v>0</v>
      </c>
    </row>
    <row r="26" spans="1:4" x14ac:dyDescent="0.2">
      <c r="A26" s="33">
        <v>5</v>
      </c>
      <c r="B26" s="33">
        <v>3</v>
      </c>
      <c r="C26" s="34">
        <v>69</v>
      </c>
      <c r="D26" s="39">
        <v>0</v>
      </c>
    </row>
    <row r="27" spans="1:4" x14ac:dyDescent="0.2">
      <c r="A27" s="33">
        <v>5</v>
      </c>
      <c r="B27" s="33">
        <v>4</v>
      </c>
      <c r="C27" s="34">
        <v>67</v>
      </c>
      <c r="D27" s="39">
        <v>0</v>
      </c>
    </row>
    <row r="28" spans="1:4" x14ac:dyDescent="0.2">
      <c r="A28" s="33">
        <v>5</v>
      </c>
      <c r="B28" s="33">
        <v>6</v>
      </c>
      <c r="C28" s="34">
        <v>18</v>
      </c>
      <c r="D28" s="39">
        <v>0</v>
      </c>
    </row>
    <row r="29" spans="1:4" x14ac:dyDescent="0.2">
      <c r="A29" s="33">
        <v>5</v>
      </c>
      <c r="B29" s="33">
        <v>7</v>
      </c>
      <c r="C29" s="34">
        <v>67</v>
      </c>
      <c r="D29" s="39">
        <v>0</v>
      </c>
    </row>
    <row r="30" spans="1:4" x14ac:dyDescent="0.2">
      <c r="A30" s="33">
        <v>5</v>
      </c>
      <c r="B30" s="33">
        <v>8</v>
      </c>
      <c r="C30" s="34">
        <v>69</v>
      </c>
      <c r="D30" s="39">
        <v>0</v>
      </c>
    </row>
    <row r="31" spans="1:4" x14ac:dyDescent="0.2">
      <c r="A31" s="33">
        <v>5</v>
      </c>
      <c r="B31" s="33">
        <v>9</v>
      </c>
      <c r="C31" s="34">
        <v>54</v>
      </c>
      <c r="D31" s="39">
        <v>0</v>
      </c>
    </row>
    <row r="32" spans="1:4" x14ac:dyDescent="0.2">
      <c r="A32" s="33">
        <v>5</v>
      </c>
      <c r="B32" s="33">
        <v>10</v>
      </c>
      <c r="C32" s="34">
        <v>87</v>
      </c>
      <c r="D32" s="39">
        <v>0</v>
      </c>
    </row>
    <row r="33" spans="1:4" x14ac:dyDescent="0.2">
      <c r="A33" s="33">
        <v>6</v>
      </c>
      <c r="B33" s="33">
        <v>2</v>
      </c>
      <c r="C33" s="34">
        <v>50</v>
      </c>
      <c r="D33" s="39">
        <v>0</v>
      </c>
    </row>
    <row r="34" spans="1:4" x14ac:dyDescent="0.2">
      <c r="A34" s="33">
        <v>6</v>
      </c>
      <c r="B34" s="33">
        <v>3</v>
      </c>
      <c r="C34" s="34">
        <v>61</v>
      </c>
      <c r="D34" s="39">
        <v>0</v>
      </c>
    </row>
    <row r="35" spans="1:4" x14ac:dyDescent="0.2">
      <c r="A35" s="33">
        <v>6</v>
      </c>
      <c r="B35" s="33">
        <v>4</v>
      </c>
      <c r="C35" s="34">
        <v>45</v>
      </c>
      <c r="D35" s="39">
        <v>0</v>
      </c>
    </row>
    <row r="36" spans="1:4" x14ac:dyDescent="0.2">
      <c r="A36" s="33">
        <v>6</v>
      </c>
      <c r="B36" s="33">
        <v>5</v>
      </c>
      <c r="C36" s="34">
        <v>18</v>
      </c>
      <c r="D36" s="39">
        <v>0</v>
      </c>
    </row>
    <row r="37" spans="1:4" x14ac:dyDescent="0.2">
      <c r="A37" s="33">
        <v>6</v>
      </c>
      <c r="B37" s="33">
        <v>7</v>
      </c>
      <c r="C37" s="34">
        <v>72</v>
      </c>
      <c r="D37" s="39">
        <v>0</v>
      </c>
    </row>
    <row r="38" spans="1:4" x14ac:dyDescent="0.2">
      <c r="A38" s="33">
        <v>6</v>
      </c>
      <c r="B38" s="33">
        <v>8</v>
      </c>
      <c r="C38" s="34">
        <v>52</v>
      </c>
      <c r="D38" s="39">
        <v>0</v>
      </c>
    </row>
    <row r="39" spans="1:4" x14ac:dyDescent="0.2">
      <c r="A39" s="33">
        <v>6</v>
      </c>
      <c r="B39" s="33">
        <v>9</v>
      </c>
      <c r="C39" s="34">
        <v>51</v>
      </c>
      <c r="D39" s="39">
        <v>0</v>
      </c>
    </row>
    <row r="40" spans="1:4" x14ac:dyDescent="0.2">
      <c r="A40" s="33">
        <v>6</v>
      </c>
      <c r="B40" s="33">
        <v>10</v>
      </c>
      <c r="C40" s="34">
        <v>97</v>
      </c>
      <c r="D40" s="39">
        <v>1</v>
      </c>
    </row>
    <row r="41" spans="1:4" x14ac:dyDescent="0.2">
      <c r="A41" s="33">
        <v>7</v>
      </c>
      <c r="B41" s="33">
        <v>2</v>
      </c>
      <c r="C41" s="34">
        <v>79</v>
      </c>
      <c r="D41" s="39">
        <v>0</v>
      </c>
    </row>
    <row r="42" spans="1:4" x14ac:dyDescent="0.2">
      <c r="A42" s="33">
        <v>7</v>
      </c>
      <c r="B42" s="33">
        <v>5</v>
      </c>
      <c r="C42" s="34">
        <v>67</v>
      </c>
      <c r="D42" s="39">
        <v>0</v>
      </c>
    </row>
    <row r="43" spans="1:4" x14ac:dyDescent="0.2">
      <c r="A43" s="33">
        <v>7</v>
      </c>
      <c r="B43" s="33">
        <v>6</v>
      </c>
      <c r="C43" s="34">
        <v>72</v>
      </c>
      <c r="D43" s="39">
        <v>0</v>
      </c>
    </row>
    <row r="44" spans="1:4" x14ac:dyDescent="0.2">
      <c r="A44" s="33">
        <v>7</v>
      </c>
      <c r="B44" s="33">
        <v>8</v>
      </c>
      <c r="C44" s="34">
        <v>17</v>
      </c>
      <c r="D44" s="39">
        <v>0</v>
      </c>
    </row>
    <row r="45" spans="1:4" x14ac:dyDescent="0.2">
      <c r="A45" s="33">
        <v>7</v>
      </c>
      <c r="B45" s="33">
        <v>9</v>
      </c>
      <c r="C45" s="34">
        <v>31</v>
      </c>
      <c r="D45" s="39">
        <v>0</v>
      </c>
    </row>
    <row r="46" spans="1:4" x14ac:dyDescent="0.2">
      <c r="A46" s="33">
        <v>7</v>
      </c>
      <c r="B46" s="33">
        <v>10</v>
      </c>
      <c r="C46" s="34">
        <v>72</v>
      </c>
      <c r="D46" s="39">
        <v>0</v>
      </c>
    </row>
    <row r="47" spans="1:4" x14ac:dyDescent="0.2">
      <c r="A47" s="33">
        <v>8</v>
      </c>
      <c r="B47" s="33">
        <v>5</v>
      </c>
      <c r="C47" s="34">
        <v>69</v>
      </c>
      <c r="D47" s="39">
        <v>0</v>
      </c>
    </row>
    <row r="48" spans="1:4" x14ac:dyDescent="0.2">
      <c r="A48" s="33">
        <v>8</v>
      </c>
      <c r="B48" s="33">
        <v>6</v>
      </c>
      <c r="C48" s="34">
        <v>52</v>
      </c>
      <c r="D48" s="39">
        <v>0</v>
      </c>
    </row>
    <row r="49" spans="1:4" x14ac:dyDescent="0.2">
      <c r="A49" s="33">
        <v>8</v>
      </c>
      <c r="B49" s="33">
        <v>7</v>
      </c>
      <c r="C49" s="34">
        <v>17</v>
      </c>
      <c r="D49" s="39">
        <v>0</v>
      </c>
    </row>
    <row r="50" spans="1:4" x14ac:dyDescent="0.2">
      <c r="A50" s="33">
        <v>8</v>
      </c>
      <c r="B50" s="33">
        <v>9</v>
      </c>
      <c r="C50" s="34">
        <v>15</v>
      </c>
      <c r="D50" s="39">
        <v>0</v>
      </c>
    </row>
    <row r="51" spans="1:4" x14ac:dyDescent="0.2">
      <c r="A51" s="33">
        <v>9</v>
      </c>
      <c r="B51" s="33">
        <v>4</v>
      </c>
      <c r="C51" s="34">
        <v>85</v>
      </c>
      <c r="D51" s="39">
        <v>0</v>
      </c>
    </row>
    <row r="52" spans="1:4" x14ac:dyDescent="0.2">
      <c r="A52" s="33">
        <v>9</v>
      </c>
      <c r="B52" s="33">
        <v>5</v>
      </c>
      <c r="C52" s="34">
        <v>54</v>
      </c>
      <c r="D52" s="39">
        <v>0</v>
      </c>
    </row>
    <row r="53" spans="1:4" x14ac:dyDescent="0.2">
      <c r="A53" s="33">
        <v>9</v>
      </c>
      <c r="B53" s="33">
        <v>6</v>
      </c>
      <c r="C53" s="34">
        <v>51</v>
      </c>
      <c r="D53" s="39">
        <v>0</v>
      </c>
    </row>
    <row r="54" spans="1:4" x14ac:dyDescent="0.2">
      <c r="A54" s="33">
        <v>9</v>
      </c>
      <c r="B54" s="33">
        <v>7</v>
      </c>
      <c r="C54" s="34">
        <v>31</v>
      </c>
      <c r="D54" s="39">
        <v>0</v>
      </c>
    </row>
    <row r="55" spans="1:4" x14ac:dyDescent="0.2">
      <c r="A55" s="33">
        <v>9</v>
      </c>
      <c r="B55" s="33">
        <v>8</v>
      </c>
      <c r="C55" s="34">
        <v>15</v>
      </c>
      <c r="D55" s="39">
        <v>0</v>
      </c>
    </row>
    <row r="56" spans="1:4" x14ac:dyDescent="0.2">
      <c r="A56" s="33">
        <v>9</v>
      </c>
      <c r="B56" s="33">
        <v>10</v>
      </c>
      <c r="C56" s="34">
        <v>69</v>
      </c>
      <c r="D56" s="39">
        <v>0</v>
      </c>
    </row>
    <row r="57" spans="1:4" x14ac:dyDescent="0.2">
      <c r="A57" s="33">
        <v>10</v>
      </c>
      <c r="B57" s="33">
        <v>5</v>
      </c>
      <c r="C57" s="34">
        <v>87</v>
      </c>
      <c r="D57" s="39">
        <v>0</v>
      </c>
    </row>
    <row r="58" spans="1:4" x14ac:dyDescent="0.2">
      <c r="A58" s="33">
        <v>10</v>
      </c>
      <c r="B58" s="33">
        <v>6</v>
      </c>
      <c r="C58" s="34">
        <v>97</v>
      </c>
      <c r="D58" s="39">
        <v>0</v>
      </c>
    </row>
    <row r="59" spans="1:4" x14ac:dyDescent="0.2">
      <c r="A59" s="33">
        <v>10</v>
      </c>
      <c r="B59" s="33">
        <v>7</v>
      </c>
      <c r="C59" s="34">
        <v>72</v>
      </c>
      <c r="D59" s="39">
        <v>0</v>
      </c>
    </row>
    <row r="60" spans="1:4" x14ac:dyDescent="0.2">
      <c r="A60" s="33">
        <v>10</v>
      </c>
      <c r="B60" s="33">
        <v>9</v>
      </c>
      <c r="C60" s="34">
        <v>69</v>
      </c>
      <c r="D60" s="39">
        <v>0</v>
      </c>
    </row>
    <row r="61" spans="1:4" x14ac:dyDescent="0.2">
      <c r="A61" s="1" t="s">
        <v>23</v>
      </c>
      <c r="B61" s="1">
        <f>SUMPRODUCT(Distance, Flo)</f>
        <v>198</v>
      </c>
    </row>
    <row r="62" spans="1:4" x14ac:dyDescent="0.2">
      <c r="A62" s="1" t="s">
        <v>31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A1D240-126B-334D-B872-5911F0D8D303}">
  <dimension ref="A3:K28"/>
  <sheetViews>
    <sheetView workbookViewId="0">
      <selection activeCell="B27" sqref="B27"/>
    </sheetView>
  </sheetViews>
  <sheetFormatPr baseColWidth="10" defaultColWidth="8.83203125" defaultRowHeight="15" x14ac:dyDescent="0.2"/>
  <cols>
    <col min="1" max="1" width="17" bestFit="1" customWidth="1"/>
    <col min="2" max="2" width="11.33203125" bestFit="1" customWidth="1"/>
    <col min="3" max="3" width="13.1640625" bestFit="1" customWidth="1"/>
    <col min="4" max="4" width="20.33203125" bestFit="1" customWidth="1"/>
    <col min="5" max="5" width="19.6640625" bestFit="1" customWidth="1"/>
    <col min="6" max="6" width="24.83203125" bestFit="1" customWidth="1"/>
    <col min="10" max="11" width="24.83203125" bestFit="1" customWidth="1"/>
    <col min="12" max="12" width="17" bestFit="1" customWidth="1"/>
    <col min="13" max="13" width="11.1640625" customWidth="1"/>
    <col min="14" max="14" width="13.1640625" bestFit="1" customWidth="1"/>
  </cols>
  <sheetData>
    <row r="3" spans="1:11" x14ac:dyDescent="0.2">
      <c r="A3" s="1" t="s">
        <v>98</v>
      </c>
    </row>
    <row r="5" spans="1:11" x14ac:dyDescent="0.2">
      <c r="A5" t="s">
        <v>4</v>
      </c>
      <c r="B5" t="s">
        <v>99</v>
      </c>
      <c r="C5" t="s">
        <v>100</v>
      </c>
      <c r="D5" t="s">
        <v>7</v>
      </c>
      <c r="J5" t="s">
        <v>101</v>
      </c>
    </row>
    <row r="6" spans="1:11" x14ac:dyDescent="0.2">
      <c r="A6" t="s">
        <v>102</v>
      </c>
      <c r="B6" t="s">
        <v>103</v>
      </c>
      <c r="C6" s="40">
        <v>15</v>
      </c>
      <c r="D6" s="3">
        <v>0</v>
      </c>
      <c r="J6" t="s">
        <v>99</v>
      </c>
      <c r="K6" t="s">
        <v>104</v>
      </c>
    </row>
    <row r="7" spans="1:11" x14ac:dyDescent="0.2">
      <c r="A7" t="s">
        <v>102</v>
      </c>
      <c r="B7" t="s">
        <v>105</v>
      </c>
      <c r="C7" s="40">
        <v>35</v>
      </c>
      <c r="D7" s="3">
        <v>10</v>
      </c>
      <c r="J7" t="s">
        <v>7</v>
      </c>
      <c r="K7" t="s">
        <v>106</v>
      </c>
    </row>
    <row r="8" spans="1:11" x14ac:dyDescent="0.2">
      <c r="A8" t="s">
        <v>102</v>
      </c>
      <c r="B8" t="s">
        <v>107</v>
      </c>
      <c r="C8" s="40">
        <v>25</v>
      </c>
      <c r="D8" s="3">
        <v>30</v>
      </c>
      <c r="J8" t="s">
        <v>4</v>
      </c>
      <c r="K8" t="s">
        <v>108</v>
      </c>
    </row>
    <row r="9" spans="1:11" x14ac:dyDescent="0.2">
      <c r="A9" t="s">
        <v>109</v>
      </c>
      <c r="B9" t="s">
        <v>103</v>
      </c>
      <c r="C9" s="40">
        <v>10</v>
      </c>
      <c r="D9" s="3">
        <v>30</v>
      </c>
      <c r="J9" t="s">
        <v>110</v>
      </c>
      <c r="K9" t="s">
        <v>111</v>
      </c>
    </row>
    <row r="10" spans="1:11" x14ac:dyDescent="0.2">
      <c r="A10" t="s">
        <v>109</v>
      </c>
      <c r="B10" t="s">
        <v>105</v>
      </c>
      <c r="C10" s="40">
        <v>30</v>
      </c>
      <c r="D10" s="3">
        <v>0</v>
      </c>
      <c r="J10" t="s">
        <v>112</v>
      </c>
      <c r="K10" t="s">
        <v>113</v>
      </c>
    </row>
    <row r="11" spans="1:11" x14ac:dyDescent="0.2">
      <c r="A11" t="s">
        <v>109</v>
      </c>
      <c r="B11" t="s">
        <v>107</v>
      </c>
      <c r="C11" s="40">
        <v>40</v>
      </c>
      <c r="D11" s="3">
        <v>0</v>
      </c>
      <c r="J11" t="s">
        <v>114</v>
      </c>
      <c r="K11" t="s">
        <v>115</v>
      </c>
    </row>
    <row r="12" spans="1:11" x14ac:dyDescent="0.2">
      <c r="J12" t="s">
        <v>116</v>
      </c>
      <c r="K12" t="s">
        <v>117</v>
      </c>
    </row>
    <row r="14" spans="1:11" x14ac:dyDescent="0.2">
      <c r="A14" s="1" t="s">
        <v>118</v>
      </c>
    </row>
    <row r="15" spans="1:11" x14ac:dyDescent="0.2">
      <c r="A15" t="s">
        <v>119</v>
      </c>
      <c r="D15" t="s">
        <v>120</v>
      </c>
    </row>
    <row r="16" spans="1:11" x14ac:dyDescent="0.2">
      <c r="A16" t="s">
        <v>102</v>
      </c>
      <c r="B16" s="41">
        <f>SUMIF(Origin_67,A16,Flow_67)</f>
        <v>40</v>
      </c>
      <c r="C16" s="41" t="s">
        <v>8</v>
      </c>
      <c r="D16" s="41">
        <v>40</v>
      </c>
    </row>
    <row r="17" spans="1:6" x14ac:dyDescent="0.2">
      <c r="A17" t="s">
        <v>109</v>
      </c>
      <c r="B17" s="41">
        <f>SUMIF(Origin_67,A17,Flow_67)</f>
        <v>30</v>
      </c>
      <c r="C17" s="41" t="s">
        <v>8</v>
      </c>
      <c r="D17" s="41">
        <v>30</v>
      </c>
    </row>
    <row r="20" spans="1:6" x14ac:dyDescent="0.2">
      <c r="A20" t="s">
        <v>121</v>
      </c>
      <c r="D20" t="s">
        <v>122</v>
      </c>
      <c r="E20" t="s">
        <v>123</v>
      </c>
      <c r="F20" t="s">
        <v>124</v>
      </c>
    </row>
    <row r="21" spans="1:6" x14ac:dyDescent="0.2">
      <c r="A21" t="s">
        <v>103</v>
      </c>
      <c r="B21" s="41">
        <f>SUMIF(Destiantion,A21,Flow_67)</f>
        <v>30</v>
      </c>
      <c r="C21" s="41" t="s">
        <v>8</v>
      </c>
      <c r="D21" s="41">
        <v>30</v>
      </c>
      <c r="E21" s="42">
        <v>90</v>
      </c>
      <c r="F21" s="42">
        <f>(D21-B21)*E21</f>
        <v>0</v>
      </c>
    </row>
    <row r="22" spans="1:6" x14ac:dyDescent="0.2">
      <c r="A22" t="s">
        <v>105</v>
      </c>
      <c r="B22" s="41">
        <f>SUMIF(Destiantion,A22,Flow_67)</f>
        <v>10</v>
      </c>
      <c r="C22" s="41" t="s">
        <v>8</v>
      </c>
      <c r="D22" s="41">
        <v>30</v>
      </c>
      <c r="E22" s="42">
        <v>80</v>
      </c>
      <c r="F22" s="42">
        <f>(D22-B22)*E22</f>
        <v>1600</v>
      </c>
    </row>
    <row r="23" spans="1:6" x14ac:dyDescent="0.2">
      <c r="A23" t="s">
        <v>107</v>
      </c>
      <c r="B23" s="41">
        <f>SUMIF(Destiantion,A23,Flow_67)</f>
        <v>30</v>
      </c>
      <c r="C23" s="41" t="s">
        <v>8</v>
      </c>
      <c r="D23" s="41">
        <v>30</v>
      </c>
      <c r="E23" s="42">
        <v>110</v>
      </c>
      <c r="F23" s="42">
        <f>(D23-B23)*E23</f>
        <v>0</v>
      </c>
    </row>
    <row r="26" spans="1:6" x14ac:dyDescent="0.2">
      <c r="A26" s="1" t="s">
        <v>42</v>
      </c>
    </row>
    <row r="27" spans="1:6" x14ac:dyDescent="0.2">
      <c r="A27" t="s">
        <v>125</v>
      </c>
      <c r="B27" s="43">
        <f>SUM(Penalty_Cost_per_Customer)+ SUMPRODUCT(C6:C11,D6:D11)</f>
        <v>3000</v>
      </c>
    </row>
    <row r="28" spans="1:6" x14ac:dyDescent="0.2">
      <c r="B28" s="4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5C9D0-4A20-C742-AA6B-97BDCA77B181}">
  <dimension ref="A1:K24"/>
  <sheetViews>
    <sheetView tabSelected="1" workbookViewId="0">
      <selection activeCell="K5" activeCellId="1" sqref="B5:B24 K5:K24"/>
    </sheetView>
  </sheetViews>
  <sheetFormatPr baseColWidth="10" defaultColWidth="8.83203125" defaultRowHeight="15" x14ac:dyDescent="0.2"/>
  <cols>
    <col min="1" max="1" width="67.5" bestFit="1" customWidth="1"/>
  </cols>
  <sheetData>
    <row r="1" spans="1:11" x14ac:dyDescent="0.2">
      <c r="A1" s="1" t="s">
        <v>126</v>
      </c>
      <c r="K1" s="45" t="str">
        <f>CONCATENATE("Sensitivity of ",$K$4," to ","Unit Penalty Cost for Customer 3")</f>
        <v>Sensitivity of Total_Cost to Unit Penalty Cost for Customer 3</v>
      </c>
    </row>
    <row r="3" spans="1:11" x14ac:dyDescent="0.2">
      <c r="A3" t="s">
        <v>127</v>
      </c>
      <c r="K3" t="s">
        <v>128</v>
      </c>
    </row>
    <row r="4" spans="1:11" ht="55" x14ac:dyDescent="0.2">
      <c r="B4" s="46" t="s">
        <v>116</v>
      </c>
      <c r="J4" s="45">
        <f>MATCH($K$4,OutputAddresses,0)</f>
        <v>1</v>
      </c>
      <c r="K4" s="47" t="s">
        <v>116</v>
      </c>
    </row>
    <row r="5" spans="1:11" x14ac:dyDescent="0.2">
      <c r="A5">
        <v>10</v>
      </c>
      <c r="B5" s="48">
        <v>1650</v>
      </c>
      <c r="K5">
        <f>INDEX(OutputValues,1,$J$4)</f>
        <v>1650</v>
      </c>
    </row>
    <row r="6" spans="1:11" x14ac:dyDescent="0.2">
      <c r="A6">
        <v>20</v>
      </c>
      <c r="B6" s="49">
        <v>1950</v>
      </c>
      <c r="K6">
        <f>INDEX(OutputValues,2,$J$4)</f>
        <v>1950</v>
      </c>
    </row>
    <row r="7" spans="1:11" x14ac:dyDescent="0.2">
      <c r="A7">
        <v>30</v>
      </c>
      <c r="B7" s="49">
        <v>2200</v>
      </c>
      <c r="K7">
        <f>INDEX(OutputValues,3,$J$4)</f>
        <v>2200</v>
      </c>
    </row>
    <row r="8" spans="1:11" x14ac:dyDescent="0.2">
      <c r="A8">
        <v>40</v>
      </c>
      <c r="B8" s="49">
        <v>2400</v>
      </c>
      <c r="K8">
        <f>INDEX(OutputValues,4,$J$4)</f>
        <v>2400</v>
      </c>
    </row>
    <row r="9" spans="1:11" x14ac:dyDescent="0.2">
      <c r="A9">
        <v>50</v>
      </c>
      <c r="B9" s="49">
        <v>2600</v>
      </c>
      <c r="K9">
        <f>INDEX(OutputValues,5,$J$4)</f>
        <v>2600</v>
      </c>
    </row>
    <row r="10" spans="1:11" x14ac:dyDescent="0.2">
      <c r="A10">
        <v>60</v>
      </c>
      <c r="B10" s="49">
        <v>2800</v>
      </c>
      <c r="K10">
        <f>INDEX(OutputValues,6,$J$4)</f>
        <v>2800</v>
      </c>
    </row>
    <row r="11" spans="1:11" x14ac:dyDescent="0.2">
      <c r="A11">
        <v>70</v>
      </c>
      <c r="B11" s="49">
        <v>3000</v>
      </c>
      <c r="K11">
        <f>INDEX(OutputValues,7,$J$4)</f>
        <v>3000</v>
      </c>
    </row>
    <row r="12" spans="1:11" x14ac:dyDescent="0.2">
      <c r="A12">
        <v>80</v>
      </c>
      <c r="B12" s="49">
        <v>3000</v>
      </c>
      <c r="K12">
        <f>INDEX(OutputValues,8,$J$4)</f>
        <v>3000</v>
      </c>
    </row>
    <row r="13" spans="1:11" x14ac:dyDescent="0.2">
      <c r="A13">
        <v>90</v>
      </c>
      <c r="B13" s="49">
        <v>3000</v>
      </c>
      <c r="K13">
        <f>INDEX(OutputValues,9,$J$4)</f>
        <v>3000</v>
      </c>
    </row>
    <row r="14" spans="1:11" x14ac:dyDescent="0.2">
      <c r="A14">
        <v>100</v>
      </c>
      <c r="B14" s="49">
        <v>3000</v>
      </c>
      <c r="K14">
        <f>INDEX(OutputValues,10,$J$4)</f>
        <v>3000</v>
      </c>
    </row>
    <row r="15" spans="1:11" x14ac:dyDescent="0.2">
      <c r="A15">
        <v>110</v>
      </c>
      <c r="B15" s="49">
        <v>3000</v>
      </c>
      <c r="K15">
        <f>INDEX(OutputValues,11,$J$4)</f>
        <v>3000</v>
      </c>
    </row>
    <row r="16" spans="1:11" x14ac:dyDescent="0.2">
      <c r="A16">
        <v>120</v>
      </c>
      <c r="B16" s="49">
        <v>3000</v>
      </c>
      <c r="K16">
        <f>INDEX(OutputValues,12,$J$4)</f>
        <v>3000</v>
      </c>
    </row>
    <row r="17" spans="1:11" x14ac:dyDescent="0.2">
      <c r="A17">
        <v>130</v>
      </c>
      <c r="B17" s="49">
        <v>3000</v>
      </c>
      <c r="K17">
        <f>INDEX(OutputValues,13,$J$4)</f>
        <v>3000</v>
      </c>
    </row>
    <row r="18" spans="1:11" x14ac:dyDescent="0.2">
      <c r="A18">
        <v>140</v>
      </c>
      <c r="B18" s="49">
        <v>3000</v>
      </c>
      <c r="K18">
        <f>INDEX(OutputValues,14,$J$4)</f>
        <v>3000</v>
      </c>
    </row>
    <row r="19" spans="1:11" x14ac:dyDescent="0.2">
      <c r="A19">
        <v>150</v>
      </c>
      <c r="B19" s="49">
        <v>3000</v>
      </c>
      <c r="K19">
        <f>INDEX(OutputValues,15,$J$4)</f>
        <v>3000</v>
      </c>
    </row>
    <row r="20" spans="1:11" x14ac:dyDescent="0.2">
      <c r="A20">
        <v>160</v>
      </c>
      <c r="B20" s="49">
        <v>3000</v>
      </c>
      <c r="K20">
        <f>INDEX(OutputValues,16,$J$4)</f>
        <v>3000</v>
      </c>
    </row>
    <row r="21" spans="1:11" x14ac:dyDescent="0.2">
      <c r="A21">
        <v>170</v>
      </c>
      <c r="B21" s="49">
        <v>3000</v>
      </c>
      <c r="K21">
        <f>INDEX(OutputValues,17,$J$4)</f>
        <v>3000</v>
      </c>
    </row>
    <row r="22" spans="1:11" x14ac:dyDescent="0.2">
      <c r="A22">
        <v>180</v>
      </c>
      <c r="B22" s="49">
        <v>3000</v>
      </c>
      <c r="K22">
        <f>INDEX(OutputValues,18,$J$4)</f>
        <v>3000</v>
      </c>
    </row>
    <row r="23" spans="1:11" x14ac:dyDescent="0.2">
      <c r="A23">
        <v>190</v>
      </c>
      <c r="B23" s="49">
        <v>3000</v>
      </c>
      <c r="K23">
        <f>INDEX(OutputValues,19,$J$4)</f>
        <v>3000</v>
      </c>
    </row>
    <row r="24" spans="1:11" x14ac:dyDescent="0.2">
      <c r="A24">
        <v>200</v>
      </c>
      <c r="B24" s="50">
        <v>3000</v>
      </c>
      <c r="K24">
        <f>INDEX(OutputValues,20,$J$4)</f>
        <v>3000</v>
      </c>
    </row>
  </sheetData>
  <dataValidations count="1">
    <dataValidation type="list" allowBlank="1" showInputMessage="1" showErrorMessage="1" sqref="K4" xr:uid="{04117160-582A-5F4C-95DA-2A76EC148CA3}">
      <formula1>OutputAddresses</formula1>
    </dataValidation>
  </dataValidations>
  <pageMargins left="0.7" right="0.7" top="0.75" bottom="0.75" header="0.3" footer="0.3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BA803-BC8F-8E40-9E87-22CAB7A624B5}">
  <dimension ref="A1:K25"/>
  <sheetViews>
    <sheetView topLeftCell="A2" workbookViewId="0">
      <selection activeCell="H36" sqref="H36"/>
    </sheetView>
  </sheetViews>
  <sheetFormatPr baseColWidth="10" defaultColWidth="8.83203125" defaultRowHeight="15" x14ac:dyDescent="0.2"/>
  <sheetData>
    <row r="1" spans="1:11" x14ac:dyDescent="0.2">
      <c r="A1" s="1" t="s">
        <v>126</v>
      </c>
      <c r="K1" s="45" t="str">
        <f>CONCATENATE("Sensitivity of ",$K$4," to ","Capacity of warehouse 2")</f>
        <v>Sensitivity of Total_Cost to Capacity of warehouse 2</v>
      </c>
    </row>
    <row r="3" spans="1:11" x14ac:dyDescent="0.2">
      <c r="A3" t="s">
        <v>129</v>
      </c>
      <c r="K3" t="s">
        <v>128</v>
      </c>
    </row>
    <row r="4" spans="1:11" ht="55" x14ac:dyDescent="0.2">
      <c r="B4" s="46" t="s">
        <v>116</v>
      </c>
      <c r="J4" s="45">
        <f>MATCH($K$4,OutputAddresses,0)</f>
        <v>1</v>
      </c>
      <c r="K4" s="47" t="s">
        <v>116</v>
      </c>
    </row>
    <row r="5" spans="1:11" x14ac:dyDescent="0.2">
      <c r="A5">
        <v>0</v>
      </c>
      <c r="B5" s="48">
        <v>5100</v>
      </c>
      <c r="K5">
        <f>INDEX(OutputValues,1,$J$4)</f>
        <v>5100</v>
      </c>
    </row>
    <row r="6" spans="1:11" x14ac:dyDescent="0.2">
      <c r="A6">
        <v>5</v>
      </c>
      <c r="B6" s="49">
        <v>4700</v>
      </c>
      <c r="K6">
        <f>INDEX(OutputValues,2,$J$4)</f>
        <v>4700</v>
      </c>
    </row>
    <row r="7" spans="1:11" x14ac:dyDescent="0.2">
      <c r="A7">
        <v>10</v>
      </c>
      <c r="B7" s="49">
        <v>4300</v>
      </c>
      <c r="K7">
        <f>INDEX(OutputValues,3,$J$4)</f>
        <v>4300</v>
      </c>
    </row>
    <row r="8" spans="1:11" x14ac:dyDescent="0.2">
      <c r="A8">
        <v>15</v>
      </c>
      <c r="B8" s="49">
        <v>3900</v>
      </c>
      <c r="K8">
        <f>INDEX(OutputValues,4,$J$4)</f>
        <v>3900</v>
      </c>
    </row>
    <row r="9" spans="1:11" x14ac:dyDescent="0.2">
      <c r="A9">
        <v>20</v>
      </c>
      <c r="B9" s="49">
        <v>3500</v>
      </c>
      <c r="K9">
        <f>INDEX(OutputValues,5,$J$4)</f>
        <v>3500</v>
      </c>
    </row>
    <row r="10" spans="1:11" x14ac:dyDescent="0.2">
      <c r="A10">
        <v>25</v>
      </c>
      <c r="B10" s="49">
        <v>3250</v>
      </c>
      <c r="K10">
        <f>INDEX(OutputValues,6,$J$4)</f>
        <v>3250</v>
      </c>
    </row>
    <row r="11" spans="1:11" x14ac:dyDescent="0.2">
      <c r="A11">
        <v>30</v>
      </c>
      <c r="B11" s="49">
        <v>3000</v>
      </c>
      <c r="K11">
        <f>INDEX(OutputValues,7,$J$4)</f>
        <v>3000</v>
      </c>
    </row>
    <row r="12" spans="1:11" x14ac:dyDescent="0.2">
      <c r="A12">
        <v>35</v>
      </c>
      <c r="B12" s="49">
        <v>2750</v>
      </c>
      <c r="K12">
        <f>INDEX(OutputValues,8,$J$4)</f>
        <v>2750</v>
      </c>
    </row>
    <row r="13" spans="1:11" x14ac:dyDescent="0.2">
      <c r="A13">
        <v>40</v>
      </c>
      <c r="B13" s="49">
        <v>2500</v>
      </c>
      <c r="K13">
        <f>INDEX(OutputValues,9,$J$4)</f>
        <v>2500</v>
      </c>
    </row>
    <row r="14" spans="1:11" x14ac:dyDescent="0.2">
      <c r="A14">
        <v>45</v>
      </c>
      <c r="B14" s="49">
        <v>2250</v>
      </c>
      <c r="K14">
        <f>INDEX(OutputValues,10,$J$4)</f>
        <v>2250</v>
      </c>
    </row>
    <row r="15" spans="1:11" x14ac:dyDescent="0.2">
      <c r="A15">
        <v>50</v>
      </c>
      <c r="B15" s="49">
        <v>2000</v>
      </c>
      <c r="K15">
        <f>INDEX(OutputValues,11,$J$4)</f>
        <v>2000</v>
      </c>
    </row>
    <row r="16" spans="1:11" x14ac:dyDescent="0.2">
      <c r="A16">
        <v>55</v>
      </c>
      <c r="B16" s="49">
        <v>1975</v>
      </c>
      <c r="K16">
        <f>INDEX(OutputValues,12,$J$4)</f>
        <v>1975</v>
      </c>
    </row>
    <row r="17" spans="1:11" x14ac:dyDescent="0.2">
      <c r="A17">
        <v>60</v>
      </c>
      <c r="B17" s="49">
        <v>1950</v>
      </c>
      <c r="K17">
        <f>INDEX(OutputValues,13,$J$4)</f>
        <v>1950</v>
      </c>
    </row>
    <row r="18" spans="1:11" x14ac:dyDescent="0.2">
      <c r="A18">
        <v>65</v>
      </c>
      <c r="B18" s="49">
        <v>1950</v>
      </c>
      <c r="K18">
        <f>INDEX(OutputValues,14,$J$4)</f>
        <v>1950</v>
      </c>
    </row>
    <row r="19" spans="1:11" x14ac:dyDescent="0.2">
      <c r="A19">
        <v>70</v>
      </c>
      <c r="B19" s="49">
        <v>1950</v>
      </c>
      <c r="K19">
        <f>INDEX(OutputValues,15,$J$4)</f>
        <v>1950</v>
      </c>
    </row>
    <row r="20" spans="1:11" x14ac:dyDescent="0.2">
      <c r="A20">
        <v>75</v>
      </c>
      <c r="B20" s="49">
        <v>1950</v>
      </c>
      <c r="K20">
        <f>INDEX(OutputValues,16,$J$4)</f>
        <v>1950</v>
      </c>
    </row>
    <row r="21" spans="1:11" x14ac:dyDescent="0.2">
      <c r="A21">
        <v>80</v>
      </c>
      <c r="B21" s="49">
        <v>1950</v>
      </c>
      <c r="K21">
        <f>INDEX(OutputValues,17,$J$4)</f>
        <v>1950</v>
      </c>
    </row>
    <row r="22" spans="1:11" x14ac:dyDescent="0.2">
      <c r="A22">
        <v>85</v>
      </c>
      <c r="B22" s="49">
        <v>1950</v>
      </c>
      <c r="K22">
        <f>INDEX(OutputValues,18,$J$4)</f>
        <v>1950</v>
      </c>
    </row>
    <row r="23" spans="1:11" x14ac:dyDescent="0.2">
      <c r="A23">
        <v>90</v>
      </c>
      <c r="B23" s="49">
        <v>1950</v>
      </c>
      <c r="K23">
        <f>INDEX(OutputValues,19,$J$4)</f>
        <v>1950</v>
      </c>
    </row>
    <row r="24" spans="1:11" x14ac:dyDescent="0.2">
      <c r="A24">
        <v>95</v>
      </c>
      <c r="B24" s="49">
        <v>1950</v>
      </c>
      <c r="K24">
        <f>INDEX(OutputValues,20,$J$4)</f>
        <v>1950</v>
      </c>
    </row>
    <row r="25" spans="1:11" x14ac:dyDescent="0.2">
      <c r="A25">
        <v>100</v>
      </c>
      <c r="B25" s="50">
        <v>1950</v>
      </c>
      <c r="K25">
        <f>INDEX(OutputValues,21,$J$4)</f>
        <v>1950</v>
      </c>
    </row>
  </sheetData>
  <dataValidations count="1">
    <dataValidation type="list" allowBlank="1" showInputMessage="1" showErrorMessage="1" sqref="K4" xr:uid="{1BB26E25-6360-354E-A7AD-5CC501692362}">
      <formula1>OutputAddresses</formula1>
    </dataValidation>
  </dataValidation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34</vt:i4>
      </vt:variant>
    </vt:vector>
  </HeadingPairs>
  <TitlesOfParts>
    <vt:vector size="42" baseType="lpstr">
      <vt:lpstr>Q_20 Without root constraints</vt:lpstr>
      <vt:lpstr>Q_20 Sensitivity Report 1</vt:lpstr>
      <vt:lpstr>Q_20 With Root constraint</vt:lpstr>
      <vt:lpstr>Q_20 Sensitivity Report 2_const</vt:lpstr>
      <vt:lpstr>Q_30 Maudes shortest path</vt:lpstr>
      <vt:lpstr>Q67 Allied Freight</vt:lpstr>
      <vt:lpstr>STS 1</vt:lpstr>
      <vt:lpstr>STS 2</vt:lpstr>
      <vt:lpstr>Arc_capacity</vt:lpstr>
      <vt:lpstr>Arc_capacity_wc</vt:lpstr>
      <vt:lpstr>Customer_demand</vt:lpstr>
      <vt:lpstr>Customer_demand_wc</vt:lpstr>
      <vt:lpstr>Customer_net_inflow</vt:lpstr>
      <vt:lpstr>Customer_net_inflow_wc</vt:lpstr>
      <vt:lpstr>Dest</vt:lpstr>
      <vt:lpstr>Destiantion</vt:lpstr>
      <vt:lpstr>Destination</vt:lpstr>
      <vt:lpstr>Destination_wc</vt:lpstr>
      <vt:lpstr>Distance</vt:lpstr>
      <vt:lpstr>Flo</vt:lpstr>
      <vt:lpstr>Flow</vt:lpstr>
      <vt:lpstr>Flow_67</vt:lpstr>
      <vt:lpstr>Flow_wc</vt:lpstr>
      <vt:lpstr>Orig</vt:lpstr>
      <vt:lpstr>Origin</vt:lpstr>
      <vt:lpstr>Origin_67</vt:lpstr>
      <vt:lpstr>Origin_wc</vt:lpstr>
      <vt:lpstr>'STS 1'!OutputAddresses</vt:lpstr>
      <vt:lpstr>'STS 2'!OutputAddresses</vt:lpstr>
      <vt:lpstr>'STS 1'!OutputValues</vt:lpstr>
      <vt:lpstr>'STS 2'!OutputValues</vt:lpstr>
      <vt:lpstr>Penalty_Cost_per_Customer</vt:lpstr>
      <vt:lpstr>Plant_capacit_wc</vt:lpstr>
      <vt:lpstr>Plant_capacity</vt:lpstr>
      <vt:lpstr>Plant_capacity_wc</vt:lpstr>
      <vt:lpstr>Plant_net_outflow</vt:lpstr>
      <vt:lpstr>Plant_net_outflow_wc</vt:lpstr>
      <vt:lpstr>Total_cost</vt:lpstr>
      <vt:lpstr>Unit_cost</vt:lpstr>
      <vt:lpstr>Unit_cost_wc</vt:lpstr>
      <vt:lpstr>Warehouse_net_outflow</vt:lpstr>
      <vt:lpstr>Warehouse_net_outflow_wc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Kanika Yadav</dc:creator>
  <cp:lastModifiedBy>Microsoft Office User</cp:lastModifiedBy>
  <dcterms:created xsi:type="dcterms:W3CDTF">2022-10-05T17:33:48Z</dcterms:created>
  <dcterms:modified xsi:type="dcterms:W3CDTF">2022-10-07T03:54:49Z</dcterms:modified>
</cp:coreProperties>
</file>