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Homework Assignments/"/>
    </mc:Choice>
  </mc:AlternateContent>
  <xr:revisionPtr revIDLastSave="0" documentId="13_ncr:1_{5D208C5E-B8C5-F147-A5F2-28505F6CA016}" xr6:coauthVersionLast="47" xr6:coauthVersionMax="47" xr10:uidLastSave="{00000000-0000-0000-0000-000000000000}"/>
  <bookViews>
    <workbookView xWindow="0" yWindow="0" windowWidth="28800" windowHeight="18000" activeTab="4" xr2:uid="{B3E16C40-F77A-0745-8269-1DCCED549D24}"/>
  </bookViews>
  <sheets>
    <sheet name="4E#4  Capital Budgeting 06_04" sheetId="1" r:id="rId1"/>
    <sheet name="4E#18 Captial Buget Dorian Auto" sheetId="2" r:id="rId2"/>
    <sheet name="4E#18 Captial Buget Dorian _STS" sheetId="6" state="veryHidden" r:id="rId3"/>
    <sheet name="STS_1" sheetId="9" r:id="rId4"/>
    <sheet name="STS_2" sheetId="7" r:id="rId5"/>
    <sheet name="STS_3" sheetId="10" r:id="rId6"/>
    <sheet name="STS_6" sheetId="18" r:id="rId7"/>
    <sheet name="STS_7" sheetId="19" r:id="rId8"/>
    <sheet name="4E#28 United Copiers" sheetId="14" r:id="rId9"/>
    <sheet name="4E#28 United Copiers_STS" sheetId="15" state="veryHidden" r:id="rId10"/>
    <sheet name="STS_4" sheetId="16" r:id="rId11"/>
    <sheet name="STS_5" sheetId="17" r:id="rId12"/>
  </sheets>
  <externalReferences>
    <externalReference r:id="rId13"/>
  </externalReferences>
  <definedNames>
    <definedName name="Amount_invested">'4E#4  Capital Budgeting 06_04'!$B$14</definedName>
    <definedName name="Assignments">'4E#28 United Copiers'!$B$23:$H$33</definedName>
    <definedName name="Budget">'4E#4  Capital Budgeting 06_04'!$D$14</definedName>
    <definedName name="ChartData" localSheetId="3">STS_1!#REF!</definedName>
    <definedName name="ChartData" localSheetId="4">STS_2!#REF!</definedName>
    <definedName name="ChartData" localSheetId="5">STS_3!$N$5:$N$12</definedName>
    <definedName name="ChartData" localSheetId="10">STS_4!$K$5:$K$15</definedName>
    <definedName name="ChartData" localSheetId="11">STS_5!$K$5:$K$15</definedName>
    <definedName name="Include_service_center">'4E#28 United Copiers'!$B$19:$H$19</definedName>
    <definedName name="InputValues" localSheetId="3">STS_1!#REF!</definedName>
    <definedName name="InputValues" localSheetId="4">STS_2!#REF!</definedName>
    <definedName name="InputValues" localSheetId="5">STS_3!$A$5:$A$12</definedName>
    <definedName name="InputValues" localSheetId="10">STS_4!$A$5:$A$15</definedName>
    <definedName name="InputValues" localSheetId="11">STS_5!$A$5:$A$15</definedName>
    <definedName name="Investment_levels">'4E#4  Capital Budgeting 06_04'!$B$10:$H$10</definedName>
    <definedName name="Investment_levels_2">'4E#4  Capital Budgeting 06_04'!$B$53:$H$53</definedName>
    <definedName name="Investment_levels_3">'4E#4  Capital Budgeting 06_04'!$B$74:$H$74</definedName>
    <definedName name="Investment_levels_4">'4E#4  Capital Budgeting 06_04'!$B$95:$H$95</definedName>
    <definedName name="Logical_capacity">'4E#18 Captial Buget Dorian Auto'!$B$19:$F$19</definedName>
    <definedName name="Logical_capacity_service">'4E#28 United Copiers'!$B$36:$H$36</definedName>
    <definedName name="Max_centers">'4E#28 United Copiers'!$M$19</definedName>
    <definedName name="Minimum_investment_level">'4E#4  Capital Budgeting 06_04'!#REF!</definedName>
    <definedName name="Minimum_production">'4E#18 Captial Buget Dorian Auto'!$B$15:$F$15</definedName>
    <definedName name="Number_serviced_by">'4E#28 United Copiers'!$B$34:$H$34</definedName>
    <definedName name="OutputAddresses" localSheetId="3">STS_1!#REF!</definedName>
    <definedName name="OutputAddresses" localSheetId="4">STS_2!#REF!</definedName>
    <definedName name="OutputAddresses" localSheetId="5">STS_3!$B$4:$L$4</definedName>
    <definedName name="OutputAddresses" localSheetId="10">STS_4!$B$4:$I$4</definedName>
    <definedName name="OutputAddresses" localSheetId="11">STS_5!$B$4:$I$4</definedName>
    <definedName name="OutputAddresses" localSheetId="6">STS_6!$B$4:$L$4</definedName>
    <definedName name="OutputAddresses" localSheetId="7">STS_7!$B$4:$L$4</definedName>
    <definedName name="OutputAddresses_3">STS_3!$B$4:$L$4</definedName>
    <definedName name="OutputAddresses_STS1">STS_2!$B$4:$L$4</definedName>
    <definedName name="OutputAddresses_STS2">STS_1!$B$4:$L$4</definedName>
    <definedName name="OutputValues" localSheetId="3">STS_1!#REF!</definedName>
    <definedName name="OutputValues" localSheetId="4">STS_2!#REF!</definedName>
    <definedName name="OutputValues" localSheetId="5">STS_3!$B$5:$L$12</definedName>
    <definedName name="OutputValues" localSheetId="10">STS_4!$B$5:$I$15</definedName>
    <definedName name="OutputValues" localSheetId="11">STS_5!$B$5:$I$15</definedName>
    <definedName name="OutputValues" localSheetId="6">STS_6!$B$5:$L$23</definedName>
    <definedName name="OutputValues" localSheetId="7">STS_7!$B$5:$L$35</definedName>
    <definedName name="OutputValues_3">STS_3!$B$5:$L$35</definedName>
    <definedName name="OutputValues_STS1">STS_2!$B$5:$L$24</definedName>
    <definedName name="OutputValues_STS2">STS_1!$B$5:$L$24</definedName>
    <definedName name="Produce_at_least_minimum">'4E#18 Captial Buget Dorian Auto'!$B$13:$F$13</definedName>
    <definedName name="Profit">'4E#18 Captial Buget Dorian Auto'!$B$27</definedName>
    <definedName name="Resource_available">'4E#18 Captial Buget Dorian Auto'!$D$23:$D$24</definedName>
    <definedName name="Resource_used">'4E#18 Captial Buget Dorian Auto'!$B$23:$B$24</definedName>
    <definedName name="Service_Centers">'4E#28 United Copiers'!$K$19</definedName>
    <definedName name="solver_adj" localSheetId="1" hidden="1">'4E#18 Captial Buget Dorian Auto'!$B$13:$F$13,'4E#18 Captial Buget Dorian Auto'!$B$17:$F$17</definedName>
    <definedName name="solver_adj" localSheetId="8" hidden="1">'4E#28 United Copiers'!$B$19:$H$19,'4E#28 United Copiers'!$B$23:$H$33</definedName>
    <definedName name="solver_adj" localSheetId="0" hidden="1">'4E#4  Capital Budgeting 06_04'!$B$10:$H$10</definedName>
    <definedName name="solver_cvg" localSheetId="1" hidden="1">0.0001</definedName>
    <definedName name="solver_cvg" localSheetId="8" hidden="1">0.0001</definedName>
    <definedName name="solver_cvg" localSheetId="0" hidden="1">0.0001</definedName>
    <definedName name="solver_drv" localSheetId="1" hidden="1">1</definedName>
    <definedName name="solver_drv" localSheetId="8" hidden="1">1</definedName>
    <definedName name="solver_drv" localSheetId="0" hidden="1">1</definedName>
    <definedName name="solver_eng" localSheetId="1" hidden="1">2</definedName>
    <definedName name="solver_eng" localSheetId="8" hidden="1">2</definedName>
    <definedName name="solver_eng" localSheetId="0" hidden="1">2</definedName>
    <definedName name="solver_est" localSheetId="0" hidden="1">1</definedName>
    <definedName name="solver_itr" localSheetId="1" hidden="1">2147483647</definedName>
    <definedName name="solver_itr" localSheetId="8" hidden="1">2147483647</definedName>
    <definedName name="solver_itr" localSheetId="0" hidden="1">100</definedName>
    <definedName name="solver_lhs1" localSheetId="1" hidden="1">'4E#18 Captial Buget Dorian Auto'!$B$13:$F$13</definedName>
    <definedName name="solver_lhs1" localSheetId="8" hidden="1">'4E#28 United Copiers'!$B$23:$H$33</definedName>
    <definedName name="solver_lhs1" localSheetId="0" hidden="1">'4E#4  Capital Budgeting 06_04'!$B$14</definedName>
    <definedName name="solver_lhs2" localSheetId="1" hidden="1">'4E#18 Captial Buget Dorian Auto'!$B$23:$B$24</definedName>
    <definedName name="solver_lhs2" localSheetId="8" hidden="1">'4E#28 United Copiers'!$B$19:$H$19</definedName>
    <definedName name="solver_lhs2" localSheetId="0" hidden="1">'4E#4  Capital Budgeting 06_04'!$B$10:$H$10</definedName>
    <definedName name="solver_lhs3" localSheetId="1" hidden="1">'4E#18 Captial Buget Dorian Auto'!$B$17:$F$17</definedName>
    <definedName name="solver_lhs3" localSheetId="8" hidden="1">'4E#28 United Copiers'!$B$34:$H$34</definedName>
    <definedName name="solver_lhs3" localSheetId="0" hidden="1">'4E#4  Capital Budgeting 06_04'!$B$14</definedName>
    <definedName name="solver_lhs4" localSheetId="1" hidden="1">'4E#18 Captial Buget Dorian Auto'!$B$17:$F$17</definedName>
    <definedName name="solver_lhs4" localSheetId="8" hidden="1">'4E#28 United Copiers'!$K$19</definedName>
    <definedName name="solver_lhs4" localSheetId="0" hidden="1">'4E#4  Capital Budgeting 06_04'!$B$10:$H$10</definedName>
    <definedName name="solver_lhs5" localSheetId="8" hidden="1">'4E#28 United Copiers'!$I$23:$I$33</definedName>
    <definedName name="solver_lin" localSheetId="1" hidden="1">1</definedName>
    <definedName name="solver_lin" localSheetId="8" hidden="1">1</definedName>
    <definedName name="solver_lin" localSheetId="0" hidden="1">1</definedName>
    <definedName name="solver_mip" localSheetId="1" hidden="1">2147483647</definedName>
    <definedName name="solver_mip" localSheetId="8" hidden="1">2147483647</definedName>
    <definedName name="solver_mip" localSheetId="0" hidden="1">5000</definedName>
    <definedName name="solver_mni" localSheetId="1" hidden="1">30</definedName>
    <definedName name="solver_mni" localSheetId="8" hidden="1">30</definedName>
    <definedName name="solver_mni" localSheetId="0" hidden="1">30</definedName>
    <definedName name="solver_mrt" localSheetId="1" hidden="1">0.075</definedName>
    <definedName name="solver_mrt" localSheetId="8" hidden="1">0.075</definedName>
    <definedName name="solver_mrt" localSheetId="0" hidden="1">0.075</definedName>
    <definedName name="solver_msl" localSheetId="1" hidden="1">2</definedName>
    <definedName name="solver_msl" localSheetId="8" hidden="1">2</definedName>
    <definedName name="solver_msl" localSheetId="0" hidden="1">2</definedName>
    <definedName name="solver_neg" localSheetId="1" hidden="1">1</definedName>
    <definedName name="solver_neg" localSheetId="8" hidden="1">1</definedName>
    <definedName name="solver_neg" localSheetId="0" hidden="1">1</definedName>
    <definedName name="solver_nod" localSheetId="1" hidden="1">2147483647</definedName>
    <definedName name="solver_nod" localSheetId="8" hidden="1">2147483647</definedName>
    <definedName name="solver_nod" localSheetId="0" hidden="1">5000</definedName>
    <definedName name="solver_num" localSheetId="1" hidden="1">4</definedName>
    <definedName name="solver_num" localSheetId="8" hidden="1">5</definedName>
    <definedName name="solver_num" localSheetId="0" hidden="1">2</definedName>
    <definedName name="solver_nwt" localSheetId="0" hidden="1">1</definedName>
    <definedName name="solver_opt" localSheetId="1" hidden="1">'4E#18 Captial Buget Dorian Auto'!$B$27</definedName>
    <definedName name="solver_opt" localSheetId="8" hidden="1">'4E#28 United Copiers'!$B$53</definedName>
    <definedName name="solver_opt" localSheetId="0" hidden="1">'4E#4  Capital Budgeting 06_04'!$B$17</definedName>
    <definedName name="solver_pre" localSheetId="1" hidden="1">0.000001</definedName>
    <definedName name="solver_pre" localSheetId="8" hidden="1">0.000001</definedName>
    <definedName name="solver_pre" localSheetId="0" hidden="1">0.000001</definedName>
    <definedName name="solver_rbv" localSheetId="1" hidden="1">1</definedName>
    <definedName name="solver_rbv" localSheetId="8" hidden="1">1</definedName>
    <definedName name="solver_rbv" localSheetId="0" hidden="1">1</definedName>
    <definedName name="solver_rel1" localSheetId="1" hidden="1">5</definedName>
    <definedName name="solver_rel1" localSheetId="8" hidden="1">5</definedName>
    <definedName name="solver_rel1" localSheetId="0" hidden="1">1</definedName>
    <definedName name="solver_rel2" localSheetId="1" hidden="1">1</definedName>
    <definedName name="solver_rel2" localSheetId="8" hidden="1">5</definedName>
    <definedName name="solver_rel2" localSheetId="0" hidden="1">5</definedName>
    <definedName name="solver_rel3" localSheetId="1" hidden="1">1</definedName>
    <definedName name="solver_rel3" localSheetId="8" hidden="1">1</definedName>
    <definedName name="solver_rel3" localSheetId="0" hidden="1">1</definedName>
    <definedName name="solver_rel4" localSheetId="1" hidden="1">3</definedName>
    <definedName name="solver_rel4" localSheetId="8" hidden="1">1</definedName>
    <definedName name="solver_rel4" localSheetId="0" hidden="1">5</definedName>
    <definedName name="solver_rel5" localSheetId="8" hidden="1">2</definedName>
    <definedName name="solver_rhs1" localSheetId="1" hidden="1">"binary"</definedName>
    <definedName name="solver_rhs1" localSheetId="8" hidden="1">"binary"</definedName>
    <definedName name="solver_rhs1" localSheetId="0" hidden="1">Budget</definedName>
    <definedName name="solver_rhs2" localSheetId="1" hidden="1">Resource_available</definedName>
    <definedName name="solver_rhs2" localSheetId="8" hidden="1">"binary"</definedName>
    <definedName name="solver_rhs2" localSheetId="0" hidden="1">"binary"</definedName>
    <definedName name="solver_rhs3" localSheetId="1" hidden="1">Logical_capacity</definedName>
    <definedName name="solver_rhs3" localSheetId="8" hidden="1">Logical_capacity_service</definedName>
    <definedName name="solver_rhs3" localSheetId="0" hidden="1">Budget</definedName>
    <definedName name="solver_rhs4" localSheetId="1" hidden="1">Minimum_production</definedName>
    <definedName name="solver_rhs4" localSheetId="8" hidden="1">Max_centers</definedName>
    <definedName name="solver_rhs4" localSheetId="0" hidden="1">"binary"</definedName>
    <definedName name="solver_rhs5" localSheetId="8" hidden="1">1</definedName>
    <definedName name="solver_rlx" localSheetId="1" hidden="1">2</definedName>
    <definedName name="solver_rlx" localSheetId="8" hidden="1">2</definedName>
    <definedName name="solver_rlx" localSheetId="0" hidden="1">2</definedName>
    <definedName name="solver_rsd" localSheetId="1" hidden="1">0</definedName>
    <definedName name="solver_rsd" localSheetId="8" hidden="1">0</definedName>
    <definedName name="solver_rsd" localSheetId="0" hidden="1">0</definedName>
    <definedName name="solver_scl" localSheetId="1" hidden="1">2</definedName>
    <definedName name="solver_scl" localSheetId="8" hidden="1">2</definedName>
    <definedName name="solver_scl" localSheetId="0" hidden="1">2</definedName>
    <definedName name="solver_sho" localSheetId="1" hidden="1">2</definedName>
    <definedName name="solver_sho" localSheetId="8" hidden="1">2</definedName>
    <definedName name="solver_sho" localSheetId="0" hidden="1">2</definedName>
    <definedName name="solver_ssz" localSheetId="1" hidden="1">100</definedName>
    <definedName name="solver_ssz" localSheetId="8" hidden="1">100</definedName>
    <definedName name="solver_ssz" localSheetId="0" hidden="1">100</definedName>
    <definedName name="solver_tim" localSheetId="1" hidden="1">2147483647</definedName>
    <definedName name="solver_tim" localSheetId="8" hidden="1">2147483647</definedName>
    <definedName name="solver_tim" localSheetId="0" hidden="1">100</definedName>
    <definedName name="solver_tol" localSheetId="1" hidden="1">0</definedName>
    <definedName name="solver_tol" localSheetId="8" hidden="1">0</definedName>
    <definedName name="solver_tol" localSheetId="0" hidden="1">0.05</definedName>
    <definedName name="solver_typ" localSheetId="1" hidden="1">1</definedName>
    <definedName name="solver_typ" localSheetId="8" hidden="1">2</definedName>
    <definedName name="solver_typ" localSheetId="0" hidden="1">1</definedName>
    <definedName name="solver_val" localSheetId="1" hidden="1">0</definedName>
    <definedName name="solver_val" localSheetId="8" hidden="1">0</definedName>
    <definedName name="solver_val" localSheetId="0" hidden="1">0</definedName>
    <definedName name="solver_ver" localSheetId="1" hidden="1">2</definedName>
    <definedName name="solver_ver" localSheetId="8" hidden="1">2</definedName>
    <definedName name="solver_ver" localSheetId="0" hidden="1">2</definedName>
    <definedName name="Total_Assignments">'4E#28 United Copiers'!$I$23:$I$33</definedName>
    <definedName name="Total_Distance">'4E#28 United Copiers'!$B$53</definedName>
    <definedName name="Total_investments">'4E#4  Capital Budgeting 06_04'!#REF!</definedName>
    <definedName name="Total_NPV">'4E#4  Capital Budgeting 06_04'!$B$17</definedName>
    <definedName name="Units_produced">'4E#18 Captial Buget Dorian Auto'!$B$17:$F$17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9" l="1"/>
  <c r="N35" i="19" s="1"/>
  <c r="N1" i="19"/>
  <c r="M4" i="18"/>
  <c r="N23" i="18" s="1"/>
  <c r="N1" i="18"/>
  <c r="M4" i="10"/>
  <c r="N35" i="10" s="1"/>
  <c r="N1" i="10"/>
  <c r="M4" i="9"/>
  <c r="N24" i="9" s="1"/>
  <c r="N1" i="9"/>
  <c r="M4" i="7"/>
  <c r="N24" i="7" s="1"/>
  <c r="N1" i="7"/>
  <c r="K1" i="17"/>
  <c r="K15" i="17"/>
  <c r="K14" i="17"/>
  <c r="K13" i="17"/>
  <c r="K12" i="17"/>
  <c r="K11" i="17"/>
  <c r="K10" i="17"/>
  <c r="K9" i="17"/>
  <c r="K8" i="17"/>
  <c r="K7" i="17"/>
  <c r="K6" i="17"/>
  <c r="K5" i="17"/>
  <c r="J4" i="17"/>
  <c r="CJ1" i="16"/>
  <c r="J4" i="16"/>
  <c r="K15" i="16" s="1"/>
  <c r="K23" i="14"/>
  <c r="I24" i="14"/>
  <c r="I25" i="14"/>
  <c r="I26" i="14"/>
  <c r="I27" i="14"/>
  <c r="I28" i="14"/>
  <c r="I29" i="14"/>
  <c r="I30" i="14"/>
  <c r="I31" i="14"/>
  <c r="I32" i="14"/>
  <c r="I33" i="14"/>
  <c r="I23" i="14"/>
  <c r="C34" i="14"/>
  <c r="D34" i="14"/>
  <c r="E34" i="14"/>
  <c r="F34" i="14"/>
  <c r="G34" i="14"/>
  <c r="H34" i="14"/>
  <c r="B34" i="14"/>
  <c r="C41" i="14"/>
  <c r="C42" i="14"/>
  <c r="C43" i="14"/>
  <c r="C44" i="14"/>
  <c r="C45" i="14"/>
  <c r="C46" i="14"/>
  <c r="C47" i="14"/>
  <c r="C48" i="14"/>
  <c r="C49" i="14"/>
  <c r="C50" i="14"/>
  <c r="C40" i="14"/>
  <c r="C36" i="14"/>
  <c r="D36" i="14"/>
  <c r="E36" i="14"/>
  <c r="F36" i="14"/>
  <c r="G36" i="14"/>
  <c r="H36" i="14"/>
  <c r="B36" i="14"/>
  <c r="K24" i="14"/>
  <c r="K25" i="14"/>
  <c r="K26" i="14"/>
  <c r="K27" i="14"/>
  <c r="K28" i="14"/>
  <c r="K29" i="14"/>
  <c r="K30" i="14"/>
  <c r="K31" i="14"/>
  <c r="K32" i="14"/>
  <c r="K33" i="14"/>
  <c r="K19" i="14"/>
  <c r="B23" i="2"/>
  <c r="N12" i="19" l="1"/>
  <c r="N20" i="19"/>
  <c r="N28" i="19"/>
  <c r="N13" i="19"/>
  <c r="N29" i="19"/>
  <c r="N6" i="19"/>
  <c r="N30" i="19"/>
  <c r="N15" i="19"/>
  <c r="N23" i="19"/>
  <c r="N8" i="19"/>
  <c r="N16" i="19"/>
  <c r="N32" i="19"/>
  <c r="N9" i="19"/>
  <c r="N17" i="19"/>
  <c r="N25" i="19"/>
  <c r="N33" i="19"/>
  <c r="N5" i="19"/>
  <c r="N21" i="19"/>
  <c r="N14" i="19"/>
  <c r="N22" i="19"/>
  <c r="N7" i="19"/>
  <c r="N31" i="19"/>
  <c r="N24" i="19"/>
  <c r="N10" i="19"/>
  <c r="N18" i="19"/>
  <c r="N26" i="19"/>
  <c r="N34" i="19"/>
  <c r="N11" i="19"/>
  <c r="N19" i="19"/>
  <c r="N27" i="19"/>
  <c r="N9" i="18"/>
  <c r="N8" i="18"/>
  <c r="N16" i="18"/>
  <c r="N17" i="18"/>
  <c r="N10" i="18"/>
  <c r="N18" i="18"/>
  <c r="N11" i="18"/>
  <c r="N21" i="18"/>
  <c r="N19" i="18"/>
  <c r="N22" i="18"/>
  <c r="N12" i="18"/>
  <c r="N20" i="18"/>
  <c r="N5" i="18"/>
  <c r="N13" i="18"/>
  <c r="N6" i="18"/>
  <c r="N14" i="18"/>
  <c r="N7" i="18"/>
  <c r="N15" i="18"/>
  <c r="N12" i="10"/>
  <c r="N20" i="10"/>
  <c r="N28" i="10"/>
  <c r="N21" i="10"/>
  <c r="N6" i="10"/>
  <c r="N22" i="10"/>
  <c r="N15" i="10"/>
  <c r="N31" i="10"/>
  <c r="N16" i="10"/>
  <c r="N24" i="10"/>
  <c r="N9" i="10"/>
  <c r="N17" i="10"/>
  <c r="N25" i="10"/>
  <c r="N33" i="10"/>
  <c r="N5" i="10"/>
  <c r="N13" i="10"/>
  <c r="N29" i="10"/>
  <c r="N14" i="10"/>
  <c r="N30" i="10"/>
  <c r="N7" i="10"/>
  <c r="N23" i="10"/>
  <c r="N8" i="10"/>
  <c r="N32" i="10"/>
  <c r="N10" i="10"/>
  <c r="N18" i="10"/>
  <c r="N26" i="10"/>
  <c r="N34" i="10"/>
  <c r="N11" i="10"/>
  <c r="N19" i="10"/>
  <c r="N27" i="10"/>
  <c r="N12" i="9"/>
  <c r="N9" i="9"/>
  <c r="N17" i="9"/>
  <c r="N10" i="9"/>
  <c r="N11" i="9"/>
  <c r="N21" i="9"/>
  <c r="N6" i="9"/>
  <c r="N14" i="9"/>
  <c r="N22" i="9"/>
  <c r="N18" i="9"/>
  <c r="N19" i="9"/>
  <c r="N20" i="9"/>
  <c r="N13" i="9"/>
  <c r="N7" i="9"/>
  <c r="N15" i="9"/>
  <c r="N23" i="9"/>
  <c r="N5" i="9"/>
  <c r="N8" i="9"/>
  <c r="N16" i="9"/>
  <c r="N19" i="7"/>
  <c r="N9" i="7"/>
  <c r="N17" i="7"/>
  <c r="N10" i="7"/>
  <c r="N18" i="7"/>
  <c r="N12" i="7"/>
  <c r="N21" i="7"/>
  <c r="N6" i="7"/>
  <c r="N14" i="7"/>
  <c r="N22" i="7"/>
  <c r="N11" i="7"/>
  <c r="N20" i="7"/>
  <c r="N13" i="7"/>
  <c r="N7" i="7"/>
  <c r="N15" i="7"/>
  <c r="N23" i="7"/>
  <c r="N5" i="7"/>
  <c r="N8" i="7"/>
  <c r="N16" i="7"/>
  <c r="K5" i="16"/>
  <c r="K6" i="16"/>
  <c r="K8" i="16"/>
  <c r="K9" i="16"/>
  <c r="K10" i="16"/>
  <c r="K11" i="16"/>
  <c r="K12" i="16"/>
  <c r="K13" i="16"/>
  <c r="K14" i="16"/>
  <c r="K7" i="16"/>
  <c r="B53" i="14"/>
  <c r="B27" i="2" l="1"/>
  <c r="B24" i="2"/>
  <c r="F19" i="2"/>
  <c r="E19" i="2"/>
  <c r="D19" i="2"/>
  <c r="C19" i="2"/>
  <c r="B19" i="2"/>
  <c r="F15" i="2"/>
  <c r="E15" i="2"/>
  <c r="D15" i="2"/>
  <c r="C15" i="2"/>
  <c r="B15" i="2"/>
  <c r="B102" i="1"/>
  <c r="B99" i="1"/>
  <c r="B81" i="1"/>
  <c r="B78" i="1"/>
  <c r="B60" i="1"/>
  <c r="B57" i="1"/>
  <c r="H78" i="1"/>
  <c r="F78" i="1"/>
  <c r="H57" i="1"/>
  <c r="B17" i="1"/>
  <c r="B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Asad Sajid Awan</author>
  </authors>
  <commentList>
    <comment ref="B5" authorId="0" shapeId="0" xr:uid="{AE0C2861-A70C-4948-A385-78DC23CB31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08370961-2C1B-074A-B462-FC33603B1A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BD574B75-E0A8-5448-9880-3BE978D3BA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04F917A1-AD99-3A4A-B232-67B02DB073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54CB06AE-0CF2-3C48-987F-E5C9582091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585135A0-2F90-6F46-A7F7-D3E43007EB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0B34C8DB-29B4-D74B-B418-7FD07B194B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5D21F8F3-303F-4C44-BE0F-54891318E8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2852C5AA-0A7D-274D-BE8E-799A7CD01B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CDD76053-AA35-6349-AE37-3A4505EA9D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546949CF-AC46-0846-B5DC-145C36C80A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E28F6618-8B99-D241-A181-3EDD0FAB02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296ED114-A7F2-4C46-8311-63F7C9259F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7CA246EF-34A5-A442-B4AB-089EF1AF3D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9" authorId="0" shapeId="0" xr:uid="{E3EE9214-E221-F049-B779-F6C22BFA7B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61C50F90-183A-914F-9D36-365887939C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CF4207C5-0F2C-424A-A9E3-47073AAF85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0F8514B6-0E70-F140-8FDA-FE2C85A710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7657AD19-DF4D-4645-A4D5-5DAE8A0978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E598B96F-51B9-A540-8AF3-A95405BA33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Asad Sajid Awan</author>
  </authors>
  <commentList>
    <comment ref="B5" authorId="0" shapeId="0" xr:uid="{E7D13242-79A8-E44B-A55C-8289B3DC9B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A8C4638F-B062-C341-879F-7BC2AAA483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F73B6B34-F800-A04C-8ECE-828B706E1C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82C2DE50-BD28-4541-AF55-F439668D69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756A3CCC-8159-2B4E-8AD9-0D651D0F7F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525D0472-0405-7342-B384-9CD3E2BDEC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9C870004-B569-854B-96B9-95F3CFB0A7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46333E6A-E30E-1C44-B045-3C14D64990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58E4FDA8-BBE4-F84D-AB24-4FE3CC4263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2CFD87EC-E396-944A-AA43-BE1D3F28CC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89BAC021-B19B-0C4A-A910-C40CB65BDF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0DC66F24-3841-4C4E-96BD-658DB7B38F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872648E2-7D52-294E-BCA5-4EC7D885E4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6CBD7B6A-5053-0C4A-885E-A18A50B9FB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9" authorId="0" shapeId="0" xr:uid="{F8707A04-8AFC-6A42-949D-537FA92877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0CE087FA-F8F0-4E4D-A109-631B618CE2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0CA09C2B-81F1-4641-8220-CDD7FCF5D4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B66C5066-35C5-1648-AB49-C4E6ECDA11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F022A963-7873-CC41-9E3A-F8F505896D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8BE6B3C8-3718-4440-B8FA-8B8FBEF4B3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Asad Sajid Awan</author>
  </authors>
  <commentList>
    <comment ref="B5" authorId="0" shapeId="0" xr:uid="{52ABDD0F-D19D-1B44-85D2-27B2799B1D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133B885E-DE30-CF49-816A-980DB7FB80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199BFDFE-2CF1-8646-B48D-4D6EC4EC48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6345A8CF-8F65-2D44-9A87-37A079730E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01D98878-8567-DC4D-B9D8-55D0BD70D0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21CDDD95-3FE8-F244-BCC6-17AB9125E1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26957894-F7FE-D442-8329-4EEACA904A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89B55007-7DA5-3349-9DD7-4000B03A19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411643DA-CE17-1148-8056-38CD05F857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E879BE4B-1F66-6B47-865B-00383EB709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0A257ECE-3664-1D4D-BC7F-639255C667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5C361123-2F89-FA48-9339-852B331749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AD96667D-D7D0-534A-B0C5-3B12AAA57E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97458A42-6C12-AD49-ADBB-D912C9D611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FA6AE02E-9DC5-8C4F-9E74-1D8392C766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9A77638B-57A2-5D4B-B6E6-9B7738A5BE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F5E85962-54C9-FA4D-A10B-8A3E0D6010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4D00B456-30C0-9044-B736-3855ED01F5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2B2EE7A2-1FA9-CA4C-8233-2A681AD112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FBF43DF4-AF05-1944-A98E-45F0298F10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577B5EB8-0D84-E74E-89AC-61EDDFDBD7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 xr:uid="{F278E0A4-C56E-9944-9DCB-5FBA929B1E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" authorId="0" shapeId="0" xr:uid="{57D84F6F-4289-3845-B704-7849DAD3B5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" authorId="0" shapeId="0" xr:uid="{48DBA88E-9133-4D47-BB10-3F0F4A683D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" authorId="0" shapeId="0" xr:uid="{A373100F-DB08-A740-A36F-B038B3319E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" authorId="0" shapeId="0" xr:uid="{80CE7C2F-22AA-F846-994C-03BB0CDBCE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" authorId="0" shapeId="0" xr:uid="{C56D7A77-DEE1-2444-85C4-17C31A5CB7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 shapeId="0" xr:uid="{2D33BC91-6274-124B-ADE5-1876D28223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 xr:uid="{80F447AB-B08A-C24D-BE67-865A7EA4E7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 xr:uid="{26CE913A-54BD-AE44-95DA-567D0D5602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 shapeId="0" xr:uid="{2657D885-DB78-2E48-89CA-2B34A557E9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Asad Sajid Awan</author>
  </authors>
  <commentList>
    <comment ref="B5" authorId="0" shapeId="0" xr:uid="{4F152734-3244-884B-8762-993372B2A3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1CCFE744-1131-474A-9C63-5B48D6B1A8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5E025BF6-3F6A-3F43-8C1D-2B5EA9C362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DB38472A-C164-2141-908E-F86133CC78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6E39CA7D-A815-CD40-BB7F-F2B9FC21CF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AC1EF7CD-52C5-C440-B531-61DCA46CBA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1B914B29-088E-4541-B63A-E1D76EC7B9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4122BD64-F868-4F4D-8169-EFC828B17B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2188D3D6-FAF8-7549-B991-75CBA5EF88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18AF182B-5248-9F41-9A9C-B40BD7DC49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D3BC0816-0DF7-7440-BD77-82E5A5CD30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2746F100-0440-6743-8450-7BC3EA9F4A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96F93B45-244F-4A47-B8AF-FDDFBA0654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5A845C67-D41D-5E42-B301-054103C19F99}">
      <text>
        <r>
          <rPr>
            <sz val="11"/>
            <color theme="1"/>
            <rFont val="Calibri"/>
            <family val="2"/>
            <scheme val="minor"/>
          </rPr>
          <t>Solver found a solution. All constraints and optimality conditions are satisfied.</t>
        </r>
      </text>
    </comment>
    <comment ref="B19" authorId="0" shapeId="0" xr:uid="{2C056FA3-D0E7-C449-A91E-3A27C4E46C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EC1302EB-BFDE-0A40-9008-084AC65960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72BB11E7-4C86-5C4F-BC9C-F1A5A90DDA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A4E8FE79-BCC5-F94C-956D-BBB891ADD4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AE37F4BA-5F84-5A48-8DC0-8603E1F452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Asad Sajid Awan</author>
  </authors>
  <commentList>
    <comment ref="B5" authorId="0" shapeId="0" xr:uid="{94E45D8D-CBCE-784C-9F72-C4945EECEB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3C1FAEA9-C5C4-774B-9322-04F1548179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AC7A547C-D62C-3147-9CCA-5D671322A4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41FDF335-4E84-B149-B8DF-8DBED98B6B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377F0C09-262B-1E43-A1B0-6F4F04E494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CD70B30E-DDE9-3143-B834-B87D75649E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30488CB6-6589-064E-B03F-4E01B0238C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AA7F8739-A4C1-D04C-87A6-7E3D918105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9A40890D-2D59-4E4B-9039-BCA0C38B48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B8949171-6C8C-664E-8192-FD34DF6D49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1E731967-D89E-6D4E-B631-83340E01D0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F95712BA-150E-1041-87C8-5EB03A74C3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6960F7C7-6FA8-8A46-A6E1-5FA12EBE57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876EF14C-F3FD-6241-BCE8-BC81B0CED9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4663B470-09DE-E945-9E83-8FC3A23C27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A7504DAC-0CDC-2342-B167-E329A7E2D6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1" authorId="0" shapeId="0" xr:uid="{0E3BADEC-7E8C-6A46-B2F6-A2FE67140C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8DFE1523-9A11-B543-9EA3-9DE5BDFB76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283CE983-7AE4-624C-B80C-ED7AF994C9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F1F392F5-977E-F94A-B6BE-8617DDE9EE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24E662AC-22C8-7446-AE8C-42D8E631B7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 xr:uid="{495204F7-98C2-7E46-AD72-BBE3134288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" authorId="0" shapeId="0" xr:uid="{8E962DA9-C33D-8E45-B1A7-5631808BF7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" authorId="0" shapeId="0" xr:uid="{FC3219FB-52BF-5041-8B19-7FA67B59A9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" authorId="0" shapeId="0" xr:uid="{0F4098E1-4273-6F48-8227-56254ECC50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" authorId="0" shapeId="0" xr:uid="{36B3FED6-F6A6-924E-9977-21D59305BF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" authorId="0" shapeId="0" xr:uid="{D30ADFB3-8F5C-1247-88FC-C2E20095D2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 shapeId="0" xr:uid="{6A3350F9-3E2C-9144-9D04-6F3E298254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 xr:uid="{90DCD673-8011-B54C-BCF7-14553BC03A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 xr:uid="{CE0DE082-AA4E-BD42-BD6C-B9E56679BD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 shapeId="0" xr:uid="{18F642FF-4C47-174B-BDBF-025A523B22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" authorId="0" shapeId="0" xr:uid="{7FFE26A4-5C0A-7141-B29B-1FD6606ABCA3}">
      <text>
        <r>
          <rPr>
            <sz val="10"/>
            <color rgb="FF000000"/>
            <rFont val="Tahoma"/>
            <family val="2"/>
          </rPr>
          <t>The linearity conditions required by this LP Solver are not satisfied.</t>
        </r>
      </text>
    </comment>
    <comment ref="B6" authorId="0" shapeId="0" xr:uid="{70A7C6AD-300F-6C47-AC03-FBC95672EDE3}">
      <text>
        <r>
          <rPr>
            <sz val="10"/>
            <color rgb="FF000000"/>
            <rFont val="Tahoma"/>
            <family val="2"/>
          </rPr>
          <t>The linearity conditions required by this LP Solver are not satisfied.</t>
        </r>
      </text>
    </comment>
    <comment ref="B7" authorId="0" shapeId="0" xr:uid="{7F325AEA-985D-BB40-A4D0-B916AFC2BA7C}">
      <text>
        <r>
          <rPr>
            <sz val="10"/>
            <color rgb="FF000000"/>
            <rFont val="Tahoma"/>
            <family val="2"/>
          </rPr>
          <t>The linearity conditions required by this LP Solver are not satisfied.</t>
        </r>
      </text>
    </comment>
    <comment ref="B8" authorId="0" shapeId="0" xr:uid="{306157BD-9CFA-E54F-81C5-57A9968A8CAD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28D0ADFB-D75E-4945-BEAD-146F6100E8E2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B712B354-6616-F840-8FE2-5F480A174CFE}">
      <text>
        <r>
          <rPr>
            <sz val="10"/>
            <color rgb="FF000000"/>
            <rFont val="Tahoma"/>
            <family val="2"/>
          </rPr>
          <t>The linearity conditions required by this LP Solver are not satisfied.</t>
        </r>
      </text>
    </comment>
    <comment ref="B11" authorId="0" shapeId="0" xr:uid="{60FF1052-2589-F340-8CA1-CACDFECDCA6A}">
      <text>
        <r>
          <rPr>
            <sz val="10"/>
            <color rgb="FF000000"/>
            <rFont val="Tahoma"/>
            <family val="2"/>
          </rPr>
          <t>The linearity conditions required by this LP Solver are not satisfied.</t>
        </r>
      </text>
    </comment>
    <comment ref="B12" authorId="0" shapeId="0" xr:uid="{516B304C-4C7D-2944-AD44-5080B19AB148}">
      <text>
        <r>
          <rPr>
            <sz val="10"/>
            <color rgb="FF000000"/>
            <rFont val="Tahoma"/>
            <family val="2"/>
          </rPr>
          <t>The linearity conditions required by this LP Solver are not satisfied.</t>
        </r>
      </text>
    </comment>
    <comment ref="B13" authorId="0" shapeId="0" xr:uid="{8E6232C5-B7C0-2145-A70F-8F59E87B2E27}">
      <text>
        <r>
          <rPr>
            <sz val="10"/>
            <color rgb="FF000000"/>
            <rFont val="Tahoma"/>
            <family val="2"/>
          </rPr>
          <t>The linearity conditions required by this LP Solver are not satisfied.</t>
        </r>
      </text>
    </comment>
    <comment ref="B14" authorId="0" shapeId="0" xr:uid="{1D71FC58-9543-C340-8A24-17A8FAA9EB8F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E40F1DDF-33DE-8A4C-B494-821D3A64758C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" authorId="0" shapeId="0" xr:uid="{DF99E541-8259-C440-BAA5-737810C564E1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6C900780-ED81-3341-9CC0-4514A7F72E86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47F128B6-D532-7644-980A-78E63A113623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E9BBC5C0-890F-544C-BAD1-B616C84AF0F9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D3244AA4-E74B-3A48-A9CE-1BE9BA742919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23009137-3A0B-1346-902D-2BA41F9BBBCF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BE6C6F9D-B563-6E45-9428-638342C19861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9EBD830E-4AA5-DF4A-92D3-8EFCEECB4C01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6142E6C3-3D6A-2948-9577-EB256E68D628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B285AB8A-56D6-EB4B-8494-D8564FF7AB15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F4A7D98F-D2CD-1546-93A4-25E1D9623F2B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<sst xmlns="http://schemas.openxmlformats.org/spreadsheetml/2006/main" count="349" uniqueCount="140">
  <si>
    <t>Tatham capital budgeting model</t>
  </si>
  <si>
    <t>Investment</t>
  </si>
  <si>
    <t>Investment cost</t>
  </si>
  <si>
    <t>NPV</t>
  </si>
  <si>
    <t>NPV per investment dollar</t>
  </si>
  <si>
    <t>Decision: whether to invest</t>
  </si>
  <si>
    <t>Investment levels</t>
  </si>
  <si>
    <t>Budget constraint</t>
  </si>
  <si>
    <t>Budget</t>
  </si>
  <si>
    <t>&lt;=</t>
  </si>
  <si>
    <t>Total NPV</t>
  </si>
  <si>
    <t>Amount invested</t>
  </si>
  <si>
    <t>Input data on potential investments</t>
  </si>
  <si>
    <t>Objective to maximize</t>
  </si>
  <si>
    <t xml:space="preserve">Minimum investment level </t>
  </si>
  <si>
    <t>Total investments</t>
  </si>
  <si>
    <t>$5,000</t>
  </si>
  <si>
    <t>$2,500</t>
  </si>
  <si>
    <t>$3,500</t>
  </si>
  <si>
    <t>$6,000</t>
  </si>
  <si>
    <t>$7,000</t>
  </si>
  <si>
    <t>$4,500</t>
  </si>
  <si>
    <t>$3,000</t>
  </si>
  <si>
    <t>$16,000</t>
  </si>
  <si>
    <t>$8,000</t>
  </si>
  <si>
    <t>$10,000</t>
  </si>
  <si>
    <t>$19,500</t>
  </si>
  <si>
    <t>$22,000</t>
  </si>
  <si>
    <t>$12,000</t>
  </si>
  <si>
    <t>$7,500</t>
  </si>
  <si>
    <t>$18,000</t>
  </si>
  <si>
    <t xml:space="preserve">Question 1 :	Suppose that at most two of projects 1 through 5 can be selected.  </t>
  </si>
  <si>
    <t xml:space="preserve">Question 2 :	Suppose that if investment 1 is selected, then investment 3 must also be selected. </t>
  </si>
  <si>
    <t>&gt;=</t>
  </si>
  <si>
    <t>Investment for 1</t>
  </si>
  <si>
    <t>Investment for 3</t>
  </si>
  <si>
    <t>Atleast one of 6 or 7 is selected</t>
  </si>
  <si>
    <t>total of selection</t>
  </si>
  <si>
    <t xml:space="preserve">Question 3: Suppose that at least one of investments 6 and 7 must be selected. </t>
  </si>
  <si>
    <t xml:space="preserve">Question 4: Suppose that investment 2 can be selected only if both investments 1 and 3 are selected. </t>
  </si>
  <si>
    <t xml:space="preserve">1&amp;3 are selected </t>
  </si>
  <si>
    <t>=</t>
  </si>
  <si>
    <t>Sum should be 2</t>
  </si>
  <si>
    <t xml:space="preserve">2 is selected </t>
  </si>
  <si>
    <t>Above condition satified</t>
  </si>
  <si>
    <t>Investment levels_2</t>
  </si>
  <si>
    <t>Dorian Auto production model with either or constraints</t>
  </si>
  <si>
    <t>Inputs</t>
  </si>
  <si>
    <t>Vehicle Type</t>
  </si>
  <si>
    <t>Compact car</t>
  </si>
  <si>
    <t>Midsize car</t>
  </si>
  <si>
    <t>Large car</t>
  </si>
  <si>
    <t>Midsize minivan</t>
  </si>
  <si>
    <t>Large minivan</t>
  </si>
  <si>
    <t>Steel(tons) /unit</t>
  </si>
  <si>
    <t>Labor hours/unit</t>
  </si>
  <si>
    <t>Minimum production(if any)</t>
  </si>
  <si>
    <t>Profit contribution/ unit</t>
  </si>
  <si>
    <t>Prouction plan and bounds on production quantities</t>
  </si>
  <si>
    <t>Type of car</t>
  </si>
  <si>
    <t>Produce at least minimum</t>
  </si>
  <si>
    <t xml:space="preserve">Minimum production </t>
  </si>
  <si>
    <t>Units produced</t>
  </si>
  <si>
    <t>Logical capacity</t>
  </si>
  <si>
    <t>Constraints on resources</t>
  </si>
  <si>
    <t>Resource used</t>
  </si>
  <si>
    <t>Resource available</t>
  </si>
  <si>
    <t>Steel</t>
  </si>
  <si>
    <t>Labor hours</t>
  </si>
  <si>
    <t>Profit</t>
  </si>
  <si>
    <t>$B$17:$F$17,$B$27</t>
  </si>
  <si>
    <t>Oneway analysis for Solver model in 4E#18 Captial Buget Dorian Auto worksheet</t>
  </si>
  <si>
    <t>Data for chart</t>
  </si>
  <si>
    <t>Not linear</t>
  </si>
  <si>
    <t>$D$24</t>
  </si>
  <si>
    <t>Labor hours Available</t>
  </si>
  <si>
    <t>Locating service centers and assigning service center to customer</t>
  </si>
  <si>
    <t>Distance between cities</t>
  </si>
  <si>
    <t>SC1</t>
  </si>
  <si>
    <t>SC2</t>
  </si>
  <si>
    <t>SC3</t>
  </si>
  <si>
    <t>SC4</t>
  </si>
  <si>
    <t>SC5</t>
  </si>
  <si>
    <t>SC6</t>
  </si>
  <si>
    <t>SC7</t>
  </si>
  <si>
    <t>Annual Trips</t>
  </si>
  <si>
    <t>City 1</t>
  </si>
  <si>
    <t>City 2</t>
  </si>
  <si>
    <t>City 3</t>
  </si>
  <si>
    <t>City 4</t>
  </si>
  <si>
    <t>City 5</t>
  </si>
  <si>
    <t>City 6</t>
  </si>
  <si>
    <t>City 7</t>
  </si>
  <si>
    <t>City 8</t>
  </si>
  <si>
    <t>City 9</t>
  </si>
  <si>
    <t>City 10</t>
  </si>
  <si>
    <t>City 11</t>
  </si>
  <si>
    <t>Locations of service cenrters</t>
  </si>
  <si>
    <t>Service Centers</t>
  </si>
  <si>
    <t>Max centers</t>
  </si>
  <si>
    <t>Include service center</t>
  </si>
  <si>
    <t>Assignments (1 if customers along side are services by sevice center along top, 0 otherwise)</t>
  </si>
  <si>
    <t>Number serviced by</t>
  </si>
  <si>
    <t>Logical Capacity</t>
  </si>
  <si>
    <t>Total Assignments</t>
  </si>
  <si>
    <t>Required</t>
  </si>
  <si>
    <t>Number of annual trips to customers and total distances (1000s of miles) traveled annualyy to customers</t>
  </si>
  <si>
    <t>Total Distance</t>
  </si>
  <si>
    <t>Objective to minimize(1000s of miles)</t>
  </si>
  <si>
    <t>Total Annual Distance</t>
  </si>
  <si>
    <t>$M$19</t>
  </si>
  <si>
    <t>Input</t>
  </si>
  <si>
    <t>Oneway analysis for Solver model in 4E#28 United Copiers worksheet</t>
  </si>
  <si>
    <t>Input (cell $M$19) values along side, output cell(s) along top</t>
  </si>
  <si>
    <t>Include_service_center_1</t>
  </si>
  <si>
    <t>Include_service_center_2</t>
  </si>
  <si>
    <t>Include_service_center_3</t>
  </si>
  <si>
    <t>Include_service_center_4</t>
  </si>
  <si>
    <t>Include_service_center_5</t>
  </si>
  <si>
    <t>Include_service_center_6</t>
  </si>
  <si>
    <t>Include_service_center_7</t>
  </si>
  <si>
    <t>Total_Distance</t>
  </si>
  <si>
    <t>$B$19:$H$19,$B$53</t>
  </si>
  <si>
    <t>$53,500</t>
  </si>
  <si>
    <t>$17,500</t>
  </si>
  <si>
    <t>&lt;</t>
  </si>
  <si>
    <t>Steel Available (cell $D$18) values along side, output cell(s) along top</t>
  </si>
  <si>
    <t>Produce__if_any_1</t>
  </si>
  <si>
    <t>Produce__if_any_2</t>
  </si>
  <si>
    <t>Produce__if_any_3</t>
  </si>
  <si>
    <t>Produce__if_any_4</t>
  </si>
  <si>
    <t>Produce__if_any_5</t>
  </si>
  <si>
    <t>Production_1</t>
  </si>
  <si>
    <t>Production_2</t>
  </si>
  <si>
    <t>Production_3</t>
  </si>
  <si>
    <t>Production_4</t>
  </si>
  <si>
    <t>Production_5</t>
  </si>
  <si>
    <t>Unit profit contribution of large minivans (cell $F$9) values along side, output cell(s) along top</t>
  </si>
  <si>
    <t>Minimum Production level of large minivan (cell $F$7) values along side, output cell(s) along top</t>
  </si>
  <si>
    <t>Minimum Production level of compact cars (cell $B$7) values along side, output cell(s) along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</si>
</sst>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\-&quot;$&quot;#,##0"/>
    <numFmt numFmtId="166" formatCode="&quot;$&quot;#,##0_);[Red]\(&quot;$&quot;#,##0\)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Times"/>
      <family val="1"/>
    </font>
    <font>
      <sz val="12"/>
      <color rgb="FFFFFFFF"/>
      <name val="Calibri"/>
      <family val="2"/>
      <scheme val="minor"/>
    </font>
    <font>
      <sz val="10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4FE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4" fillId="0" borderId="0" xfId="0" applyNumberFormat="1" applyFont="1"/>
    <xf numFmtId="164" fontId="3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164" fontId="5" fillId="2" borderId="0" xfId="0" applyNumberFormat="1" applyFont="1" applyFill="1"/>
    <xf numFmtId="164" fontId="4" fillId="3" borderId="0" xfId="0" applyNumberFormat="1" applyFont="1" applyFill="1"/>
    <xf numFmtId="0" fontId="0" fillId="4" borderId="0" xfId="0" applyFill="1"/>
    <xf numFmtId="0" fontId="0" fillId="3" borderId="0" xfId="0" applyFill="1"/>
    <xf numFmtId="0" fontId="6" fillId="0" borderId="0" xfId="0" applyFont="1"/>
    <xf numFmtId="0" fontId="7" fillId="0" borderId="0" xfId="0" applyFont="1"/>
    <xf numFmtId="164" fontId="3" fillId="5" borderId="0" xfId="0" applyNumberFormat="1" applyFont="1" applyFill="1"/>
    <xf numFmtId="0" fontId="7" fillId="6" borderId="0" xfId="0" applyFont="1" applyFill="1"/>
    <xf numFmtId="0" fontId="7" fillId="0" borderId="0" xfId="0" applyFont="1" applyAlignment="1">
      <alignment horizontal="center"/>
    </xf>
    <xf numFmtId="0" fontId="7" fillId="5" borderId="0" xfId="0" applyFont="1" applyFill="1"/>
    <xf numFmtId="164" fontId="2" fillId="7" borderId="0" xfId="0" applyNumberFormat="1" applyFont="1" applyFill="1"/>
    <xf numFmtId="0" fontId="1" fillId="8" borderId="0" xfId="0" applyFont="1" applyFill="1"/>
    <xf numFmtId="0" fontId="8" fillId="0" borderId="0" xfId="0" applyFont="1" applyAlignment="1">
      <alignment horizontal="left" vertical="center" indent="4"/>
    </xf>
    <xf numFmtId="0" fontId="0" fillId="9" borderId="0" xfId="0" applyFill="1"/>
    <xf numFmtId="164" fontId="4" fillId="9" borderId="0" xfId="0" applyNumberFormat="1" applyFont="1" applyFill="1"/>
    <xf numFmtId="49" fontId="0" fillId="0" borderId="0" xfId="0" applyNumberFormat="1"/>
    <xf numFmtId="0" fontId="0" fillId="0" borderId="0" xfId="0" applyAlignment="1">
      <alignment horizontal="right" textRotation="90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10" borderId="0" xfId="0" applyFill="1" applyAlignment="1">
      <alignment horizontal="right" textRotation="90"/>
    </xf>
    <xf numFmtId="0" fontId="9" fillId="0" borderId="0" xfId="0" applyFont="1"/>
    <xf numFmtId="0" fontId="0" fillId="0" borderId="2" xfId="0" applyBorder="1"/>
    <xf numFmtId="0" fontId="0" fillId="11" borderId="5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11" borderId="2" xfId="0" applyFill="1" applyBorder="1"/>
    <xf numFmtId="0" fontId="0" fillId="0" borderId="9" xfId="0" applyBorder="1"/>
    <xf numFmtId="0" fontId="4" fillId="9" borderId="1" xfId="0" applyFont="1" applyFill="1" applyBorder="1" applyAlignment="1">
      <alignment wrapText="1"/>
    </xf>
    <xf numFmtId="0" fontId="0" fillId="2" borderId="0" xfId="0" applyFill="1"/>
    <xf numFmtId="0" fontId="4" fillId="9" borderId="1" xfId="0" applyFont="1" applyFill="1" applyBorder="1"/>
    <xf numFmtId="0" fontId="11" fillId="0" borderId="0" xfId="0" applyFont="1"/>
    <xf numFmtId="0" fontId="12" fillId="0" borderId="0" xfId="0" applyFont="1"/>
    <xf numFmtId="1" fontId="0" fillId="0" borderId="3" xfId="0" applyNumberFormat="1" applyBorder="1"/>
    <xf numFmtId="1" fontId="0" fillId="0" borderId="0" xfId="0" applyNumberFormat="1"/>
    <xf numFmtId="1" fontId="0" fillId="0" borderId="8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[1]STS_2!$N$1</c:f>
          <c:strCache>
            <c:ptCount val="1"/>
            <c:pt idx="0">
              <c:v>Sensitivity of Profit to Steel Available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[1]STS_2!$A$5:$A$24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[1]STS_2!$N$5:$N$24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2000000</c:v>
                </c:pt>
                <c:pt idx="3">
                  <c:v>2666666.6666666656</c:v>
                </c:pt>
                <c:pt idx="4">
                  <c:v>3333333.333333334</c:v>
                </c:pt>
                <c:pt idx="5">
                  <c:v>3999999.9999999991</c:v>
                </c:pt>
                <c:pt idx="6">
                  <c:v>4333333.333333333</c:v>
                </c:pt>
                <c:pt idx="7">
                  <c:v>4833333.3333333321</c:v>
                </c:pt>
                <c:pt idx="8">
                  <c:v>5166666.666666666</c:v>
                </c:pt>
                <c:pt idx="9">
                  <c:v>5500000</c:v>
                </c:pt>
                <c:pt idx="10">
                  <c:v>5833333.3333333321</c:v>
                </c:pt>
                <c:pt idx="11">
                  <c:v>6166666.6666666642</c:v>
                </c:pt>
                <c:pt idx="12">
                  <c:v>6409090.9090909082</c:v>
                </c:pt>
                <c:pt idx="13">
                  <c:v>6416666.666666666</c:v>
                </c:pt>
                <c:pt idx="14">
                  <c:v>6874999.9999999991</c:v>
                </c:pt>
                <c:pt idx="15">
                  <c:v>7333333.333333333</c:v>
                </c:pt>
                <c:pt idx="16">
                  <c:v>7791666.6666666679</c:v>
                </c:pt>
                <c:pt idx="17">
                  <c:v>8083333.333333334</c:v>
                </c:pt>
                <c:pt idx="18">
                  <c:v>8272727.2727272725</c:v>
                </c:pt>
                <c:pt idx="19">
                  <c:v>8272727.2727272725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6-264C-B647-6AA0F780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91839"/>
        <c:axId val="594531727"/>
      </c:lineChart>
      <c:catAx>
        <c:axId val="587991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Available ($D$18)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531727"/>
        <c:crosses val="autoZero"/>
        <c:auto val="1"/>
        <c:lblAlgn val="ctr"/>
        <c:lblOffset val="100"/>
        <c:noMultiLvlLbl val="0"/>
      </c:catAx>
      <c:valAx>
        <c:axId val="5945317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99183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[1]STS_1!$N$1</c:f>
          <c:strCache>
            <c:ptCount val="1"/>
            <c:pt idx="0">
              <c:v>Sensitivity of Profit to Labor hours available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[1]STS_1!$A$5:$A$24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[1]STS_1!$N$5:$N$24</c:f>
              <c:numCache>
                <c:formatCode>General</c:formatCode>
                <c:ptCount val="20"/>
                <c:pt idx="0">
                  <c:v>0</c:v>
                </c:pt>
                <c:pt idx="1">
                  <c:v>1222222.222222222</c:v>
                </c:pt>
                <c:pt idx="2">
                  <c:v>1909090.9090909092</c:v>
                </c:pt>
                <c:pt idx="3">
                  <c:v>2545454.5454545454</c:v>
                </c:pt>
                <c:pt idx="4">
                  <c:v>3181818.1818181821</c:v>
                </c:pt>
                <c:pt idx="5">
                  <c:v>3818181.8181818184</c:v>
                </c:pt>
                <c:pt idx="6">
                  <c:v>4454545.4545454551</c:v>
                </c:pt>
                <c:pt idx="7">
                  <c:v>5090909.0909090899</c:v>
                </c:pt>
                <c:pt idx="8">
                  <c:v>5687499.9999999991</c:v>
                </c:pt>
                <c:pt idx="9">
                  <c:v>5958333.3333333349</c:v>
                </c:pt>
                <c:pt idx="10">
                  <c:v>5958333.333333333</c:v>
                </c:pt>
                <c:pt idx="11">
                  <c:v>5958333.333333333</c:v>
                </c:pt>
                <c:pt idx="12">
                  <c:v>6409090.9090909082</c:v>
                </c:pt>
                <c:pt idx="13">
                  <c:v>6666666.666666666</c:v>
                </c:pt>
                <c:pt idx="14">
                  <c:v>6833333.3333333321</c:v>
                </c:pt>
                <c:pt idx="15">
                  <c:v>6999999.9999999981</c:v>
                </c:pt>
                <c:pt idx="16">
                  <c:v>7166666.666666666</c:v>
                </c:pt>
                <c:pt idx="17">
                  <c:v>7333333.3333333321</c:v>
                </c:pt>
                <c:pt idx="18">
                  <c:v>7499999.9999999991</c:v>
                </c:pt>
                <c:pt idx="19">
                  <c:v>7666666.666666666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7-5340-A3EA-16E90AEA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92639"/>
        <c:axId val="594948959"/>
      </c:lineChart>
      <c:catAx>
        <c:axId val="587992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Labor hours available ($D$19)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948959"/>
        <c:crosses val="autoZero"/>
        <c:auto val="1"/>
        <c:lblAlgn val="ctr"/>
        <c:lblOffset val="100"/>
        <c:noMultiLvlLbl val="0"/>
      </c:catAx>
      <c:valAx>
        <c:axId val="5949489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99263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STS_3!$N$1</c:f>
          <c:strCache>
            <c:ptCount val="1"/>
            <c:pt idx="0">
              <c:v>Sensitivity of Profit to Unit profit contribution of large minivans</c:v>
            </c:pt>
          </c:strCache>
        </c:strRef>
      </c:tx>
      <c:layout>
        <c:manualLayout>
          <c:xMode val="edge"/>
          <c:yMode val="edge"/>
          <c:x val="0.15354802329396325"/>
          <c:y val="0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STS_3!$A$5:$A$12</c:f>
              <c:numCache>
                <c:formatCode>"$"#,##0_);[Red]\("$"#,##0\)</c:formatCode>
                <c:ptCount val="8"/>
                <c:pt idx="0">
                  <c:v>4000</c:v>
                </c:pt>
                <c:pt idx="1">
                  <c:v>4200</c:v>
                </c:pt>
                <c:pt idx="2">
                  <c:v>4400</c:v>
                </c:pt>
                <c:pt idx="3">
                  <c:v>4600</c:v>
                </c:pt>
                <c:pt idx="4">
                  <c:v>4800</c:v>
                </c:pt>
                <c:pt idx="5">
                  <c:v>5000</c:v>
                </c:pt>
                <c:pt idx="6">
                  <c:v>5200</c:v>
                </c:pt>
                <c:pt idx="7">
                  <c:v>5400</c:v>
                </c:pt>
              </c:numCache>
            </c:numRef>
          </c:cat>
          <c:val>
            <c:numRef>
              <c:f>STS_3!$N$5:$N$12</c:f>
              <c:numCache>
                <c:formatCode>General</c:formatCode>
                <c:ptCount val="8"/>
                <c:pt idx="0">
                  <c:v>6277777.777777778</c:v>
                </c:pt>
                <c:pt idx="1">
                  <c:v>6277777.777777778</c:v>
                </c:pt>
                <c:pt idx="2">
                  <c:v>6277777.777777778</c:v>
                </c:pt>
                <c:pt idx="3">
                  <c:v>6277777.777777778</c:v>
                </c:pt>
                <c:pt idx="4">
                  <c:v>6277777.777777778</c:v>
                </c:pt>
                <c:pt idx="5">
                  <c:v>6277777.777777778</c:v>
                </c:pt>
                <c:pt idx="6">
                  <c:v>6277777.777777778</c:v>
                </c:pt>
                <c:pt idx="7">
                  <c:v>6277777.777777778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A-0643-8E1D-34047ECB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533120"/>
        <c:axId val="1996910032"/>
      </c:lineChart>
      <c:catAx>
        <c:axId val="19965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Unit Profit contributions for Large Minivans ($F$9)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1996910032"/>
        <c:crosses val="autoZero"/>
        <c:auto val="1"/>
        <c:lblAlgn val="ctr"/>
        <c:lblOffset val="100"/>
        <c:noMultiLvlLbl val="0"/>
      </c:catAx>
      <c:valAx>
        <c:axId val="199691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5331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[1]STS_3!$N$1</c:f>
          <c:strCache>
            <c:ptCount val="1"/>
            <c:pt idx="0">
              <c:v>Sensitivity of Profit to Unit profit contribution of large minivans</c:v>
            </c:pt>
          </c:strCache>
        </c:strRef>
      </c:tx>
      <c:layout>
        <c:manualLayout>
          <c:xMode val="edge"/>
          <c:yMode val="edge"/>
          <c:x val="7.7235923339771546E-4"/>
          <c:y val="0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[1]STS_3!$A$5:$A$35</c:f>
              <c:numCache>
                <c:formatCode>"$"#,##0_);[Red]\("$"#,##0\)</c:formatCode>
                <c:ptCount val="31"/>
                <c:pt idx="0">
                  <c:v>4000</c:v>
                </c:pt>
                <c:pt idx="1">
                  <c:v>4200</c:v>
                </c:pt>
                <c:pt idx="2">
                  <c:v>4400</c:v>
                </c:pt>
                <c:pt idx="3">
                  <c:v>4600</c:v>
                </c:pt>
                <c:pt idx="4">
                  <c:v>4800</c:v>
                </c:pt>
                <c:pt idx="5">
                  <c:v>5000</c:v>
                </c:pt>
                <c:pt idx="6">
                  <c:v>5200</c:v>
                </c:pt>
                <c:pt idx="7">
                  <c:v>5400</c:v>
                </c:pt>
                <c:pt idx="8">
                  <c:v>5600</c:v>
                </c:pt>
                <c:pt idx="9">
                  <c:v>5800</c:v>
                </c:pt>
                <c:pt idx="10">
                  <c:v>6000</c:v>
                </c:pt>
                <c:pt idx="11">
                  <c:v>6200</c:v>
                </c:pt>
                <c:pt idx="12">
                  <c:v>6400</c:v>
                </c:pt>
                <c:pt idx="13">
                  <c:v>6600</c:v>
                </c:pt>
                <c:pt idx="14">
                  <c:v>6800</c:v>
                </c:pt>
                <c:pt idx="15">
                  <c:v>7000</c:v>
                </c:pt>
                <c:pt idx="16">
                  <c:v>7200</c:v>
                </c:pt>
                <c:pt idx="17">
                  <c:v>7400</c:v>
                </c:pt>
                <c:pt idx="18">
                  <c:v>7600</c:v>
                </c:pt>
                <c:pt idx="19">
                  <c:v>7800</c:v>
                </c:pt>
                <c:pt idx="20">
                  <c:v>8000</c:v>
                </c:pt>
                <c:pt idx="21">
                  <c:v>8200</c:v>
                </c:pt>
                <c:pt idx="22">
                  <c:v>8400</c:v>
                </c:pt>
                <c:pt idx="23">
                  <c:v>8600</c:v>
                </c:pt>
                <c:pt idx="24">
                  <c:v>8800</c:v>
                </c:pt>
                <c:pt idx="25">
                  <c:v>9000</c:v>
                </c:pt>
                <c:pt idx="26">
                  <c:v>9200</c:v>
                </c:pt>
                <c:pt idx="27">
                  <c:v>9400</c:v>
                </c:pt>
                <c:pt idx="28">
                  <c:v>9600</c:v>
                </c:pt>
                <c:pt idx="29">
                  <c:v>9800</c:v>
                </c:pt>
                <c:pt idx="30">
                  <c:v>10000</c:v>
                </c:pt>
              </c:numCache>
            </c:numRef>
          </c:cat>
          <c:val>
            <c:numRef>
              <c:f>[1]STS_3!$N$5:$N$35</c:f>
              <c:numCache>
                <c:formatCode>General</c:formatCode>
                <c:ptCount val="31"/>
                <c:pt idx="0">
                  <c:v>6277777.777777778</c:v>
                </c:pt>
                <c:pt idx="1">
                  <c:v>6277777.777777778</c:v>
                </c:pt>
                <c:pt idx="2">
                  <c:v>6277777.777777778</c:v>
                </c:pt>
                <c:pt idx="3">
                  <c:v>6277777.777777778</c:v>
                </c:pt>
                <c:pt idx="4">
                  <c:v>6277777.777777778</c:v>
                </c:pt>
                <c:pt idx="5">
                  <c:v>6277777.777777778</c:v>
                </c:pt>
                <c:pt idx="6">
                  <c:v>6277777.777777778</c:v>
                </c:pt>
                <c:pt idx="7">
                  <c:v>6277777.777777778</c:v>
                </c:pt>
                <c:pt idx="8">
                  <c:v>6277777.777777778</c:v>
                </c:pt>
                <c:pt idx="9">
                  <c:v>6277777.777777778</c:v>
                </c:pt>
                <c:pt idx="10">
                  <c:v>6277777.777777778</c:v>
                </c:pt>
                <c:pt idx="11">
                  <c:v>6277777.777777778</c:v>
                </c:pt>
                <c:pt idx="12">
                  <c:v>6277777.777777778</c:v>
                </c:pt>
                <c:pt idx="13">
                  <c:v>6277777.777777778</c:v>
                </c:pt>
                <c:pt idx="14">
                  <c:v>6314545.4545454532</c:v>
                </c:pt>
                <c:pt idx="15">
                  <c:v>6409090.9090909082</c:v>
                </c:pt>
                <c:pt idx="16">
                  <c:v>6520634.9206349207</c:v>
                </c:pt>
                <c:pt idx="17">
                  <c:v>6644444.444444444</c:v>
                </c:pt>
                <c:pt idx="18">
                  <c:v>6768253.9682539683</c:v>
                </c:pt>
                <c:pt idx="19">
                  <c:v>6892063.4920634916</c:v>
                </c:pt>
                <c:pt idx="20">
                  <c:v>7015873.0158730159</c:v>
                </c:pt>
                <c:pt idx="21">
                  <c:v>7139682.5396825392</c:v>
                </c:pt>
                <c:pt idx="22">
                  <c:v>7263492.0634920634</c:v>
                </c:pt>
                <c:pt idx="23">
                  <c:v>7387301.5873015868</c:v>
                </c:pt>
                <c:pt idx="24">
                  <c:v>7511111.111111111</c:v>
                </c:pt>
                <c:pt idx="25">
                  <c:v>7634920.6349206343</c:v>
                </c:pt>
                <c:pt idx="26">
                  <c:v>7758730.1587301586</c:v>
                </c:pt>
                <c:pt idx="27">
                  <c:v>7882539.6825396828</c:v>
                </c:pt>
                <c:pt idx="28">
                  <c:v>8006349.2063492062</c:v>
                </c:pt>
                <c:pt idx="29">
                  <c:v>8130158.7301587304</c:v>
                </c:pt>
                <c:pt idx="30">
                  <c:v>8253968.2539682537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7-954D-BDFD-65772141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20927"/>
        <c:axId val="104837391"/>
      </c:lineChart>
      <c:catAx>
        <c:axId val="588220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 profit contribution of large minivans ($F$9)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104837391"/>
        <c:crosses val="autoZero"/>
        <c:auto val="1"/>
        <c:lblAlgn val="ctr"/>
        <c:lblOffset val="100"/>
        <c:noMultiLvlLbl val="0"/>
      </c:catAx>
      <c:valAx>
        <c:axId val="10483739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22092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[1]STS_4!$N$1</c:f>
          <c:strCache>
            <c:ptCount val="1"/>
            <c:pt idx="0">
              <c:v>Sensitivity of Produce__if_any_1 to Minimum Production level of large minivan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[1]STS_4!$A$5:$A$23</c:f>
              <c:numCache>
                <c:formatCode>General</c:formatCode>
                <c:ptCount val="1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</c:numCache>
            </c:numRef>
          </c:cat>
          <c:val>
            <c:numRef>
              <c:f>[1]STS_4!$N$5:$N$23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FE48-9442-B21E44C87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32527"/>
        <c:axId val="590993455"/>
      </c:lineChart>
      <c:catAx>
        <c:axId val="58823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Minimum Production level of large minivan ($F$7)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993455"/>
        <c:crosses val="autoZero"/>
        <c:auto val="1"/>
        <c:lblAlgn val="ctr"/>
        <c:lblOffset val="100"/>
        <c:noMultiLvlLbl val="0"/>
      </c:catAx>
      <c:valAx>
        <c:axId val="59099345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23252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[1]STS_5!$N$1</c:f>
          <c:strCache>
            <c:ptCount val="1"/>
            <c:pt idx="0">
              <c:v>Sensitivity of Produce__if_any_1 to Minimum Production level of compact cars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[1]STS_5!$A$5:$A$35</c:f>
              <c:numCache>
                <c:formatCode>General</c:formatCode>
                <c:ptCount val="3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</c:numCache>
            </c:numRef>
          </c:cat>
          <c:val>
            <c:numRef>
              <c:f>[1]STS_5!$N$5:$N$35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7-6743-BD37-CECFB70D9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68895"/>
        <c:axId val="590753871"/>
      </c:lineChart>
      <c:catAx>
        <c:axId val="600268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Minimum Production level of compact cars ($B$7)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753871"/>
        <c:crosses val="autoZero"/>
        <c:auto val="1"/>
        <c:lblAlgn val="ctr"/>
        <c:lblOffset val="100"/>
        <c:noMultiLvlLbl val="0"/>
      </c:catAx>
      <c:valAx>
        <c:axId val="5907538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026889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STS_4!$CJ$1</c:f>
          <c:strCache>
            <c:ptCount val="1"/>
            <c:pt idx="0">
              <c:v>Sensitivity of Include_service_center_1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STS_4!$A$5:$A$15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STS_4!$K$5:$K$15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4-A14B-A370-09E836C12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866208"/>
        <c:axId val="1057180272"/>
      </c:lineChart>
      <c:catAx>
        <c:axId val="105786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Input ($M$19)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7180272"/>
        <c:crosses val="autoZero"/>
        <c:auto val="1"/>
        <c:lblAlgn val="ctr"/>
        <c:lblOffset val="100"/>
        <c:noMultiLvlLbl val="0"/>
      </c:catAx>
      <c:valAx>
        <c:axId val="105718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8662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STS_5!$K$1</c:f>
          <c:strCache>
            <c:ptCount val="1"/>
            <c:pt idx="0">
              <c:v>Sensitivity of Include_service_center_1 to Input</c:v>
            </c:pt>
          </c:strCache>
        </c:strRef>
      </c:tx>
      <c:layout>
        <c:manualLayout>
          <c:xMode val="edge"/>
          <c:yMode val="edge"/>
          <c:x val="0.36607406496062994"/>
          <c:y val="0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STS_5!$A$5:$A$15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STS_5!$K$5:$K$15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8-5946-B17D-9C4EE9AAF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283728"/>
        <c:axId val="1040915280"/>
      </c:lineChart>
      <c:catAx>
        <c:axId val="51428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Input ($M$19)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915280"/>
        <c:crosses val="autoZero"/>
        <c:auto val="1"/>
        <c:lblAlgn val="ctr"/>
        <c:lblOffset val="100"/>
        <c:noMultiLvlLbl val="0"/>
      </c:catAx>
      <c:valAx>
        <c:axId val="104091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42837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342900</xdr:colOff>
      <xdr:row>2</xdr:row>
      <xdr:rowOff>165100</xdr:rowOff>
    </xdr:from>
    <xdr:to>
      <xdr:col>16</xdr:col>
      <xdr:colOff>304800</xdr:colOff>
      <xdr:row>3</xdr:row>
      <xdr:rowOff>723900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9BFB936-5F13-43FC-54E2-181B0E13328E}"/>
            </a:ext>
          </a:extLst>
        </xdr:cNvPr>
        <xdr:cNvSpPr txBox="1"/>
      </xdr:nvSpPr>
      <xdr:spPr>
        <a:xfrm>
          <a:off x="119507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When you select an output from the dropdown list in cell $N$4, the chart will adapt to that output.</a:t>
          </a:r>
        </a:p>
      </xdr:txBody>
    </xdr:sp>
    <xdr:clientData/>
  </xdr:twoCellAnchor>
  <xdr:twoCellAnchor editAs="absolute">
    <xdr:from>
      <xdr:col>14</xdr:col>
      <xdr:colOff>254000</xdr:colOff>
      <xdr:row>5</xdr:row>
      <xdr:rowOff>63500</xdr:rowOff>
    </xdr:from>
    <xdr:to>
      <xdr:col>22</xdr:col>
      <xdr:colOff>254000</xdr:colOff>
      <xdr:row>19</xdr:row>
      <xdr:rowOff>76200</xdr:rowOff>
    </xdr:to>
    <xdr:graphicFrame macro="">
      <xdr:nvGraphicFramePr>
        <xdr:cNvPr id="4" name="STS_2_Chart">
          <a:extLst>
            <a:ext uri="{FF2B5EF4-FFF2-40B4-BE49-F238E27FC236}">
              <a16:creationId xmlns:a16="http://schemas.microsoft.com/office/drawing/2014/main" id="{C6EF9411-1361-9643-8C37-E2BFF36C6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0</xdr:colOff>
      <xdr:row>3</xdr:row>
      <xdr:rowOff>0</xdr:rowOff>
    </xdr:from>
    <xdr:to>
      <xdr:col>18</xdr:col>
      <xdr:colOff>0</xdr:colOff>
      <xdr:row>3</xdr:row>
      <xdr:rowOff>762000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11A40D8-42EE-E441-8DF2-40B43552B0E0}"/>
            </a:ext>
          </a:extLst>
        </xdr:cNvPr>
        <xdr:cNvSpPr txBox="1"/>
      </xdr:nvSpPr>
      <xdr:spPr>
        <a:xfrm>
          <a:off x="10147300" y="609600"/>
          <a:ext cx="2692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$N$4, the chart will adapt to that output.</a:t>
          </a:r>
        </a:p>
      </xdr:txBody>
    </xdr:sp>
    <xdr:clientData/>
  </xdr:twoCellAnchor>
  <xdr:twoCellAnchor editAs="absolute">
    <xdr:from>
      <xdr:col>14</xdr:col>
      <xdr:colOff>635000</xdr:colOff>
      <xdr:row>5</xdr:row>
      <xdr:rowOff>114300</xdr:rowOff>
    </xdr:from>
    <xdr:to>
      <xdr:col>22</xdr:col>
      <xdr:colOff>635000</xdr:colOff>
      <xdr:row>19</xdr:row>
      <xdr:rowOff>127000</xdr:rowOff>
    </xdr:to>
    <xdr:graphicFrame macro="">
      <xdr:nvGraphicFramePr>
        <xdr:cNvPr id="6" name="STS_1_Chart">
          <a:extLst>
            <a:ext uri="{FF2B5EF4-FFF2-40B4-BE49-F238E27FC236}">
              <a16:creationId xmlns:a16="http://schemas.microsoft.com/office/drawing/2014/main" id="{52663507-8CBB-CF42-A154-99A775DFE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76200</xdr:colOff>
      <xdr:row>5</xdr:row>
      <xdr:rowOff>177800</xdr:rowOff>
    </xdr:from>
    <xdr:to>
      <xdr:col>16</xdr:col>
      <xdr:colOff>304800</xdr:colOff>
      <xdr:row>19</xdr:row>
      <xdr:rowOff>190500</xdr:rowOff>
    </xdr:to>
    <xdr:graphicFrame macro="">
      <xdr:nvGraphicFramePr>
        <xdr:cNvPr id="2" name="STS_3_Chart">
          <a:extLst>
            <a:ext uri="{FF2B5EF4-FFF2-40B4-BE49-F238E27FC236}">
              <a16:creationId xmlns:a16="http://schemas.microsoft.com/office/drawing/2014/main" id="{C04DDF3E-BE4B-AF50-3B54-61C9ED9CC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457200</xdr:colOff>
      <xdr:row>2</xdr:row>
      <xdr:rowOff>165100</xdr:rowOff>
    </xdr:from>
    <xdr:to>
      <xdr:col>17</xdr:col>
      <xdr:colOff>419100</xdr:colOff>
      <xdr:row>3</xdr:row>
      <xdr:rowOff>723900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34B634-EEA4-DCDF-15DA-A6E2423C48B6}"/>
            </a:ext>
          </a:extLst>
        </xdr:cNvPr>
        <xdr:cNvSpPr txBox="1"/>
      </xdr:nvSpPr>
      <xdr:spPr>
        <a:xfrm>
          <a:off x="119507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When you select an output from the dropdown list in cell $N$4, the chart will adapt to that output.</a:t>
          </a:r>
        </a:p>
      </xdr:txBody>
    </xdr:sp>
    <xdr:clientData/>
  </xdr:twoCellAnchor>
  <xdr:twoCellAnchor editAs="absolute">
    <xdr:from>
      <xdr:col>14</xdr:col>
      <xdr:colOff>355600</xdr:colOff>
      <xdr:row>7</xdr:row>
      <xdr:rowOff>127000</xdr:rowOff>
    </xdr:from>
    <xdr:to>
      <xdr:col>22</xdr:col>
      <xdr:colOff>355600</xdr:colOff>
      <xdr:row>21</xdr:row>
      <xdr:rowOff>139700</xdr:rowOff>
    </xdr:to>
    <xdr:graphicFrame macro="">
      <xdr:nvGraphicFramePr>
        <xdr:cNvPr id="4" name="STS_3_Chart">
          <a:extLst>
            <a:ext uri="{FF2B5EF4-FFF2-40B4-BE49-F238E27FC236}">
              <a16:creationId xmlns:a16="http://schemas.microsoft.com/office/drawing/2014/main" id="{0F9493DB-E91C-4040-B5F8-1013D0C8E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444500</xdr:colOff>
      <xdr:row>5</xdr:row>
      <xdr:rowOff>0</xdr:rowOff>
    </xdr:from>
    <xdr:to>
      <xdr:col>22</xdr:col>
      <xdr:colOff>444500</xdr:colOff>
      <xdr:row>19</xdr:row>
      <xdr:rowOff>12700</xdr:rowOff>
    </xdr:to>
    <xdr:graphicFrame macro="">
      <xdr:nvGraphicFramePr>
        <xdr:cNvPr id="2" name="STS_4_Chart">
          <a:extLst>
            <a:ext uri="{FF2B5EF4-FFF2-40B4-BE49-F238E27FC236}">
              <a16:creationId xmlns:a16="http://schemas.microsoft.com/office/drawing/2014/main" id="{3C0C2D36-A03A-B24A-9011-1972CBD7F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0</xdr:colOff>
      <xdr:row>3</xdr:row>
      <xdr:rowOff>0</xdr:rowOff>
    </xdr:from>
    <xdr:to>
      <xdr:col>18</xdr:col>
      <xdr:colOff>0</xdr:colOff>
      <xdr:row>3</xdr:row>
      <xdr:rowOff>762000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CCD1A9C-211B-2F4C-AE3C-9434E7C6956D}"/>
            </a:ext>
          </a:extLst>
        </xdr:cNvPr>
        <xdr:cNvSpPr txBox="1"/>
      </xdr:nvSpPr>
      <xdr:spPr>
        <a:xfrm>
          <a:off x="9664700" y="609600"/>
          <a:ext cx="2692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$N$4, the chart will adapt to that output.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368300</xdr:colOff>
      <xdr:row>12</xdr:row>
      <xdr:rowOff>114300</xdr:rowOff>
    </xdr:from>
    <xdr:to>
      <xdr:col>23</xdr:col>
      <xdr:colOff>368300</xdr:colOff>
      <xdr:row>26</xdr:row>
      <xdr:rowOff>127000</xdr:rowOff>
    </xdr:to>
    <xdr:graphicFrame macro="">
      <xdr:nvGraphicFramePr>
        <xdr:cNvPr id="2" name="STS_5_Chart">
          <a:extLst>
            <a:ext uri="{FF2B5EF4-FFF2-40B4-BE49-F238E27FC236}">
              <a16:creationId xmlns:a16="http://schemas.microsoft.com/office/drawing/2014/main" id="{2EAD52BC-6848-874B-A9FD-D3E6B5769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0</xdr:colOff>
      <xdr:row>3</xdr:row>
      <xdr:rowOff>0</xdr:rowOff>
    </xdr:from>
    <xdr:to>
      <xdr:col>18</xdr:col>
      <xdr:colOff>0</xdr:colOff>
      <xdr:row>3</xdr:row>
      <xdr:rowOff>762000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F3F8F4-FD54-DB43-94E3-7650040B7BEA}"/>
            </a:ext>
          </a:extLst>
        </xdr:cNvPr>
        <xdr:cNvSpPr txBox="1"/>
      </xdr:nvSpPr>
      <xdr:spPr>
        <a:xfrm>
          <a:off x="9664700" y="609600"/>
          <a:ext cx="2692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$N$4, the chart will adapt to that output.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64</xdr:col>
      <xdr:colOff>203200</xdr:colOff>
      <xdr:row>15</xdr:row>
      <xdr:rowOff>12700</xdr:rowOff>
    </xdr:from>
    <xdr:to>
      <xdr:col>70</xdr:col>
      <xdr:colOff>127000</xdr:colOff>
      <xdr:row>29</xdr:row>
      <xdr:rowOff>25400</xdr:rowOff>
    </xdr:to>
    <xdr:graphicFrame macro="">
      <xdr:nvGraphicFramePr>
        <xdr:cNvPr id="2" name="STS_4_Chart">
          <a:extLst>
            <a:ext uri="{FF2B5EF4-FFF2-40B4-BE49-F238E27FC236}">
              <a16:creationId xmlns:a16="http://schemas.microsoft.com/office/drawing/2014/main" id="{1C047375-514A-E658-E713-0F97F2CDC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88</xdr:col>
      <xdr:colOff>393700</xdr:colOff>
      <xdr:row>2</xdr:row>
      <xdr:rowOff>165100</xdr:rowOff>
    </xdr:from>
    <xdr:to>
      <xdr:col>91</xdr:col>
      <xdr:colOff>355600</xdr:colOff>
      <xdr:row>3</xdr:row>
      <xdr:rowOff>723900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187DB2-5132-F402-C6FE-F67216E7E9A5}"/>
            </a:ext>
          </a:extLst>
        </xdr:cNvPr>
        <xdr:cNvSpPr txBox="1"/>
      </xdr:nvSpPr>
      <xdr:spPr>
        <a:xfrm>
          <a:off x="730377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When you select an output from the dropdown list in cell $CJ$4, the chart will adapt to that output.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127000</xdr:colOff>
      <xdr:row>3</xdr:row>
      <xdr:rowOff>800100</xdr:rowOff>
    </xdr:from>
    <xdr:to>
      <xdr:col>18</xdr:col>
      <xdr:colOff>50800</xdr:colOff>
      <xdr:row>13</xdr:row>
      <xdr:rowOff>139700</xdr:rowOff>
    </xdr:to>
    <xdr:graphicFrame macro="">
      <xdr:nvGraphicFramePr>
        <xdr:cNvPr id="2" name="STS_5_Chart">
          <a:extLst>
            <a:ext uri="{FF2B5EF4-FFF2-40B4-BE49-F238E27FC236}">
              <a16:creationId xmlns:a16="http://schemas.microsoft.com/office/drawing/2014/main" id="{AD36C220-6AA2-49BC-38C4-D478E2E02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393700</xdr:colOff>
      <xdr:row>2</xdr:row>
      <xdr:rowOff>165100</xdr:rowOff>
    </xdr:from>
    <xdr:to>
      <xdr:col>14</xdr:col>
      <xdr:colOff>355600</xdr:colOff>
      <xdr:row>3</xdr:row>
      <xdr:rowOff>723900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02BECF5-2113-00D7-5C8C-F0BC407A4956}"/>
            </a:ext>
          </a:extLst>
        </xdr:cNvPr>
        <xdr:cNvSpPr txBox="1"/>
      </xdr:nvSpPr>
      <xdr:spPr>
        <a:xfrm>
          <a:off x="9474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le/Downloads/P06_18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_STS"/>
      <sheetName val="STS_2"/>
      <sheetName val="STS_1"/>
      <sheetName val="STS_3"/>
      <sheetName val="STS_4"/>
      <sheetName val="STS_5"/>
    </sheetNames>
    <sheetDataSet>
      <sheetData sheetId="0"/>
      <sheetData sheetId="1"/>
      <sheetData sheetId="2">
        <row r="1">
          <cell r="N1" t="str">
            <v>Sensitivity of Profit to Steel Available</v>
          </cell>
        </row>
        <row r="5">
          <cell r="A5">
            <v>500</v>
          </cell>
          <cell r="N5">
            <v>0</v>
          </cell>
        </row>
        <row r="6">
          <cell r="A6">
            <v>1000</v>
          </cell>
          <cell r="N6">
            <v>0</v>
          </cell>
        </row>
        <row r="7">
          <cell r="A7">
            <v>1500</v>
          </cell>
          <cell r="N7">
            <v>2000000</v>
          </cell>
        </row>
        <row r="8">
          <cell r="A8">
            <v>2000</v>
          </cell>
          <cell r="N8">
            <v>2666666.6666666656</v>
          </cell>
        </row>
        <row r="9">
          <cell r="A9">
            <v>2500</v>
          </cell>
          <cell r="N9">
            <v>3333333.333333334</v>
          </cell>
        </row>
        <row r="10">
          <cell r="A10">
            <v>3000</v>
          </cell>
          <cell r="N10">
            <v>3999999.9999999991</v>
          </cell>
        </row>
        <row r="11">
          <cell r="A11">
            <v>3500</v>
          </cell>
          <cell r="N11">
            <v>4333333.333333333</v>
          </cell>
        </row>
        <row r="12">
          <cell r="A12">
            <v>4000</v>
          </cell>
          <cell r="N12">
            <v>4833333.3333333321</v>
          </cell>
        </row>
        <row r="13">
          <cell r="A13">
            <v>4500</v>
          </cell>
          <cell r="N13">
            <v>5166666.666666666</v>
          </cell>
        </row>
        <row r="14">
          <cell r="A14">
            <v>5000</v>
          </cell>
          <cell r="N14">
            <v>5500000</v>
          </cell>
        </row>
        <row r="15">
          <cell r="A15">
            <v>5500</v>
          </cell>
          <cell r="N15">
            <v>5833333.3333333321</v>
          </cell>
        </row>
        <row r="16">
          <cell r="A16">
            <v>6000</v>
          </cell>
          <cell r="N16">
            <v>6166666.6666666642</v>
          </cell>
        </row>
        <row r="17">
          <cell r="A17">
            <v>6500</v>
          </cell>
          <cell r="N17">
            <v>6409090.9090909082</v>
          </cell>
        </row>
        <row r="18">
          <cell r="A18">
            <v>7000</v>
          </cell>
          <cell r="N18">
            <v>6416666.666666666</v>
          </cell>
        </row>
        <row r="19">
          <cell r="A19">
            <v>7500</v>
          </cell>
          <cell r="N19">
            <v>6874999.9999999991</v>
          </cell>
        </row>
        <row r="20">
          <cell r="A20">
            <v>8000</v>
          </cell>
          <cell r="N20">
            <v>7333333.333333333</v>
          </cell>
        </row>
        <row r="21">
          <cell r="A21">
            <v>8500</v>
          </cell>
          <cell r="N21">
            <v>7791666.6666666679</v>
          </cell>
        </row>
        <row r="22">
          <cell r="A22">
            <v>9000</v>
          </cell>
          <cell r="N22">
            <v>8083333.333333334</v>
          </cell>
        </row>
        <row r="23">
          <cell r="A23">
            <v>9500</v>
          </cell>
          <cell r="N23">
            <v>8272727.2727272725</v>
          </cell>
        </row>
        <row r="24">
          <cell r="A24">
            <v>10000</v>
          </cell>
          <cell r="N24">
            <v>8272727.2727272725</v>
          </cell>
        </row>
      </sheetData>
      <sheetData sheetId="3">
        <row r="1">
          <cell r="N1" t="str">
            <v>Sensitivity of Profit to Labor hours available</v>
          </cell>
        </row>
        <row r="5">
          <cell r="A5">
            <v>5000</v>
          </cell>
          <cell r="N5">
            <v>0</v>
          </cell>
        </row>
        <row r="6">
          <cell r="A6">
            <v>10000</v>
          </cell>
          <cell r="N6">
            <v>1222222.222222222</v>
          </cell>
        </row>
        <row r="7">
          <cell r="A7">
            <v>15000</v>
          </cell>
          <cell r="N7">
            <v>1909090.9090909092</v>
          </cell>
        </row>
        <row r="8">
          <cell r="A8">
            <v>20000</v>
          </cell>
          <cell r="N8">
            <v>2545454.5454545454</v>
          </cell>
        </row>
        <row r="9">
          <cell r="A9">
            <v>25000</v>
          </cell>
          <cell r="N9">
            <v>3181818.1818181821</v>
          </cell>
        </row>
        <row r="10">
          <cell r="A10">
            <v>30000</v>
          </cell>
          <cell r="N10">
            <v>3818181.8181818184</v>
          </cell>
        </row>
        <row r="11">
          <cell r="A11">
            <v>35000</v>
          </cell>
          <cell r="N11">
            <v>4454545.4545454551</v>
          </cell>
        </row>
        <row r="12">
          <cell r="A12">
            <v>40000</v>
          </cell>
          <cell r="N12">
            <v>5090909.0909090899</v>
          </cell>
        </row>
        <row r="13">
          <cell r="A13">
            <v>45000</v>
          </cell>
          <cell r="N13">
            <v>5687499.9999999991</v>
          </cell>
        </row>
        <row r="14">
          <cell r="A14">
            <v>50000</v>
          </cell>
          <cell r="N14">
            <v>5958333.3333333349</v>
          </cell>
        </row>
        <row r="15">
          <cell r="A15">
            <v>55000</v>
          </cell>
          <cell r="N15">
            <v>5958333.333333333</v>
          </cell>
        </row>
        <row r="16">
          <cell r="A16">
            <v>60000</v>
          </cell>
          <cell r="N16">
            <v>5958333.333333333</v>
          </cell>
        </row>
        <row r="17">
          <cell r="A17">
            <v>65000</v>
          </cell>
          <cell r="N17">
            <v>6409090.9090909082</v>
          </cell>
        </row>
        <row r="18">
          <cell r="A18">
            <v>70000</v>
          </cell>
          <cell r="N18">
            <v>6666666.666666666</v>
          </cell>
        </row>
        <row r="19">
          <cell r="A19">
            <v>75000</v>
          </cell>
          <cell r="N19">
            <v>6833333.3333333321</v>
          </cell>
        </row>
        <row r="20">
          <cell r="A20">
            <v>80000</v>
          </cell>
          <cell r="N20">
            <v>6999999.9999999981</v>
          </cell>
        </row>
        <row r="21">
          <cell r="A21">
            <v>85000</v>
          </cell>
          <cell r="N21">
            <v>7166666.666666666</v>
          </cell>
        </row>
        <row r="22">
          <cell r="A22">
            <v>90000</v>
          </cell>
          <cell r="N22">
            <v>7333333.3333333321</v>
          </cell>
        </row>
        <row r="23">
          <cell r="A23">
            <v>95000</v>
          </cell>
          <cell r="N23">
            <v>7499999.9999999991</v>
          </cell>
        </row>
        <row r="24">
          <cell r="A24">
            <v>100000</v>
          </cell>
          <cell r="N24">
            <v>7666666.666666666</v>
          </cell>
        </row>
      </sheetData>
      <sheetData sheetId="4">
        <row r="1">
          <cell r="N1" t="str">
            <v>Sensitivity of Profit to Unit profit contribution of large minivans</v>
          </cell>
        </row>
        <row r="5">
          <cell r="A5">
            <v>4000</v>
          </cell>
          <cell r="N5">
            <v>6277777.777777778</v>
          </cell>
        </row>
        <row r="6">
          <cell r="A6">
            <v>4200</v>
          </cell>
          <cell r="N6">
            <v>6277777.777777778</v>
          </cell>
        </row>
        <row r="7">
          <cell r="A7">
            <v>4400</v>
          </cell>
          <cell r="N7">
            <v>6277777.777777778</v>
          </cell>
        </row>
        <row r="8">
          <cell r="A8">
            <v>4600</v>
          </cell>
          <cell r="N8">
            <v>6277777.777777778</v>
          </cell>
        </row>
        <row r="9">
          <cell r="A9">
            <v>4800</v>
          </cell>
          <cell r="N9">
            <v>6277777.777777778</v>
          </cell>
        </row>
        <row r="10">
          <cell r="A10">
            <v>5000</v>
          </cell>
          <cell r="N10">
            <v>6277777.777777778</v>
          </cell>
        </row>
        <row r="11">
          <cell r="A11">
            <v>5200</v>
          </cell>
          <cell r="N11">
            <v>6277777.777777778</v>
          </cell>
        </row>
        <row r="12">
          <cell r="A12">
            <v>5400</v>
          </cell>
          <cell r="N12">
            <v>6277777.777777778</v>
          </cell>
        </row>
        <row r="13">
          <cell r="A13">
            <v>5600</v>
          </cell>
          <cell r="N13">
            <v>6277777.777777778</v>
          </cell>
        </row>
        <row r="14">
          <cell r="A14">
            <v>5800</v>
          </cell>
          <cell r="N14">
            <v>6277777.777777778</v>
          </cell>
        </row>
        <row r="15">
          <cell r="A15">
            <v>6000</v>
          </cell>
          <cell r="N15">
            <v>6277777.777777778</v>
          </cell>
        </row>
        <row r="16">
          <cell r="A16">
            <v>6200</v>
          </cell>
          <cell r="N16">
            <v>6277777.777777778</v>
          </cell>
        </row>
        <row r="17">
          <cell r="A17">
            <v>6400</v>
          </cell>
          <cell r="N17">
            <v>6277777.777777778</v>
          </cell>
        </row>
        <row r="18">
          <cell r="A18">
            <v>6600</v>
          </cell>
          <cell r="N18">
            <v>6277777.777777778</v>
          </cell>
        </row>
        <row r="19">
          <cell r="A19">
            <v>6800</v>
          </cell>
          <cell r="N19">
            <v>6314545.4545454532</v>
          </cell>
        </row>
        <row r="20">
          <cell r="A20">
            <v>7000</v>
          </cell>
          <cell r="N20">
            <v>6409090.9090909082</v>
          </cell>
        </row>
        <row r="21">
          <cell r="A21">
            <v>7200</v>
          </cell>
          <cell r="N21">
            <v>6520634.9206349207</v>
          </cell>
        </row>
        <row r="22">
          <cell r="A22">
            <v>7400</v>
          </cell>
          <cell r="N22">
            <v>6644444.444444444</v>
          </cell>
        </row>
        <row r="23">
          <cell r="A23">
            <v>7600</v>
          </cell>
          <cell r="N23">
            <v>6768253.9682539683</v>
          </cell>
        </row>
        <row r="24">
          <cell r="A24">
            <v>7800</v>
          </cell>
          <cell r="N24">
            <v>6892063.4920634916</v>
          </cell>
        </row>
        <row r="25">
          <cell r="A25">
            <v>8000</v>
          </cell>
          <cell r="N25">
            <v>7015873.0158730159</v>
          </cell>
        </row>
        <row r="26">
          <cell r="A26">
            <v>8200</v>
          </cell>
          <cell r="N26">
            <v>7139682.5396825392</v>
          </cell>
        </row>
        <row r="27">
          <cell r="A27">
            <v>8400</v>
          </cell>
          <cell r="N27">
            <v>7263492.0634920634</v>
          </cell>
        </row>
        <row r="28">
          <cell r="A28">
            <v>8600</v>
          </cell>
          <cell r="N28">
            <v>7387301.5873015868</v>
          </cell>
        </row>
        <row r="29">
          <cell r="A29">
            <v>8800</v>
          </cell>
          <cell r="N29">
            <v>7511111.111111111</v>
          </cell>
        </row>
        <row r="30">
          <cell r="A30">
            <v>9000</v>
          </cell>
          <cell r="N30">
            <v>7634920.6349206343</v>
          </cell>
        </row>
        <row r="31">
          <cell r="A31">
            <v>9200</v>
          </cell>
          <cell r="N31">
            <v>7758730.1587301586</v>
          </cell>
        </row>
        <row r="32">
          <cell r="A32">
            <v>9400</v>
          </cell>
          <cell r="N32">
            <v>7882539.6825396828</v>
          </cell>
        </row>
        <row r="33">
          <cell r="A33">
            <v>9600</v>
          </cell>
          <cell r="N33">
            <v>8006349.2063492062</v>
          </cell>
        </row>
        <row r="34">
          <cell r="A34">
            <v>9800</v>
          </cell>
          <cell r="N34">
            <v>8130158.7301587304</v>
          </cell>
        </row>
        <row r="35">
          <cell r="A35">
            <v>10000</v>
          </cell>
          <cell r="N35">
            <v>8253968.2539682537</v>
          </cell>
        </row>
      </sheetData>
      <sheetData sheetId="5">
        <row r="1">
          <cell r="N1" t="str">
            <v>Sensitivity of Produce__if_any_1 to Minimum Production level of large minivan</v>
          </cell>
        </row>
        <row r="5">
          <cell r="A5">
            <v>40</v>
          </cell>
          <cell r="N5">
            <v>1</v>
          </cell>
        </row>
        <row r="6">
          <cell r="A6">
            <v>60</v>
          </cell>
          <cell r="N6">
            <v>1</v>
          </cell>
        </row>
        <row r="7">
          <cell r="A7">
            <v>80</v>
          </cell>
          <cell r="N7">
            <v>1</v>
          </cell>
        </row>
        <row r="8">
          <cell r="A8">
            <v>100</v>
          </cell>
          <cell r="N8">
            <v>1</v>
          </cell>
        </row>
        <row r="9">
          <cell r="A9">
            <v>120</v>
          </cell>
          <cell r="N9">
            <v>1</v>
          </cell>
        </row>
        <row r="10">
          <cell r="A10">
            <v>140</v>
          </cell>
          <cell r="N10">
            <v>1</v>
          </cell>
        </row>
        <row r="11">
          <cell r="A11">
            <v>160</v>
          </cell>
          <cell r="N11">
            <v>1</v>
          </cell>
        </row>
        <row r="12">
          <cell r="A12">
            <v>180</v>
          </cell>
          <cell r="N12">
            <v>1</v>
          </cell>
        </row>
        <row r="13">
          <cell r="A13">
            <v>200</v>
          </cell>
          <cell r="N13">
            <v>1</v>
          </cell>
        </row>
        <row r="14">
          <cell r="A14">
            <v>220</v>
          </cell>
          <cell r="N14">
            <v>1</v>
          </cell>
        </row>
        <row r="15">
          <cell r="A15">
            <v>240</v>
          </cell>
          <cell r="N15">
            <v>1</v>
          </cell>
        </row>
        <row r="16">
          <cell r="A16">
            <v>260</v>
          </cell>
          <cell r="N16">
            <v>1</v>
          </cell>
        </row>
        <row r="17">
          <cell r="A17">
            <v>280</v>
          </cell>
          <cell r="N17">
            <v>1</v>
          </cell>
        </row>
        <row r="18">
          <cell r="A18">
            <v>300</v>
          </cell>
          <cell r="N18">
            <v>1</v>
          </cell>
        </row>
        <row r="19">
          <cell r="A19">
            <v>320</v>
          </cell>
          <cell r="N19">
            <v>1</v>
          </cell>
        </row>
        <row r="20">
          <cell r="A20">
            <v>340</v>
          </cell>
          <cell r="N20">
            <v>1</v>
          </cell>
        </row>
        <row r="21">
          <cell r="A21">
            <v>360</v>
          </cell>
          <cell r="N21">
            <v>1</v>
          </cell>
        </row>
        <row r="22">
          <cell r="A22">
            <v>380</v>
          </cell>
          <cell r="N22">
            <v>1</v>
          </cell>
        </row>
        <row r="23">
          <cell r="A23">
            <v>400</v>
          </cell>
          <cell r="N23">
            <v>1</v>
          </cell>
        </row>
      </sheetData>
      <sheetData sheetId="6">
        <row r="1">
          <cell r="N1" t="str">
            <v>Sensitivity of Produce__if_any_1 to Minimum Production level of compact cars</v>
          </cell>
        </row>
        <row r="5">
          <cell r="A5">
            <v>500</v>
          </cell>
          <cell r="N5">
            <v>1</v>
          </cell>
        </row>
        <row r="6">
          <cell r="A6">
            <v>550</v>
          </cell>
          <cell r="N6">
            <v>1</v>
          </cell>
        </row>
        <row r="7">
          <cell r="A7">
            <v>600</v>
          </cell>
          <cell r="N7">
            <v>1</v>
          </cell>
        </row>
        <row r="8">
          <cell r="A8">
            <v>650</v>
          </cell>
          <cell r="N8">
            <v>1</v>
          </cell>
        </row>
        <row r="9">
          <cell r="A9">
            <v>700</v>
          </cell>
          <cell r="N9">
            <v>1</v>
          </cell>
        </row>
        <row r="10">
          <cell r="A10">
            <v>750</v>
          </cell>
          <cell r="N10">
            <v>1</v>
          </cell>
        </row>
        <row r="11">
          <cell r="A11">
            <v>800</v>
          </cell>
          <cell r="N11">
            <v>1</v>
          </cell>
        </row>
        <row r="12">
          <cell r="A12">
            <v>850</v>
          </cell>
          <cell r="N12">
            <v>1</v>
          </cell>
        </row>
        <row r="13">
          <cell r="A13">
            <v>900</v>
          </cell>
          <cell r="N13">
            <v>1</v>
          </cell>
        </row>
        <row r="14">
          <cell r="A14">
            <v>950</v>
          </cell>
          <cell r="N14">
            <v>1</v>
          </cell>
        </row>
        <row r="15">
          <cell r="A15">
            <v>1000</v>
          </cell>
          <cell r="N15">
            <v>1</v>
          </cell>
        </row>
        <row r="16">
          <cell r="A16">
            <v>1050</v>
          </cell>
          <cell r="N16">
            <v>1</v>
          </cell>
        </row>
        <row r="17">
          <cell r="A17">
            <v>1100</v>
          </cell>
          <cell r="N17">
            <v>1</v>
          </cell>
        </row>
        <row r="18">
          <cell r="A18">
            <v>1150</v>
          </cell>
          <cell r="N18">
            <v>1</v>
          </cell>
        </row>
        <row r="19">
          <cell r="A19">
            <v>1200</v>
          </cell>
          <cell r="N19">
            <v>1</v>
          </cell>
        </row>
        <row r="20">
          <cell r="A20">
            <v>1250</v>
          </cell>
          <cell r="N20">
            <v>0</v>
          </cell>
        </row>
        <row r="21">
          <cell r="A21">
            <v>1300</v>
          </cell>
          <cell r="N21">
            <v>0</v>
          </cell>
        </row>
        <row r="22">
          <cell r="A22">
            <v>1350</v>
          </cell>
          <cell r="N22">
            <v>0</v>
          </cell>
        </row>
        <row r="23">
          <cell r="A23">
            <v>1400</v>
          </cell>
          <cell r="N23">
            <v>0</v>
          </cell>
        </row>
        <row r="24">
          <cell r="A24">
            <v>1450</v>
          </cell>
          <cell r="N24">
            <v>0</v>
          </cell>
        </row>
        <row r="25">
          <cell r="A25">
            <v>1500</v>
          </cell>
          <cell r="N25">
            <v>0</v>
          </cell>
        </row>
        <row r="26">
          <cell r="A26">
            <v>1550</v>
          </cell>
          <cell r="N26">
            <v>0</v>
          </cell>
        </row>
        <row r="27">
          <cell r="A27">
            <v>1600</v>
          </cell>
          <cell r="N27">
            <v>0</v>
          </cell>
        </row>
        <row r="28">
          <cell r="A28">
            <v>1650</v>
          </cell>
          <cell r="N28">
            <v>0</v>
          </cell>
        </row>
        <row r="29">
          <cell r="A29">
            <v>1700</v>
          </cell>
          <cell r="N29">
            <v>0</v>
          </cell>
        </row>
        <row r="30">
          <cell r="A30">
            <v>1750</v>
          </cell>
          <cell r="N30">
            <v>0</v>
          </cell>
        </row>
        <row r="31">
          <cell r="A31">
            <v>1800</v>
          </cell>
          <cell r="N31">
            <v>0</v>
          </cell>
        </row>
        <row r="32">
          <cell r="A32">
            <v>1850</v>
          </cell>
          <cell r="N32">
            <v>0</v>
          </cell>
        </row>
        <row r="33">
          <cell r="A33">
            <v>1900</v>
          </cell>
          <cell r="N33">
            <v>0</v>
          </cell>
        </row>
        <row r="34">
          <cell r="A34">
            <v>1950</v>
          </cell>
          <cell r="N34">
            <v>0</v>
          </cell>
        </row>
        <row r="35">
          <cell r="A35">
            <v>2000</v>
          </cell>
          <cell r="N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A46CF8F-E111-6D4A-9704-72D5E04219B3}">
  <we:reference id="0986d9dd-94f1-4b67-978d-c4cf6e6142a8" version="21.5.1.1" store="EXCatalog" storeType="EXCatalog"/>
  <we:alternateReferences>
    <we:reference id="WA200000018" version="21.5.1.1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</we:customFunctionIdList>
    </a:ext>
  </we:extLst>
</we:webextension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C02A-E412-1C4F-B1C5-4ADCEDCF825F}">
  <dimension ref="A1:I102"/>
  <sheetViews>
    <sheetView topLeftCell="A2" workbookViewId="0">
      <selection activeCell="B17" sqref="B17"/>
    </sheetView>
  </sheetViews>
  <sheetFormatPr baseColWidth="10" defaultColWidth="11" defaultRowHeight="16" x14ac:dyDescent="0.2"/>
  <cols>
    <col min="1" max="1" width="30" bestFit="1" customWidth="1"/>
    <col min="5" max="5" width="9" customWidth="1"/>
    <col min="6" max="6" width="10.6640625" customWidth="1"/>
    <col min="7" max="7" width="14.6640625" customWidth="1"/>
  </cols>
  <sheetData>
    <row r="1" spans="1:8" x14ac:dyDescent="0.2">
      <c r="A1" s="3" t="s">
        <v>0</v>
      </c>
    </row>
    <row r="3" spans="1:8" x14ac:dyDescent="0.2">
      <c r="A3" s="3" t="s">
        <v>12</v>
      </c>
    </row>
    <row r="4" spans="1:8" x14ac:dyDescent="0.2">
      <c r="A4" t="s">
        <v>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</row>
    <row r="5" spans="1:8" x14ac:dyDescent="0.2">
      <c r="A5" t="s">
        <v>2</v>
      </c>
      <c r="B5" s="6">
        <v>5000</v>
      </c>
      <c r="C5" s="6">
        <v>2500</v>
      </c>
      <c r="D5" s="6">
        <v>3500</v>
      </c>
      <c r="E5" s="6">
        <v>6000</v>
      </c>
      <c r="F5" s="6">
        <v>7000</v>
      </c>
      <c r="G5" s="6">
        <v>4500</v>
      </c>
      <c r="H5" s="6">
        <v>3000</v>
      </c>
    </row>
    <row r="6" spans="1:8" x14ac:dyDescent="0.2">
      <c r="A6" t="s">
        <v>3</v>
      </c>
      <c r="B6" s="6">
        <v>16000</v>
      </c>
      <c r="C6" s="6">
        <v>8000</v>
      </c>
      <c r="D6" s="6">
        <v>10000</v>
      </c>
      <c r="E6" s="6">
        <v>19500</v>
      </c>
      <c r="F6" s="6">
        <v>22000</v>
      </c>
      <c r="G6" s="6">
        <v>12000</v>
      </c>
      <c r="H6" s="6">
        <v>7500</v>
      </c>
    </row>
    <row r="7" spans="1:8" x14ac:dyDescent="0.2">
      <c r="A7" t="s">
        <v>4</v>
      </c>
      <c r="B7">
        <v>3.2</v>
      </c>
      <c r="C7">
        <v>3.2</v>
      </c>
      <c r="D7">
        <v>2.86</v>
      </c>
      <c r="E7">
        <v>3.25</v>
      </c>
      <c r="F7">
        <v>3.14</v>
      </c>
      <c r="G7">
        <v>2.67</v>
      </c>
      <c r="H7">
        <v>2.5</v>
      </c>
    </row>
    <row r="9" spans="1:8" x14ac:dyDescent="0.2">
      <c r="A9" s="3" t="s">
        <v>5</v>
      </c>
    </row>
    <row r="10" spans="1:8" x14ac:dyDescent="0.2">
      <c r="A10" t="s">
        <v>6</v>
      </c>
      <c r="B10" s="7">
        <v>1</v>
      </c>
      <c r="C10" s="7">
        <v>0</v>
      </c>
      <c r="D10" s="7">
        <v>0</v>
      </c>
      <c r="E10" s="7">
        <v>1</v>
      </c>
      <c r="F10" s="7">
        <v>1</v>
      </c>
      <c r="G10" s="7">
        <v>0</v>
      </c>
      <c r="H10" s="7">
        <v>0</v>
      </c>
    </row>
    <row r="12" spans="1:8" x14ac:dyDescent="0.2">
      <c r="A12" s="3" t="s">
        <v>7</v>
      </c>
    </row>
    <row r="13" spans="1:8" x14ac:dyDescent="0.2">
      <c r="B13" t="s">
        <v>11</v>
      </c>
      <c r="D13" t="s">
        <v>8</v>
      </c>
      <c r="F13" s="3"/>
      <c r="H13" s="3"/>
    </row>
    <row r="14" spans="1:8" x14ac:dyDescent="0.2">
      <c r="B14" s="1">
        <f>SUMPRODUCT(B5:H5, Investment_levels)</f>
        <v>18000</v>
      </c>
      <c r="C14" s="4" t="s">
        <v>9</v>
      </c>
      <c r="D14" s="6">
        <v>18000</v>
      </c>
    </row>
    <row r="15" spans="1:8" x14ac:dyDescent="0.2">
      <c r="F15" s="3"/>
      <c r="H15" s="3"/>
    </row>
    <row r="16" spans="1:8" x14ac:dyDescent="0.2">
      <c r="A16" s="3" t="s">
        <v>13</v>
      </c>
    </row>
    <row r="17" spans="1:9" x14ac:dyDescent="0.2">
      <c r="A17" t="s">
        <v>10</v>
      </c>
      <c r="B17" s="5">
        <f>SUMPRODUCT(B6:H6, Investment_levels)</f>
        <v>57500</v>
      </c>
    </row>
    <row r="22" spans="1:9" s="16" customFormat="1" x14ac:dyDescent="0.2">
      <c r="A22" s="16" t="s">
        <v>31</v>
      </c>
    </row>
    <row r="24" spans="1:9" x14ac:dyDescent="0.2">
      <c r="A24" s="9" t="s">
        <v>0</v>
      </c>
      <c r="B24" s="10"/>
      <c r="C24" s="10"/>
      <c r="D24" s="10"/>
      <c r="E24" s="10"/>
      <c r="F24" s="10"/>
      <c r="G24" s="10"/>
      <c r="H24" s="10"/>
      <c r="I24" s="10"/>
    </row>
    <row r="25" spans="1:9" x14ac:dyDescent="0.2">
      <c r="A25" s="10"/>
      <c r="B25" s="10"/>
      <c r="C25" s="10"/>
      <c r="D25" s="10"/>
      <c r="E25" s="10"/>
      <c r="F25" s="10"/>
      <c r="G25" s="10"/>
      <c r="H25" s="10"/>
      <c r="I25" s="10"/>
    </row>
    <row r="26" spans="1:9" x14ac:dyDescent="0.2">
      <c r="A26" s="9" t="s">
        <v>12</v>
      </c>
      <c r="B26" s="9"/>
      <c r="C26" s="10"/>
      <c r="D26" s="10"/>
      <c r="E26" s="10"/>
      <c r="F26" s="10"/>
      <c r="G26" s="10"/>
      <c r="H26" s="10"/>
      <c r="I26" s="10"/>
    </row>
    <row r="27" spans="1:9" x14ac:dyDescent="0.2">
      <c r="A27" s="10" t="s">
        <v>1</v>
      </c>
      <c r="B27" s="10">
        <v>1</v>
      </c>
      <c r="C27" s="10">
        <v>2</v>
      </c>
      <c r="D27" s="10">
        <v>3</v>
      </c>
      <c r="E27" s="10">
        <v>4</v>
      </c>
      <c r="F27" s="10">
        <v>5</v>
      </c>
      <c r="G27" s="10">
        <v>6</v>
      </c>
      <c r="H27" s="10">
        <v>7</v>
      </c>
      <c r="I27" s="10"/>
    </row>
    <row r="28" spans="1:9" x14ac:dyDescent="0.2">
      <c r="A28" s="10" t="s">
        <v>2</v>
      </c>
      <c r="B28" s="11" t="s">
        <v>16</v>
      </c>
      <c r="C28" s="11" t="s">
        <v>17</v>
      </c>
      <c r="D28" s="11" t="s">
        <v>18</v>
      </c>
      <c r="E28" s="11" t="s">
        <v>19</v>
      </c>
      <c r="F28" s="11" t="s">
        <v>20</v>
      </c>
      <c r="G28" s="11" t="s">
        <v>21</v>
      </c>
      <c r="H28" s="11" t="s">
        <v>22</v>
      </c>
      <c r="I28" s="10"/>
    </row>
    <row r="29" spans="1:9" x14ac:dyDescent="0.2">
      <c r="A29" s="10" t="s">
        <v>3</v>
      </c>
      <c r="B29" s="11" t="s">
        <v>23</v>
      </c>
      <c r="C29" s="11" t="s">
        <v>24</v>
      </c>
      <c r="D29" s="11" t="s">
        <v>25</v>
      </c>
      <c r="E29" s="11" t="s">
        <v>26</v>
      </c>
      <c r="F29" s="11" t="s">
        <v>27</v>
      </c>
      <c r="G29" s="11" t="s">
        <v>28</v>
      </c>
      <c r="H29" s="11" t="s">
        <v>29</v>
      </c>
      <c r="I29" s="10"/>
    </row>
    <row r="30" spans="1:9" x14ac:dyDescent="0.2">
      <c r="A30" s="10" t="s">
        <v>4</v>
      </c>
      <c r="B30" s="10">
        <v>3.2</v>
      </c>
      <c r="C30" s="10">
        <v>3.2</v>
      </c>
      <c r="D30" s="10">
        <v>2.86</v>
      </c>
      <c r="E30" s="10">
        <v>3.25</v>
      </c>
      <c r="F30" s="10">
        <v>3.14</v>
      </c>
      <c r="G30" s="10">
        <v>2.67</v>
      </c>
      <c r="H30" s="10">
        <v>2.5</v>
      </c>
      <c r="I30" s="10"/>
    </row>
    <row r="31" spans="1:9" x14ac:dyDescent="0.2">
      <c r="A31" s="10"/>
      <c r="B31" s="10"/>
      <c r="C31" s="10"/>
      <c r="D31" s="10"/>
      <c r="E31" s="10"/>
      <c r="F31" s="10"/>
      <c r="G31" s="10"/>
      <c r="H31" s="10"/>
      <c r="I31" s="10"/>
    </row>
    <row r="32" spans="1:9" x14ac:dyDescent="0.2">
      <c r="A32" s="9" t="s">
        <v>5</v>
      </c>
      <c r="B32" s="10"/>
      <c r="C32" s="10"/>
      <c r="D32" s="10"/>
      <c r="E32" s="10"/>
      <c r="F32" s="10"/>
      <c r="G32" s="10"/>
      <c r="H32" s="10"/>
      <c r="I32" s="10"/>
    </row>
    <row r="33" spans="1:9" x14ac:dyDescent="0.2">
      <c r="A33" s="10" t="s">
        <v>6</v>
      </c>
      <c r="B33" s="12">
        <v>0</v>
      </c>
      <c r="C33" s="12">
        <v>0</v>
      </c>
      <c r="D33" s="12">
        <v>0</v>
      </c>
      <c r="E33" s="12">
        <v>1</v>
      </c>
      <c r="F33" s="12">
        <v>1</v>
      </c>
      <c r="G33" s="12">
        <v>1</v>
      </c>
      <c r="H33" s="12">
        <v>0</v>
      </c>
      <c r="I33" s="10"/>
    </row>
    <row r="34" spans="1:9" x14ac:dyDescent="0.2">
      <c r="A34" s="10"/>
      <c r="B34" s="10"/>
      <c r="C34" s="10"/>
      <c r="D34" s="10"/>
      <c r="E34" s="10"/>
      <c r="F34" s="10"/>
      <c r="G34" s="10"/>
      <c r="H34" s="10"/>
      <c r="I34" s="10"/>
    </row>
    <row r="35" spans="1:9" x14ac:dyDescent="0.2">
      <c r="A35" s="9" t="s">
        <v>7</v>
      </c>
      <c r="B35" s="10"/>
      <c r="C35" s="10"/>
      <c r="D35" s="10"/>
      <c r="E35" s="10"/>
      <c r="F35" s="10"/>
      <c r="G35" s="10"/>
      <c r="H35" s="10"/>
      <c r="I35" s="10"/>
    </row>
    <row r="36" spans="1:9" x14ac:dyDescent="0.2">
      <c r="A36" s="10"/>
      <c r="B36" s="10" t="s">
        <v>11</v>
      </c>
      <c r="C36" s="10"/>
      <c r="D36" s="10" t="s">
        <v>8</v>
      </c>
      <c r="E36" s="10"/>
      <c r="F36" s="9" t="s">
        <v>15</v>
      </c>
      <c r="G36" s="9"/>
      <c r="H36" s="9" t="s">
        <v>14</v>
      </c>
      <c r="I36" s="9"/>
    </row>
    <row r="37" spans="1:9" x14ac:dyDescent="0.2">
      <c r="A37" s="10"/>
      <c r="B37" s="2" t="s">
        <v>124</v>
      </c>
      <c r="C37" s="13" t="s">
        <v>9</v>
      </c>
      <c r="D37" s="11" t="s">
        <v>30</v>
      </c>
      <c r="E37" s="10"/>
      <c r="F37" s="10">
        <v>2</v>
      </c>
      <c r="G37" s="13" t="s">
        <v>9</v>
      </c>
      <c r="H37" s="14">
        <v>2</v>
      </c>
      <c r="I37" s="10"/>
    </row>
    <row r="38" spans="1:9" x14ac:dyDescent="0.2">
      <c r="A38" s="10"/>
      <c r="B38" s="10"/>
      <c r="C38" s="10"/>
      <c r="D38" s="10"/>
      <c r="E38" s="10"/>
      <c r="F38" s="10"/>
      <c r="G38" s="10"/>
      <c r="H38" s="10"/>
      <c r="I38" s="10"/>
    </row>
    <row r="39" spans="1:9" x14ac:dyDescent="0.2">
      <c r="A39" s="9" t="s">
        <v>13</v>
      </c>
      <c r="B39" s="10"/>
      <c r="C39" s="10"/>
      <c r="D39" s="10"/>
      <c r="E39" s="10"/>
      <c r="F39" s="10"/>
      <c r="G39" s="10"/>
      <c r="H39" s="10"/>
      <c r="I39" s="10"/>
    </row>
    <row r="40" spans="1:9" x14ac:dyDescent="0.2">
      <c r="A40" s="10" t="s">
        <v>10</v>
      </c>
      <c r="B40" s="15" t="s">
        <v>123</v>
      </c>
      <c r="C40" s="10"/>
      <c r="D40" s="10"/>
      <c r="E40" s="10"/>
      <c r="F40" s="10"/>
      <c r="G40" s="10"/>
      <c r="H40" s="10"/>
      <c r="I40" s="10"/>
    </row>
    <row r="41" spans="1:9" x14ac:dyDescent="0.2">
      <c r="A41" s="10"/>
      <c r="B41" s="10"/>
      <c r="C41" s="10"/>
      <c r="D41" s="10"/>
      <c r="E41" s="10"/>
      <c r="F41" s="10"/>
      <c r="G41" s="10"/>
      <c r="H41" s="10"/>
      <c r="I41" s="10"/>
    </row>
    <row r="43" spans="1:9" s="16" customFormat="1" x14ac:dyDescent="0.2">
      <c r="A43" s="16" t="s">
        <v>32</v>
      </c>
    </row>
    <row r="44" spans="1:9" x14ac:dyDescent="0.2">
      <c r="A44" s="3" t="s">
        <v>0</v>
      </c>
    </row>
    <row r="46" spans="1:9" x14ac:dyDescent="0.2">
      <c r="A46" s="3" t="s">
        <v>12</v>
      </c>
    </row>
    <row r="47" spans="1:9" x14ac:dyDescent="0.2">
      <c r="A47" t="s">
        <v>1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</row>
    <row r="48" spans="1:9" x14ac:dyDescent="0.2">
      <c r="A48" t="s">
        <v>2</v>
      </c>
      <c r="B48" s="6">
        <v>5000</v>
      </c>
      <c r="C48" s="6">
        <v>2500</v>
      </c>
      <c r="D48" s="6">
        <v>3500</v>
      </c>
      <c r="E48" s="6">
        <v>6000</v>
      </c>
      <c r="F48" s="6">
        <v>7000</v>
      </c>
      <c r="G48" s="6">
        <v>4500</v>
      </c>
      <c r="H48" s="6">
        <v>3000</v>
      </c>
    </row>
    <row r="49" spans="1:8" x14ac:dyDescent="0.2">
      <c r="A49" t="s">
        <v>3</v>
      </c>
      <c r="B49" s="6">
        <v>16000</v>
      </c>
      <c r="C49" s="6">
        <v>8000</v>
      </c>
      <c r="D49" s="6">
        <v>10000</v>
      </c>
      <c r="E49" s="6">
        <v>19500</v>
      </c>
      <c r="F49" s="6">
        <v>22000</v>
      </c>
      <c r="G49" s="6">
        <v>12000</v>
      </c>
      <c r="H49" s="6">
        <v>7500</v>
      </c>
    </row>
    <row r="50" spans="1:8" x14ac:dyDescent="0.2">
      <c r="A50" t="s">
        <v>4</v>
      </c>
      <c r="B50">
        <v>3.2</v>
      </c>
      <c r="C50">
        <v>3.2</v>
      </c>
      <c r="D50">
        <v>2.86</v>
      </c>
      <c r="E50">
        <v>3.25</v>
      </c>
      <c r="F50">
        <v>3.14</v>
      </c>
      <c r="G50">
        <v>2.67</v>
      </c>
      <c r="H50">
        <v>2.5</v>
      </c>
    </row>
    <row r="52" spans="1:8" x14ac:dyDescent="0.2">
      <c r="A52" s="3" t="s">
        <v>5</v>
      </c>
    </row>
    <row r="53" spans="1:8" x14ac:dyDescent="0.2">
      <c r="A53" t="s">
        <v>45</v>
      </c>
      <c r="B53" s="7">
        <v>1</v>
      </c>
      <c r="C53" s="7">
        <v>1</v>
      </c>
      <c r="D53" s="7">
        <v>1</v>
      </c>
      <c r="E53" s="7">
        <v>0</v>
      </c>
      <c r="F53" s="7">
        <v>1</v>
      </c>
      <c r="G53" s="7">
        <v>0</v>
      </c>
      <c r="H53" s="7">
        <v>0</v>
      </c>
    </row>
    <row r="55" spans="1:8" x14ac:dyDescent="0.2">
      <c r="A55" s="3" t="s">
        <v>7</v>
      </c>
    </row>
    <row r="56" spans="1:8" x14ac:dyDescent="0.2">
      <c r="B56" t="s">
        <v>11</v>
      </c>
      <c r="D56" t="s">
        <v>8</v>
      </c>
      <c r="F56" s="3" t="s">
        <v>34</v>
      </c>
      <c r="H56" s="3" t="s">
        <v>35</v>
      </c>
    </row>
    <row r="57" spans="1:8" x14ac:dyDescent="0.2">
      <c r="B57" s="1">
        <f>SUMPRODUCT(B48:H48, Investment_levels_2)</f>
        <v>18000</v>
      </c>
      <c r="C57" s="4" t="s">
        <v>9</v>
      </c>
      <c r="D57" s="6">
        <v>18000</v>
      </c>
      <c r="F57">
        <v>1</v>
      </c>
      <c r="G57" s="4" t="s">
        <v>33</v>
      </c>
      <c r="H57" s="8">
        <f>B53</f>
        <v>1</v>
      </c>
    </row>
    <row r="59" spans="1:8" x14ac:dyDescent="0.2">
      <c r="A59" s="3" t="s">
        <v>13</v>
      </c>
    </row>
    <row r="60" spans="1:8" x14ac:dyDescent="0.2">
      <c r="A60" t="s">
        <v>10</v>
      </c>
      <c r="B60" s="5">
        <f>SUMPRODUCT(B49:H49, Investment_levels_2)</f>
        <v>56000</v>
      </c>
    </row>
    <row r="63" spans="1:8" x14ac:dyDescent="0.2">
      <c r="A63" s="17"/>
    </row>
    <row r="64" spans="1:8" s="16" customFormat="1" x14ac:dyDescent="0.2">
      <c r="A64" s="16" t="s">
        <v>38</v>
      </c>
    </row>
    <row r="65" spans="1:8" x14ac:dyDescent="0.2">
      <c r="A65" s="3" t="s">
        <v>0</v>
      </c>
    </row>
    <row r="67" spans="1:8" x14ac:dyDescent="0.2">
      <c r="A67" s="3" t="s">
        <v>12</v>
      </c>
    </row>
    <row r="68" spans="1:8" x14ac:dyDescent="0.2">
      <c r="A68" t="s">
        <v>1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</row>
    <row r="69" spans="1:8" x14ac:dyDescent="0.2">
      <c r="A69" t="s">
        <v>2</v>
      </c>
      <c r="B69" s="6">
        <v>5000</v>
      </c>
      <c r="C69" s="6">
        <v>2500</v>
      </c>
      <c r="D69" s="6">
        <v>3500</v>
      </c>
      <c r="E69" s="6">
        <v>6000</v>
      </c>
      <c r="F69" s="6">
        <v>7000</v>
      </c>
      <c r="G69" s="6">
        <v>4500</v>
      </c>
      <c r="H69" s="6">
        <v>3000</v>
      </c>
    </row>
    <row r="70" spans="1:8" x14ac:dyDescent="0.2">
      <c r="A70" t="s">
        <v>3</v>
      </c>
      <c r="B70" s="6">
        <v>16000</v>
      </c>
      <c r="C70" s="6">
        <v>8000</v>
      </c>
      <c r="D70" s="6">
        <v>10000</v>
      </c>
      <c r="E70" s="6">
        <v>19500</v>
      </c>
      <c r="F70" s="6">
        <v>22000</v>
      </c>
      <c r="G70" s="6">
        <v>12000</v>
      </c>
      <c r="H70" s="6">
        <v>7500</v>
      </c>
    </row>
    <row r="71" spans="1:8" x14ac:dyDescent="0.2">
      <c r="A71" t="s">
        <v>4</v>
      </c>
      <c r="B71">
        <v>3.2</v>
      </c>
      <c r="C71">
        <v>3.2</v>
      </c>
      <c r="D71">
        <v>2.86</v>
      </c>
      <c r="E71">
        <v>3.25</v>
      </c>
      <c r="F71">
        <v>3.14</v>
      </c>
      <c r="G71">
        <v>2.67</v>
      </c>
      <c r="H71">
        <v>2.5</v>
      </c>
    </row>
    <row r="73" spans="1:8" x14ac:dyDescent="0.2">
      <c r="A73" s="3" t="s">
        <v>5</v>
      </c>
    </row>
    <row r="74" spans="1:8" x14ac:dyDescent="0.2">
      <c r="A74" t="s">
        <v>6</v>
      </c>
      <c r="B74" s="7">
        <v>1</v>
      </c>
      <c r="C74" s="7">
        <v>1</v>
      </c>
      <c r="D74" s="7">
        <v>0</v>
      </c>
      <c r="E74" s="7">
        <v>1</v>
      </c>
      <c r="F74" s="7">
        <v>0</v>
      </c>
      <c r="G74" s="7">
        <v>1</v>
      </c>
      <c r="H74" s="7">
        <v>0</v>
      </c>
    </row>
    <row r="76" spans="1:8" x14ac:dyDescent="0.2">
      <c r="A76" s="3" t="s">
        <v>7</v>
      </c>
    </row>
    <row r="77" spans="1:8" x14ac:dyDescent="0.2">
      <c r="B77" t="s">
        <v>11</v>
      </c>
      <c r="D77" t="s">
        <v>8</v>
      </c>
      <c r="F77" s="3" t="s">
        <v>36</v>
      </c>
      <c r="H77" s="3" t="s">
        <v>37</v>
      </c>
    </row>
    <row r="78" spans="1:8" x14ac:dyDescent="0.2">
      <c r="B78" s="1">
        <f>SUMPRODUCT(B69:H69, Investment_levels_3)</f>
        <v>18000</v>
      </c>
      <c r="C78" s="4" t="s">
        <v>9</v>
      </c>
      <c r="D78" s="6">
        <v>18000</v>
      </c>
      <c r="F78">
        <f>SUM(G74, H74)</f>
        <v>1</v>
      </c>
      <c r="G78" s="4" t="s">
        <v>33</v>
      </c>
      <c r="H78" s="8">
        <f>1</f>
        <v>1</v>
      </c>
    </row>
    <row r="80" spans="1:8" x14ac:dyDescent="0.2">
      <c r="A80" s="3" t="s">
        <v>13</v>
      </c>
    </row>
    <row r="81" spans="1:8" x14ac:dyDescent="0.2">
      <c r="A81" t="s">
        <v>10</v>
      </c>
      <c r="B81" s="5">
        <f>SUMPRODUCT(B70:H70, Investment_levels_3)</f>
        <v>55500</v>
      </c>
    </row>
    <row r="84" spans="1:8" s="16" customFormat="1" x14ac:dyDescent="0.2">
      <c r="A84" s="16" t="s">
        <v>39</v>
      </c>
    </row>
    <row r="86" spans="1:8" x14ac:dyDescent="0.2">
      <c r="A86" s="3" t="s">
        <v>0</v>
      </c>
    </row>
    <row r="88" spans="1:8" x14ac:dyDescent="0.2">
      <c r="A88" s="3" t="s">
        <v>12</v>
      </c>
    </row>
    <row r="89" spans="1:8" x14ac:dyDescent="0.2">
      <c r="A89" t="s">
        <v>1</v>
      </c>
      <c r="B89">
        <v>1</v>
      </c>
      <c r="C89">
        <v>2</v>
      </c>
      <c r="D89">
        <v>3</v>
      </c>
      <c r="E89">
        <v>4</v>
      </c>
      <c r="F89">
        <v>5</v>
      </c>
      <c r="G89">
        <v>6</v>
      </c>
      <c r="H89">
        <v>7</v>
      </c>
    </row>
    <row r="90" spans="1:8" x14ac:dyDescent="0.2">
      <c r="A90" t="s">
        <v>2</v>
      </c>
      <c r="B90" s="6">
        <v>5000</v>
      </c>
      <c r="C90" s="6">
        <v>2500</v>
      </c>
      <c r="D90" s="6">
        <v>3500</v>
      </c>
      <c r="E90" s="6">
        <v>6000</v>
      </c>
      <c r="F90" s="6">
        <v>7000</v>
      </c>
      <c r="G90" s="6">
        <v>4500</v>
      </c>
      <c r="H90" s="6">
        <v>3000</v>
      </c>
    </row>
    <row r="91" spans="1:8" x14ac:dyDescent="0.2">
      <c r="A91" t="s">
        <v>3</v>
      </c>
      <c r="B91" s="6">
        <v>16000</v>
      </c>
      <c r="C91" s="6">
        <v>8000</v>
      </c>
      <c r="D91" s="6">
        <v>10000</v>
      </c>
      <c r="E91" s="6">
        <v>19500</v>
      </c>
      <c r="F91" s="6">
        <v>22000</v>
      </c>
      <c r="G91" s="6">
        <v>12000</v>
      </c>
      <c r="H91" s="6">
        <v>7500</v>
      </c>
    </row>
    <row r="92" spans="1:8" x14ac:dyDescent="0.2">
      <c r="A92" t="s">
        <v>4</v>
      </c>
      <c r="B92">
        <v>3.2</v>
      </c>
      <c r="C92">
        <v>3.2</v>
      </c>
      <c r="D92">
        <v>2.86</v>
      </c>
      <c r="E92">
        <v>3.25</v>
      </c>
      <c r="F92">
        <v>3.14</v>
      </c>
      <c r="G92">
        <v>2.67</v>
      </c>
      <c r="H92">
        <v>2.5</v>
      </c>
    </row>
    <row r="94" spans="1:8" x14ac:dyDescent="0.2">
      <c r="A94" s="3" t="s">
        <v>5</v>
      </c>
    </row>
    <row r="95" spans="1:8" x14ac:dyDescent="0.2">
      <c r="A95" t="s">
        <v>6</v>
      </c>
      <c r="B95" s="7">
        <v>1</v>
      </c>
      <c r="C95" s="7">
        <v>0</v>
      </c>
      <c r="D95" s="7">
        <v>0</v>
      </c>
      <c r="E95" s="7">
        <v>1</v>
      </c>
      <c r="F95" s="7">
        <v>1</v>
      </c>
      <c r="G95" s="7">
        <v>0</v>
      </c>
      <c r="H95" s="7">
        <v>0</v>
      </c>
    </row>
    <row r="97" spans="1:8" x14ac:dyDescent="0.2">
      <c r="A97" s="3" t="s">
        <v>7</v>
      </c>
    </row>
    <row r="98" spans="1:8" x14ac:dyDescent="0.2">
      <c r="B98" t="s">
        <v>11</v>
      </c>
      <c r="D98" t="s">
        <v>8</v>
      </c>
      <c r="F98" s="3" t="s">
        <v>40</v>
      </c>
      <c r="H98" s="3" t="s">
        <v>42</v>
      </c>
    </row>
    <row r="99" spans="1:8" x14ac:dyDescent="0.2">
      <c r="B99" s="1">
        <f>SUMPRODUCT(B90:H90, Investment_levels_4)</f>
        <v>18000</v>
      </c>
      <c r="C99" s="4" t="s">
        <v>9</v>
      </c>
      <c r="D99" s="6">
        <v>18000</v>
      </c>
      <c r="F99">
        <v>1</v>
      </c>
      <c r="G99" t="s">
        <v>125</v>
      </c>
      <c r="H99" s="8">
        <v>2</v>
      </c>
    </row>
    <row r="100" spans="1:8" x14ac:dyDescent="0.2">
      <c r="F100" s="3" t="s">
        <v>43</v>
      </c>
      <c r="H100" s="3" t="s">
        <v>44</v>
      </c>
    </row>
    <row r="101" spans="1:8" x14ac:dyDescent="0.2">
      <c r="A101" s="3" t="s">
        <v>13</v>
      </c>
      <c r="F101">
        <v>0</v>
      </c>
      <c r="G101" t="s">
        <v>33</v>
      </c>
      <c r="H101">
        <v>0</v>
      </c>
    </row>
    <row r="102" spans="1:8" x14ac:dyDescent="0.2">
      <c r="A102" t="s">
        <v>10</v>
      </c>
      <c r="B102" s="5">
        <f>SUMPRODUCT(B91:H91, Investment_levels_4)</f>
        <v>57500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03A1-C859-B646-9400-6FC5A8FC49C8}">
  <dimension ref="A1:B15"/>
  <sheetViews>
    <sheetView workbookViewId="0"/>
  </sheetViews>
  <sheetFormatPr baseColWidth="10" defaultRowHeight="16" x14ac:dyDescent="0.2"/>
  <sheetData>
    <row r="1" spans="1:2" x14ac:dyDescent="0.2">
      <c r="A1">
        <v>1</v>
      </c>
    </row>
    <row r="2" spans="1:2" x14ac:dyDescent="0.2">
      <c r="A2" t="s">
        <v>110</v>
      </c>
    </row>
    <row r="3" spans="1:2" x14ac:dyDescent="0.2">
      <c r="A3">
        <v>1</v>
      </c>
    </row>
    <row r="4" spans="1:2" x14ac:dyDescent="0.2">
      <c r="A4">
        <v>1</v>
      </c>
    </row>
    <row r="5" spans="1:2" x14ac:dyDescent="0.2">
      <c r="A5">
        <v>11</v>
      </c>
    </row>
    <row r="6" spans="1:2" x14ac:dyDescent="0.2">
      <c r="A6">
        <v>1</v>
      </c>
    </row>
    <row r="8" spans="1:2" x14ac:dyDescent="0.2">
      <c r="A8" s="20"/>
      <c r="B8" s="20"/>
    </row>
    <row r="9" spans="1:2" x14ac:dyDescent="0.2">
      <c r="A9" t="s">
        <v>122</v>
      </c>
    </row>
    <row r="10" spans="1:2" x14ac:dyDescent="0.2">
      <c r="A10" t="s">
        <v>111</v>
      </c>
    </row>
    <row r="15" spans="1:2" x14ac:dyDescent="0.2">
      <c r="B15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C21B-5C51-054D-B514-40097400FEE1}">
  <dimension ref="A1:CJ15"/>
  <sheetViews>
    <sheetView workbookViewId="0">
      <selection activeCell="J20" sqref="J20"/>
    </sheetView>
  </sheetViews>
  <sheetFormatPr baseColWidth="10" defaultRowHeight="16" x14ac:dyDescent="0.2"/>
  <sheetData>
    <row r="1" spans="1:88" x14ac:dyDescent="0.2">
      <c r="A1" s="3" t="s">
        <v>112</v>
      </c>
      <c r="CJ1" s="26" t="str">
        <f>CONCATENATE("Sensitivity of ",$K$4," to ","Input")</f>
        <v>Sensitivity of Include_service_center_1 to Input</v>
      </c>
    </row>
    <row r="3" spans="1:88" x14ac:dyDescent="0.2">
      <c r="A3" t="s">
        <v>113</v>
      </c>
      <c r="CJ3" t="s">
        <v>72</v>
      </c>
    </row>
    <row r="4" spans="1:88" ht="133" x14ac:dyDescent="0.2">
      <c r="B4" s="21" t="s">
        <v>114</v>
      </c>
      <c r="C4" s="21" t="s">
        <v>115</v>
      </c>
      <c r="D4" s="21" t="s">
        <v>116</v>
      </c>
      <c r="E4" s="21" t="s">
        <v>117</v>
      </c>
      <c r="F4" s="21" t="s">
        <v>118</v>
      </c>
      <c r="G4" s="21" t="s">
        <v>119</v>
      </c>
      <c r="H4" s="21" t="s">
        <v>120</v>
      </c>
      <c r="I4" s="21" t="s">
        <v>121</v>
      </c>
      <c r="J4" s="26">
        <f>MATCH($K$4,OutputAddresses,0)</f>
        <v>1</v>
      </c>
      <c r="K4" s="25" t="s">
        <v>114</v>
      </c>
    </row>
    <row r="5" spans="1:88" x14ac:dyDescent="0.2">
      <c r="A5">
        <v>1</v>
      </c>
      <c r="B5" s="32" t="s">
        <v>73</v>
      </c>
      <c r="C5" s="22"/>
      <c r="D5" s="22"/>
      <c r="E5" s="22"/>
      <c r="F5" s="22"/>
      <c r="G5" s="22"/>
      <c r="H5" s="22"/>
      <c r="I5" s="23"/>
      <c r="K5" t="str">
        <f>INDEX(OutputValues,1,$J$4)</f>
        <v>Not linear</v>
      </c>
    </row>
    <row r="6" spans="1:88" x14ac:dyDescent="0.2">
      <c r="A6">
        <v>2</v>
      </c>
      <c r="B6" s="28" t="s">
        <v>73</v>
      </c>
      <c r="I6" s="24"/>
      <c r="K6" t="str">
        <f>INDEX(OutputValues,2,$J$4)</f>
        <v>Not linear</v>
      </c>
    </row>
    <row r="7" spans="1:88" x14ac:dyDescent="0.2">
      <c r="A7">
        <v>3</v>
      </c>
      <c r="B7" s="28" t="s">
        <v>73</v>
      </c>
      <c r="I7" s="24"/>
      <c r="K7" t="str">
        <f>INDEX(OutputValues,3,$J$4)</f>
        <v>Not linear</v>
      </c>
    </row>
    <row r="8" spans="1:88" x14ac:dyDescent="0.2">
      <c r="A8">
        <v>4</v>
      </c>
      <c r="B8" s="29">
        <v>1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 s="24">
        <v>6391.1820000000007</v>
      </c>
      <c r="K8">
        <f>INDEX(OutputValues,4,$J$4)</f>
        <v>1</v>
      </c>
    </row>
    <row r="9" spans="1:88" x14ac:dyDescent="0.2">
      <c r="A9">
        <v>5</v>
      </c>
      <c r="B9" s="2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 s="24">
        <v>5874.2759999999998</v>
      </c>
      <c r="K9">
        <f>INDEX(OutputValues,5,$J$4)</f>
        <v>1</v>
      </c>
    </row>
    <row r="10" spans="1:88" x14ac:dyDescent="0.2">
      <c r="A10">
        <v>6</v>
      </c>
      <c r="B10" s="28" t="s">
        <v>73</v>
      </c>
      <c r="I10" s="24"/>
      <c r="K10" t="str">
        <f>INDEX(OutputValues,6,$J$4)</f>
        <v>Not linear</v>
      </c>
    </row>
    <row r="11" spans="1:88" x14ac:dyDescent="0.2">
      <c r="A11">
        <v>7</v>
      </c>
      <c r="B11" s="28" t="s">
        <v>73</v>
      </c>
      <c r="I11" s="24"/>
      <c r="K11" t="str">
        <f>INDEX(OutputValues,7,$J$4)</f>
        <v>Not linear</v>
      </c>
    </row>
    <row r="12" spans="1:88" x14ac:dyDescent="0.2">
      <c r="A12">
        <v>8</v>
      </c>
      <c r="B12" s="28" t="s">
        <v>73</v>
      </c>
      <c r="I12" s="24"/>
      <c r="K12" t="str">
        <f>INDEX(OutputValues,8,$J$4)</f>
        <v>Not linear</v>
      </c>
    </row>
    <row r="13" spans="1:88" x14ac:dyDescent="0.2">
      <c r="A13">
        <v>9</v>
      </c>
      <c r="B13" s="28" t="s">
        <v>73</v>
      </c>
      <c r="I13" s="24"/>
      <c r="K13" t="str">
        <f>INDEX(OutputValues,9,$J$4)</f>
        <v>Not linear</v>
      </c>
    </row>
    <row r="14" spans="1:88" x14ac:dyDescent="0.2">
      <c r="A14">
        <v>10</v>
      </c>
      <c r="B14" s="29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 s="24">
        <v>5502.5760000000009</v>
      </c>
      <c r="K14">
        <f>INDEX(OutputValues,10,$J$4)</f>
        <v>1</v>
      </c>
    </row>
    <row r="15" spans="1:88" x14ac:dyDescent="0.2">
      <c r="A15">
        <v>11</v>
      </c>
      <c r="B15" s="30">
        <v>1</v>
      </c>
      <c r="C15" s="31">
        <v>1</v>
      </c>
      <c r="D15" s="31">
        <v>1</v>
      </c>
      <c r="E15" s="31">
        <v>1</v>
      </c>
      <c r="F15" s="31">
        <v>1</v>
      </c>
      <c r="G15" s="31">
        <v>1</v>
      </c>
      <c r="H15" s="31">
        <v>0</v>
      </c>
      <c r="I15" s="33">
        <v>5502.5760000000009</v>
      </c>
      <c r="K15">
        <f>INDEX(OutputValues,11,$J$4)</f>
        <v>1</v>
      </c>
    </row>
  </sheetData>
  <dataValidations count="1">
    <dataValidation type="list" allowBlank="1" showInputMessage="1" showErrorMessage="1" sqref="K4" xr:uid="{AE487FBB-7FC5-3243-85BC-4B628AB08D0B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F89F7-D858-F049-B2AF-A54A7363BBA6}">
  <dimension ref="A1:K15"/>
  <sheetViews>
    <sheetView workbookViewId="0"/>
  </sheetViews>
  <sheetFormatPr baseColWidth="10" defaultRowHeight="16" x14ac:dyDescent="0.2"/>
  <sheetData>
    <row r="1" spans="1:11" x14ac:dyDescent="0.2">
      <c r="A1" s="3" t="s">
        <v>112</v>
      </c>
      <c r="K1" s="26" t="str">
        <f>CONCATENATE("Sensitivity of ",$K$4," to ","Input")</f>
        <v>Sensitivity of Include_service_center_1 to Input</v>
      </c>
    </row>
    <row r="3" spans="1:11" x14ac:dyDescent="0.2">
      <c r="A3" t="s">
        <v>113</v>
      </c>
      <c r="K3" t="s">
        <v>72</v>
      </c>
    </row>
    <row r="4" spans="1:11" ht="133" x14ac:dyDescent="0.2">
      <c r="B4" s="21" t="s">
        <v>114</v>
      </c>
      <c r="C4" s="21" t="s">
        <v>115</v>
      </c>
      <c r="D4" s="21" t="s">
        <v>116</v>
      </c>
      <c r="E4" s="21" t="s">
        <v>117</v>
      </c>
      <c r="F4" s="21" t="s">
        <v>118</v>
      </c>
      <c r="G4" s="21" t="s">
        <v>119</v>
      </c>
      <c r="H4" s="21" t="s">
        <v>120</v>
      </c>
      <c r="I4" s="21" t="s">
        <v>121</v>
      </c>
      <c r="J4" s="26">
        <f>MATCH($K$4,OutputAddresses,0)</f>
        <v>1</v>
      </c>
      <c r="K4" s="25" t="s">
        <v>114</v>
      </c>
    </row>
    <row r="5" spans="1:11" x14ac:dyDescent="0.2">
      <c r="A5">
        <v>1</v>
      </c>
      <c r="B5" s="27">
        <v>0</v>
      </c>
      <c r="C5" s="22">
        <v>0</v>
      </c>
      <c r="D5" s="22">
        <v>0</v>
      </c>
      <c r="E5" s="22">
        <v>0</v>
      </c>
      <c r="F5" s="22">
        <v>0</v>
      </c>
      <c r="G5" s="22">
        <v>1</v>
      </c>
      <c r="H5" s="22">
        <v>0</v>
      </c>
      <c r="I5" s="23">
        <v>12104.758</v>
      </c>
      <c r="K5">
        <f>INDEX(OutputValues,1,$J$4)</f>
        <v>0</v>
      </c>
    </row>
    <row r="6" spans="1:11" x14ac:dyDescent="0.2">
      <c r="A6">
        <v>2</v>
      </c>
      <c r="B6" s="29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 s="24">
        <v>9227.2860000000001</v>
      </c>
      <c r="K6">
        <f>INDEX(OutputValues,2,$J$4)</f>
        <v>0</v>
      </c>
    </row>
    <row r="7" spans="1:11" x14ac:dyDescent="0.2">
      <c r="A7">
        <v>3</v>
      </c>
      <c r="B7" s="29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 s="24">
        <v>6926.2060000000001</v>
      </c>
      <c r="K7">
        <f>INDEX(OutputValues,3,$J$4)</f>
        <v>0</v>
      </c>
    </row>
    <row r="8" spans="1:11" x14ac:dyDescent="0.2">
      <c r="A8">
        <v>4</v>
      </c>
      <c r="B8" s="29">
        <v>1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 s="24">
        <v>6391.1820000000007</v>
      </c>
      <c r="K8">
        <f>INDEX(OutputValues,4,$J$4)</f>
        <v>1</v>
      </c>
    </row>
    <row r="9" spans="1:11" x14ac:dyDescent="0.2">
      <c r="A9">
        <v>5</v>
      </c>
      <c r="B9" s="2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 s="24">
        <v>5874.2759999999998</v>
      </c>
      <c r="K9">
        <f>INDEX(OutputValues,5,$J$4)</f>
        <v>1</v>
      </c>
    </row>
    <row r="10" spans="1:11" x14ac:dyDescent="0.2">
      <c r="A10">
        <v>6</v>
      </c>
      <c r="B10" s="29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 s="24">
        <v>5502.5760000000009</v>
      </c>
      <c r="K10">
        <f>INDEX(OutputValues,6,$J$4)</f>
        <v>1</v>
      </c>
    </row>
    <row r="11" spans="1:11" x14ac:dyDescent="0.2">
      <c r="A11">
        <v>7</v>
      </c>
      <c r="B11" s="29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 s="24">
        <v>5502.5760000000009</v>
      </c>
      <c r="K11">
        <f>INDEX(OutputValues,7,$J$4)</f>
        <v>1</v>
      </c>
    </row>
    <row r="12" spans="1:11" x14ac:dyDescent="0.2">
      <c r="A12">
        <v>8</v>
      </c>
      <c r="B12" s="29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 s="24">
        <v>5502.5760000000009</v>
      </c>
      <c r="K12">
        <f>INDEX(OutputValues,8,$J$4)</f>
        <v>1</v>
      </c>
    </row>
    <row r="13" spans="1:11" x14ac:dyDescent="0.2">
      <c r="A13">
        <v>9</v>
      </c>
      <c r="B13" s="29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 s="24">
        <v>5502.5760000000009</v>
      </c>
      <c r="K13">
        <f>INDEX(OutputValues,9,$J$4)</f>
        <v>1</v>
      </c>
    </row>
    <row r="14" spans="1:11" x14ac:dyDescent="0.2">
      <c r="A14">
        <v>10</v>
      </c>
      <c r="B14" s="29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 s="24">
        <v>5502.5760000000009</v>
      </c>
      <c r="K14">
        <f>INDEX(OutputValues,10,$J$4)</f>
        <v>1</v>
      </c>
    </row>
    <row r="15" spans="1:11" x14ac:dyDescent="0.2">
      <c r="A15">
        <v>11</v>
      </c>
      <c r="B15" s="30">
        <v>1</v>
      </c>
      <c r="C15" s="31">
        <v>1</v>
      </c>
      <c r="D15" s="31">
        <v>1</v>
      </c>
      <c r="E15" s="31">
        <v>1</v>
      </c>
      <c r="F15" s="31">
        <v>1</v>
      </c>
      <c r="G15" s="31">
        <v>1</v>
      </c>
      <c r="H15" s="31">
        <v>0</v>
      </c>
      <c r="I15" s="33">
        <v>5502.5760000000009</v>
      </c>
      <c r="K15">
        <f>INDEX(OutputValues,11,$J$4)</f>
        <v>1</v>
      </c>
    </row>
  </sheetData>
  <dataValidations count="1">
    <dataValidation type="list" allowBlank="1" showInputMessage="1" showErrorMessage="1" sqref="K4" xr:uid="{9677AEAE-5801-1A44-87DD-F103B8E5EE94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0A2B7-94A7-4545-93EE-94A05F622ED1}">
  <dimension ref="A1:F27"/>
  <sheetViews>
    <sheetView workbookViewId="0">
      <selection activeCell="F17" sqref="F17"/>
    </sheetView>
  </sheetViews>
  <sheetFormatPr baseColWidth="10" defaultColWidth="11" defaultRowHeight="16" x14ac:dyDescent="0.2"/>
  <cols>
    <col min="1" max="1" width="48" bestFit="1" customWidth="1"/>
  </cols>
  <sheetData>
    <row r="1" spans="1:6" x14ac:dyDescent="0.2">
      <c r="A1" s="3" t="s">
        <v>46</v>
      </c>
    </row>
    <row r="3" spans="1:6" x14ac:dyDescent="0.2">
      <c r="A3" s="3" t="s">
        <v>47</v>
      </c>
    </row>
    <row r="4" spans="1:6" x14ac:dyDescent="0.2">
      <c r="A4" t="s">
        <v>48</v>
      </c>
      <c r="B4" t="s">
        <v>49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2">
      <c r="A5" t="s">
        <v>54</v>
      </c>
      <c r="B5" s="18">
        <v>1.5</v>
      </c>
      <c r="C5" s="18">
        <v>3</v>
      </c>
      <c r="D5" s="18">
        <v>5</v>
      </c>
      <c r="E5" s="18">
        <v>6</v>
      </c>
      <c r="F5" s="18">
        <v>8</v>
      </c>
    </row>
    <row r="6" spans="1:6" x14ac:dyDescent="0.2">
      <c r="A6" t="s">
        <v>55</v>
      </c>
      <c r="B6" s="18">
        <v>30</v>
      </c>
      <c r="C6" s="18">
        <v>25</v>
      </c>
      <c r="D6" s="18">
        <v>40</v>
      </c>
      <c r="E6" s="18">
        <v>45</v>
      </c>
      <c r="F6" s="18">
        <v>55</v>
      </c>
    </row>
    <row r="7" spans="1:6" x14ac:dyDescent="0.2">
      <c r="A7" t="s">
        <v>56</v>
      </c>
      <c r="B7" s="18">
        <v>1000</v>
      </c>
      <c r="C7" s="18">
        <v>1000</v>
      </c>
      <c r="D7" s="18">
        <v>1000</v>
      </c>
      <c r="E7" s="18">
        <v>200</v>
      </c>
      <c r="F7" s="18">
        <v>200</v>
      </c>
    </row>
    <row r="9" spans="1:6" x14ac:dyDescent="0.2">
      <c r="A9" t="s">
        <v>57</v>
      </c>
      <c r="B9" s="19">
        <v>2000</v>
      </c>
      <c r="C9" s="19">
        <v>2500</v>
      </c>
      <c r="D9" s="19">
        <v>3000</v>
      </c>
      <c r="E9" s="19">
        <v>5500</v>
      </c>
      <c r="F9" s="19">
        <v>7000</v>
      </c>
    </row>
    <row r="11" spans="1:6" x14ac:dyDescent="0.2">
      <c r="A11" s="3" t="s">
        <v>58</v>
      </c>
    </row>
    <row r="12" spans="1:6" x14ac:dyDescent="0.2">
      <c r="A12" t="s">
        <v>59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</row>
    <row r="13" spans="1:6" x14ac:dyDescent="0.2">
      <c r="A13" t="s">
        <v>60</v>
      </c>
      <c r="B13" s="7">
        <v>1</v>
      </c>
      <c r="C13" s="7">
        <v>0</v>
      </c>
      <c r="D13" s="7">
        <v>0</v>
      </c>
      <c r="E13" s="7">
        <v>1</v>
      </c>
      <c r="F13" s="7">
        <v>1</v>
      </c>
    </row>
    <row r="15" spans="1:6" x14ac:dyDescent="0.2">
      <c r="A15" t="s">
        <v>61</v>
      </c>
      <c r="B15">
        <f>B7*B13</f>
        <v>1000</v>
      </c>
      <c r="C15">
        <f t="shared" ref="C15:F15" si="0">C7*C13</f>
        <v>0</v>
      </c>
      <c r="D15">
        <f t="shared" si="0"/>
        <v>0</v>
      </c>
      <c r="E15">
        <f t="shared" si="0"/>
        <v>200</v>
      </c>
      <c r="F15">
        <f t="shared" si="0"/>
        <v>200</v>
      </c>
    </row>
    <row r="16" spans="1:6" x14ac:dyDescent="0.2">
      <c r="B16" t="s">
        <v>9</v>
      </c>
      <c r="C16" t="s">
        <v>9</v>
      </c>
      <c r="D16" t="s">
        <v>9</v>
      </c>
      <c r="E16" t="s">
        <v>9</v>
      </c>
      <c r="F16" t="s">
        <v>9</v>
      </c>
    </row>
    <row r="17" spans="1:6" x14ac:dyDescent="0.2">
      <c r="A17" t="s">
        <v>62</v>
      </c>
      <c r="B17" s="7">
        <v>1000.0000000000002</v>
      </c>
      <c r="C17" s="7">
        <v>0</v>
      </c>
      <c r="D17" s="7">
        <v>0</v>
      </c>
      <c r="E17" s="7">
        <v>200</v>
      </c>
      <c r="F17" s="7">
        <v>472.72727272727201</v>
      </c>
    </row>
    <row r="18" spans="1:6" x14ac:dyDescent="0.2">
      <c r="B18" t="s">
        <v>9</v>
      </c>
      <c r="C18" t="s">
        <v>9</v>
      </c>
      <c r="D18" t="s">
        <v>9</v>
      </c>
      <c r="E18" t="s">
        <v>9</v>
      </c>
      <c r="F18" t="s">
        <v>9</v>
      </c>
    </row>
    <row r="19" spans="1:6" x14ac:dyDescent="0.2">
      <c r="A19" t="s">
        <v>63</v>
      </c>
      <c r="B19">
        <f>B13*MIN($D$23/B5, $D$24/B6)</f>
        <v>2166.6666666666665</v>
      </c>
      <c r="C19">
        <f t="shared" ref="C19:F19" si="1">C13*MIN($D$23/C5, $D$24/C6)</f>
        <v>0</v>
      </c>
      <c r="D19">
        <f t="shared" si="1"/>
        <v>0</v>
      </c>
      <c r="E19">
        <f t="shared" si="1"/>
        <v>1083.3333333333333</v>
      </c>
      <c r="F19">
        <f t="shared" si="1"/>
        <v>812.5</v>
      </c>
    </row>
    <row r="21" spans="1:6" x14ac:dyDescent="0.2">
      <c r="A21" s="3" t="s">
        <v>64</v>
      </c>
    </row>
    <row r="22" spans="1:6" x14ac:dyDescent="0.2">
      <c r="B22" t="s">
        <v>65</v>
      </c>
      <c r="D22" t="s">
        <v>66</v>
      </c>
    </row>
    <row r="23" spans="1:6" x14ac:dyDescent="0.2">
      <c r="A23" t="s">
        <v>67</v>
      </c>
      <c r="B23">
        <f>SUMPRODUCT(B5:F5, Units_produced)</f>
        <v>6481.8181818181765</v>
      </c>
      <c r="C23" s="4" t="s">
        <v>9</v>
      </c>
      <c r="D23" s="18">
        <v>6500</v>
      </c>
    </row>
    <row r="24" spans="1:6" x14ac:dyDescent="0.2">
      <c r="A24" t="s">
        <v>68</v>
      </c>
      <c r="B24">
        <f>SUMPRODUCT(B6:F6, Units_produced)</f>
        <v>64999.999999999971</v>
      </c>
      <c r="C24" s="4" t="s">
        <v>9</v>
      </c>
      <c r="D24" s="18">
        <v>65000</v>
      </c>
    </row>
    <row r="26" spans="1:6" x14ac:dyDescent="0.2">
      <c r="A26" s="3" t="s">
        <v>13</v>
      </c>
    </row>
    <row r="27" spans="1:6" x14ac:dyDescent="0.2">
      <c r="A27" t="s">
        <v>69</v>
      </c>
      <c r="B27" s="5">
        <f>SUMPRODUCT(B9:F9,Units_produced)</f>
        <v>6409090.9090909045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8FC53-3E43-6247-8299-ACBA5E8A84E4}">
  <dimension ref="A1:B15"/>
  <sheetViews>
    <sheetView workbookViewId="0"/>
  </sheetViews>
  <sheetFormatPr baseColWidth="10" defaultRowHeight="16" x14ac:dyDescent="0.2"/>
  <sheetData>
    <row r="1" spans="1:2" x14ac:dyDescent="0.2">
      <c r="A1">
        <v>1</v>
      </c>
    </row>
    <row r="2" spans="1:2" x14ac:dyDescent="0.2">
      <c r="A2" t="s">
        <v>74</v>
      </c>
    </row>
    <row r="3" spans="1:2" x14ac:dyDescent="0.2">
      <c r="A3">
        <v>1</v>
      </c>
    </row>
    <row r="4" spans="1:2" x14ac:dyDescent="0.2">
      <c r="A4">
        <v>50000</v>
      </c>
    </row>
    <row r="5" spans="1:2" x14ac:dyDescent="0.2">
      <c r="A5">
        <v>70000</v>
      </c>
    </row>
    <row r="6" spans="1:2" x14ac:dyDescent="0.2">
      <c r="A6">
        <v>50000</v>
      </c>
    </row>
    <row r="8" spans="1:2" x14ac:dyDescent="0.2">
      <c r="A8" s="20"/>
      <c r="B8" s="20"/>
    </row>
    <row r="9" spans="1:2" x14ac:dyDescent="0.2">
      <c r="A9" t="s">
        <v>70</v>
      </c>
    </row>
    <row r="10" spans="1:2" x14ac:dyDescent="0.2">
      <c r="A10" t="s">
        <v>75</v>
      </c>
    </row>
    <row r="15" spans="1:2" x14ac:dyDescent="0.2">
      <c r="B15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EF2B-4733-8246-A87D-DE9CADEC56C2}">
  <dimension ref="A1:N24"/>
  <sheetViews>
    <sheetView topLeftCell="A2" workbookViewId="0">
      <selection activeCell="V4" sqref="V4"/>
    </sheetView>
  </sheetViews>
  <sheetFormatPr baseColWidth="10" defaultColWidth="8.83203125" defaultRowHeight="16" x14ac:dyDescent="0.2"/>
  <cols>
    <col min="7" max="9" width="12" bestFit="1" customWidth="1"/>
  </cols>
  <sheetData>
    <row r="1" spans="1:14" x14ac:dyDescent="0.2">
      <c r="A1" s="37" t="s">
        <v>71</v>
      </c>
      <c r="N1" s="38" t="str">
        <f>CONCATENATE("Sensitivity of ",$N$4," to ","Steel Available")</f>
        <v>Sensitivity of Profit to Steel Available</v>
      </c>
    </row>
    <row r="3" spans="1:14" x14ac:dyDescent="0.2">
      <c r="A3" t="s">
        <v>126</v>
      </c>
      <c r="N3" t="s">
        <v>72</v>
      </c>
    </row>
    <row r="4" spans="1:14" ht="101" x14ac:dyDescent="0.2">
      <c r="B4" s="21" t="s">
        <v>127</v>
      </c>
      <c r="C4" s="21" t="s">
        <v>128</v>
      </c>
      <c r="D4" s="21" t="s">
        <v>129</v>
      </c>
      <c r="E4" s="21" t="s">
        <v>130</v>
      </c>
      <c r="F4" s="21" t="s">
        <v>131</v>
      </c>
      <c r="G4" s="21" t="s">
        <v>132</v>
      </c>
      <c r="H4" s="21" t="s">
        <v>133</v>
      </c>
      <c r="I4" s="21" t="s">
        <v>134</v>
      </c>
      <c r="J4" s="21" t="s">
        <v>135</v>
      </c>
      <c r="K4" s="21" t="s">
        <v>136</v>
      </c>
      <c r="L4" s="21" t="s">
        <v>69</v>
      </c>
      <c r="M4" s="38">
        <f>MATCH($N$4,OutputAddresses_STS2,0)</f>
        <v>11</v>
      </c>
      <c r="N4" s="25" t="s">
        <v>69</v>
      </c>
    </row>
    <row r="5" spans="1:14" x14ac:dyDescent="0.2">
      <c r="A5">
        <v>500</v>
      </c>
      <c r="B5" s="27">
        <v>0</v>
      </c>
      <c r="C5" s="22">
        <v>0</v>
      </c>
      <c r="D5" s="22">
        <v>0</v>
      </c>
      <c r="E5" s="39">
        <v>0</v>
      </c>
      <c r="F5" s="39">
        <v>0</v>
      </c>
      <c r="G5" s="22">
        <v>0</v>
      </c>
      <c r="H5" s="22">
        <v>0</v>
      </c>
      <c r="I5" s="22">
        <v>0</v>
      </c>
      <c r="J5" s="39">
        <v>0</v>
      </c>
      <c r="K5" s="39">
        <v>0</v>
      </c>
      <c r="L5" s="23">
        <v>0</v>
      </c>
      <c r="N5">
        <f>INDEX(OutputValues_STS2,1,$M$4)</f>
        <v>0</v>
      </c>
    </row>
    <row r="6" spans="1:14" x14ac:dyDescent="0.2">
      <c r="A6">
        <v>1000</v>
      </c>
      <c r="B6" s="29">
        <v>0</v>
      </c>
      <c r="C6">
        <v>0</v>
      </c>
      <c r="D6">
        <v>0</v>
      </c>
      <c r="E6" s="40">
        <v>0</v>
      </c>
      <c r="F6" s="40">
        <v>0</v>
      </c>
      <c r="G6">
        <v>0</v>
      </c>
      <c r="H6">
        <v>0</v>
      </c>
      <c r="I6">
        <v>0</v>
      </c>
      <c r="J6" s="40">
        <v>0</v>
      </c>
      <c r="K6" s="40">
        <v>0</v>
      </c>
      <c r="L6" s="24">
        <v>0</v>
      </c>
      <c r="N6">
        <f>INDEX(OutputValues_STS2,2,$M$4)</f>
        <v>0</v>
      </c>
    </row>
    <row r="7" spans="1:14" x14ac:dyDescent="0.2">
      <c r="A7">
        <v>1500</v>
      </c>
      <c r="B7" s="29">
        <v>1</v>
      </c>
      <c r="C7">
        <v>0</v>
      </c>
      <c r="D7">
        <v>0</v>
      </c>
      <c r="E7" s="40">
        <v>0</v>
      </c>
      <c r="F7" s="40">
        <v>0</v>
      </c>
      <c r="G7">
        <v>1000</v>
      </c>
      <c r="H7">
        <v>0</v>
      </c>
      <c r="I7">
        <v>0</v>
      </c>
      <c r="J7" s="40">
        <v>0</v>
      </c>
      <c r="K7" s="40">
        <v>0</v>
      </c>
      <c r="L7" s="24">
        <v>2000000</v>
      </c>
      <c r="N7">
        <f>INDEX(OutputValues_STS2,3,$M$4)</f>
        <v>2000000</v>
      </c>
    </row>
    <row r="8" spans="1:14" x14ac:dyDescent="0.2">
      <c r="A8">
        <v>2000</v>
      </c>
      <c r="B8" s="29">
        <v>1</v>
      </c>
      <c r="C8">
        <v>0</v>
      </c>
      <c r="D8">
        <v>0</v>
      </c>
      <c r="E8" s="40">
        <v>0</v>
      </c>
      <c r="F8" s="40">
        <v>0</v>
      </c>
      <c r="G8">
        <v>1333.3333333333328</v>
      </c>
      <c r="H8">
        <v>0</v>
      </c>
      <c r="I8">
        <v>0</v>
      </c>
      <c r="J8" s="40">
        <v>0</v>
      </c>
      <c r="K8" s="40">
        <v>2.8421709430404007E-14</v>
      </c>
      <c r="L8" s="24">
        <v>2666666.6666666656</v>
      </c>
      <c r="N8">
        <f>INDEX(OutputValues_STS2,4,$M$4)</f>
        <v>2666666.6666666656</v>
      </c>
    </row>
    <row r="9" spans="1:14" x14ac:dyDescent="0.2">
      <c r="A9">
        <v>2500</v>
      </c>
      <c r="B9" s="29">
        <v>1</v>
      </c>
      <c r="C9">
        <v>0</v>
      </c>
      <c r="D9">
        <v>0</v>
      </c>
      <c r="E9" s="40">
        <v>0</v>
      </c>
      <c r="F9" s="40">
        <v>0</v>
      </c>
      <c r="G9">
        <v>1666.666666666667</v>
      </c>
      <c r="H9">
        <v>0</v>
      </c>
      <c r="I9">
        <v>0</v>
      </c>
      <c r="J9" s="40">
        <v>0</v>
      </c>
      <c r="K9" s="40">
        <v>0</v>
      </c>
      <c r="L9" s="24">
        <v>3333333.333333334</v>
      </c>
      <c r="N9">
        <f>INDEX(OutputValues_STS2,5,$M$4)</f>
        <v>3333333.333333334</v>
      </c>
    </row>
    <row r="10" spans="1:14" x14ac:dyDescent="0.2">
      <c r="A10">
        <v>3000</v>
      </c>
      <c r="B10" s="29">
        <v>1</v>
      </c>
      <c r="C10">
        <v>0</v>
      </c>
      <c r="D10">
        <v>0</v>
      </c>
      <c r="E10" s="40">
        <v>0</v>
      </c>
      <c r="F10" s="40">
        <v>0</v>
      </c>
      <c r="G10">
        <v>1999.9999999999995</v>
      </c>
      <c r="H10">
        <v>0</v>
      </c>
      <c r="I10">
        <v>0</v>
      </c>
      <c r="J10" s="40">
        <v>0</v>
      </c>
      <c r="K10" s="40">
        <v>0</v>
      </c>
      <c r="L10" s="24">
        <v>3999999.9999999991</v>
      </c>
      <c r="N10">
        <f>INDEX(OutputValues_STS2,6,$M$4)</f>
        <v>3999999.9999999991</v>
      </c>
    </row>
    <row r="11" spans="1:14" x14ac:dyDescent="0.2">
      <c r="A11">
        <v>3500</v>
      </c>
      <c r="B11" s="29">
        <v>1</v>
      </c>
      <c r="C11">
        <v>0</v>
      </c>
      <c r="D11">
        <v>0</v>
      </c>
      <c r="E11" s="40">
        <v>0</v>
      </c>
      <c r="F11" s="40">
        <v>0</v>
      </c>
      <c r="G11">
        <v>2166.6666666666665</v>
      </c>
      <c r="H11">
        <v>0</v>
      </c>
      <c r="I11">
        <v>0</v>
      </c>
      <c r="J11" s="40">
        <v>9.2518585385429407E-15</v>
      </c>
      <c r="K11" s="40">
        <v>1.8503717077085881E-14</v>
      </c>
      <c r="L11" s="24">
        <v>4333333.333333333</v>
      </c>
      <c r="N11">
        <f>INDEX(OutputValues_STS2,7,$M$4)</f>
        <v>4333333.333333333</v>
      </c>
    </row>
    <row r="12" spans="1:14" x14ac:dyDescent="0.2">
      <c r="A12">
        <v>4000</v>
      </c>
      <c r="B12" s="29">
        <v>1</v>
      </c>
      <c r="C12">
        <v>0</v>
      </c>
      <c r="D12">
        <v>0</v>
      </c>
      <c r="E12" s="40">
        <v>1</v>
      </c>
      <c r="F12" s="40">
        <v>0</v>
      </c>
      <c r="G12">
        <v>1866.6666666666663</v>
      </c>
      <c r="H12">
        <v>0</v>
      </c>
      <c r="I12">
        <v>0</v>
      </c>
      <c r="J12" s="40">
        <v>199.99999999999997</v>
      </c>
      <c r="K12" s="40">
        <v>6.3108872417680944E-30</v>
      </c>
      <c r="L12" s="24">
        <v>4833333.3333333321</v>
      </c>
      <c r="N12">
        <f>INDEX(OutputValues_STS2,8,$M$4)</f>
        <v>4833333.3333333321</v>
      </c>
    </row>
    <row r="13" spans="1:14" x14ac:dyDescent="0.2">
      <c r="A13">
        <v>4500</v>
      </c>
      <c r="B13" s="29">
        <v>1</v>
      </c>
      <c r="C13">
        <v>0</v>
      </c>
      <c r="D13">
        <v>0</v>
      </c>
      <c r="E13" s="40">
        <v>1</v>
      </c>
      <c r="F13" s="40">
        <v>0</v>
      </c>
      <c r="G13">
        <v>1666.6666666666663</v>
      </c>
      <c r="H13">
        <v>0</v>
      </c>
      <c r="I13">
        <v>0</v>
      </c>
      <c r="J13" s="40">
        <v>333.33333333333314</v>
      </c>
      <c r="K13" s="40">
        <v>1.9895196601282805E-13</v>
      </c>
      <c r="L13" s="24">
        <v>5166666.666666666</v>
      </c>
      <c r="N13">
        <f>INDEX(OutputValues_STS2,9,$M$4)</f>
        <v>5166666.666666666</v>
      </c>
    </row>
    <row r="14" spans="1:14" x14ac:dyDescent="0.2">
      <c r="A14">
        <v>5000</v>
      </c>
      <c r="B14" s="29">
        <v>1</v>
      </c>
      <c r="C14">
        <v>0</v>
      </c>
      <c r="D14">
        <v>0</v>
      </c>
      <c r="E14" s="40">
        <v>1</v>
      </c>
      <c r="F14" s="40">
        <v>0</v>
      </c>
      <c r="G14">
        <v>1466.666666666667</v>
      </c>
      <c r="H14">
        <v>0</v>
      </c>
      <c r="I14">
        <v>0</v>
      </c>
      <c r="J14" s="40">
        <v>466.66666666666663</v>
      </c>
      <c r="K14" s="40">
        <v>0</v>
      </c>
      <c r="L14" s="24">
        <v>5500000</v>
      </c>
      <c r="N14">
        <f>INDEX(OutputValues_STS2,10,$M$4)</f>
        <v>5500000</v>
      </c>
    </row>
    <row r="15" spans="1:14" x14ac:dyDescent="0.2">
      <c r="A15">
        <v>5500</v>
      </c>
      <c r="B15" s="29">
        <v>1</v>
      </c>
      <c r="C15">
        <v>0</v>
      </c>
      <c r="D15">
        <v>0</v>
      </c>
      <c r="E15" s="40">
        <v>1</v>
      </c>
      <c r="F15" s="40">
        <v>0</v>
      </c>
      <c r="G15">
        <v>1266.6666666666661</v>
      </c>
      <c r="H15">
        <v>2.2737367544323206E-13</v>
      </c>
      <c r="I15">
        <v>0</v>
      </c>
      <c r="J15" s="40">
        <v>600</v>
      </c>
      <c r="K15" s="40">
        <v>0</v>
      </c>
      <c r="L15" s="24">
        <v>5833333.3333333321</v>
      </c>
      <c r="N15">
        <f>INDEX(OutputValues_STS2,11,$M$4)</f>
        <v>5833333.3333333321</v>
      </c>
    </row>
    <row r="16" spans="1:14" x14ac:dyDescent="0.2">
      <c r="A16">
        <v>6000</v>
      </c>
      <c r="B16" s="29">
        <v>1</v>
      </c>
      <c r="C16">
        <v>0</v>
      </c>
      <c r="D16">
        <v>0</v>
      </c>
      <c r="E16" s="40">
        <v>1</v>
      </c>
      <c r="F16" s="40">
        <v>0</v>
      </c>
      <c r="G16">
        <v>1066.6666666666656</v>
      </c>
      <c r="H16">
        <v>0</v>
      </c>
      <c r="I16">
        <v>2.2737367544323206E-13</v>
      </c>
      <c r="J16" s="40">
        <v>733.33333333333314</v>
      </c>
      <c r="K16" s="40">
        <v>0</v>
      </c>
      <c r="L16" s="24">
        <v>6166666.6666666642</v>
      </c>
      <c r="N16">
        <f>INDEX(OutputValues_STS2,12,$M$4)</f>
        <v>6166666.6666666642</v>
      </c>
    </row>
    <row r="17" spans="1:14" x14ac:dyDescent="0.2">
      <c r="A17">
        <v>6500</v>
      </c>
      <c r="B17" s="29">
        <v>1</v>
      </c>
      <c r="C17">
        <v>0</v>
      </c>
      <c r="D17">
        <v>0</v>
      </c>
      <c r="E17" s="40">
        <v>1</v>
      </c>
      <c r="F17" s="40">
        <v>1</v>
      </c>
      <c r="G17">
        <v>1000.0000000000002</v>
      </c>
      <c r="H17">
        <v>0</v>
      </c>
      <c r="I17">
        <v>0</v>
      </c>
      <c r="J17" s="40">
        <v>200</v>
      </c>
      <c r="K17" s="40">
        <v>472.72727272727246</v>
      </c>
      <c r="L17" s="24">
        <v>6409090.9090909082</v>
      </c>
      <c r="N17">
        <f>INDEX(OutputValues_STS2,13,$M$4)</f>
        <v>6409090.9090909082</v>
      </c>
    </row>
    <row r="18" spans="1:14" x14ac:dyDescent="0.2">
      <c r="A18">
        <v>7000</v>
      </c>
      <c r="B18" s="29">
        <v>0</v>
      </c>
      <c r="C18">
        <v>0</v>
      </c>
      <c r="D18">
        <v>0</v>
      </c>
      <c r="E18" s="40">
        <v>1</v>
      </c>
      <c r="F18" s="40">
        <v>0</v>
      </c>
      <c r="G18">
        <v>0</v>
      </c>
      <c r="H18">
        <v>0</v>
      </c>
      <c r="I18">
        <v>0</v>
      </c>
      <c r="J18" s="40">
        <v>1166.6666666666665</v>
      </c>
      <c r="K18" s="40">
        <v>0</v>
      </c>
      <c r="L18" s="24">
        <v>6416666.666666666</v>
      </c>
      <c r="N18">
        <f>INDEX(OutputValues_STS2,14,$M$4)</f>
        <v>6416666.666666666</v>
      </c>
    </row>
    <row r="19" spans="1:14" x14ac:dyDescent="0.2">
      <c r="A19">
        <v>7500</v>
      </c>
      <c r="B19" s="29">
        <v>0</v>
      </c>
      <c r="C19">
        <v>0</v>
      </c>
      <c r="D19">
        <v>0</v>
      </c>
      <c r="E19" s="40">
        <v>1</v>
      </c>
      <c r="F19" s="40">
        <v>0</v>
      </c>
      <c r="G19">
        <v>5.6843418860808015E-14</v>
      </c>
      <c r="H19">
        <v>0</v>
      </c>
      <c r="I19">
        <v>0</v>
      </c>
      <c r="J19" s="40">
        <v>1249.9999999999998</v>
      </c>
      <c r="K19" s="40">
        <v>0</v>
      </c>
      <c r="L19" s="24">
        <v>6874999.9999999991</v>
      </c>
      <c r="N19">
        <f>INDEX(OutputValues_STS2,15,$M$4)</f>
        <v>6874999.9999999991</v>
      </c>
    </row>
    <row r="20" spans="1:14" x14ac:dyDescent="0.2">
      <c r="A20">
        <v>8000</v>
      </c>
      <c r="B20" s="29">
        <v>0</v>
      </c>
      <c r="C20">
        <v>0</v>
      </c>
      <c r="D20">
        <v>0</v>
      </c>
      <c r="E20" s="40">
        <v>1</v>
      </c>
      <c r="F20" s="40">
        <v>0</v>
      </c>
      <c r="G20">
        <v>5.6843418860808015E-14</v>
      </c>
      <c r="H20">
        <v>0</v>
      </c>
      <c r="I20">
        <v>0</v>
      </c>
      <c r="J20" s="40">
        <v>1333.333333333333</v>
      </c>
      <c r="K20" s="40">
        <v>1.1368683772161603E-13</v>
      </c>
      <c r="L20" s="24">
        <v>7333333.333333333</v>
      </c>
      <c r="N20">
        <f>INDEX(OutputValues_STS2,16,$M$4)</f>
        <v>7333333.333333333</v>
      </c>
    </row>
    <row r="21" spans="1:14" x14ac:dyDescent="0.2">
      <c r="A21">
        <v>8500</v>
      </c>
      <c r="B21" s="29">
        <v>0</v>
      </c>
      <c r="C21">
        <v>0</v>
      </c>
      <c r="D21">
        <v>0</v>
      </c>
      <c r="E21" s="40">
        <v>1</v>
      </c>
      <c r="F21" s="40">
        <v>0</v>
      </c>
      <c r="G21">
        <v>2.8421709430404007E-14</v>
      </c>
      <c r="H21">
        <v>0</v>
      </c>
      <c r="I21">
        <v>0</v>
      </c>
      <c r="J21" s="40">
        <v>1416.666666666667</v>
      </c>
      <c r="K21" s="40">
        <v>0</v>
      </c>
      <c r="L21" s="24">
        <v>7791666.6666666679</v>
      </c>
      <c r="N21">
        <f>INDEX(OutputValues_STS2,17,$M$4)</f>
        <v>7791666.6666666679</v>
      </c>
    </row>
    <row r="22" spans="1:14" x14ac:dyDescent="0.2">
      <c r="A22">
        <v>9000</v>
      </c>
      <c r="B22" s="29">
        <v>0</v>
      </c>
      <c r="C22">
        <v>0</v>
      </c>
      <c r="D22">
        <v>0</v>
      </c>
      <c r="E22" s="40">
        <v>1</v>
      </c>
      <c r="F22" s="40">
        <v>1</v>
      </c>
      <c r="G22">
        <v>0</v>
      </c>
      <c r="H22">
        <v>0</v>
      </c>
      <c r="I22">
        <v>3.7700896535707006E-13</v>
      </c>
      <c r="J22" s="40">
        <v>833.33333333333542</v>
      </c>
      <c r="K22" s="40">
        <v>499.99999999999835</v>
      </c>
      <c r="L22" s="24">
        <v>8083333.333333334</v>
      </c>
      <c r="N22">
        <f>INDEX(OutputValues_STS2,18,$M$4)</f>
        <v>8083333.333333334</v>
      </c>
    </row>
    <row r="23" spans="1:14" x14ac:dyDescent="0.2">
      <c r="A23">
        <v>9500</v>
      </c>
      <c r="B23" s="29">
        <v>0</v>
      </c>
      <c r="C23">
        <v>0</v>
      </c>
      <c r="D23">
        <v>0</v>
      </c>
      <c r="E23" s="40">
        <v>0</v>
      </c>
      <c r="F23" s="40">
        <v>1</v>
      </c>
      <c r="G23">
        <v>0</v>
      </c>
      <c r="H23">
        <v>0</v>
      </c>
      <c r="I23">
        <v>0</v>
      </c>
      <c r="J23" s="40">
        <v>0</v>
      </c>
      <c r="K23" s="40">
        <v>1181.8181818181818</v>
      </c>
      <c r="L23" s="24">
        <v>8272727.2727272725</v>
      </c>
      <c r="N23">
        <f>INDEX(OutputValues_STS2,19,$M$4)</f>
        <v>8272727.2727272725</v>
      </c>
    </row>
    <row r="24" spans="1:14" x14ac:dyDescent="0.2">
      <c r="A24">
        <v>10000</v>
      </c>
      <c r="B24" s="30">
        <v>0</v>
      </c>
      <c r="C24" s="31">
        <v>0</v>
      </c>
      <c r="D24" s="31">
        <v>0</v>
      </c>
      <c r="E24" s="41">
        <v>0</v>
      </c>
      <c r="F24" s="41">
        <v>1</v>
      </c>
      <c r="G24" s="31">
        <v>0</v>
      </c>
      <c r="H24" s="31">
        <v>0</v>
      </c>
      <c r="I24" s="31">
        <v>0</v>
      </c>
      <c r="J24" s="41">
        <v>0</v>
      </c>
      <c r="K24" s="41">
        <v>1181.8181818181818</v>
      </c>
      <c r="L24" s="33">
        <v>8272727.2727272725</v>
      </c>
      <c r="N24">
        <f>INDEX(OutputValues_STS2,20,$M$4)</f>
        <v>8272727.2727272725</v>
      </c>
    </row>
  </sheetData>
  <dataValidations disablePrompts="1" count="1">
    <dataValidation type="list" allowBlank="1" showInputMessage="1" showErrorMessage="1" sqref="N4" xr:uid="{62DD9C55-04B7-F64E-94CD-962EF47E6566}">
      <formula1>OutputAddresses_STS2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6E7E-9D7D-7C41-8EBC-B1EA3448D0C7}">
  <dimension ref="A1:N24"/>
  <sheetViews>
    <sheetView tabSelected="1" workbookViewId="0">
      <selection activeCell="P29" sqref="P29"/>
    </sheetView>
  </sheetViews>
  <sheetFormatPr baseColWidth="10" defaultColWidth="8.83203125" defaultRowHeight="16" x14ac:dyDescent="0.2"/>
  <cols>
    <col min="7" max="9" width="12" bestFit="1" customWidth="1"/>
  </cols>
  <sheetData>
    <row r="1" spans="1:14" x14ac:dyDescent="0.2">
      <c r="A1" s="37" t="s">
        <v>71</v>
      </c>
      <c r="N1" s="38" t="str">
        <f>CONCATENATE("Sensitivity of ",$N$4," to ","Steel Available")</f>
        <v>Sensitivity of Profit to Steel Available</v>
      </c>
    </row>
    <row r="3" spans="1:14" x14ac:dyDescent="0.2">
      <c r="A3" t="s">
        <v>126</v>
      </c>
      <c r="N3" t="s">
        <v>72</v>
      </c>
    </row>
    <row r="4" spans="1:14" ht="101" x14ac:dyDescent="0.2">
      <c r="B4" s="21" t="s">
        <v>127</v>
      </c>
      <c r="C4" s="21" t="s">
        <v>128</v>
      </c>
      <c r="D4" s="21" t="s">
        <v>129</v>
      </c>
      <c r="E4" s="21" t="s">
        <v>130</v>
      </c>
      <c r="F4" s="21" t="s">
        <v>131</v>
      </c>
      <c r="G4" s="21" t="s">
        <v>132</v>
      </c>
      <c r="H4" s="21" t="s">
        <v>133</v>
      </c>
      <c r="I4" s="21" t="s">
        <v>134</v>
      </c>
      <c r="J4" s="21" t="s">
        <v>135</v>
      </c>
      <c r="K4" s="21" t="s">
        <v>136</v>
      </c>
      <c r="L4" s="21" t="s">
        <v>69</v>
      </c>
      <c r="M4" s="38">
        <f>MATCH($N$4,OutputAddresses_STS1,0)</f>
        <v>11</v>
      </c>
      <c r="N4" s="25" t="s">
        <v>69</v>
      </c>
    </row>
    <row r="5" spans="1:14" x14ac:dyDescent="0.2">
      <c r="A5">
        <v>500</v>
      </c>
      <c r="B5" s="27">
        <v>0</v>
      </c>
      <c r="C5" s="22">
        <v>0</v>
      </c>
      <c r="D5" s="22">
        <v>0</v>
      </c>
      <c r="E5" s="39">
        <v>0</v>
      </c>
      <c r="F5" s="39">
        <v>0</v>
      </c>
      <c r="G5" s="22">
        <v>0</v>
      </c>
      <c r="H5" s="22">
        <v>0</v>
      </c>
      <c r="I5" s="22">
        <v>0</v>
      </c>
      <c r="J5" s="39">
        <v>0</v>
      </c>
      <c r="K5" s="39">
        <v>0</v>
      </c>
      <c r="L5" s="23">
        <v>0</v>
      </c>
      <c r="N5">
        <f>INDEX(OutputValues_STS1,1,$M$4)</f>
        <v>0</v>
      </c>
    </row>
    <row r="6" spans="1:14" x14ac:dyDescent="0.2">
      <c r="A6">
        <v>1000</v>
      </c>
      <c r="B6" s="29">
        <v>0</v>
      </c>
      <c r="C6">
        <v>0</v>
      </c>
      <c r="D6">
        <v>0</v>
      </c>
      <c r="E6" s="40">
        <v>0</v>
      </c>
      <c r="F6" s="40">
        <v>0</v>
      </c>
      <c r="G6">
        <v>0</v>
      </c>
      <c r="H6">
        <v>0</v>
      </c>
      <c r="I6">
        <v>0</v>
      </c>
      <c r="J6" s="40">
        <v>0</v>
      </c>
      <c r="K6" s="40">
        <v>0</v>
      </c>
      <c r="L6" s="24">
        <v>0</v>
      </c>
      <c r="N6">
        <f>INDEX(OutputValues_STS1,2,$M$4)</f>
        <v>0</v>
      </c>
    </row>
    <row r="7" spans="1:14" x14ac:dyDescent="0.2">
      <c r="A7">
        <v>1500</v>
      </c>
      <c r="B7" s="29">
        <v>1</v>
      </c>
      <c r="C7">
        <v>0</v>
      </c>
      <c r="D7">
        <v>0</v>
      </c>
      <c r="E7" s="40">
        <v>0</v>
      </c>
      <c r="F7" s="40">
        <v>0</v>
      </c>
      <c r="G7">
        <v>1000</v>
      </c>
      <c r="H7">
        <v>0</v>
      </c>
      <c r="I7">
        <v>0</v>
      </c>
      <c r="J7" s="40">
        <v>0</v>
      </c>
      <c r="K7" s="40">
        <v>0</v>
      </c>
      <c r="L7" s="24">
        <v>2000000</v>
      </c>
      <c r="N7">
        <f>INDEX(OutputValues_STS1,3,$M$4)</f>
        <v>2000000</v>
      </c>
    </row>
    <row r="8" spans="1:14" x14ac:dyDescent="0.2">
      <c r="A8">
        <v>2000</v>
      </c>
      <c r="B8" s="29">
        <v>1</v>
      </c>
      <c r="C8">
        <v>0</v>
      </c>
      <c r="D8">
        <v>0</v>
      </c>
      <c r="E8" s="40">
        <v>0</v>
      </c>
      <c r="F8" s="40">
        <v>0</v>
      </c>
      <c r="G8">
        <v>1333.3333333333328</v>
      </c>
      <c r="H8">
        <v>0</v>
      </c>
      <c r="I8">
        <v>0</v>
      </c>
      <c r="J8" s="40">
        <v>0</v>
      </c>
      <c r="K8" s="40">
        <v>2.8421709430404007E-14</v>
      </c>
      <c r="L8" s="24">
        <v>2666666.6666666656</v>
      </c>
      <c r="N8">
        <f>INDEX(OutputValues_STS1,4,$M$4)</f>
        <v>2666666.6666666656</v>
      </c>
    </row>
    <row r="9" spans="1:14" x14ac:dyDescent="0.2">
      <c r="A9">
        <v>2500</v>
      </c>
      <c r="B9" s="29">
        <v>1</v>
      </c>
      <c r="C9">
        <v>0</v>
      </c>
      <c r="D9">
        <v>0</v>
      </c>
      <c r="E9" s="40">
        <v>0</v>
      </c>
      <c r="F9" s="40">
        <v>0</v>
      </c>
      <c r="G9">
        <v>1666.666666666667</v>
      </c>
      <c r="H9">
        <v>0</v>
      </c>
      <c r="I9">
        <v>0</v>
      </c>
      <c r="J9" s="40">
        <v>0</v>
      </c>
      <c r="K9" s="40">
        <v>0</v>
      </c>
      <c r="L9" s="24">
        <v>3333333.333333334</v>
      </c>
      <c r="N9">
        <f>INDEX(OutputValues_STS1,5,$M$4)</f>
        <v>3333333.333333334</v>
      </c>
    </row>
    <row r="10" spans="1:14" x14ac:dyDescent="0.2">
      <c r="A10">
        <v>3000</v>
      </c>
      <c r="B10" s="29">
        <v>1</v>
      </c>
      <c r="C10">
        <v>0</v>
      </c>
      <c r="D10">
        <v>0</v>
      </c>
      <c r="E10" s="40">
        <v>0</v>
      </c>
      <c r="F10" s="40">
        <v>0</v>
      </c>
      <c r="G10">
        <v>1999.9999999999995</v>
      </c>
      <c r="H10">
        <v>0</v>
      </c>
      <c r="I10">
        <v>0</v>
      </c>
      <c r="J10" s="40">
        <v>0</v>
      </c>
      <c r="K10" s="40">
        <v>0</v>
      </c>
      <c r="L10" s="24">
        <v>3999999.9999999991</v>
      </c>
      <c r="N10">
        <f>INDEX(OutputValues_STS1,6,$M$4)</f>
        <v>3999999.9999999991</v>
      </c>
    </row>
    <row r="11" spans="1:14" x14ac:dyDescent="0.2">
      <c r="A11">
        <v>3500</v>
      </c>
      <c r="B11" s="29">
        <v>1</v>
      </c>
      <c r="C11">
        <v>0</v>
      </c>
      <c r="D11">
        <v>0</v>
      </c>
      <c r="E11" s="40">
        <v>0</v>
      </c>
      <c r="F11" s="40">
        <v>0</v>
      </c>
      <c r="G11">
        <v>2166.6666666666665</v>
      </c>
      <c r="H11">
        <v>0</v>
      </c>
      <c r="I11">
        <v>0</v>
      </c>
      <c r="J11" s="40">
        <v>9.2518585385429407E-15</v>
      </c>
      <c r="K11" s="40">
        <v>1.8503717077085881E-14</v>
      </c>
      <c r="L11" s="24">
        <v>4333333.333333333</v>
      </c>
      <c r="N11">
        <f>INDEX(OutputValues_STS1,7,$M$4)</f>
        <v>4333333.333333333</v>
      </c>
    </row>
    <row r="12" spans="1:14" x14ac:dyDescent="0.2">
      <c r="A12">
        <v>4000</v>
      </c>
      <c r="B12" s="29">
        <v>1</v>
      </c>
      <c r="C12">
        <v>0</v>
      </c>
      <c r="D12">
        <v>0</v>
      </c>
      <c r="E12" s="40">
        <v>1</v>
      </c>
      <c r="F12" s="40">
        <v>0</v>
      </c>
      <c r="G12">
        <v>1866.6666666666663</v>
      </c>
      <c r="H12">
        <v>0</v>
      </c>
      <c r="I12">
        <v>0</v>
      </c>
      <c r="J12" s="40">
        <v>199.99999999999997</v>
      </c>
      <c r="K12" s="40">
        <v>6.3108872417680944E-30</v>
      </c>
      <c r="L12" s="24">
        <v>4833333.3333333321</v>
      </c>
      <c r="N12">
        <f>INDEX(OutputValues_STS1,8,$M$4)</f>
        <v>4833333.3333333321</v>
      </c>
    </row>
    <row r="13" spans="1:14" x14ac:dyDescent="0.2">
      <c r="A13">
        <v>4500</v>
      </c>
      <c r="B13" s="29">
        <v>1</v>
      </c>
      <c r="C13">
        <v>0</v>
      </c>
      <c r="D13">
        <v>0</v>
      </c>
      <c r="E13" s="40">
        <v>1</v>
      </c>
      <c r="F13" s="40">
        <v>0</v>
      </c>
      <c r="G13">
        <v>1666.6666666666663</v>
      </c>
      <c r="H13">
        <v>0</v>
      </c>
      <c r="I13">
        <v>0</v>
      </c>
      <c r="J13" s="40">
        <v>333.33333333333314</v>
      </c>
      <c r="K13" s="40">
        <v>1.9895196601282805E-13</v>
      </c>
      <c r="L13" s="24">
        <v>5166666.666666666</v>
      </c>
      <c r="N13">
        <f>INDEX(OutputValues_STS1,9,$M$4)</f>
        <v>5166666.666666666</v>
      </c>
    </row>
    <row r="14" spans="1:14" x14ac:dyDescent="0.2">
      <c r="A14">
        <v>5000</v>
      </c>
      <c r="B14" s="29">
        <v>1</v>
      </c>
      <c r="C14">
        <v>0</v>
      </c>
      <c r="D14">
        <v>0</v>
      </c>
      <c r="E14" s="40">
        <v>1</v>
      </c>
      <c r="F14" s="40">
        <v>0</v>
      </c>
      <c r="G14">
        <v>1466.666666666667</v>
      </c>
      <c r="H14">
        <v>0</v>
      </c>
      <c r="I14">
        <v>0</v>
      </c>
      <c r="J14" s="40">
        <v>466.66666666666663</v>
      </c>
      <c r="K14" s="40">
        <v>0</v>
      </c>
      <c r="L14" s="24">
        <v>5500000</v>
      </c>
      <c r="N14">
        <f>INDEX(OutputValues_STS1,10,$M$4)</f>
        <v>5500000</v>
      </c>
    </row>
    <row r="15" spans="1:14" x14ac:dyDescent="0.2">
      <c r="A15">
        <v>5500</v>
      </c>
      <c r="B15" s="29">
        <v>1</v>
      </c>
      <c r="C15">
        <v>0</v>
      </c>
      <c r="D15">
        <v>0</v>
      </c>
      <c r="E15" s="40">
        <v>1</v>
      </c>
      <c r="F15" s="40">
        <v>0</v>
      </c>
      <c r="G15">
        <v>1266.6666666666661</v>
      </c>
      <c r="H15">
        <v>2.2737367544323206E-13</v>
      </c>
      <c r="I15">
        <v>0</v>
      </c>
      <c r="J15" s="40">
        <v>600</v>
      </c>
      <c r="K15" s="40">
        <v>0</v>
      </c>
      <c r="L15" s="24">
        <v>5833333.3333333321</v>
      </c>
      <c r="N15">
        <f>INDEX(OutputValues_STS1,11,$M$4)</f>
        <v>5833333.3333333321</v>
      </c>
    </row>
    <row r="16" spans="1:14" x14ac:dyDescent="0.2">
      <c r="A16">
        <v>6000</v>
      </c>
      <c r="B16" s="29">
        <v>1</v>
      </c>
      <c r="C16">
        <v>0</v>
      </c>
      <c r="D16">
        <v>0</v>
      </c>
      <c r="E16" s="40">
        <v>1</v>
      </c>
      <c r="F16" s="40">
        <v>0</v>
      </c>
      <c r="G16">
        <v>1066.6666666666656</v>
      </c>
      <c r="H16">
        <v>0</v>
      </c>
      <c r="I16">
        <v>2.2737367544323206E-13</v>
      </c>
      <c r="J16" s="40">
        <v>733.33333333333314</v>
      </c>
      <c r="K16" s="40">
        <v>0</v>
      </c>
      <c r="L16" s="24">
        <v>6166666.6666666642</v>
      </c>
      <c r="N16">
        <f>INDEX(OutputValues_STS1,12,$M$4)</f>
        <v>6166666.6666666642</v>
      </c>
    </row>
    <row r="17" spans="1:14" x14ac:dyDescent="0.2">
      <c r="A17">
        <v>6500</v>
      </c>
      <c r="B17" s="29">
        <v>1</v>
      </c>
      <c r="C17">
        <v>0</v>
      </c>
      <c r="D17">
        <v>0</v>
      </c>
      <c r="E17" s="40">
        <v>1</v>
      </c>
      <c r="F17" s="40">
        <v>1</v>
      </c>
      <c r="G17">
        <v>1000.0000000000002</v>
      </c>
      <c r="H17">
        <v>0</v>
      </c>
      <c r="I17">
        <v>0</v>
      </c>
      <c r="J17" s="40">
        <v>200</v>
      </c>
      <c r="K17" s="40">
        <v>472.72727272727246</v>
      </c>
      <c r="L17" s="24">
        <v>6409090.9090909082</v>
      </c>
      <c r="N17">
        <f>INDEX(OutputValues_STS1,13,$M$4)</f>
        <v>6409090.9090909082</v>
      </c>
    </row>
    <row r="18" spans="1:14" x14ac:dyDescent="0.2">
      <c r="A18">
        <v>7000</v>
      </c>
      <c r="B18" s="29">
        <v>0</v>
      </c>
      <c r="C18">
        <v>0</v>
      </c>
      <c r="D18">
        <v>0</v>
      </c>
      <c r="E18" s="40">
        <v>1</v>
      </c>
      <c r="F18" s="40">
        <v>0</v>
      </c>
      <c r="G18">
        <v>0</v>
      </c>
      <c r="H18">
        <v>0</v>
      </c>
      <c r="I18">
        <v>0</v>
      </c>
      <c r="J18" s="40">
        <v>1166.6666666666665</v>
      </c>
      <c r="K18" s="40">
        <v>0</v>
      </c>
      <c r="L18" s="24">
        <v>6416666.666666666</v>
      </c>
      <c r="N18">
        <f>INDEX(OutputValues_STS1,14,$M$4)</f>
        <v>6416666.666666666</v>
      </c>
    </row>
    <row r="19" spans="1:14" x14ac:dyDescent="0.2">
      <c r="A19">
        <v>7500</v>
      </c>
      <c r="B19" s="29">
        <v>0</v>
      </c>
      <c r="C19">
        <v>0</v>
      </c>
      <c r="D19">
        <v>0</v>
      </c>
      <c r="E19" s="40">
        <v>1</v>
      </c>
      <c r="F19" s="40">
        <v>0</v>
      </c>
      <c r="G19">
        <v>5.6843418860808015E-14</v>
      </c>
      <c r="H19">
        <v>0</v>
      </c>
      <c r="I19">
        <v>0</v>
      </c>
      <c r="J19" s="40">
        <v>1249.9999999999998</v>
      </c>
      <c r="K19" s="40">
        <v>0</v>
      </c>
      <c r="L19" s="24">
        <v>6874999.9999999991</v>
      </c>
      <c r="N19">
        <f>INDEX(OutputValues_STS1,15,$M$4)</f>
        <v>6874999.9999999991</v>
      </c>
    </row>
    <row r="20" spans="1:14" x14ac:dyDescent="0.2">
      <c r="A20">
        <v>8000</v>
      </c>
      <c r="B20" s="29">
        <v>0</v>
      </c>
      <c r="C20">
        <v>0</v>
      </c>
      <c r="D20">
        <v>0</v>
      </c>
      <c r="E20" s="40">
        <v>1</v>
      </c>
      <c r="F20" s="40">
        <v>0</v>
      </c>
      <c r="G20">
        <v>5.6843418860808015E-14</v>
      </c>
      <c r="H20">
        <v>0</v>
      </c>
      <c r="I20">
        <v>0</v>
      </c>
      <c r="J20" s="40">
        <v>1333.333333333333</v>
      </c>
      <c r="K20" s="40">
        <v>1.1368683772161603E-13</v>
      </c>
      <c r="L20" s="24">
        <v>7333333.333333333</v>
      </c>
      <c r="N20">
        <f>INDEX(OutputValues_STS1,16,$M$4)</f>
        <v>7333333.333333333</v>
      </c>
    </row>
    <row r="21" spans="1:14" x14ac:dyDescent="0.2">
      <c r="A21">
        <v>8500</v>
      </c>
      <c r="B21" s="29">
        <v>0</v>
      </c>
      <c r="C21">
        <v>0</v>
      </c>
      <c r="D21">
        <v>0</v>
      </c>
      <c r="E21" s="40">
        <v>1</v>
      </c>
      <c r="F21" s="40">
        <v>0</v>
      </c>
      <c r="G21">
        <v>2.8421709430404007E-14</v>
      </c>
      <c r="H21">
        <v>0</v>
      </c>
      <c r="I21">
        <v>0</v>
      </c>
      <c r="J21" s="40">
        <v>1416.666666666667</v>
      </c>
      <c r="K21" s="40">
        <v>0</v>
      </c>
      <c r="L21" s="24">
        <v>7791666.6666666679</v>
      </c>
      <c r="N21">
        <f>INDEX(OutputValues_STS1,17,$M$4)</f>
        <v>7791666.6666666679</v>
      </c>
    </row>
    <row r="22" spans="1:14" x14ac:dyDescent="0.2">
      <c r="A22">
        <v>9000</v>
      </c>
      <c r="B22" s="29">
        <v>0</v>
      </c>
      <c r="C22">
        <v>0</v>
      </c>
      <c r="D22">
        <v>0</v>
      </c>
      <c r="E22" s="40">
        <v>1</v>
      </c>
      <c r="F22" s="40">
        <v>1</v>
      </c>
      <c r="G22">
        <v>0</v>
      </c>
      <c r="H22">
        <v>0</v>
      </c>
      <c r="I22">
        <v>3.7700896535707006E-13</v>
      </c>
      <c r="J22" s="40">
        <v>833.33333333333542</v>
      </c>
      <c r="K22" s="40">
        <v>499.99999999999835</v>
      </c>
      <c r="L22" s="24">
        <v>8083333.333333334</v>
      </c>
      <c r="N22">
        <f>INDEX(OutputValues_STS1,18,$M$4)</f>
        <v>8083333.333333334</v>
      </c>
    </row>
    <row r="23" spans="1:14" x14ac:dyDescent="0.2">
      <c r="A23">
        <v>9500</v>
      </c>
      <c r="B23" s="29">
        <v>0</v>
      </c>
      <c r="C23">
        <v>0</v>
      </c>
      <c r="D23">
        <v>0</v>
      </c>
      <c r="E23" s="40">
        <v>0</v>
      </c>
      <c r="F23" s="40">
        <v>1</v>
      </c>
      <c r="G23">
        <v>0</v>
      </c>
      <c r="H23">
        <v>0</v>
      </c>
      <c r="I23">
        <v>0</v>
      </c>
      <c r="J23" s="40">
        <v>0</v>
      </c>
      <c r="K23" s="40">
        <v>1181.8181818181818</v>
      </c>
      <c r="L23" s="24">
        <v>8272727.2727272725</v>
      </c>
      <c r="N23">
        <f>INDEX(OutputValues_STS1,19,$M$4)</f>
        <v>8272727.2727272725</v>
      </c>
    </row>
    <row r="24" spans="1:14" x14ac:dyDescent="0.2">
      <c r="A24">
        <v>10000</v>
      </c>
      <c r="B24" s="30">
        <v>0</v>
      </c>
      <c r="C24" s="31">
        <v>0</v>
      </c>
      <c r="D24" s="31">
        <v>0</v>
      </c>
      <c r="E24" s="41">
        <v>0</v>
      </c>
      <c r="F24" s="41">
        <v>1</v>
      </c>
      <c r="G24" s="31">
        <v>0</v>
      </c>
      <c r="H24" s="31">
        <v>0</v>
      </c>
      <c r="I24" s="31">
        <v>0</v>
      </c>
      <c r="J24" s="41">
        <v>0</v>
      </c>
      <c r="K24" s="41">
        <v>1181.8181818181818</v>
      </c>
      <c r="L24" s="33">
        <v>8272727.2727272725</v>
      </c>
      <c r="N24">
        <f>INDEX(OutputValues_STS1,20,$M$4)</f>
        <v>8272727.2727272725</v>
      </c>
    </row>
  </sheetData>
  <dataValidations count="1">
    <dataValidation type="list" allowBlank="1" showInputMessage="1" showErrorMessage="1" sqref="N4" xr:uid="{E24E21A1-1D1E-6544-A6E6-A3A2062FB3C1}">
      <formula1>OutputAddresses_STS1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137DC-4A25-4B43-9BD0-9C6ABE08E94B}">
  <dimension ref="A1:N35"/>
  <sheetViews>
    <sheetView workbookViewId="0">
      <selection activeCell="S40" sqref="S40"/>
    </sheetView>
  </sheetViews>
  <sheetFormatPr baseColWidth="10" defaultColWidth="8.83203125" defaultRowHeight="16" x14ac:dyDescent="0.2"/>
  <cols>
    <col min="8" max="8" width="12" bestFit="1" customWidth="1"/>
  </cols>
  <sheetData>
    <row r="1" spans="1:14" x14ac:dyDescent="0.2">
      <c r="A1" s="37" t="s">
        <v>71</v>
      </c>
      <c r="N1" s="38" t="str">
        <f>CONCATENATE("Sensitivity of ",$N$4," to ","Unit profit contribution of large minivans")</f>
        <v>Sensitivity of Profit to Unit profit contribution of large minivans</v>
      </c>
    </row>
    <row r="3" spans="1:14" x14ac:dyDescent="0.2">
      <c r="A3" t="s">
        <v>137</v>
      </c>
      <c r="N3" t="s">
        <v>72</v>
      </c>
    </row>
    <row r="4" spans="1:14" ht="101" x14ac:dyDescent="0.2">
      <c r="B4" s="21" t="s">
        <v>127</v>
      </c>
      <c r="C4" s="21" t="s">
        <v>128</v>
      </c>
      <c r="D4" s="21" t="s">
        <v>129</v>
      </c>
      <c r="E4" s="21" t="s">
        <v>130</v>
      </c>
      <c r="F4" s="21" t="s">
        <v>131</v>
      </c>
      <c r="G4" s="21" t="s">
        <v>132</v>
      </c>
      <c r="H4" s="21" t="s">
        <v>133</v>
      </c>
      <c r="I4" s="21" t="s">
        <v>134</v>
      </c>
      <c r="J4" s="21" t="s">
        <v>135</v>
      </c>
      <c r="K4" s="21" t="s">
        <v>136</v>
      </c>
      <c r="L4" s="21" t="s">
        <v>69</v>
      </c>
      <c r="M4" s="38">
        <f>MATCH($N$4,OutputAddresses_3,0)</f>
        <v>11</v>
      </c>
      <c r="N4" s="25" t="s">
        <v>69</v>
      </c>
    </row>
    <row r="5" spans="1:14" x14ac:dyDescent="0.2">
      <c r="A5" s="42">
        <v>4000</v>
      </c>
      <c r="B5" s="27">
        <v>1</v>
      </c>
      <c r="C5" s="22">
        <v>0</v>
      </c>
      <c r="D5" s="22">
        <v>0</v>
      </c>
      <c r="E5" s="39">
        <v>1</v>
      </c>
      <c r="F5" s="39">
        <v>0</v>
      </c>
      <c r="G5" s="22">
        <v>1000</v>
      </c>
      <c r="H5" s="22">
        <v>2.5579538487363607E-13</v>
      </c>
      <c r="I5" s="22">
        <v>0</v>
      </c>
      <c r="J5" s="39">
        <v>777.7777777777776</v>
      </c>
      <c r="K5" s="39">
        <v>0</v>
      </c>
      <c r="L5" s="23">
        <v>6277777.777777778</v>
      </c>
      <c r="N5">
        <f>INDEX(OutputValues_3,1,$M$4)</f>
        <v>6277777.777777778</v>
      </c>
    </row>
    <row r="6" spans="1:14" x14ac:dyDescent="0.2">
      <c r="A6" s="42">
        <v>4200</v>
      </c>
      <c r="B6" s="29">
        <v>1</v>
      </c>
      <c r="C6">
        <v>0</v>
      </c>
      <c r="D6">
        <v>0</v>
      </c>
      <c r="E6" s="40">
        <v>1</v>
      </c>
      <c r="F6" s="40">
        <v>0</v>
      </c>
      <c r="G6">
        <v>1000</v>
      </c>
      <c r="H6">
        <v>2.5579538487363607E-13</v>
      </c>
      <c r="I6">
        <v>0</v>
      </c>
      <c r="J6" s="40">
        <v>777.7777777777776</v>
      </c>
      <c r="K6" s="40">
        <v>0</v>
      </c>
      <c r="L6" s="24">
        <v>6277777.777777778</v>
      </c>
      <c r="N6">
        <f>INDEX(OutputValues_3,2,$M$4)</f>
        <v>6277777.777777778</v>
      </c>
    </row>
    <row r="7" spans="1:14" x14ac:dyDescent="0.2">
      <c r="A7" s="42">
        <v>4400</v>
      </c>
      <c r="B7" s="29">
        <v>1</v>
      </c>
      <c r="C7">
        <v>0</v>
      </c>
      <c r="D7">
        <v>0</v>
      </c>
      <c r="E7" s="40">
        <v>1</v>
      </c>
      <c r="F7" s="40">
        <v>0</v>
      </c>
      <c r="G7">
        <v>1000</v>
      </c>
      <c r="H7">
        <v>2.5579538487363607E-13</v>
      </c>
      <c r="I7">
        <v>0</v>
      </c>
      <c r="J7" s="40">
        <v>777.7777777777776</v>
      </c>
      <c r="K7" s="40">
        <v>0</v>
      </c>
      <c r="L7" s="24">
        <v>6277777.777777778</v>
      </c>
      <c r="N7">
        <f>INDEX(OutputValues_3,3,$M$4)</f>
        <v>6277777.777777778</v>
      </c>
    </row>
    <row r="8" spans="1:14" x14ac:dyDescent="0.2">
      <c r="A8" s="42">
        <v>4600</v>
      </c>
      <c r="B8" s="29">
        <v>1</v>
      </c>
      <c r="C8">
        <v>0</v>
      </c>
      <c r="D8">
        <v>0</v>
      </c>
      <c r="E8" s="40">
        <v>1</v>
      </c>
      <c r="F8" s="40">
        <v>0</v>
      </c>
      <c r="G8">
        <v>1000</v>
      </c>
      <c r="H8">
        <v>2.5579538487363607E-13</v>
      </c>
      <c r="I8">
        <v>0</v>
      </c>
      <c r="J8" s="40">
        <v>777.7777777777776</v>
      </c>
      <c r="K8" s="40">
        <v>0</v>
      </c>
      <c r="L8" s="24">
        <v>6277777.777777778</v>
      </c>
      <c r="N8">
        <f>INDEX(OutputValues_3,4,$M$4)</f>
        <v>6277777.777777778</v>
      </c>
    </row>
    <row r="9" spans="1:14" x14ac:dyDescent="0.2">
      <c r="A9" s="42">
        <v>4800</v>
      </c>
      <c r="B9" s="29">
        <v>1</v>
      </c>
      <c r="C9">
        <v>0</v>
      </c>
      <c r="D9">
        <v>0</v>
      </c>
      <c r="E9" s="40">
        <v>1</v>
      </c>
      <c r="F9" s="40">
        <v>0</v>
      </c>
      <c r="G9">
        <v>1000</v>
      </c>
      <c r="H9">
        <v>2.5579538487363607E-13</v>
      </c>
      <c r="I9">
        <v>0</v>
      </c>
      <c r="J9" s="40">
        <v>777.7777777777776</v>
      </c>
      <c r="K9" s="40">
        <v>0</v>
      </c>
      <c r="L9" s="24">
        <v>6277777.777777778</v>
      </c>
      <c r="N9">
        <f>INDEX(OutputValues_3,5,$M$4)</f>
        <v>6277777.777777778</v>
      </c>
    </row>
    <row r="10" spans="1:14" x14ac:dyDescent="0.2">
      <c r="A10" s="42">
        <v>5000</v>
      </c>
      <c r="B10" s="29">
        <v>1</v>
      </c>
      <c r="C10">
        <v>0</v>
      </c>
      <c r="D10">
        <v>0</v>
      </c>
      <c r="E10" s="40">
        <v>1</v>
      </c>
      <c r="F10" s="40">
        <v>0</v>
      </c>
      <c r="G10">
        <v>1000</v>
      </c>
      <c r="H10">
        <v>2.5579538487363607E-13</v>
      </c>
      <c r="I10">
        <v>0</v>
      </c>
      <c r="J10" s="40">
        <v>777.7777777777776</v>
      </c>
      <c r="K10" s="40">
        <v>0</v>
      </c>
      <c r="L10" s="24">
        <v>6277777.777777778</v>
      </c>
      <c r="N10">
        <f>INDEX(OutputValues_3,6,$M$4)</f>
        <v>6277777.777777778</v>
      </c>
    </row>
    <row r="11" spans="1:14" x14ac:dyDescent="0.2">
      <c r="A11" s="42">
        <v>5200</v>
      </c>
      <c r="B11" s="29">
        <v>1</v>
      </c>
      <c r="C11">
        <v>0</v>
      </c>
      <c r="D11">
        <v>0</v>
      </c>
      <c r="E11" s="40">
        <v>1</v>
      </c>
      <c r="F11" s="40">
        <v>0</v>
      </c>
      <c r="G11">
        <v>1000</v>
      </c>
      <c r="H11">
        <v>2.5579538487363607E-13</v>
      </c>
      <c r="I11">
        <v>0</v>
      </c>
      <c r="J11" s="40">
        <v>777.7777777777776</v>
      </c>
      <c r="K11" s="40">
        <v>0</v>
      </c>
      <c r="L11" s="24">
        <v>6277777.777777778</v>
      </c>
      <c r="N11">
        <f>INDEX(OutputValues_3,7,$M$4)</f>
        <v>6277777.777777778</v>
      </c>
    </row>
    <row r="12" spans="1:14" x14ac:dyDescent="0.2">
      <c r="A12" s="42">
        <v>5400</v>
      </c>
      <c r="B12" s="29">
        <v>1</v>
      </c>
      <c r="C12">
        <v>0</v>
      </c>
      <c r="D12">
        <v>0</v>
      </c>
      <c r="E12" s="40">
        <v>1</v>
      </c>
      <c r="F12" s="40">
        <v>0</v>
      </c>
      <c r="G12">
        <v>1000</v>
      </c>
      <c r="H12">
        <v>2.5579538487363607E-13</v>
      </c>
      <c r="I12">
        <v>0</v>
      </c>
      <c r="J12" s="40">
        <v>777.7777777777776</v>
      </c>
      <c r="K12" s="40">
        <v>0</v>
      </c>
      <c r="L12" s="24">
        <v>6277777.777777778</v>
      </c>
      <c r="N12">
        <f>INDEX(OutputValues_3,8,$M$4)</f>
        <v>6277777.777777778</v>
      </c>
    </row>
    <row r="13" spans="1:14" x14ac:dyDescent="0.2">
      <c r="A13" s="42">
        <v>5600</v>
      </c>
      <c r="B13" s="29">
        <v>1</v>
      </c>
      <c r="C13">
        <v>0</v>
      </c>
      <c r="D13">
        <v>0</v>
      </c>
      <c r="E13" s="40">
        <v>1</v>
      </c>
      <c r="F13" s="40">
        <v>0</v>
      </c>
      <c r="G13">
        <v>1000</v>
      </c>
      <c r="H13">
        <v>2.5579538487363607E-13</v>
      </c>
      <c r="I13">
        <v>0</v>
      </c>
      <c r="J13" s="40">
        <v>777.7777777777776</v>
      </c>
      <c r="K13" s="40">
        <v>0</v>
      </c>
      <c r="L13" s="24">
        <v>6277777.777777778</v>
      </c>
      <c r="N13">
        <f>INDEX(OutputValues_3,9,$M$4)</f>
        <v>6277777.777777778</v>
      </c>
    </row>
    <row r="14" spans="1:14" x14ac:dyDescent="0.2">
      <c r="A14" s="42">
        <v>5800</v>
      </c>
      <c r="B14" s="29">
        <v>1</v>
      </c>
      <c r="C14">
        <v>0</v>
      </c>
      <c r="D14">
        <v>0</v>
      </c>
      <c r="E14" s="40">
        <v>1</v>
      </c>
      <c r="F14" s="40">
        <v>0</v>
      </c>
      <c r="G14">
        <v>1000</v>
      </c>
      <c r="H14">
        <v>2.5579538487363607E-13</v>
      </c>
      <c r="I14">
        <v>0</v>
      </c>
      <c r="J14" s="40">
        <v>777.7777777777776</v>
      </c>
      <c r="K14" s="40">
        <v>0</v>
      </c>
      <c r="L14" s="24">
        <v>6277777.777777778</v>
      </c>
      <c r="N14">
        <f>INDEX(OutputValues_3,10,$M$4)</f>
        <v>6277777.777777778</v>
      </c>
    </row>
    <row r="15" spans="1:14" x14ac:dyDescent="0.2">
      <c r="A15" s="42">
        <v>6000</v>
      </c>
      <c r="B15" s="29">
        <v>1</v>
      </c>
      <c r="C15">
        <v>0</v>
      </c>
      <c r="D15">
        <v>0</v>
      </c>
      <c r="E15" s="40">
        <v>1</v>
      </c>
      <c r="F15" s="40">
        <v>0</v>
      </c>
      <c r="G15">
        <v>1000</v>
      </c>
      <c r="H15">
        <v>2.5579538487363607E-13</v>
      </c>
      <c r="I15">
        <v>0</v>
      </c>
      <c r="J15" s="40">
        <v>777.7777777777776</v>
      </c>
      <c r="K15" s="40">
        <v>0</v>
      </c>
      <c r="L15" s="24">
        <v>6277777.777777778</v>
      </c>
      <c r="N15">
        <f>INDEX(OutputValues_3,11,$M$4)</f>
        <v>6277777.777777778</v>
      </c>
    </row>
    <row r="16" spans="1:14" x14ac:dyDescent="0.2">
      <c r="A16" s="42">
        <v>6200</v>
      </c>
      <c r="B16" s="29">
        <v>1</v>
      </c>
      <c r="C16">
        <v>0</v>
      </c>
      <c r="D16">
        <v>0</v>
      </c>
      <c r="E16" s="40">
        <v>1</v>
      </c>
      <c r="F16" s="40">
        <v>0</v>
      </c>
      <c r="G16">
        <v>1000</v>
      </c>
      <c r="H16">
        <v>2.5579538487363607E-13</v>
      </c>
      <c r="I16">
        <v>0</v>
      </c>
      <c r="J16" s="40">
        <v>777.7777777777776</v>
      </c>
      <c r="K16" s="40">
        <v>0</v>
      </c>
      <c r="L16" s="24">
        <v>6277777.777777778</v>
      </c>
      <c r="N16">
        <f>INDEX(OutputValues_3,12,$M$4)</f>
        <v>6277777.777777778</v>
      </c>
    </row>
    <row r="17" spans="1:14" x14ac:dyDescent="0.2">
      <c r="A17" s="42">
        <v>6400</v>
      </c>
      <c r="B17" s="29">
        <v>1</v>
      </c>
      <c r="C17">
        <v>0</v>
      </c>
      <c r="D17">
        <v>0</v>
      </c>
      <c r="E17" s="40">
        <v>1</v>
      </c>
      <c r="F17" s="40">
        <v>0</v>
      </c>
      <c r="G17">
        <v>1000</v>
      </c>
      <c r="H17">
        <v>2.5579538487363607E-13</v>
      </c>
      <c r="I17">
        <v>0</v>
      </c>
      <c r="J17" s="40">
        <v>777.7777777777776</v>
      </c>
      <c r="K17" s="40">
        <v>0</v>
      </c>
      <c r="L17" s="24">
        <v>6277777.777777778</v>
      </c>
      <c r="N17">
        <f>INDEX(OutputValues_3,13,$M$4)</f>
        <v>6277777.777777778</v>
      </c>
    </row>
    <row r="18" spans="1:14" x14ac:dyDescent="0.2">
      <c r="A18" s="42">
        <v>6600</v>
      </c>
      <c r="B18" s="29">
        <v>1</v>
      </c>
      <c r="C18">
        <v>0</v>
      </c>
      <c r="D18">
        <v>0</v>
      </c>
      <c r="E18" s="40">
        <v>1</v>
      </c>
      <c r="F18" s="40">
        <v>0</v>
      </c>
      <c r="G18">
        <v>1000</v>
      </c>
      <c r="H18">
        <v>2.5579538487363607E-13</v>
      </c>
      <c r="I18">
        <v>0</v>
      </c>
      <c r="J18" s="40">
        <v>777.7777777777776</v>
      </c>
      <c r="K18" s="40">
        <v>0</v>
      </c>
      <c r="L18" s="24">
        <v>6277777.777777778</v>
      </c>
      <c r="N18">
        <f>INDEX(OutputValues_3,14,$M$4)</f>
        <v>6277777.777777778</v>
      </c>
    </row>
    <row r="19" spans="1:14" x14ac:dyDescent="0.2">
      <c r="A19" s="42">
        <v>6800</v>
      </c>
      <c r="B19" s="29">
        <v>1</v>
      </c>
      <c r="C19">
        <v>0</v>
      </c>
      <c r="D19">
        <v>0</v>
      </c>
      <c r="E19" s="40">
        <v>1</v>
      </c>
      <c r="F19" s="40">
        <v>1</v>
      </c>
      <c r="G19">
        <v>1000</v>
      </c>
      <c r="H19">
        <v>1.2256862191861746E-13</v>
      </c>
      <c r="I19">
        <v>0</v>
      </c>
      <c r="J19" s="40">
        <v>200</v>
      </c>
      <c r="K19" s="40">
        <v>472.72727272727258</v>
      </c>
      <c r="L19" s="24">
        <v>6314545.4545454532</v>
      </c>
      <c r="N19">
        <f>INDEX(OutputValues_3,15,$M$4)</f>
        <v>6314545.4545454532</v>
      </c>
    </row>
    <row r="20" spans="1:14" x14ac:dyDescent="0.2">
      <c r="A20" s="42">
        <v>7000</v>
      </c>
      <c r="B20" s="29">
        <v>1</v>
      </c>
      <c r="C20">
        <v>0</v>
      </c>
      <c r="D20">
        <v>0</v>
      </c>
      <c r="E20" s="40">
        <v>1</v>
      </c>
      <c r="F20" s="40">
        <v>1</v>
      </c>
      <c r="G20">
        <v>1000.0000000000002</v>
      </c>
      <c r="H20">
        <v>0</v>
      </c>
      <c r="I20">
        <v>0</v>
      </c>
      <c r="J20" s="40">
        <v>200</v>
      </c>
      <c r="K20" s="40">
        <v>472.72727272727246</v>
      </c>
      <c r="L20" s="24">
        <v>6409090.9090909082</v>
      </c>
      <c r="N20">
        <f>INDEX(OutputValues_3,16,$M$4)</f>
        <v>6409090.9090909082</v>
      </c>
    </row>
    <row r="21" spans="1:14" x14ac:dyDescent="0.2">
      <c r="A21" s="42">
        <v>7200</v>
      </c>
      <c r="B21" s="29">
        <v>1</v>
      </c>
      <c r="C21">
        <v>0</v>
      </c>
      <c r="D21">
        <v>0</v>
      </c>
      <c r="E21" s="40">
        <v>0</v>
      </c>
      <c r="F21" s="40">
        <v>1</v>
      </c>
      <c r="G21">
        <v>1031.7460317460318</v>
      </c>
      <c r="H21">
        <v>0</v>
      </c>
      <c r="I21">
        <v>0</v>
      </c>
      <c r="J21" s="40">
        <v>0</v>
      </c>
      <c r="K21" s="40">
        <v>619.04761904761904</v>
      </c>
      <c r="L21" s="24">
        <v>6520634.9206349207</v>
      </c>
      <c r="N21">
        <f>INDEX(OutputValues_3,17,$M$4)</f>
        <v>6520634.9206349207</v>
      </c>
    </row>
    <row r="22" spans="1:14" x14ac:dyDescent="0.2">
      <c r="A22" s="42">
        <v>7400</v>
      </c>
      <c r="B22" s="29">
        <v>1</v>
      </c>
      <c r="C22">
        <v>0</v>
      </c>
      <c r="D22">
        <v>0</v>
      </c>
      <c r="E22" s="40">
        <v>0</v>
      </c>
      <c r="F22" s="40">
        <v>1</v>
      </c>
      <c r="G22">
        <v>1031.7460317460318</v>
      </c>
      <c r="H22">
        <v>0</v>
      </c>
      <c r="I22">
        <v>0</v>
      </c>
      <c r="J22" s="40">
        <v>0</v>
      </c>
      <c r="K22" s="40">
        <v>619.04761904761904</v>
      </c>
      <c r="L22" s="24">
        <v>6644444.444444444</v>
      </c>
      <c r="N22">
        <f>INDEX(OutputValues_3,18,$M$4)</f>
        <v>6644444.444444444</v>
      </c>
    </row>
    <row r="23" spans="1:14" x14ac:dyDescent="0.2">
      <c r="A23" s="42">
        <v>7600</v>
      </c>
      <c r="B23" s="29">
        <v>1</v>
      </c>
      <c r="C23">
        <v>0</v>
      </c>
      <c r="D23">
        <v>0</v>
      </c>
      <c r="E23" s="40">
        <v>0</v>
      </c>
      <c r="F23" s="40">
        <v>1</v>
      </c>
      <c r="G23">
        <v>1031.7460317460318</v>
      </c>
      <c r="H23">
        <v>0</v>
      </c>
      <c r="I23">
        <v>0</v>
      </c>
      <c r="J23" s="40">
        <v>0</v>
      </c>
      <c r="K23" s="40">
        <v>619.04761904761904</v>
      </c>
      <c r="L23" s="24">
        <v>6768253.9682539683</v>
      </c>
      <c r="N23">
        <f>INDEX(OutputValues_3,19,$M$4)</f>
        <v>6768253.9682539683</v>
      </c>
    </row>
    <row r="24" spans="1:14" x14ac:dyDescent="0.2">
      <c r="A24" s="42">
        <v>7800</v>
      </c>
      <c r="B24" s="29">
        <v>1</v>
      </c>
      <c r="C24">
        <v>0</v>
      </c>
      <c r="D24">
        <v>0</v>
      </c>
      <c r="E24" s="40">
        <v>0</v>
      </c>
      <c r="F24" s="40">
        <v>1</v>
      </c>
      <c r="G24">
        <v>1031.7460317460318</v>
      </c>
      <c r="H24">
        <v>0</v>
      </c>
      <c r="I24">
        <v>0</v>
      </c>
      <c r="J24" s="40">
        <v>0</v>
      </c>
      <c r="K24" s="40">
        <v>619.04761904761904</v>
      </c>
      <c r="L24" s="24">
        <v>6892063.4920634916</v>
      </c>
      <c r="N24">
        <f>INDEX(OutputValues_3,20,$M$4)</f>
        <v>6892063.4920634916</v>
      </c>
    </row>
    <row r="25" spans="1:14" x14ac:dyDescent="0.2">
      <c r="A25" s="42">
        <v>8000</v>
      </c>
      <c r="B25" s="29">
        <v>1</v>
      </c>
      <c r="C25">
        <v>0</v>
      </c>
      <c r="D25">
        <v>0</v>
      </c>
      <c r="E25" s="40">
        <v>0</v>
      </c>
      <c r="F25" s="40">
        <v>1</v>
      </c>
      <c r="G25">
        <v>1031.7460317460318</v>
      </c>
      <c r="H25">
        <v>0</v>
      </c>
      <c r="I25">
        <v>0</v>
      </c>
      <c r="J25" s="40">
        <v>0</v>
      </c>
      <c r="K25" s="40">
        <v>619.04761904761904</v>
      </c>
      <c r="L25" s="24">
        <v>7015873.0158730159</v>
      </c>
      <c r="N25">
        <f>INDEX(OutputValues_3,21,$M$4)</f>
        <v>7015873.0158730159</v>
      </c>
    </row>
    <row r="26" spans="1:14" x14ac:dyDescent="0.2">
      <c r="A26" s="42">
        <v>8200</v>
      </c>
      <c r="B26" s="29">
        <v>1</v>
      </c>
      <c r="C26">
        <v>0</v>
      </c>
      <c r="D26">
        <v>0</v>
      </c>
      <c r="E26" s="40">
        <v>0</v>
      </c>
      <c r="F26" s="40">
        <v>1</v>
      </c>
      <c r="G26">
        <v>1031.7460317460318</v>
      </c>
      <c r="H26">
        <v>0</v>
      </c>
      <c r="I26">
        <v>0</v>
      </c>
      <c r="J26" s="40">
        <v>0</v>
      </c>
      <c r="K26" s="40">
        <v>619.04761904761904</v>
      </c>
      <c r="L26" s="24">
        <v>7139682.5396825392</v>
      </c>
      <c r="N26">
        <f>INDEX(OutputValues_3,22,$M$4)</f>
        <v>7139682.5396825392</v>
      </c>
    </row>
    <row r="27" spans="1:14" x14ac:dyDescent="0.2">
      <c r="A27" s="42">
        <v>8400</v>
      </c>
      <c r="B27" s="29">
        <v>1</v>
      </c>
      <c r="C27">
        <v>0</v>
      </c>
      <c r="D27">
        <v>0</v>
      </c>
      <c r="E27" s="40">
        <v>0</v>
      </c>
      <c r="F27" s="40">
        <v>1</v>
      </c>
      <c r="G27">
        <v>1031.7460317460318</v>
      </c>
      <c r="H27">
        <v>0</v>
      </c>
      <c r="I27">
        <v>0</v>
      </c>
      <c r="J27" s="40">
        <v>0</v>
      </c>
      <c r="K27" s="40">
        <v>619.04761904761904</v>
      </c>
      <c r="L27" s="24">
        <v>7263492.0634920634</v>
      </c>
      <c r="N27">
        <f>INDEX(OutputValues_3,23,$M$4)</f>
        <v>7263492.0634920634</v>
      </c>
    </row>
    <row r="28" spans="1:14" x14ac:dyDescent="0.2">
      <c r="A28" s="42">
        <v>8600</v>
      </c>
      <c r="B28" s="29">
        <v>1</v>
      </c>
      <c r="C28">
        <v>0</v>
      </c>
      <c r="D28">
        <v>0</v>
      </c>
      <c r="E28" s="40">
        <v>0</v>
      </c>
      <c r="F28" s="40">
        <v>1</v>
      </c>
      <c r="G28">
        <v>1031.7460317460318</v>
      </c>
      <c r="H28">
        <v>0</v>
      </c>
      <c r="I28">
        <v>0</v>
      </c>
      <c r="J28" s="40">
        <v>0</v>
      </c>
      <c r="K28" s="40">
        <v>619.04761904761904</v>
      </c>
      <c r="L28" s="24">
        <v>7387301.5873015868</v>
      </c>
      <c r="N28">
        <f>INDEX(OutputValues_3,24,$M$4)</f>
        <v>7387301.5873015868</v>
      </c>
    </row>
    <row r="29" spans="1:14" x14ac:dyDescent="0.2">
      <c r="A29" s="42">
        <v>8800</v>
      </c>
      <c r="B29" s="29">
        <v>1</v>
      </c>
      <c r="C29">
        <v>0</v>
      </c>
      <c r="D29">
        <v>0</v>
      </c>
      <c r="E29" s="40">
        <v>0</v>
      </c>
      <c r="F29" s="40">
        <v>1</v>
      </c>
      <c r="G29">
        <v>1031.7460317460318</v>
      </c>
      <c r="H29">
        <v>0</v>
      </c>
      <c r="I29">
        <v>0</v>
      </c>
      <c r="J29" s="40">
        <v>0</v>
      </c>
      <c r="K29" s="40">
        <v>619.04761904761904</v>
      </c>
      <c r="L29" s="24">
        <v>7511111.111111111</v>
      </c>
      <c r="N29">
        <f>INDEX(OutputValues_3,25,$M$4)</f>
        <v>7511111.111111111</v>
      </c>
    </row>
    <row r="30" spans="1:14" x14ac:dyDescent="0.2">
      <c r="A30" s="42">
        <v>9000</v>
      </c>
      <c r="B30" s="29">
        <v>1</v>
      </c>
      <c r="C30">
        <v>0</v>
      </c>
      <c r="D30">
        <v>0</v>
      </c>
      <c r="E30" s="40">
        <v>0</v>
      </c>
      <c r="F30" s="40">
        <v>1</v>
      </c>
      <c r="G30">
        <v>1031.7460317460318</v>
      </c>
      <c r="H30">
        <v>0</v>
      </c>
      <c r="I30">
        <v>0</v>
      </c>
      <c r="J30" s="40">
        <v>0</v>
      </c>
      <c r="K30" s="40">
        <v>619.04761904761904</v>
      </c>
      <c r="L30" s="24">
        <v>7634920.6349206343</v>
      </c>
      <c r="N30">
        <f>INDEX(OutputValues_3,26,$M$4)</f>
        <v>7634920.6349206343</v>
      </c>
    </row>
    <row r="31" spans="1:14" x14ac:dyDescent="0.2">
      <c r="A31" s="42">
        <v>9200</v>
      </c>
      <c r="B31" s="29">
        <v>1</v>
      </c>
      <c r="C31">
        <v>0</v>
      </c>
      <c r="D31">
        <v>0</v>
      </c>
      <c r="E31" s="40">
        <v>0</v>
      </c>
      <c r="F31" s="40">
        <v>1</v>
      </c>
      <c r="G31">
        <v>1031.7460317460318</v>
      </c>
      <c r="H31">
        <v>0</v>
      </c>
      <c r="I31">
        <v>0</v>
      </c>
      <c r="J31" s="40">
        <v>0</v>
      </c>
      <c r="K31" s="40">
        <v>619.04761904761904</v>
      </c>
      <c r="L31" s="24">
        <v>7758730.1587301586</v>
      </c>
      <c r="N31">
        <f>INDEX(OutputValues_3,27,$M$4)</f>
        <v>7758730.1587301586</v>
      </c>
    </row>
    <row r="32" spans="1:14" x14ac:dyDescent="0.2">
      <c r="A32" s="42">
        <v>9400</v>
      </c>
      <c r="B32" s="29">
        <v>1</v>
      </c>
      <c r="C32">
        <v>0</v>
      </c>
      <c r="D32">
        <v>0</v>
      </c>
      <c r="E32" s="40">
        <v>0</v>
      </c>
      <c r="F32" s="40">
        <v>1</v>
      </c>
      <c r="G32">
        <v>1031.7460317460318</v>
      </c>
      <c r="H32">
        <v>0</v>
      </c>
      <c r="I32">
        <v>0</v>
      </c>
      <c r="J32" s="40">
        <v>0</v>
      </c>
      <c r="K32" s="40">
        <v>619.04761904761904</v>
      </c>
      <c r="L32" s="24">
        <v>7882539.6825396828</v>
      </c>
      <c r="N32">
        <f>INDEX(OutputValues_3,28,$M$4)</f>
        <v>7882539.6825396828</v>
      </c>
    </row>
    <row r="33" spans="1:14" x14ac:dyDescent="0.2">
      <c r="A33" s="42">
        <v>9600</v>
      </c>
      <c r="B33" s="29">
        <v>1</v>
      </c>
      <c r="C33">
        <v>0</v>
      </c>
      <c r="D33">
        <v>0</v>
      </c>
      <c r="E33" s="40">
        <v>0</v>
      </c>
      <c r="F33" s="40">
        <v>1</v>
      </c>
      <c r="G33">
        <v>1031.7460317460318</v>
      </c>
      <c r="H33">
        <v>0</v>
      </c>
      <c r="I33">
        <v>0</v>
      </c>
      <c r="J33" s="40">
        <v>0</v>
      </c>
      <c r="K33" s="40">
        <v>619.04761904761904</v>
      </c>
      <c r="L33" s="24">
        <v>8006349.2063492062</v>
      </c>
      <c r="N33">
        <f>INDEX(OutputValues_3,29,$M$4)</f>
        <v>8006349.2063492062</v>
      </c>
    </row>
    <row r="34" spans="1:14" x14ac:dyDescent="0.2">
      <c r="A34" s="42">
        <v>9800</v>
      </c>
      <c r="B34" s="29">
        <v>1</v>
      </c>
      <c r="C34">
        <v>0</v>
      </c>
      <c r="D34">
        <v>0</v>
      </c>
      <c r="E34" s="40">
        <v>0</v>
      </c>
      <c r="F34" s="40">
        <v>1</v>
      </c>
      <c r="G34">
        <v>1031.7460317460318</v>
      </c>
      <c r="H34">
        <v>0</v>
      </c>
      <c r="I34">
        <v>0</v>
      </c>
      <c r="J34" s="40">
        <v>0</v>
      </c>
      <c r="K34" s="40">
        <v>619.04761904761904</v>
      </c>
      <c r="L34" s="24">
        <v>8130158.7301587304</v>
      </c>
      <c r="N34">
        <f>INDEX(OutputValues_3,30,$M$4)</f>
        <v>8130158.7301587304</v>
      </c>
    </row>
    <row r="35" spans="1:14" x14ac:dyDescent="0.2">
      <c r="A35" s="42">
        <v>10000</v>
      </c>
      <c r="B35" s="30">
        <v>1</v>
      </c>
      <c r="C35" s="31">
        <v>0</v>
      </c>
      <c r="D35" s="31">
        <v>0</v>
      </c>
      <c r="E35" s="41">
        <v>0</v>
      </c>
      <c r="F35" s="41">
        <v>1</v>
      </c>
      <c r="G35" s="31">
        <v>1031.7460317460318</v>
      </c>
      <c r="H35" s="31">
        <v>0</v>
      </c>
      <c r="I35" s="31">
        <v>0</v>
      </c>
      <c r="J35" s="41">
        <v>0</v>
      </c>
      <c r="K35" s="41">
        <v>619.04761904761904</v>
      </c>
      <c r="L35" s="33">
        <v>8253968.2539682537</v>
      </c>
      <c r="N35">
        <f>INDEX(OutputValues_3,31,$M$4)</f>
        <v>8253968.2539682537</v>
      </c>
    </row>
  </sheetData>
  <dataValidations count="1">
    <dataValidation type="list" allowBlank="1" showInputMessage="1" showErrorMessage="1" sqref="N4" xr:uid="{AC3A2509-0474-5240-8AAE-BBF23203B777}">
      <formula1>OutputAddresses_3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E7C1B-F16C-3449-A34E-70CBE84DAEA1}">
  <dimension ref="A1:N23"/>
  <sheetViews>
    <sheetView workbookViewId="0"/>
  </sheetViews>
  <sheetFormatPr baseColWidth="10" defaultColWidth="8.83203125" defaultRowHeight="16" x14ac:dyDescent="0.2"/>
  <cols>
    <col min="8" max="8" width="12" bestFit="1" customWidth="1"/>
  </cols>
  <sheetData>
    <row r="1" spans="1:14" x14ac:dyDescent="0.2">
      <c r="A1" s="37" t="s">
        <v>71</v>
      </c>
      <c r="N1" s="38" t="str">
        <f>CONCATENATE("Sensitivity of ",$N$4," to ","Minimum Production level of large minivan")</f>
        <v>Sensitivity of Produce__if_any_1 to Minimum Production level of large minivan</v>
      </c>
    </row>
    <row r="3" spans="1:14" x14ac:dyDescent="0.2">
      <c r="A3" t="s">
        <v>138</v>
      </c>
      <c r="N3" t="s">
        <v>72</v>
      </c>
    </row>
    <row r="4" spans="1:14" ht="101" x14ac:dyDescent="0.2">
      <c r="B4" s="21" t="s">
        <v>127</v>
      </c>
      <c r="C4" s="21" t="s">
        <v>128</v>
      </c>
      <c r="D4" s="21" t="s">
        <v>129</v>
      </c>
      <c r="E4" s="21" t="s">
        <v>130</v>
      </c>
      <c r="F4" s="21" t="s">
        <v>131</v>
      </c>
      <c r="G4" s="21" t="s">
        <v>132</v>
      </c>
      <c r="H4" s="21" t="s">
        <v>133</v>
      </c>
      <c r="I4" s="21" t="s">
        <v>134</v>
      </c>
      <c r="J4" s="21" t="s">
        <v>135</v>
      </c>
      <c r="K4" s="21" t="s">
        <v>136</v>
      </c>
      <c r="L4" s="21" t="s">
        <v>69</v>
      </c>
      <c r="M4" s="38">
        <f>MATCH($N$4,OutputAddresses,0)</f>
        <v>1</v>
      </c>
      <c r="N4" s="25" t="s">
        <v>127</v>
      </c>
    </row>
    <row r="5" spans="1:14" x14ac:dyDescent="0.2">
      <c r="A5">
        <v>40</v>
      </c>
      <c r="B5" s="27">
        <v>1</v>
      </c>
      <c r="C5" s="22">
        <v>0</v>
      </c>
      <c r="D5" s="22">
        <v>0</v>
      </c>
      <c r="E5" s="39">
        <v>1</v>
      </c>
      <c r="F5" s="39">
        <v>1</v>
      </c>
      <c r="G5" s="22">
        <v>1000</v>
      </c>
      <c r="H5" s="22">
        <v>2.5579538487363607E-13</v>
      </c>
      <c r="I5" s="22">
        <v>0</v>
      </c>
      <c r="J5" s="39">
        <v>200</v>
      </c>
      <c r="K5" s="39">
        <v>472.72727272727258</v>
      </c>
      <c r="L5" s="23">
        <v>6409090.9090909092</v>
      </c>
      <c r="N5">
        <f>INDEX(OutputValues,1,$M$4)</f>
        <v>1</v>
      </c>
    </row>
    <row r="6" spans="1:14" x14ac:dyDescent="0.2">
      <c r="A6">
        <v>60</v>
      </c>
      <c r="B6" s="29">
        <v>1</v>
      </c>
      <c r="C6">
        <v>0</v>
      </c>
      <c r="D6">
        <v>0</v>
      </c>
      <c r="E6" s="40">
        <v>1</v>
      </c>
      <c r="F6" s="40">
        <v>1</v>
      </c>
      <c r="G6">
        <v>1000.0000000000001</v>
      </c>
      <c r="H6">
        <v>2.5579538487363607E-13</v>
      </c>
      <c r="I6">
        <v>0</v>
      </c>
      <c r="J6" s="40">
        <v>200</v>
      </c>
      <c r="K6" s="40">
        <v>472.72727272727263</v>
      </c>
      <c r="L6" s="24">
        <v>6409090.9090909092</v>
      </c>
      <c r="N6">
        <f>INDEX(OutputValues,2,$M$4)</f>
        <v>1</v>
      </c>
    </row>
    <row r="7" spans="1:14" x14ac:dyDescent="0.2">
      <c r="A7">
        <v>80</v>
      </c>
      <c r="B7" s="29">
        <v>1</v>
      </c>
      <c r="C7">
        <v>0</v>
      </c>
      <c r="D7">
        <v>0</v>
      </c>
      <c r="E7" s="40">
        <v>1</v>
      </c>
      <c r="F7" s="40">
        <v>1</v>
      </c>
      <c r="G7">
        <v>1000.0000000000002</v>
      </c>
      <c r="H7">
        <v>0</v>
      </c>
      <c r="I7">
        <v>0</v>
      </c>
      <c r="J7" s="40">
        <v>199.99999999999989</v>
      </c>
      <c r="K7" s="40">
        <v>472.72727272727263</v>
      </c>
      <c r="L7" s="24">
        <v>6409090.9090909082</v>
      </c>
      <c r="N7">
        <f>INDEX(OutputValues,3,$M$4)</f>
        <v>1</v>
      </c>
    </row>
    <row r="8" spans="1:14" x14ac:dyDescent="0.2">
      <c r="A8">
        <v>100</v>
      </c>
      <c r="B8" s="29">
        <v>1</v>
      </c>
      <c r="C8">
        <v>0</v>
      </c>
      <c r="D8">
        <v>0</v>
      </c>
      <c r="E8" s="40">
        <v>1</v>
      </c>
      <c r="F8" s="40">
        <v>1</v>
      </c>
      <c r="G8">
        <v>1000.0000000000002</v>
      </c>
      <c r="H8">
        <v>4.8316906031686813E-13</v>
      </c>
      <c r="I8">
        <v>0</v>
      </c>
      <c r="J8" s="40">
        <v>200.00000000000011</v>
      </c>
      <c r="K8" s="40">
        <v>472.72727272727269</v>
      </c>
      <c r="L8" s="24">
        <v>6409090.909090911</v>
      </c>
      <c r="N8">
        <f>INDEX(OutputValues,4,$M$4)</f>
        <v>1</v>
      </c>
    </row>
    <row r="9" spans="1:14" x14ac:dyDescent="0.2">
      <c r="A9">
        <v>120</v>
      </c>
      <c r="B9" s="29">
        <v>1</v>
      </c>
      <c r="C9">
        <v>0</v>
      </c>
      <c r="D9">
        <v>0</v>
      </c>
      <c r="E9" s="40">
        <v>1</v>
      </c>
      <c r="F9" s="40">
        <v>1</v>
      </c>
      <c r="G9">
        <v>1000.0000000000002</v>
      </c>
      <c r="H9">
        <v>1.7356486618306706E-14</v>
      </c>
      <c r="I9">
        <v>0</v>
      </c>
      <c r="J9" s="40">
        <v>200</v>
      </c>
      <c r="K9" s="40">
        <v>472.72727272727246</v>
      </c>
      <c r="L9" s="24">
        <v>6409090.9090909082</v>
      </c>
      <c r="N9">
        <f>INDEX(OutputValues,5,$M$4)</f>
        <v>1</v>
      </c>
    </row>
    <row r="10" spans="1:14" x14ac:dyDescent="0.2">
      <c r="A10">
        <v>140</v>
      </c>
      <c r="B10" s="29">
        <v>1</v>
      </c>
      <c r="C10">
        <v>0</v>
      </c>
      <c r="D10">
        <v>0</v>
      </c>
      <c r="E10" s="40">
        <v>1</v>
      </c>
      <c r="F10" s="40">
        <v>1</v>
      </c>
      <c r="G10">
        <v>999.99999999999989</v>
      </c>
      <c r="H10">
        <v>0</v>
      </c>
      <c r="I10">
        <v>0</v>
      </c>
      <c r="J10" s="40">
        <v>200</v>
      </c>
      <c r="K10" s="40">
        <v>472.72727272727292</v>
      </c>
      <c r="L10" s="24">
        <v>6409090.9090909101</v>
      </c>
      <c r="N10">
        <f>INDEX(OutputValues,6,$M$4)</f>
        <v>1</v>
      </c>
    </row>
    <row r="11" spans="1:14" x14ac:dyDescent="0.2">
      <c r="A11">
        <v>160</v>
      </c>
      <c r="B11" s="29">
        <v>1</v>
      </c>
      <c r="C11">
        <v>0</v>
      </c>
      <c r="D11">
        <v>0</v>
      </c>
      <c r="E11" s="40">
        <v>1</v>
      </c>
      <c r="F11" s="40">
        <v>1</v>
      </c>
      <c r="G11">
        <v>1000.0000000000003</v>
      </c>
      <c r="H11">
        <v>0</v>
      </c>
      <c r="I11">
        <v>0</v>
      </c>
      <c r="J11" s="40">
        <v>199.99999999999983</v>
      </c>
      <c r="K11" s="40">
        <v>472.72727272727252</v>
      </c>
      <c r="L11" s="24">
        <v>6409090.9090909082</v>
      </c>
      <c r="N11">
        <f>INDEX(OutputValues,7,$M$4)</f>
        <v>1</v>
      </c>
    </row>
    <row r="12" spans="1:14" x14ac:dyDescent="0.2">
      <c r="A12">
        <v>180</v>
      </c>
      <c r="B12" s="29">
        <v>1</v>
      </c>
      <c r="C12">
        <v>0</v>
      </c>
      <c r="D12">
        <v>0</v>
      </c>
      <c r="E12" s="40">
        <v>1</v>
      </c>
      <c r="F12" s="40">
        <v>1</v>
      </c>
      <c r="G12">
        <v>999.99999999999989</v>
      </c>
      <c r="H12">
        <v>2.5579538487363607E-13</v>
      </c>
      <c r="I12">
        <v>0</v>
      </c>
      <c r="J12" s="40">
        <v>199.99999999999989</v>
      </c>
      <c r="K12" s="40">
        <v>472.72727272727258</v>
      </c>
      <c r="L12" s="24">
        <v>6409090.9090909082</v>
      </c>
      <c r="N12">
        <f>INDEX(OutputValues,8,$M$4)</f>
        <v>1</v>
      </c>
    </row>
    <row r="13" spans="1:14" x14ac:dyDescent="0.2">
      <c r="A13">
        <v>200</v>
      </c>
      <c r="B13" s="29">
        <v>1</v>
      </c>
      <c r="C13">
        <v>0</v>
      </c>
      <c r="D13">
        <v>0</v>
      </c>
      <c r="E13" s="40">
        <v>1</v>
      </c>
      <c r="F13" s="40">
        <v>1</v>
      </c>
      <c r="G13">
        <v>1000.0000000000002</v>
      </c>
      <c r="H13">
        <v>0</v>
      </c>
      <c r="I13">
        <v>0</v>
      </c>
      <c r="J13" s="40">
        <v>200</v>
      </c>
      <c r="K13" s="40">
        <v>472.72727272727246</v>
      </c>
      <c r="L13" s="24">
        <v>6409090.9090909082</v>
      </c>
      <c r="N13">
        <f>INDEX(OutputValues,9,$M$4)</f>
        <v>1</v>
      </c>
    </row>
    <row r="14" spans="1:14" x14ac:dyDescent="0.2">
      <c r="A14">
        <v>220</v>
      </c>
      <c r="B14" s="29">
        <v>1</v>
      </c>
      <c r="C14">
        <v>0</v>
      </c>
      <c r="D14">
        <v>0</v>
      </c>
      <c r="E14" s="40">
        <v>1</v>
      </c>
      <c r="F14" s="40">
        <v>1</v>
      </c>
      <c r="G14">
        <v>1000</v>
      </c>
      <c r="H14">
        <v>0</v>
      </c>
      <c r="I14">
        <v>0</v>
      </c>
      <c r="J14" s="40">
        <v>200</v>
      </c>
      <c r="K14" s="40">
        <v>472.72727272727275</v>
      </c>
      <c r="L14" s="24">
        <v>6409090.9090909092</v>
      </c>
      <c r="N14">
        <f>INDEX(OutputValues,10,$M$4)</f>
        <v>1</v>
      </c>
    </row>
    <row r="15" spans="1:14" x14ac:dyDescent="0.2">
      <c r="A15">
        <v>240</v>
      </c>
      <c r="B15" s="29">
        <v>1</v>
      </c>
      <c r="C15">
        <v>0</v>
      </c>
      <c r="D15">
        <v>0</v>
      </c>
      <c r="E15" s="40">
        <v>1</v>
      </c>
      <c r="F15" s="40">
        <v>1</v>
      </c>
      <c r="G15">
        <v>1000.0000000000002</v>
      </c>
      <c r="H15">
        <v>0</v>
      </c>
      <c r="I15">
        <v>0</v>
      </c>
      <c r="J15" s="40">
        <v>199.99999999999994</v>
      </c>
      <c r="K15" s="40">
        <v>472.72727272727269</v>
      </c>
      <c r="L15" s="24">
        <v>6409090.9090909082</v>
      </c>
      <c r="N15">
        <f>INDEX(OutputValues,11,$M$4)</f>
        <v>1</v>
      </c>
    </row>
    <row r="16" spans="1:14" x14ac:dyDescent="0.2">
      <c r="A16">
        <v>260</v>
      </c>
      <c r="B16" s="29">
        <v>1</v>
      </c>
      <c r="C16">
        <v>0</v>
      </c>
      <c r="D16">
        <v>0</v>
      </c>
      <c r="E16" s="40">
        <v>1</v>
      </c>
      <c r="F16" s="40">
        <v>1</v>
      </c>
      <c r="G16">
        <v>1000.0000000000001</v>
      </c>
      <c r="H16">
        <v>0</v>
      </c>
      <c r="I16">
        <v>0</v>
      </c>
      <c r="J16" s="40">
        <v>199.99999999999977</v>
      </c>
      <c r="K16" s="40">
        <v>472.72727272727275</v>
      </c>
      <c r="L16" s="24">
        <v>6409090.9090909082</v>
      </c>
      <c r="N16">
        <f>INDEX(OutputValues,12,$M$4)</f>
        <v>1</v>
      </c>
    </row>
    <row r="17" spans="1:14" x14ac:dyDescent="0.2">
      <c r="A17">
        <v>280</v>
      </c>
      <c r="B17" s="29">
        <v>1</v>
      </c>
      <c r="C17">
        <v>0</v>
      </c>
      <c r="D17">
        <v>0</v>
      </c>
      <c r="E17" s="40">
        <v>1</v>
      </c>
      <c r="F17" s="40">
        <v>1</v>
      </c>
      <c r="G17">
        <v>1000</v>
      </c>
      <c r="H17">
        <v>0</v>
      </c>
      <c r="I17">
        <v>0</v>
      </c>
      <c r="J17" s="40">
        <v>200.00000000000011</v>
      </c>
      <c r="K17" s="40">
        <v>472.72727272727263</v>
      </c>
      <c r="L17" s="24">
        <v>6409090.9090909092</v>
      </c>
      <c r="N17">
        <f>INDEX(OutputValues,13,$M$4)</f>
        <v>1</v>
      </c>
    </row>
    <row r="18" spans="1:14" x14ac:dyDescent="0.2">
      <c r="A18">
        <v>300</v>
      </c>
      <c r="B18" s="29">
        <v>1</v>
      </c>
      <c r="C18">
        <v>0</v>
      </c>
      <c r="D18">
        <v>0</v>
      </c>
      <c r="E18" s="40">
        <v>1</v>
      </c>
      <c r="F18" s="40">
        <v>1</v>
      </c>
      <c r="G18">
        <v>1000</v>
      </c>
      <c r="H18">
        <v>0</v>
      </c>
      <c r="I18">
        <v>0</v>
      </c>
      <c r="J18" s="40">
        <v>199.99999999999983</v>
      </c>
      <c r="K18" s="40">
        <v>472.72727272727286</v>
      </c>
      <c r="L18" s="24">
        <v>6409090.9090909092</v>
      </c>
      <c r="N18">
        <f>INDEX(OutputValues,14,$M$4)</f>
        <v>1</v>
      </c>
    </row>
    <row r="19" spans="1:14" x14ac:dyDescent="0.2">
      <c r="A19">
        <v>320</v>
      </c>
      <c r="B19" s="29">
        <v>1</v>
      </c>
      <c r="C19">
        <v>0</v>
      </c>
      <c r="D19">
        <v>0</v>
      </c>
      <c r="E19" s="40">
        <v>1</v>
      </c>
      <c r="F19" s="40">
        <v>1</v>
      </c>
      <c r="G19">
        <v>1000.0000000000003</v>
      </c>
      <c r="H19">
        <v>0</v>
      </c>
      <c r="I19">
        <v>0</v>
      </c>
      <c r="J19" s="40">
        <v>199.99999999999986</v>
      </c>
      <c r="K19" s="40">
        <v>472.72727272727263</v>
      </c>
      <c r="L19" s="24">
        <v>6409090.9090909082</v>
      </c>
      <c r="N19">
        <f>INDEX(OutputValues,15,$M$4)</f>
        <v>1</v>
      </c>
    </row>
    <row r="20" spans="1:14" x14ac:dyDescent="0.2">
      <c r="A20">
        <v>340</v>
      </c>
      <c r="B20" s="29">
        <v>1</v>
      </c>
      <c r="C20">
        <v>0</v>
      </c>
      <c r="D20">
        <v>0</v>
      </c>
      <c r="E20" s="40">
        <v>1</v>
      </c>
      <c r="F20" s="40">
        <v>1</v>
      </c>
      <c r="G20">
        <v>1000.0000000000002</v>
      </c>
      <c r="H20">
        <v>0</v>
      </c>
      <c r="I20">
        <v>0</v>
      </c>
      <c r="J20" s="40">
        <v>199.99999999999994</v>
      </c>
      <c r="K20" s="40">
        <v>472.72727272727269</v>
      </c>
      <c r="L20" s="24">
        <v>6409090.9090909082</v>
      </c>
      <c r="N20">
        <f>INDEX(OutputValues,16,$M$4)</f>
        <v>1</v>
      </c>
    </row>
    <row r="21" spans="1:14" x14ac:dyDescent="0.2">
      <c r="A21">
        <v>360</v>
      </c>
      <c r="B21" s="29">
        <v>1</v>
      </c>
      <c r="C21">
        <v>0</v>
      </c>
      <c r="D21">
        <v>0</v>
      </c>
      <c r="E21" s="40">
        <v>1</v>
      </c>
      <c r="F21" s="40">
        <v>1</v>
      </c>
      <c r="G21">
        <v>1000.0000000000002</v>
      </c>
      <c r="H21">
        <v>0</v>
      </c>
      <c r="I21">
        <v>0</v>
      </c>
      <c r="J21" s="40">
        <v>199.99999999999989</v>
      </c>
      <c r="K21" s="40">
        <v>472.72727272727269</v>
      </c>
      <c r="L21" s="24">
        <v>6409090.9090909082</v>
      </c>
      <c r="N21">
        <f>INDEX(OutputValues,17,$M$4)</f>
        <v>1</v>
      </c>
    </row>
    <row r="22" spans="1:14" x14ac:dyDescent="0.2">
      <c r="A22">
        <v>380</v>
      </c>
      <c r="B22" s="29">
        <v>1</v>
      </c>
      <c r="C22">
        <v>0</v>
      </c>
      <c r="D22">
        <v>0</v>
      </c>
      <c r="E22" s="40">
        <v>1</v>
      </c>
      <c r="F22" s="40">
        <v>1</v>
      </c>
      <c r="G22">
        <v>1000.0000000000001</v>
      </c>
      <c r="H22">
        <v>0</v>
      </c>
      <c r="I22">
        <v>0</v>
      </c>
      <c r="J22" s="40">
        <v>199.99999999999994</v>
      </c>
      <c r="K22" s="40">
        <v>472.72727272727263</v>
      </c>
      <c r="L22" s="24">
        <v>6409090.9090909082</v>
      </c>
      <c r="N22">
        <f>INDEX(OutputValues,18,$M$4)</f>
        <v>1</v>
      </c>
    </row>
    <row r="23" spans="1:14" x14ac:dyDescent="0.2">
      <c r="A23">
        <v>400</v>
      </c>
      <c r="B23" s="30">
        <v>1</v>
      </c>
      <c r="C23" s="31">
        <v>0</v>
      </c>
      <c r="D23" s="31">
        <v>0</v>
      </c>
      <c r="E23" s="41">
        <v>1</v>
      </c>
      <c r="F23" s="41">
        <v>1</v>
      </c>
      <c r="G23" s="31">
        <v>1000.0000000000001</v>
      </c>
      <c r="H23" s="31">
        <v>0</v>
      </c>
      <c r="I23" s="31">
        <v>0</v>
      </c>
      <c r="J23" s="41">
        <v>199.99999999999997</v>
      </c>
      <c r="K23" s="41">
        <v>472.72727272727269</v>
      </c>
      <c r="L23" s="33">
        <v>6409090.9090909082</v>
      </c>
      <c r="N23">
        <f>INDEX(OutputValues,19,$M$4)</f>
        <v>1</v>
      </c>
    </row>
  </sheetData>
  <dataValidations count="1">
    <dataValidation type="list" allowBlank="1" showInputMessage="1" showErrorMessage="1" sqref="N4" xr:uid="{7DEA25D7-69D3-5C49-A26B-C7361210009C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5671-4561-EC4C-8B25-94188AAA4160}">
  <dimension ref="A1:N35"/>
  <sheetViews>
    <sheetView topLeftCell="A4" workbookViewId="0">
      <selection activeCell="T42" sqref="T22:T42"/>
    </sheetView>
  </sheetViews>
  <sheetFormatPr baseColWidth="10" defaultColWidth="8.83203125" defaultRowHeight="16" x14ac:dyDescent="0.2"/>
  <cols>
    <col min="7" max="7" width="12" bestFit="1" customWidth="1"/>
  </cols>
  <sheetData>
    <row r="1" spans="1:14" x14ac:dyDescent="0.2">
      <c r="A1" s="37" t="s">
        <v>71</v>
      </c>
      <c r="N1" s="38" t="str">
        <f>CONCATENATE("Sensitivity of ",$N$4," to ","Minimum Production level of compact cars")</f>
        <v>Sensitivity of Produce__if_any_1 to Minimum Production level of compact cars</v>
      </c>
    </row>
    <row r="3" spans="1:14" x14ac:dyDescent="0.2">
      <c r="A3" t="s">
        <v>139</v>
      </c>
      <c r="N3" t="s">
        <v>72</v>
      </c>
    </row>
    <row r="4" spans="1:14" ht="101" x14ac:dyDescent="0.2">
      <c r="B4" s="21" t="s">
        <v>127</v>
      </c>
      <c r="C4" s="21" t="s">
        <v>128</v>
      </c>
      <c r="D4" s="21" t="s">
        <v>129</v>
      </c>
      <c r="E4" s="21" t="s">
        <v>130</v>
      </c>
      <c r="F4" s="21" t="s">
        <v>131</v>
      </c>
      <c r="G4" s="21" t="s">
        <v>132</v>
      </c>
      <c r="H4" s="21" t="s">
        <v>133</v>
      </c>
      <c r="I4" s="21" t="s">
        <v>134</v>
      </c>
      <c r="J4" s="21" t="s">
        <v>135</v>
      </c>
      <c r="K4" s="21" t="s">
        <v>136</v>
      </c>
      <c r="L4" s="21" t="s">
        <v>69</v>
      </c>
      <c r="M4" s="38">
        <f>MATCH($N$4,OutputAddresses,0)</f>
        <v>1</v>
      </c>
      <c r="N4" s="25" t="s">
        <v>127</v>
      </c>
    </row>
    <row r="5" spans="1:14" x14ac:dyDescent="0.2">
      <c r="A5">
        <v>500</v>
      </c>
      <c r="B5" s="27">
        <v>1</v>
      </c>
      <c r="C5" s="22">
        <v>0</v>
      </c>
      <c r="D5" s="22">
        <v>0</v>
      </c>
      <c r="E5" s="39">
        <v>1</v>
      </c>
      <c r="F5" s="39">
        <v>0</v>
      </c>
      <c r="G5" s="22">
        <v>866.6666666666672</v>
      </c>
      <c r="H5" s="22">
        <v>0</v>
      </c>
      <c r="I5" s="22">
        <v>0</v>
      </c>
      <c r="J5" s="39">
        <v>866.66666666666629</v>
      </c>
      <c r="K5" s="39">
        <v>0</v>
      </c>
      <c r="L5" s="23">
        <v>6499999.9999999981</v>
      </c>
      <c r="N5">
        <f>INDEX(OutputValues,1,$M$4)</f>
        <v>1</v>
      </c>
    </row>
    <row r="6" spans="1:14" x14ac:dyDescent="0.2">
      <c r="A6">
        <v>550</v>
      </c>
      <c r="B6" s="29">
        <v>1</v>
      </c>
      <c r="C6">
        <v>0</v>
      </c>
      <c r="D6">
        <v>0</v>
      </c>
      <c r="E6" s="40">
        <v>1</v>
      </c>
      <c r="F6" s="40">
        <v>0</v>
      </c>
      <c r="G6">
        <v>866.66666666666765</v>
      </c>
      <c r="H6">
        <v>0</v>
      </c>
      <c r="I6">
        <v>0</v>
      </c>
      <c r="J6" s="40">
        <v>866.66666666666629</v>
      </c>
      <c r="K6" s="40">
        <v>0</v>
      </c>
      <c r="L6" s="24">
        <v>6500000</v>
      </c>
      <c r="N6">
        <f>INDEX(OutputValues,2,$M$4)</f>
        <v>1</v>
      </c>
    </row>
    <row r="7" spans="1:14" x14ac:dyDescent="0.2">
      <c r="A7">
        <v>600</v>
      </c>
      <c r="B7" s="29">
        <v>1</v>
      </c>
      <c r="C7">
        <v>0</v>
      </c>
      <c r="D7">
        <v>0</v>
      </c>
      <c r="E7" s="40">
        <v>1</v>
      </c>
      <c r="F7" s="40">
        <v>0</v>
      </c>
      <c r="G7">
        <v>866.66666666666742</v>
      </c>
      <c r="H7">
        <v>0</v>
      </c>
      <c r="I7">
        <v>0</v>
      </c>
      <c r="J7" s="40">
        <v>866.66666666666629</v>
      </c>
      <c r="K7" s="40">
        <v>0</v>
      </c>
      <c r="L7" s="24">
        <v>6499999.9999999991</v>
      </c>
      <c r="N7">
        <f>INDEX(OutputValues,3,$M$4)</f>
        <v>1</v>
      </c>
    </row>
    <row r="8" spans="1:14" x14ac:dyDescent="0.2">
      <c r="A8">
        <v>650</v>
      </c>
      <c r="B8" s="29">
        <v>1</v>
      </c>
      <c r="C8">
        <v>0</v>
      </c>
      <c r="D8">
        <v>0</v>
      </c>
      <c r="E8" s="40">
        <v>1</v>
      </c>
      <c r="F8" s="40">
        <v>0</v>
      </c>
      <c r="G8">
        <v>866.66666666666686</v>
      </c>
      <c r="H8">
        <v>0</v>
      </c>
      <c r="I8">
        <v>0</v>
      </c>
      <c r="J8" s="40">
        <v>866.66666666666629</v>
      </c>
      <c r="K8" s="40">
        <v>0</v>
      </c>
      <c r="L8" s="24">
        <v>6499999.9999999981</v>
      </c>
      <c r="N8">
        <f>INDEX(OutputValues,4,$M$4)</f>
        <v>1</v>
      </c>
    </row>
    <row r="9" spans="1:14" x14ac:dyDescent="0.2">
      <c r="A9">
        <v>700</v>
      </c>
      <c r="B9" s="29">
        <v>1</v>
      </c>
      <c r="C9">
        <v>0</v>
      </c>
      <c r="D9">
        <v>0</v>
      </c>
      <c r="E9" s="40">
        <v>1</v>
      </c>
      <c r="F9" s="40">
        <v>0</v>
      </c>
      <c r="G9">
        <v>866.66666666666697</v>
      </c>
      <c r="H9">
        <v>0</v>
      </c>
      <c r="I9">
        <v>0</v>
      </c>
      <c r="J9" s="40">
        <v>866.66666666666629</v>
      </c>
      <c r="K9" s="40">
        <v>0</v>
      </c>
      <c r="L9" s="24">
        <v>6499999.9999999981</v>
      </c>
      <c r="N9">
        <f>INDEX(OutputValues,5,$M$4)</f>
        <v>1</v>
      </c>
    </row>
    <row r="10" spans="1:14" x14ac:dyDescent="0.2">
      <c r="A10">
        <v>750</v>
      </c>
      <c r="B10" s="29">
        <v>1</v>
      </c>
      <c r="C10">
        <v>0</v>
      </c>
      <c r="D10">
        <v>0</v>
      </c>
      <c r="E10" s="40">
        <v>1</v>
      </c>
      <c r="F10" s="40">
        <v>0</v>
      </c>
      <c r="G10">
        <v>866.66666666666686</v>
      </c>
      <c r="H10">
        <v>0</v>
      </c>
      <c r="I10">
        <v>0</v>
      </c>
      <c r="J10" s="40">
        <v>866.66666666666629</v>
      </c>
      <c r="K10" s="40">
        <v>0</v>
      </c>
      <c r="L10" s="24">
        <v>6499999.9999999981</v>
      </c>
      <c r="N10">
        <f>INDEX(OutputValues,6,$M$4)</f>
        <v>1</v>
      </c>
    </row>
    <row r="11" spans="1:14" x14ac:dyDescent="0.2">
      <c r="A11">
        <v>800</v>
      </c>
      <c r="B11" s="29">
        <v>1</v>
      </c>
      <c r="C11">
        <v>0</v>
      </c>
      <c r="D11">
        <v>0</v>
      </c>
      <c r="E11" s="40">
        <v>1</v>
      </c>
      <c r="F11" s="40">
        <v>0</v>
      </c>
      <c r="G11">
        <v>866.6666666666672</v>
      </c>
      <c r="H11">
        <v>0</v>
      </c>
      <c r="I11">
        <v>0</v>
      </c>
      <c r="J11" s="40">
        <v>866.66666666666629</v>
      </c>
      <c r="K11" s="40">
        <v>0</v>
      </c>
      <c r="L11" s="24">
        <v>6499999.9999999981</v>
      </c>
      <c r="N11">
        <f>INDEX(OutputValues,7,$M$4)</f>
        <v>1</v>
      </c>
    </row>
    <row r="12" spans="1:14" x14ac:dyDescent="0.2">
      <c r="A12">
        <v>850</v>
      </c>
      <c r="B12" s="29">
        <v>1</v>
      </c>
      <c r="C12">
        <v>0</v>
      </c>
      <c r="D12">
        <v>0</v>
      </c>
      <c r="E12" s="40">
        <v>1</v>
      </c>
      <c r="F12" s="40">
        <v>0</v>
      </c>
      <c r="G12">
        <v>866.66666666666731</v>
      </c>
      <c r="H12">
        <v>0</v>
      </c>
      <c r="I12">
        <v>0</v>
      </c>
      <c r="J12" s="40">
        <v>866.66666666666629</v>
      </c>
      <c r="K12" s="40">
        <v>0</v>
      </c>
      <c r="L12" s="24">
        <v>6499999.9999999991</v>
      </c>
      <c r="N12">
        <f>INDEX(OutputValues,8,$M$4)</f>
        <v>1</v>
      </c>
    </row>
    <row r="13" spans="1:14" x14ac:dyDescent="0.2">
      <c r="A13">
        <v>900</v>
      </c>
      <c r="B13" s="29">
        <v>1</v>
      </c>
      <c r="C13">
        <v>0</v>
      </c>
      <c r="D13">
        <v>0</v>
      </c>
      <c r="E13" s="40">
        <v>1</v>
      </c>
      <c r="F13" s="40">
        <v>1</v>
      </c>
      <c r="G13">
        <v>919.99999999999989</v>
      </c>
      <c r="H13">
        <v>0</v>
      </c>
      <c r="I13">
        <v>0</v>
      </c>
      <c r="J13" s="40">
        <v>586.6666666666664</v>
      </c>
      <c r="K13" s="40">
        <v>199.99999999999994</v>
      </c>
      <c r="L13" s="24">
        <v>6466666.6666666642</v>
      </c>
      <c r="N13">
        <f>INDEX(OutputValues,9,$M$4)</f>
        <v>1</v>
      </c>
    </row>
    <row r="14" spans="1:14" x14ac:dyDescent="0.2">
      <c r="A14">
        <v>950</v>
      </c>
      <c r="B14" s="29">
        <v>1</v>
      </c>
      <c r="C14">
        <v>0</v>
      </c>
      <c r="D14">
        <v>0</v>
      </c>
      <c r="E14" s="40">
        <v>1</v>
      </c>
      <c r="F14" s="40">
        <v>1</v>
      </c>
      <c r="G14">
        <v>950</v>
      </c>
      <c r="H14">
        <v>0</v>
      </c>
      <c r="I14">
        <v>0</v>
      </c>
      <c r="J14" s="40">
        <v>429.16666666666845</v>
      </c>
      <c r="K14" s="40">
        <v>312.49999999999852</v>
      </c>
      <c r="L14" s="24">
        <v>6447916.666666666</v>
      </c>
      <c r="N14">
        <f>INDEX(OutputValues,10,$M$4)</f>
        <v>1</v>
      </c>
    </row>
    <row r="15" spans="1:14" x14ac:dyDescent="0.2">
      <c r="A15">
        <v>1000</v>
      </c>
      <c r="B15" s="29">
        <v>1</v>
      </c>
      <c r="C15">
        <v>0</v>
      </c>
      <c r="D15">
        <v>0</v>
      </c>
      <c r="E15" s="40">
        <v>1</v>
      </c>
      <c r="F15" s="40">
        <v>1</v>
      </c>
      <c r="G15">
        <v>1000.0000000000002</v>
      </c>
      <c r="H15">
        <v>0</v>
      </c>
      <c r="I15">
        <v>0</v>
      </c>
      <c r="J15" s="40">
        <v>200</v>
      </c>
      <c r="K15" s="40">
        <v>472.72727272727246</v>
      </c>
      <c r="L15" s="24">
        <v>6409090.9090909082</v>
      </c>
      <c r="N15">
        <f>INDEX(OutputValues,11,$M$4)</f>
        <v>1</v>
      </c>
    </row>
    <row r="16" spans="1:14" x14ac:dyDescent="0.2">
      <c r="A16">
        <v>1050</v>
      </c>
      <c r="B16" s="29">
        <v>1</v>
      </c>
      <c r="C16">
        <v>0</v>
      </c>
      <c r="D16">
        <v>0</v>
      </c>
      <c r="E16" s="40">
        <v>0</v>
      </c>
      <c r="F16" s="40">
        <v>1</v>
      </c>
      <c r="G16">
        <v>1050</v>
      </c>
      <c r="H16">
        <v>0</v>
      </c>
      <c r="I16">
        <v>0</v>
      </c>
      <c r="J16" s="40">
        <v>0</v>
      </c>
      <c r="K16" s="40">
        <v>609.09090909090901</v>
      </c>
      <c r="L16" s="24">
        <v>6363636.3636363633</v>
      </c>
      <c r="N16">
        <f>INDEX(OutputValues,12,$M$4)</f>
        <v>1</v>
      </c>
    </row>
    <row r="17" spans="1:14" x14ac:dyDescent="0.2">
      <c r="A17">
        <v>1100</v>
      </c>
      <c r="B17" s="29">
        <v>1</v>
      </c>
      <c r="C17">
        <v>0</v>
      </c>
      <c r="D17">
        <v>0</v>
      </c>
      <c r="E17" s="40">
        <v>0</v>
      </c>
      <c r="F17" s="40">
        <v>1</v>
      </c>
      <c r="G17">
        <v>1100.0000000000005</v>
      </c>
      <c r="H17">
        <v>0</v>
      </c>
      <c r="I17">
        <v>0</v>
      </c>
      <c r="J17" s="40">
        <v>0</v>
      </c>
      <c r="K17" s="40">
        <v>581.81818181818153</v>
      </c>
      <c r="L17" s="24">
        <v>6272727.2727272715</v>
      </c>
      <c r="N17">
        <f>INDEX(OutputValues,13,$M$4)</f>
        <v>1</v>
      </c>
    </row>
    <row r="18" spans="1:14" x14ac:dyDescent="0.2">
      <c r="A18">
        <v>1150</v>
      </c>
      <c r="B18" s="29">
        <v>1</v>
      </c>
      <c r="C18">
        <v>0</v>
      </c>
      <c r="D18">
        <v>0</v>
      </c>
      <c r="E18" s="40">
        <v>0</v>
      </c>
      <c r="F18" s="40">
        <v>1</v>
      </c>
      <c r="G18">
        <v>1150.0000000000002</v>
      </c>
      <c r="H18">
        <v>0</v>
      </c>
      <c r="I18">
        <v>0</v>
      </c>
      <c r="J18" s="40">
        <v>0</v>
      </c>
      <c r="K18" s="40">
        <v>554.5454545454545</v>
      </c>
      <c r="L18" s="24">
        <v>6181818.1818181816</v>
      </c>
      <c r="N18">
        <f>INDEX(OutputValues,14,$M$4)</f>
        <v>1</v>
      </c>
    </row>
    <row r="19" spans="1:14" x14ac:dyDescent="0.2">
      <c r="A19">
        <v>1200</v>
      </c>
      <c r="B19" s="29">
        <v>1</v>
      </c>
      <c r="C19">
        <v>0</v>
      </c>
      <c r="D19">
        <v>0</v>
      </c>
      <c r="E19" s="40">
        <v>0</v>
      </c>
      <c r="F19" s="40">
        <v>1</v>
      </c>
      <c r="G19">
        <v>1200.0000000000002</v>
      </c>
      <c r="H19">
        <v>0</v>
      </c>
      <c r="I19">
        <v>0</v>
      </c>
      <c r="J19" s="40">
        <v>0</v>
      </c>
      <c r="K19" s="40">
        <v>527.27272727272702</v>
      </c>
      <c r="L19" s="24">
        <v>6090909.0909090899</v>
      </c>
      <c r="N19">
        <f>INDEX(OutputValues,15,$M$4)</f>
        <v>1</v>
      </c>
    </row>
    <row r="20" spans="1:14" x14ac:dyDescent="0.2">
      <c r="A20">
        <v>1250</v>
      </c>
      <c r="B20" s="29">
        <v>0</v>
      </c>
      <c r="C20">
        <v>0</v>
      </c>
      <c r="D20">
        <v>0</v>
      </c>
      <c r="E20" s="40">
        <v>1</v>
      </c>
      <c r="F20" s="40">
        <v>0</v>
      </c>
      <c r="G20">
        <v>1.1368683772161603E-13</v>
      </c>
      <c r="H20">
        <v>0</v>
      </c>
      <c r="I20">
        <v>0</v>
      </c>
      <c r="J20" s="40">
        <v>1083.333333333333</v>
      </c>
      <c r="K20" s="40">
        <v>0</v>
      </c>
      <c r="L20" s="24">
        <v>5958333.3333333321</v>
      </c>
      <c r="N20">
        <f>INDEX(OutputValues,16,$M$4)</f>
        <v>0</v>
      </c>
    </row>
    <row r="21" spans="1:14" x14ac:dyDescent="0.2">
      <c r="A21">
        <v>1300</v>
      </c>
      <c r="B21" s="29">
        <v>0</v>
      </c>
      <c r="C21">
        <v>0</v>
      </c>
      <c r="D21">
        <v>0</v>
      </c>
      <c r="E21" s="40">
        <v>1</v>
      </c>
      <c r="F21" s="40">
        <v>0</v>
      </c>
      <c r="G21">
        <v>2.2737367544323206E-13</v>
      </c>
      <c r="H21">
        <v>0</v>
      </c>
      <c r="I21">
        <v>0</v>
      </c>
      <c r="J21" s="40">
        <v>1083.333333333333</v>
      </c>
      <c r="K21" s="40">
        <v>0</v>
      </c>
      <c r="L21" s="24">
        <v>5958333.3333333321</v>
      </c>
      <c r="N21">
        <f>INDEX(OutputValues,17,$M$4)</f>
        <v>0</v>
      </c>
    </row>
    <row r="22" spans="1:14" x14ac:dyDescent="0.2">
      <c r="A22">
        <v>1350</v>
      </c>
      <c r="B22" s="29">
        <v>0</v>
      </c>
      <c r="C22">
        <v>0</v>
      </c>
      <c r="D22">
        <v>0</v>
      </c>
      <c r="E22" s="40">
        <v>1</v>
      </c>
      <c r="F22" s="40">
        <v>0</v>
      </c>
      <c r="G22">
        <v>0</v>
      </c>
      <c r="H22">
        <v>0</v>
      </c>
      <c r="I22">
        <v>0</v>
      </c>
      <c r="J22" s="40">
        <v>1083.333333333333</v>
      </c>
      <c r="K22" s="40">
        <v>0</v>
      </c>
      <c r="L22" s="24">
        <v>5958333.3333333321</v>
      </c>
      <c r="N22">
        <f>INDEX(OutputValues,18,$M$4)</f>
        <v>0</v>
      </c>
    </row>
    <row r="23" spans="1:14" x14ac:dyDescent="0.2">
      <c r="A23">
        <v>1400</v>
      </c>
      <c r="B23" s="29">
        <v>0</v>
      </c>
      <c r="C23">
        <v>0</v>
      </c>
      <c r="D23">
        <v>0</v>
      </c>
      <c r="E23" s="40">
        <v>1</v>
      </c>
      <c r="F23" s="40">
        <v>0</v>
      </c>
      <c r="G23">
        <v>0</v>
      </c>
      <c r="H23">
        <v>0</v>
      </c>
      <c r="I23">
        <v>0</v>
      </c>
      <c r="J23" s="40">
        <v>1083.3333333333335</v>
      </c>
      <c r="K23" s="40">
        <v>0</v>
      </c>
      <c r="L23" s="24">
        <v>5958333.333333334</v>
      </c>
      <c r="N23">
        <f>INDEX(OutputValues,19,$M$4)</f>
        <v>0</v>
      </c>
    </row>
    <row r="24" spans="1:14" x14ac:dyDescent="0.2">
      <c r="A24">
        <v>1450</v>
      </c>
      <c r="B24" s="29">
        <v>0</v>
      </c>
      <c r="C24">
        <v>0</v>
      </c>
      <c r="D24">
        <v>0</v>
      </c>
      <c r="E24" s="40">
        <v>1</v>
      </c>
      <c r="F24" s="40">
        <v>0</v>
      </c>
      <c r="G24">
        <v>0</v>
      </c>
      <c r="H24">
        <v>0</v>
      </c>
      <c r="I24">
        <v>0</v>
      </c>
      <c r="J24" s="40">
        <v>1083.3333333333335</v>
      </c>
      <c r="K24" s="40">
        <v>0</v>
      </c>
      <c r="L24" s="24">
        <v>5958333.333333334</v>
      </c>
      <c r="N24">
        <f>INDEX(OutputValues,20,$M$4)</f>
        <v>0</v>
      </c>
    </row>
    <row r="25" spans="1:14" x14ac:dyDescent="0.2">
      <c r="A25">
        <v>1500</v>
      </c>
      <c r="B25" s="29">
        <v>0</v>
      </c>
      <c r="C25">
        <v>0</v>
      </c>
      <c r="D25">
        <v>0</v>
      </c>
      <c r="E25" s="40">
        <v>1</v>
      </c>
      <c r="F25" s="40">
        <v>0</v>
      </c>
      <c r="G25">
        <v>0</v>
      </c>
      <c r="H25">
        <v>0</v>
      </c>
      <c r="I25">
        <v>0</v>
      </c>
      <c r="J25" s="40">
        <v>1083.333333333333</v>
      </c>
      <c r="K25" s="40">
        <v>0</v>
      </c>
      <c r="L25" s="24">
        <v>5958333.3333333321</v>
      </c>
      <c r="N25">
        <f>INDEX(OutputValues,21,$M$4)</f>
        <v>0</v>
      </c>
    </row>
    <row r="26" spans="1:14" x14ac:dyDescent="0.2">
      <c r="A26">
        <v>1550</v>
      </c>
      <c r="B26" s="29">
        <v>0</v>
      </c>
      <c r="C26">
        <v>0</v>
      </c>
      <c r="D26">
        <v>0</v>
      </c>
      <c r="E26" s="40">
        <v>1</v>
      </c>
      <c r="F26" s="40">
        <v>0</v>
      </c>
      <c r="G26">
        <v>4.5474735088646412E-13</v>
      </c>
      <c r="H26">
        <v>0</v>
      </c>
      <c r="I26">
        <v>0</v>
      </c>
      <c r="J26" s="40">
        <v>1083.333333333333</v>
      </c>
      <c r="K26" s="40">
        <v>0</v>
      </c>
      <c r="L26" s="24">
        <v>5958333.333333333</v>
      </c>
      <c r="N26">
        <f>INDEX(OutputValues,22,$M$4)</f>
        <v>0</v>
      </c>
    </row>
    <row r="27" spans="1:14" x14ac:dyDescent="0.2">
      <c r="A27">
        <v>1600</v>
      </c>
      <c r="B27" s="29">
        <v>0</v>
      </c>
      <c r="C27">
        <v>0</v>
      </c>
      <c r="D27">
        <v>0</v>
      </c>
      <c r="E27" s="40">
        <v>1</v>
      </c>
      <c r="F27" s="40">
        <v>0</v>
      </c>
      <c r="G27">
        <v>0</v>
      </c>
      <c r="H27">
        <v>0</v>
      </c>
      <c r="I27">
        <v>0</v>
      </c>
      <c r="J27" s="40">
        <v>1083.3333333333333</v>
      </c>
      <c r="K27" s="40">
        <v>0</v>
      </c>
      <c r="L27" s="24">
        <v>5958333.333333333</v>
      </c>
      <c r="N27">
        <f>INDEX(OutputValues,23,$M$4)</f>
        <v>0</v>
      </c>
    </row>
    <row r="28" spans="1:14" x14ac:dyDescent="0.2">
      <c r="A28">
        <v>1650</v>
      </c>
      <c r="B28" s="29">
        <v>0</v>
      </c>
      <c r="C28">
        <v>0</v>
      </c>
      <c r="D28">
        <v>0</v>
      </c>
      <c r="E28" s="40">
        <v>1</v>
      </c>
      <c r="F28" s="40">
        <v>0</v>
      </c>
      <c r="G28">
        <v>0</v>
      </c>
      <c r="H28">
        <v>0</v>
      </c>
      <c r="I28">
        <v>0</v>
      </c>
      <c r="J28" s="40">
        <v>1083.333333333333</v>
      </c>
      <c r="K28" s="40">
        <v>0</v>
      </c>
      <c r="L28" s="24">
        <v>5958333.3333333321</v>
      </c>
      <c r="N28">
        <f>INDEX(OutputValues,24,$M$4)</f>
        <v>0</v>
      </c>
    </row>
    <row r="29" spans="1:14" x14ac:dyDescent="0.2">
      <c r="A29">
        <v>1700</v>
      </c>
      <c r="B29" s="29">
        <v>0</v>
      </c>
      <c r="C29">
        <v>0</v>
      </c>
      <c r="D29">
        <v>0</v>
      </c>
      <c r="E29" s="40">
        <v>1</v>
      </c>
      <c r="F29" s="40">
        <v>0</v>
      </c>
      <c r="G29">
        <v>1.1368683772161603E-13</v>
      </c>
      <c r="H29">
        <v>0</v>
      </c>
      <c r="I29">
        <v>0</v>
      </c>
      <c r="J29" s="40">
        <v>1083.3333333333333</v>
      </c>
      <c r="K29" s="40">
        <v>0</v>
      </c>
      <c r="L29" s="24">
        <v>5958333.333333333</v>
      </c>
      <c r="N29">
        <f>INDEX(OutputValues,25,$M$4)</f>
        <v>0</v>
      </c>
    </row>
    <row r="30" spans="1:14" x14ac:dyDescent="0.2">
      <c r="A30">
        <v>1750</v>
      </c>
      <c r="B30" s="29">
        <v>0</v>
      </c>
      <c r="C30">
        <v>0</v>
      </c>
      <c r="D30">
        <v>0</v>
      </c>
      <c r="E30" s="40">
        <v>1</v>
      </c>
      <c r="F30" s="40">
        <v>0</v>
      </c>
      <c r="G30">
        <v>5.6843418860808015E-13</v>
      </c>
      <c r="H30">
        <v>0</v>
      </c>
      <c r="I30">
        <v>0</v>
      </c>
      <c r="J30" s="40">
        <v>1083.3333333333328</v>
      </c>
      <c r="K30" s="40">
        <v>0</v>
      </c>
      <c r="L30" s="24">
        <v>5958333.3333333312</v>
      </c>
      <c r="N30">
        <f>INDEX(OutputValues,26,$M$4)</f>
        <v>0</v>
      </c>
    </row>
    <row r="31" spans="1:14" x14ac:dyDescent="0.2">
      <c r="A31">
        <v>1800</v>
      </c>
      <c r="B31" s="29">
        <v>0</v>
      </c>
      <c r="C31">
        <v>0</v>
      </c>
      <c r="D31">
        <v>0</v>
      </c>
      <c r="E31" s="40">
        <v>1</v>
      </c>
      <c r="F31" s="40">
        <v>0</v>
      </c>
      <c r="G31">
        <v>0</v>
      </c>
      <c r="H31">
        <v>0</v>
      </c>
      <c r="I31">
        <v>0</v>
      </c>
      <c r="J31" s="40">
        <v>1083.333333333333</v>
      </c>
      <c r="K31" s="40">
        <v>0</v>
      </c>
      <c r="L31" s="24">
        <v>5958333.3333333321</v>
      </c>
      <c r="N31">
        <f>INDEX(OutputValues,27,$M$4)</f>
        <v>0</v>
      </c>
    </row>
    <row r="32" spans="1:14" x14ac:dyDescent="0.2">
      <c r="A32">
        <v>1850</v>
      </c>
      <c r="B32" s="29">
        <v>0</v>
      </c>
      <c r="C32">
        <v>0</v>
      </c>
      <c r="D32">
        <v>0</v>
      </c>
      <c r="E32" s="40">
        <v>1</v>
      </c>
      <c r="F32" s="40">
        <v>0</v>
      </c>
      <c r="G32">
        <v>0</v>
      </c>
      <c r="H32">
        <v>0</v>
      </c>
      <c r="I32">
        <v>0</v>
      </c>
      <c r="J32" s="40">
        <v>1083.333333333333</v>
      </c>
      <c r="K32" s="40">
        <v>0</v>
      </c>
      <c r="L32" s="24">
        <v>5958333.3333333321</v>
      </c>
      <c r="N32">
        <f>INDEX(OutputValues,28,$M$4)</f>
        <v>0</v>
      </c>
    </row>
    <row r="33" spans="1:14" x14ac:dyDescent="0.2">
      <c r="A33">
        <v>1900</v>
      </c>
      <c r="B33" s="29">
        <v>0</v>
      </c>
      <c r="C33">
        <v>0</v>
      </c>
      <c r="D33">
        <v>0</v>
      </c>
      <c r="E33" s="40">
        <v>1</v>
      </c>
      <c r="F33" s="40">
        <v>0</v>
      </c>
      <c r="G33">
        <v>2.2737367544323206E-13</v>
      </c>
      <c r="H33">
        <v>0</v>
      </c>
      <c r="I33">
        <v>0</v>
      </c>
      <c r="J33" s="40">
        <v>1083.333333333333</v>
      </c>
      <c r="K33" s="40">
        <v>1.1368683772161603E-13</v>
      </c>
      <c r="L33" s="24">
        <v>5958333.333333333</v>
      </c>
      <c r="N33">
        <f>INDEX(OutputValues,29,$M$4)</f>
        <v>0</v>
      </c>
    </row>
    <row r="34" spans="1:14" x14ac:dyDescent="0.2">
      <c r="A34">
        <v>1950</v>
      </c>
      <c r="B34" s="29">
        <v>0</v>
      </c>
      <c r="C34">
        <v>0</v>
      </c>
      <c r="D34">
        <v>0</v>
      </c>
      <c r="E34" s="40">
        <v>1</v>
      </c>
      <c r="F34" s="40">
        <v>0</v>
      </c>
      <c r="G34">
        <v>1.1368683772161603E-13</v>
      </c>
      <c r="H34">
        <v>0</v>
      </c>
      <c r="I34">
        <v>0</v>
      </c>
      <c r="J34" s="40">
        <v>1083.333333333333</v>
      </c>
      <c r="K34" s="40">
        <v>5.6843418860808015E-14</v>
      </c>
      <c r="L34" s="24">
        <v>5958333.3333333321</v>
      </c>
      <c r="N34">
        <f>INDEX(OutputValues,30,$M$4)</f>
        <v>0</v>
      </c>
    </row>
    <row r="35" spans="1:14" x14ac:dyDescent="0.2">
      <c r="A35">
        <v>2000</v>
      </c>
      <c r="B35" s="30">
        <v>0</v>
      </c>
      <c r="C35" s="31">
        <v>0</v>
      </c>
      <c r="D35" s="31">
        <v>0</v>
      </c>
      <c r="E35" s="41">
        <v>1</v>
      </c>
      <c r="F35" s="41">
        <v>0</v>
      </c>
      <c r="G35" s="31">
        <v>1.1368683772161603E-13</v>
      </c>
      <c r="H35" s="31">
        <v>0</v>
      </c>
      <c r="I35" s="31">
        <v>0</v>
      </c>
      <c r="J35" s="41">
        <v>1083.333333333333</v>
      </c>
      <c r="K35" s="41">
        <v>5.684341886080804E-14</v>
      </c>
      <c r="L35" s="33">
        <v>5958333.3333333321</v>
      </c>
      <c r="N35">
        <f>INDEX(OutputValues,31,$M$4)</f>
        <v>0</v>
      </c>
    </row>
  </sheetData>
  <dataValidations count="1">
    <dataValidation type="list" allowBlank="1" showInputMessage="1" showErrorMessage="1" sqref="N4" xr:uid="{2FCA95EF-453B-554C-8DDB-33FC4E238F37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6CD63-EC90-064D-B74E-AC43127F8A62}">
  <dimension ref="A1:M53"/>
  <sheetViews>
    <sheetView workbookViewId="0">
      <selection activeCell="O21" sqref="O21"/>
    </sheetView>
  </sheetViews>
  <sheetFormatPr baseColWidth="10" defaultColWidth="8.83203125" defaultRowHeight="16" x14ac:dyDescent="0.2"/>
  <cols>
    <col min="1" max="1" width="20" customWidth="1"/>
    <col min="15" max="15" width="26.1640625" bestFit="1" customWidth="1"/>
    <col min="16" max="16" width="19.5" bestFit="1" customWidth="1"/>
  </cols>
  <sheetData>
    <row r="1" spans="1:8" x14ac:dyDescent="0.2">
      <c r="A1" s="3" t="s">
        <v>76</v>
      </c>
    </row>
    <row r="3" spans="1:8" x14ac:dyDescent="0.2">
      <c r="A3" s="3" t="s">
        <v>77</v>
      </c>
    </row>
    <row r="4" spans="1:8" x14ac:dyDescent="0.2">
      <c r="B4" t="s">
        <v>78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84</v>
      </c>
    </row>
    <row r="5" spans="1:8" x14ac:dyDescent="0.2">
      <c r="A5" t="s">
        <v>86</v>
      </c>
      <c r="B5" s="34">
        <v>1770</v>
      </c>
      <c r="C5" s="34">
        <v>1354</v>
      </c>
      <c r="D5" s="34">
        <v>615</v>
      </c>
      <c r="E5" s="34">
        <v>1831</v>
      </c>
      <c r="F5" s="34">
        <v>1035</v>
      </c>
      <c r="G5" s="34">
        <v>1735</v>
      </c>
      <c r="H5" s="34">
        <v>1834</v>
      </c>
    </row>
    <row r="6" spans="1:8" x14ac:dyDescent="0.2">
      <c r="A6" t="s">
        <v>87</v>
      </c>
      <c r="B6" s="34">
        <v>1694</v>
      </c>
      <c r="C6" s="34">
        <v>2115</v>
      </c>
      <c r="D6" s="34">
        <v>1980</v>
      </c>
      <c r="E6" s="34">
        <v>1631</v>
      </c>
      <c r="F6" s="34">
        <v>1909</v>
      </c>
      <c r="G6" s="34">
        <v>459</v>
      </c>
      <c r="H6" s="34">
        <v>2405</v>
      </c>
    </row>
    <row r="7" spans="1:8" x14ac:dyDescent="0.2">
      <c r="A7" t="s">
        <v>88</v>
      </c>
      <c r="B7" s="34">
        <v>319</v>
      </c>
      <c r="C7" s="34">
        <v>1280</v>
      </c>
      <c r="D7" s="34">
        <v>866</v>
      </c>
      <c r="E7" s="34">
        <v>2450</v>
      </c>
      <c r="F7" s="34">
        <v>1369</v>
      </c>
      <c r="G7" s="34">
        <v>795</v>
      </c>
      <c r="H7" s="34">
        <v>1007</v>
      </c>
    </row>
    <row r="8" spans="1:8" x14ac:dyDescent="0.2">
      <c r="A8" t="s">
        <v>89</v>
      </c>
      <c r="B8" s="34">
        <v>2500</v>
      </c>
      <c r="C8" s="34">
        <v>647</v>
      </c>
      <c r="D8" s="34">
        <v>1155</v>
      </c>
      <c r="E8" s="34">
        <v>1367</v>
      </c>
      <c r="F8" s="34">
        <v>2462</v>
      </c>
      <c r="G8" s="34">
        <v>997</v>
      </c>
      <c r="H8" s="34">
        <v>868</v>
      </c>
    </row>
    <row r="9" spans="1:8" x14ac:dyDescent="0.2">
      <c r="A9" t="s">
        <v>90</v>
      </c>
      <c r="B9" s="34">
        <v>614</v>
      </c>
      <c r="C9" s="34">
        <v>1471</v>
      </c>
      <c r="D9" s="34">
        <v>2041</v>
      </c>
      <c r="E9" s="34">
        <v>1230</v>
      </c>
      <c r="F9" s="34">
        <v>1072</v>
      </c>
      <c r="G9" s="34">
        <v>393</v>
      </c>
      <c r="H9" s="34">
        <v>2053</v>
      </c>
    </row>
    <row r="10" spans="1:8" x14ac:dyDescent="0.2">
      <c r="A10" t="s">
        <v>91</v>
      </c>
      <c r="B10" s="34">
        <v>2542</v>
      </c>
      <c r="C10" s="34">
        <v>2438</v>
      </c>
      <c r="D10" s="34">
        <v>1187</v>
      </c>
      <c r="E10" s="34">
        <v>1815</v>
      </c>
      <c r="F10" s="34">
        <v>420</v>
      </c>
      <c r="G10" s="34">
        <v>217</v>
      </c>
      <c r="H10" s="34">
        <v>383</v>
      </c>
    </row>
    <row r="11" spans="1:8" x14ac:dyDescent="0.2">
      <c r="A11" t="s">
        <v>92</v>
      </c>
      <c r="B11" s="34">
        <v>2378</v>
      </c>
      <c r="C11" s="34">
        <v>563</v>
      </c>
      <c r="D11" s="34">
        <v>2196</v>
      </c>
      <c r="E11" s="34">
        <v>2678</v>
      </c>
      <c r="F11" s="34">
        <v>2838</v>
      </c>
      <c r="G11" s="34">
        <v>1881</v>
      </c>
      <c r="H11" s="34">
        <v>1042</v>
      </c>
    </row>
    <row r="12" spans="1:8" x14ac:dyDescent="0.2">
      <c r="A12" t="s">
        <v>93</v>
      </c>
      <c r="B12" s="34">
        <v>2977</v>
      </c>
      <c r="C12" s="34">
        <v>2859</v>
      </c>
      <c r="D12" s="34">
        <v>1451</v>
      </c>
      <c r="E12" s="34">
        <v>317</v>
      </c>
      <c r="F12" s="34">
        <v>740</v>
      </c>
      <c r="G12" s="34">
        <v>1272</v>
      </c>
      <c r="H12" s="34">
        <v>1216</v>
      </c>
    </row>
    <row r="13" spans="1:8" x14ac:dyDescent="0.2">
      <c r="A13" t="s">
        <v>94</v>
      </c>
      <c r="B13" s="34">
        <v>1431</v>
      </c>
      <c r="C13" s="34">
        <v>2462</v>
      </c>
      <c r="D13" s="34">
        <v>2007</v>
      </c>
      <c r="E13" s="34">
        <v>1322</v>
      </c>
      <c r="F13" s="34">
        <v>132</v>
      </c>
      <c r="G13" s="34">
        <v>1788</v>
      </c>
      <c r="H13" s="34">
        <v>1488</v>
      </c>
    </row>
    <row r="14" spans="1:8" x14ac:dyDescent="0.2">
      <c r="A14" t="s">
        <v>95</v>
      </c>
      <c r="B14" s="34">
        <v>1302</v>
      </c>
      <c r="C14" s="34">
        <v>1421</v>
      </c>
      <c r="D14" s="34">
        <v>1813</v>
      </c>
      <c r="E14" s="34">
        <v>2746</v>
      </c>
      <c r="F14" s="34">
        <v>1762</v>
      </c>
      <c r="G14" s="34">
        <v>941</v>
      </c>
      <c r="H14" s="34">
        <v>1656</v>
      </c>
    </row>
    <row r="15" spans="1:8" x14ac:dyDescent="0.2">
      <c r="A15" t="s">
        <v>96</v>
      </c>
      <c r="B15" s="34">
        <v>978</v>
      </c>
      <c r="C15" s="34">
        <v>1967</v>
      </c>
      <c r="D15" s="34">
        <v>1195</v>
      </c>
      <c r="E15" s="34">
        <v>836</v>
      </c>
      <c r="F15" s="34">
        <v>540</v>
      </c>
      <c r="G15" s="34">
        <v>851</v>
      </c>
      <c r="H15" s="34">
        <v>1230</v>
      </c>
    </row>
    <row r="17" spans="1:13" x14ac:dyDescent="0.2">
      <c r="A17" s="3" t="s">
        <v>97</v>
      </c>
    </row>
    <row r="18" spans="1:13" x14ac:dyDescent="0.2"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83</v>
      </c>
      <c r="H18" t="s">
        <v>84</v>
      </c>
      <c r="K18" t="s">
        <v>98</v>
      </c>
      <c r="M18" t="s">
        <v>99</v>
      </c>
    </row>
    <row r="19" spans="1:13" x14ac:dyDescent="0.2">
      <c r="A19" t="s">
        <v>100</v>
      </c>
      <c r="B19" s="7">
        <v>0</v>
      </c>
      <c r="C19" s="7">
        <v>1</v>
      </c>
      <c r="D19" s="7">
        <v>0</v>
      </c>
      <c r="E19" s="7">
        <v>0</v>
      </c>
      <c r="F19" s="7">
        <v>1</v>
      </c>
      <c r="G19" s="7">
        <v>1</v>
      </c>
      <c r="H19" s="7">
        <v>0</v>
      </c>
      <c r="K19">
        <f>SUM(Include_service_center)</f>
        <v>3</v>
      </c>
      <c r="L19" t="s">
        <v>9</v>
      </c>
      <c r="M19" s="18">
        <v>3</v>
      </c>
    </row>
    <row r="21" spans="1:13" x14ac:dyDescent="0.2">
      <c r="A21" s="3" t="s">
        <v>101</v>
      </c>
    </row>
    <row r="22" spans="1:13" x14ac:dyDescent="0.2">
      <c r="B22" t="s">
        <v>78</v>
      </c>
      <c r="C22" t="s">
        <v>79</v>
      </c>
      <c r="D22" t="s">
        <v>80</v>
      </c>
      <c r="E22" t="s">
        <v>81</v>
      </c>
      <c r="F22" t="s">
        <v>82</v>
      </c>
      <c r="G22" t="s">
        <v>83</v>
      </c>
      <c r="H22" t="s">
        <v>84</v>
      </c>
      <c r="I22" t="s">
        <v>104</v>
      </c>
      <c r="K22" t="s">
        <v>105</v>
      </c>
    </row>
    <row r="23" spans="1:13" x14ac:dyDescent="0.2">
      <c r="A23" t="s">
        <v>86</v>
      </c>
      <c r="B23" s="7">
        <v>0</v>
      </c>
      <c r="C23" s="7">
        <v>0</v>
      </c>
      <c r="D23" s="7">
        <v>0</v>
      </c>
      <c r="E23" s="7">
        <v>0</v>
      </c>
      <c r="F23" s="7">
        <v>1</v>
      </c>
      <c r="G23" s="7">
        <v>0</v>
      </c>
      <c r="H23" s="7">
        <v>0</v>
      </c>
      <c r="I23">
        <f>SUM(B23:H23)</f>
        <v>1</v>
      </c>
      <c r="J23" t="s">
        <v>41</v>
      </c>
      <c r="K23">
        <f>SUM(B23:H23)</f>
        <v>1</v>
      </c>
    </row>
    <row r="24" spans="1:13" x14ac:dyDescent="0.2">
      <c r="A24" t="s">
        <v>87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1</v>
      </c>
      <c r="H24" s="7">
        <v>0</v>
      </c>
      <c r="I24">
        <f t="shared" ref="I24:I33" si="0">SUM(B24:H24)</f>
        <v>1</v>
      </c>
      <c r="J24" t="s">
        <v>41</v>
      </c>
      <c r="K24">
        <f t="shared" ref="K24:K33" si="1">SUM(B24:H24)</f>
        <v>1</v>
      </c>
    </row>
    <row r="25" spans="1:13" x14ac:dyDescent="0.2">
      <c r="A25" t="s">
        <v>88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1</v>
      </c>
      <c r="H25" s="7">
        <v>0</v>
      </c>
      <c r="I25">
        <f t="shared" si="0"/>
        <v>1</v>
      </c>
      <c r="J25" t="s">
        <v>41</v>
      </c>
      <c r="K25">
        <f t="shared" si="1"/>
        <v>1</v>
      </c>
    </row>
    <row r="26" spans="1:13" x14ac:dyDescent="0.2">
      <c r="A26" t="s">
        <v>89</v>
      </c>
      <c r="B26" s="7">
        <v>0</v>
      </c>
      <c r="C26" s="7">
        <v>1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>
        <f t="shared" si="0"/>
        <v>1</v>
      </c>
      <c r="J26" t="s">
        <v>41</v>
      </c>
      <c r="K26">
        <f t="shared" si="1"/>
        <v>1</v>
      </c>
    </row>
    <row r="27" spans="1:13" x14ac:dyDescent="0.2">
      <c r="A27" t="s">
        <v>90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1</v>
      </c>
      <c r="H27" s="7">
        <v>0</v>
      </c>
      <c r="I27">
        <f t="shared" si="0"/>
        <v>1</v>
      </c>
      <c r="J27" t="s">
        <v>41</v>
      </c>
      <c r="K27">
        <f t="shared" si="1"/>
        <v>1</v>
      </c>
    </row>
    <row r="28" spans="1:13" x14ac:dyDescent="0.2">
      <c r="A28" t="s">
        <v>91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1</v>
      </c>
      <c r="H28" s="7">
        <v>0</v>
      </c>
      <c r="I28">
        <f t="shared" si="0"/>
        <v>1</v>
      </c>
      <c r="J28" t="s">
        <v>41</v>
      </c>
      <c r="K28">
        <f t="shared" si="1"/>
        <v>1</v>
      </c>
    </row>
    <row r="29" spans="1:13" x14ac:dyDescent="0.2">
      <c r="A29" t="s">
        <v>92</v>
      </c>
      <c r="B29" s="7">
        <v>0</v>
      </c>
      <c r="C29" s="7">
        <v>1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>
        <f t="shared" si="0"/>
        <v>1</v>
      </c>
      <c r="J29" t="s">
        <v>41</v>
      </c>
      <c r="K29">
        <f t="shared" si="1"/>
        <v>1</v>
      </c>
    </row>
    <row r="30" spans="1:13" x14ac:dyDescent="0.2">
      <c r="A30" t="s">
        <v>93</v>
      </c>
      <c r="B30" s="7">
        <v>0</v>
      </c>
      <c r="C30" s="7">
        <v>0</v>
      </c>
      <c r="D30" s="7">
        <v>0</v>
      </c>
      <c r="E30" s="7">
        <v>0</v>
      </c>
      <c r="F30" s="7">
        <v>1</v>
      </c>
      <c r="G30" s="7">
        <v>0</v>
      </c>
      <c r="H30" s="7">
        <v>0</v>
      </c>
      <c r="I30">
        <f t="shared" si="0"/>
        <v>1</v>
      </c>
      <c r="J30" t="s">
        <v>41</v>
      </c>
      <c r="K30">
        <f t="shared" si="1"/>
        <v>1</v>
      </c>
    </row>
    <row r="31" spans="1:13" x14ac:dyDescent="0.2">
      <c r="A31" t="s">
        <v>94</v>
      </c>
      <c r="B31" s="7">
        <v>0</v>
      </c>
      <c r="C31" s="7">
        <v>0</v>
      </c>
      <c r="D31" s="7">
        <v>0</v>
      </c>
      <c r="E31" s="7">
        <v>0</v>
      </c>
      <c r="F31" s="7">
        <v>1</v>
      </c>
      <c r="G31" s="7">
        <v>0</v>
      </c>
      <c r="H31" s="7">
        <v>0</v>
      </c>
      <c r="I31">
        <f t="shared" si="0"/>
        <v>1</v>
      </c>
      <c r="J31" t="s">
        <v>41</v>
      </c>
      <c r="K31">
        <f t="shared" si="1"/>
        <v>1</v>
      </c>
    </row>
    <row r="32" spans="1:13" x14ac:dyDescent="0.2">
      <c r="A32" t="s">
        <v>95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1</v>
      </c>
      <c r="H32" s="7">
        <v>0</v>
      </c>
      <c r="I32">
        <f t="shared" si="0"/>
        <v>1</v>
      </c>
      <c r="J32" t="s">
        <v>41</v>
      </c>
      <c r="K32">
        <f t="shared" si="1"/>
        <v>1</v>
      </c>
    </row>
    <row r="33" spans="1:11" x14ac:dyDescent="0.2">
      <c r="A33" t="s">
        <v>96</v>
      </c>
      <c r="B33" s="7">
        <v>0</v>
      </c>
      <c r="C33" s="7">
        <v>0</v>
      </c>
      <c r="D33" s="7">
        <v>0</v>
      </c>
      <c r="E33" s="7">
        <v>0</v>
      </c>
      <c r="F33" s="7">
        <v>1</v>
      </c>
      <c r="G33" s="7">
        <v>0</v>
      </c>
      <c r="H33" s="7">
        <v>0</v>
      </c>
      <c r="I33">
        <f t="shared" si="0"/>
        <v>1</v>
      </c>
      <c r="J33" t="s">
        <v>41</v>
      </c>
      <c r="K33">
        <f t="shared" si="1"/>
        <v>1</v>
      </c>
    </row>
    <row r="34" spans="1:11" x14ac:dyDescent="0.2">
      <c r="A34" t="s">
        <v>102</v>
      </c>
      <c r="B34">
        <f>SUM(B23:B33)</f>
        <v>0</v>
      </c>
      <c r="C34">
        <f t="shared" ref="C34:H34" si="2">SUM(C23:C33)</f>
        <v>2</v>
      </c>
      <c r="D34">
        <f t="shared" si="2"/>
        <v>0</v>
      </c>
      <c r="E34">
        <f t="shared" si="2"/>
        <v>0</v>
      </c>
      <c r="F34">
        <f t="shared" si="2"/>
        <v>4</v>
      </c>
      <c r="G34">
        <f t="shared" si="2"/>
        <v>5</v>
      </c>
      <c r="H34">
        <f t="shared" si="2"/>
        <v>0</v>
      </c>
    </row>
    <row r="35" spans="1:11" x14ac:dyDescent="0.2">
      <c r="B35" t="s">
        <v>9</v>
      </c>
      <c r="C35" t="s">
        <v>9</v>
      </c>
      <c r="D35" t="s">
        <v>9</v>
      </c>
      <c r="E35" t="s">
        <v>9</v>
      </c>
      <c r="F35" t="s">
        <v>9</v>
      </c>
      <c r="G35" t="s">
        <v>9</v>
      </c>
      <c r="H35" t="s">
        <v>9</v>
      </c>
    </row>
    <row r="36" spans="1:11" x14ac:dyDescent="0.2">
      <c r="A36" t="s">
        <v>103</v>
      </c>
      <c r="B36">
        <f>11*B19</f>
        <v>0</v>
      </c>
      <c r="C36">
        <f t="shared" ref="C36:H36" si="3">11*C19</f>
        <v>11</v>
      </c>
      <c r="D36">
        <f t="shared" si="3"/>
        <v>0</v>
      </c>
      <c r="E36">
        <f t="shared" si="3"/>
        <v>0</v>
      </c>
      <c r="F36">
        <f t="shared" si="3"/>
        <v>11</v>
      </c>
      <c r="G36">
        <f t="shared" si="3"/>
        <v>11</v>
      </c>
      <c r="H36">
        <f t="shared" si="3"/>
        <v>0</v>
      </c>
    </row>
    <row r="38" spans="1:11" x14ac:dyDescent="0.2">
      <c r="A38" s="3" t="s">
        <v>106</v>
      </c>
    </row>
    <row r="39" spans="1:11" x14ac:dyDescent="0.2">
      <c r="B39" t="s">
        <v>85</v>
      </c>
      <c r="C39" t="s">
        <v>109</v>
      </c>
    </row>
    <row r="40" spans="1:11" x14ac:dyDescent="0.2">
      <c r="A40" t="s">
        <v>86</v>
      </c>
      <c r="B40" s="36">
        <v>885</v>
      </c>
      <c r="C40">
        <f>B40*SUMPRODUCT(B5:H5, B23:H23)/1000</f>
        <v>915.97500000000002</v>
      </c>
    </row>
    <row r="41" spans="1:11" x14ac:dyDescent="0.2">
      <c r="A41" t="s">
        <v>87</v>
      </c>
      <c r="B41" s="36">
        <v>760</v>
      </c>
      <c r="C41">
        <f t="shared" ref="C41:C50" si="4">B41*SUMPRODUCT(B6:H6, B24:H24)/1000</f>
        <v>348.84</v>
      </c>
    </row>
    <row r="42" spans="1:11" x14ac:dyDescent="0.2">
      <c r="A42" t="s">
        <v>88</v>
      </c>
      <c r="B42" s="36">
        <v>1124</v>
      </c>
      <c r="C42">
        <f t="shared" si="4"/>
        <v>893.58</v>
      </c>
    </row>
    <row r="43" spans="1:11" x14ac:dyDescent="0.2">
      <c r="A43" t="s">
        <v>89</v>
      </c>
      <c r="B43" s="36">
        <v>700</v>
      </c>
      <c r="C43">
        <f t="shared" si="4"/>
        <v>452.9</v>
      </c>
    </row>
    <row r="44" spans="1:11" x14ac:dyDescent="0.2">
      <c r="A44" t="s">
        <v>90</v>
      </c>
      <c r="B44" s="36">
        <v>1224</v>
      </c>
      <c r="C44">
        <f t="shared" si="4"/>
        <v>481.03199999999998</v>
      </c>
    </row>
    <row r="45" spans="1:11" x14ac:dyDescent="0.2">
      <c r="A45" t="s">
        <v>91</v>
      </c>
      <c r="B45" s="36">
        <v>1152</v>
      </c>
      <c r="C45">
        <f t="shared" si="4"/>
        <v>249.98400000000001</v>
      </c>
    </row>
    <row r="46" spans="1:11" x14ac:dyDescent="0.2">
      <c r="A46" t="s">
        <v>92</v>
      </c>
      <c r="B46" s="36">
        <v>1560</v>
      </c>
      <c r="C46">
        <f t="shared" si="4"/>
        <v>878.28</v>
      </c>
    </row>
    <row r="47" spans="1:11" x14ac:dyDescent="0.2">
      <c r="A47" t="s">
        <v>93</v>
      </c>
      <c r="B47" s="36">
        <v>1222</v>
      </c>
      <c r="C47">
        <f t="shared" si="4"/>
        <v>904.28</v>
      </c>
    </row>
    <row r="48" spans="1:11" x14ac:dyDescent="0.2">
      <c r="A48" t="s">
        <v>94</v>
      </c>
      <c r="B48" s="36">
        <v>856</v>
      </c>
      <c r="C48">
        <f t="shared" si="4"/>
        <v>112.992</v>
      </c>
    </row>
    <row r="49" spans="1:3" x14ac:dyDescent="0.2">
      <c r="A49" t="s">
        <v>95</v>
      </c>
      <c r="B49" s="36">
        <v>1443</v>
      </c>
      <c r="C49">
        <f t="shared" si="4"/>
        <v>1357.8630000000001</v>
      </c>
    </row>
    <row r="50" spans="1:3" x14ac:dyDescent="0.2">
      <c r="A50" t="s">
        <v>96</v>
      </c>
      <c r="B50" s="36">
        <v>612</v>
      </c>
      <c r="C50">
        <f t="shared" si="4"/>
        <v>330.48</v>
      </c>
    </row>
    <row r="52" spans="1:3" x14ac:dyDescent="0.2">
      <c r="A52" s="3" t="s">
        <v>108</v>
      </c>
    </row>
    <row r="53" spans="1:3" x14ac:dyDescent="0.2">
      <c r="A53" t="s">
        <v>107</v>
      </c>
      <c r="B53" s="35">
        <f>SUM(C40:C50)</f>
        <v>6926.2060000000001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44</vt:i4>
      </vt:variant>
    </vt:vector>
  </HeadingPairs>
  <TitlesOfParts>
    <vt:vector size="54" baseType="lpstr">
      <vt:lpstr>4E#4  Capital Budgeting 06_04</vt:lpstr>
      <vt:lpstr>4E#18 Captial Buget Dorian Auto</vt:lpstr>
      <vt:lpstr>STS_1</vt:lpstr>
      <vt:lpstr>STS_2</vt:lpstr>
      <vt:lpstr>STS_3</vt:lpstr>
      <vt:lpstr>STS_6</vt:lpstr>
      <vt:lpstr>STS_7</vt:lpstr>
      <vt:lpstr>4E#28 United Copiers</vt:lpstr>
      <vt:lpstr>STS_4</vt:lpstr>
      <vt:lpstr>STS_5</vt:lpstr>
      <vt:lpstr>Amount_invested</vt:lpstr>
      <vt:lpstr>Assignments</vt:lpstr>
      <vt:lpstr>Budget</vt:lpstr>
      <vt:lpstr>STS_3!ChartData</vt:lpstr>
      <vt:lpstr>STS_4!ChartData</vt:lpstr>
      <vt:lpstr>STS_5!ChartData</vt:lpstr>
      <vt:lpstr>Include_service_center</vt:lpstr>
      <vt:lpstr>STS_3!InputValues</vt:lpstr>
      <vt:lpstr>STS_4!InputValues</vt:lpstr>
      <vt:lpstr>STS_5!InputValues</vt:lpstr>
      <vt:lpstr>Investment_levels</vt:lpstr>
      <vt:lpstr>Investment_levels_2</vt:lpstr>
      <vt:lpstr>Investment_levels_3</vt:lpstr>
      <vt:lpstr>Investment_levels_4</vt:lpstr>
      <vt:lpstr>Logical_capacity</vt:lpstr>
      <vt:lpstr>Logical_capacity_service</vt:lpstr>
      <vt:lpstr>Max_centers</vt:lpstr>
      <vt:lpstr>Minimum_production</vt:lpstr>
      <vt:lpstr>Number_serviced_by</vt:lpstr>
      <vt:lpstr>STS_3!OutputAddresses</vt:lpstr>
      <vt:lpstr>STS_4!OutputAddresses</vt:lpstr>
      <vt:lpstr>STS_5!OutputAddresses</vt:lpstr>
      <vt:lpstr>STS_6!OutputAddresses</vt:lpstr>
      <vt:lpstr>STS_7!OutputAddresses</vt:lpstr>
      <vt:lpstr>OutputAddresses_3</vt:lpstr>
      <vt:lpstr>OutputAddresses_STS1</vt:lpstr>
      <vt:lpstr>OutputAddresses_STS2</vt:lpstr>
      <vt:lpstr>STS_3!OutputValues</vt:lpstr>
      <vt:lpstr>STS_4!OutputValues</vt:lpstr>
      <vt:lpstr>STS_5!OutputValues</vt:lpstr>
      <vt:lpstr>STS_6!OutputValues</vt:lpstr>
      <vt:lpstr>STS_7!OutputValues</vt:lpstr>
      <vt:lpstr>OutputValues_3</vt:lpstr>
      <vt:lpstr>OutputValues_STS1</vt:lpstr>
      <vt:lpstr>OutputValues_STS2</vt:lpstr>
      <vt:lpstr>Produce_at_least_minimum</vt:lpstr>
      <vt:lpstr>Profit</vt:lpstr>
      <vt:lpstr>Resource_available</vt:lpstr>
      <vt:lpstr>Resource_used</vt:lpstr>
      <vt:lpstr>Service_Centers</vt:lpstr>
      <vt:lpstr>Total_Assignments</vt:lpstr>
      <vt:lpstr>Total_Distance</vt:lpstr>
      <vt:lpstr>Total_NPV</vt:lpstr>
      <vt:lpstr>Units_produced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2022-10-10T03:07:43Z</dcterms:created>
  <dcterms:modified xsi:type="dcterms:W3CDTF">2022-10-14T02:23:28Z</dcterms:modified>
</cp:coreProperties>
</file>