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ink/ink1.xml" ContentType="application/inkml+xml"/>
  <Override PartName="/xl/ink/ink2.xml" ContentType="application/inkml+xml"/>
  <Override PartName="/xl/ink/ink3.xml" ContentType="application/inkml+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Dell\Desktop\"/>
    </mc:Choice>
  </mc:AlternateContent>
  <xr:revisionPtr revIDLastSave="0" documentId="13_ncr:1_{C4B17D36-E626-439C-A740-1CF92C67E1A8}" xr6:coauthVersionLast="47" xr6:coauthVersionMax="47" xr10:uidLastSave="{00000000-0000-0000-0000-000000000000}"/>
  <bookViews>
    <workbookView xWindow="-108" yWindow="-108" windowWidth="23256" windowHeight="12576" tabRatio="954" xr2:uid="{00000000-000D-0000-FFFF-FFFF00000000}"/>
  </bookViews>
  <sheets>
    <sheet name="SPL vs Power" sheetId="6" r:id="rId1"/>
    <sheet name="Room Mode + Node + AntiNode" sheetId="10" r:id="rId2"/>
    <sheet name="Axial Standing Waves" sheetId="14" r:id="rId3"/>
    <sheet name="Phase Cal" sheetId="7"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 i="14" l="1"/>
  <c r="H4" i="14"/>
  <c r="G4" i="14"/>
  <c r="C36" i="14" s="1"/>
  <c r="F4" i="14"/>
  <c r="F37" i="14" s="1"/>
  <c r="I4" i="14"/>
  <c r="B36" i="14" s="1"/>
  <c r="D36" i="14"/>
  <c r="H36" i="14"/>
  <c r="F36" i="14"/>
  <c r="I29" i="14"/>
  <c r="H29" i="14"/>
  <c r="H6" i="14"/>
  <c r="C28" i="14" s="1"/>
  <c r="G6" i="14"/>
  <c r="C27" i="14" s="1"/>
  <c r="F6" i="14"/>
  <c r="F28" i="14" s="1"/>
  <c r="I6" i="14"/>
  <c r="B28" i="14" s="1"/>
  <c r="E28" i="14"/>
  <c r="D28" i="14"/>
  <c r="D27" i="14"/>
  <c r="H27" i="14" s="1"/>
  <c r="F27" i="14"/>
  <c r="I20" i="14"/>
  <c r="H20" i="14"/>
  <c r="H7" i="14"/>
  <c r="G7" i="14"/>
  <c r="C18" i="14" s="1"/>
  <c r="F7" i="14"/>
  <c r="F19" i="14" s="1"/>
  <c r="I7" i="14"/>
  <c r="B18" i="14" s="1"/>
  <c r="E18" i="14" s="1"/>
  <c r="D18" i="14"/>
  <c r="H18" i="14" s="1"/>
  <c r="F18" i="14"/>
  <c r="I11" i="14"/>
  <c r="H11" i="14"/>
  <c r="B27" i="6"/>
  <c r="D39" i="10"/>
  <c r="E39" i="10" s="1"/>
  <c r="D38" i="10"/>
  <c r="E38" i="10" s="1"/>
  <c r="D37" i="10"/>
  <c r="E37" i="10" s="1"/>
  <c r="D36" i="10"/>
  <c r="E36" i="10" s="1"/>
  <c r="D26" i="10"/>
  <c r="E26" i="10" s="1"/>
  <c r="D25" i="10"/>
  <c r="G25" i="10" s="1"/>
  <c r="D24" i="10"/>
  <c r="E24" i="10" s="1"/>
  <c r="M20" i="10"/>
  <c r="L20" i="10"/>
  <c r="K20" i="10"/>
  <c r="M19" i="10"/>
  <c r="L19" i="10"/>
  <c r="K19" i="10"/>
  <c r="M18" i="10"/>
  <c r="L18" i="10"/>
  <c r="K18" i="10"/>
  <c r="C18" i="10"/>
  <c r="M17" i="10"/>
  <c r="L17" i="10"/>
  <c r="K17" i="10"/>
  <c r="G17" i="10"/>
  <c r="O16" i="10"/>
  <c r="M16" i="10"/>
  <c r="L16" i="10"/>
  <c r="K16" i="10"/>
  <c r="C16" i="10"/>
  <c r="O15" i="10"/>
  <c r="M15" i="10"/>
  <c r="L15" i="10"/>
  <c r="K15" i="10"/>
  <c r="O14" i="10"/>
  <c r="M14" i="10"/>
  <c r="L14" i="10"/>
  <c r="K14" i="10"/>
  <c r="D14" i="10"/>
  <c r="O13" i="10"/>
  <c r="M13" i="10"/>
  <c r="L13" i="10"/>
  <c r="K13" i="10"/>
  <c r="D13" i="10"/>
  <c r="O12" i="10"/>
  <c r="M12" i="10"/>
  <c r="L12" i="10"/>
  <c r="K12" i="10"/>
  <c r="I12" i="10"/>
  <c r="I16" i="10" s="1"/>
  <c r="H12" i="10"/>
  <c r="H14" i="10" s="1"/>
  <c r="G12" i="10"/>
  <c r="G16" i="10" s="1"/>
  <c r="D12" i="10"/>
  <c r="D6" i="10"/>
  <c r="C5" i="10"/>
  <c r="E5" i="10" s="1"/>
  <c r="C4" i="10"/>
  <c r="E4" i="10" s="1"/>
  <c r="O3" i="10"/>
  <c r="N3" i="10"/>
  <c r="C3" i="10"/>
  <c r="M10" i="7"/>
  <c r="K10" i="7"/>
  <c r="J10" i="7"/>
  <c r="H10" i="7"/>
  <c r="E10" i="7"/>
  <c r="K6" i="7"/>
  <c r="G6" i="7"/>
  <c r="H6" i="7"/>
  <c r="D6" i="7"/>
  <c r="D5" i="7"/>
  <c r="D7" i="7"/>
  <c r="C5" i="7"/>
  <c r="K4" i="7"/>
  <c r="G4" i="7"/>
  <c r="H4" i="7"/>
  <c r="K3" i="7"/>
  <c r="K5" i="7"/>
  <c r="K7" i="7"/>
  <c r="G3" i="7"/>
  <c r="H3" i="7"/>
  <c r="G5" i="7"/>
  <c r="H5" i="7"/>
  <c r="C19" i="6"/>
  <c r="B23" i="6"/>
  <c r="B21" i="6"/>
  <c r="B20" i="6"/>
  <c r="B22" i="6"/>
  <c r="B26" i="6"/>
  <c r="G24" i="10"/>
  <c r="G26" i="10"/>
  <c r="D9" i="7"/>
  <c r="D8" i="7"/>
  <c r="D11" i="7"/>
  <c r="E7" i="7"/>
  <c r="L7" i="7"/>
  <c r="K9" i="7"/>
  <c r="K8" i="7"/>
  <c r="K11" i="7"/>
  <c r="H7" i="7"/>
  <c r="L10" i="7"/>
  <c r="I10" i="7"/>
  <c r="B24" i="6"/>
  <c r="E8" i="7"/>
  <c r="E11" i="7"/>
  <c r="F7" i="7"/>
  <c r="F9" i="7"/>
  <c r="F11" i="7"/>
  <c r="E9" i="7"/>
  <c r="L9" i="7"/>
  <c r="L8" i="7"/>
  <c r="L11" i="7"/>
  <c r="M7" i="7"/>
  <c r="M9" i="7"/>
  <c r="M11" i="7"/>
  <c r="H8" i="7"/>
  <c r="H11" i="7"/>
  <c r="H9" i="7"/>
  <c r="I7" i="7"/>
  <c r="I9" i="7"/>
  <c r="J7" i="7"/>
  <c r="J9" i="7"/>
  <c r="J11" i="7"/>
  <c r="I8" i="7"/>
  <c r="I11" i="7"/>
  <c r="G15" i="10" l="1"/>
  <c r="F24" i="10"/>
  <c r="D18" i="10"/>
  <c r="H38" i="10"/>
  <c r="K38" i="10" s="1"/>
  <c r="J38" i="10"/>
  <c r="I38" i="10"/>
  <c r="I37" i="10"/>
  <c r="H37" i="10"/>
  <c r="K37" i="10" s="1"/>
  <c r="J37" i="10"/>
  <c r="I26" i="10"/>
  <c r="J26" i="10" s="1"/>
  <c r="L26" i="10"/>
  <c r="N26" i="10"/>
  <c r="K26" i="10"/>
  <c r="M26" i="10"/>
  <c r="I39" i="10"/>
  <c r="H39" i="10"/>
  <c r="K39" i="10" s="1"/>
  <c r="J39" i="10"/>
  <c r="I6" i="10"/>
  <c r="J6" i="10" s="1"/>
  <c r="I5" i="10"/>
  <c r="J5" i="10" s="1"/>
  <c r="I3" i="10"/>
  <c r="J3" i="10" s="1"/>
  <c r="I24" i="10"/>
  <c r="J24" i="10" s="1"/>
  <c r="L24" i="10"/>
  <c r="N24" i="10"/>
  <c r="K24" i="10"/>
  <c r="M24" i="10"/>
  <c r="K4" i="10"/>
  <c r="N5" i="10" s="1"/>
  <c r="K3" i="10"/>
  <c r="K6" i="10"/>
  <c r="L6" i="10" s="1"/>
  <c r="H36" i="10"/>
  <c r="K36" i="10" s="1"/>
  <c r="J36" i="10"/>
  <c r="I36" i="10"/>
  <c r="C6" i="10"/>
  <c r="E25" i="10"/>
  <c r="F26" i="10"/>
  <c r="F25" i="10"/>
  <c r="H15" i="10"/>
  <c r="E3" i="10"/>
  <c r="G6" i="10" s="1"/>
  <c r="I15" i="10"/>
  <c r="I4" i="10"/>
  <c r="J4" i="10" s="1"/>
  <c r="G3" i="10"/>
  <c r="I13" i="10"/>
  <c r="H13" i="10"/>
  <c r="H16" i="10"/>
  <c r="K5" i="10"/>
  <c r="G14" i="10"/>
  <c r="I14" i="10"/>
  <c r="G13" i="10"/>
  <c r="B37" i="14"/>
  <c r="B27" i="14"/>
  <c r="I27" i="14" s="1"/>
  <c r="H37" i="14"/>
  <c r="B19" i="14"/>
  <c r="I36" i="14"/>
  <c r="C37" i="14"/>
  <c r="E36" i="14"/>
  <c r="G36" i="14" s="1"/>
  <c r="D37" i="14"/>
  <c r="D19" i="14"/>
  <c r="H19" i="14"/>
  <c r="I18" i="14"/>
  <c r="E27" i="14"/>
  <c r="G27" i="14" s="1"/>
  <c r="G18" i="14"/>
  <c r="C19" i="14"/>
  <c r="H28" i="14"/>
  <c r="N7" i="10" l="1"/>
  <c r="L3" i="10"/>
  <c r="N4" i="10"/>
  <c r="L4" i="10"/>
  <c r="G4" i="10"/>
  <c r="G5" i="10"/>
  <c r="L25" i="10"/>
  <c r="I25" i="10"/>
  <c r="J25" i="10" s="1"/>
  <c r="N25" i="10"/>
  <c r="M25" i="10"/>
  <c r="K25" i="10"/>
  <c r="M7" i="10"/>
  <c r="O7" i="10" s="1"/>
  <c r="H6" i="10"/>
  <c r="L5" i="10"/>
  <c r="N6" i="10"/>
  <c r="M4" i="10"/>
  <c r="O4" i="10" s="1"/>
  <c r="H3" i="10"/>
  <c r="M5" i="10" l="1"/>
  <c r="O5" i="10" s="1"/>
  <c r="H4" i="10"/>
  <c r="M6" i="10"/>
  <c r="O6" i="10" s="1"/>
  <c r="H5"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SMG/Patel Bhavikkumar, (ERSMG)</author>
  </authors>
  <commentList>
    <comment ref="B20" authorId="0" shapeId="0" xr:uid="{EBD964A2-845D-484E-9966-CEC68CF1A3CF}">
      <text>
        <r>
          <rPr>
            <b/>
            <sz val="9"/>
            <color indexed="81"/>
            <rFont val="Tahoma"/>
            <family val="2"/>
          </rPr>
          <t>SMG/Patel Bhavikkumar, (ERSMG):</t>
        </r>
        <r>
          <rPr>
            <sz val="9"/>
            <color indexed="81"/>
            <rFont val="Tahoma"/>
            <family val="2"/>
          </rPr>
          <t xml:space="preserve">
Old Formula: =IF(B18=2,3,IF(B18=3,4.8,IF(B18=4,6,IF(B18=5,7,IF(B18=6,7.8,IF(B18=7,8.5,IF(B18=8,9,IF(B18=9,9.5,IF(B18=10,10,IF(B18=11,10.4,IF(B18=12,10.8,IF(B18=13,11.1,0))))))))))))</t>
        </r>
      </text>
    </comment>
    <comment ref="B23" authorId="0" shapeId="0" xr:uid="{13A14CE7-747B-4CCE-A0F4-2AFB4C5FADF6}">
      <text>
        <r>
          <rPr>
            <b/>
            <sz val="9"/>
            <color indexed="81"/>
            <rFont val="Tahoma"/>
            <family val="2"/>
          </rPr>
          <t>SMG/Patel Bhavikkumar, (ERSMG):</t>
        </r>
        <r>
          <rPr>
            <sz val="9"/>
            <color indexed="81"/>
            <rFont val="Tahoma"/>
            <family val="2"/>
          </rPr>
          <t xml:space="preserve">
Old Formula: =IF(B16&lt;=3.28084, 0, INT(LOG(B16 / 3.28084, 2)) * -6 + IF(MOD(LOG(B16 / 3.28084, 2), 1) &gt; 0, -6 * (MOD(LOG(B16 / 3.28084, 2), 1)), 0))</t>
        </r>
      </text>
    </comment>
    <comment ref="B26" authorId="0" shapeId="0" xr:uid="{D1025204-2D61-4660-9B3B-181E604C9900}">
      <text>
        <r>
          <rPr>
            <b/>
            <sz val="9"/>
            <color indexed="81"/>
            <rFont val="Tahoma"/>
            <family val="2"/>
          </rPr>
          <t>SMG/Patel Bhavikkumar, (ERSMG):</t>
        </r>
        <r>
          <rPr>
            <sz val="9"/>
            <color indexed="81"/>
            <rFont val="Tahoma"/>
            <family val="2"/>
          </rPr>
          <t xml:space="preserve">
Old Formula: =IF($B$25 &lt;= 10, 10, 10 + 3 * INT(LOG($B$25 / 10, 2)) + 3 * (LOG($B$25 / 10, 2) - INT(LOG($B$25 / 10, 2))))</t>
        </r>
      </text>
    </comment>
    <comment ref="B27" authorId="0" shapeId="0" xr:uid="{6090DF3E-4A39-42F5-B859-FDD46D43E8C9}">
      <text>
        <r>
          <rPr>
            <b/>
            <sz val="9"/>
            <color indexed="81"/>
            <rFont val="Tahoma"/>
            <family val="2"/>
          </rPr>
          <t>SMG/Patel Bhavikkumar, (ERSMG):</t>
        </r>
        <r>
          <rPr>
            <sz val="9"/>
            <color indexed="81"/>
            <rFont val="Tahoma"/>
            <family val="2"/>
          </rPr>
          <t xml:space="preserve">
Old Formula: =B24 + IF($B$25 &lt;= 10, 10, 10 + 3 * INT(LOG($B$25 / 10, 2)) + 3 * (LOG($B$25 / 10, 2) - INT(LOG($B$25 / 10, 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SMG/Patel Bhavikkumar, (ERSMG)</author>
  </authors>
  <commentList>
    <comment ref="C5" authorId="0" shapeId="0" xr:uid="{D9E58E3A-4174-4BF6-969C-3069A1D70C95}">
      <text>
        <r>
          <rPr>
            <b/>
            <sz val="9"/>
            <color indexed="81"/>
            <rFont val="Tahoma"/>
            <family val="2"/>
          </rPr>
          <t xml:space="preserve">SMG/Patel Bhavikkumar, (ERSMG):
Old Formula
</t>
        </r>
        <r>
          <rPr>
            <sz val="9"/>
            <color indexed="81"/>
            <rFont val="Tahoma"/>
            <family val="2"/>
          </rPr>
          <t xml:space="preserve">
IF(J26&lt;0,360+J26,J26)-IF(J27&lt;0,360+J27,J27) - Verified and Found Ok</t>
        </r>
        <r>
          <rPr>
            <b/>
            <sz val="9"/>
            <color indexed="81"/>
            <rFont val="Tahoma"/>
            <family val="2"/>
          </rPr>
          <t xml:space="preserve">
Or
</t>
        </r>
        <r>
          <rPr>
            <sz val="9"/>
            <color indexed="81"/>
            <rFont val="Tahoma"/>
            <family val="2"/>
          </rPr>
          <t xml:space="preserve">
IF(J26&lt;0,J26-J26*2,J26)-IF(J27&lt;0,J27-J27*2,J27)</t>
        </r>
      </text>
    </comment>
    <comment ref="G5" authorId="0" shapeId="0" xr:uid="{14F962C0-C7F6-4414-9236-056E8FF16375}">
      <text>
        <r>
          <rPr>
            <b/>
            <sz val="9"/>
            <color indexed="81"/>
            <rFont val="Tahoma"/>
            <family val="2"/>
          </rPr>
          <t xml:space="preserve">SMG/Patel Bhavikkumar, (ERSMG):
Old Formula
</t>
        </r>
        <r>
          <rPr>
            <sz val="9"/>
            <color indexed="81"/>
            <rFont val="Tahoma"/>
            <family val="2"/>
          </rPr>
          <t xml:space="preserve">
IF(J26&lt;0,360+J26,J26)-IF(J27&lt;0,360+J27,J27) - Verified and Found Ok</t>
        </r>
        <r>
          <rPr>
            <b/>
            <sz val="9"/>
            <color indexed="81"/>
            <rFont val="Tahoma"/>
            <family val="2"/>
          </rPr>
          <t xml:space="preserve">
Or
</t>
        </r>
        <r>
          <rPr>
            <sz val="9"/>
            <color indexed="81"/>
            <rFont val="Tahoma"/>
            <family val="2"/>
          </rPr>
          <t xml:space="preserve">
IF(J26&lt;0,J26-J26*2,J26)-IF(J27&lt;0,J27-J27*2,J27)</t>
        </r>
      </text>
    </comment>
    <comment ref="E8" authorId="0" shapeId="0" xr:uid="{898B39DA-133D-422F-8DC9-02F21E52F8F4}">
      <text>
        <r>
          <rPr>
            <b/>
            <sz val="9"/>
            <color indexed="81"/>
            <rFont val="Tahoma"/>
            <family val="2"/>
          </rPr>
          <t>SMG/Patel Bhavikkumar, (ERSMG):</t>
        </r>
        <r>
          <rPr>
            <sz val="9"/>
            <color indexed="81"/>
            <rFont val="Tahoma"/>
            <family val="2"/>
          </rPr>
          <t xml:space="preserve">
Positive = Addition
Negetive = Substract/ Reduce</t>
        </r>
      </text>
    </comment>
    <comment ref="I8" authorId="0" shapeId="0" xr:uid="{29F181F0-8F47-42DE-9D56-43303F166FA8}">
      <text>
        <r>
          <rPr>
            <b/>
            <sz val="9"/>
            <color indexed="81"/>
            <rFont val="Tahoma"/>
            <family val="2"/>
          </rPr>
          <t>SMG/Patel Bhavikkumar, (ERSMG):</t>
        </r>
        <r>
          <rPr>
            <sz val="9"/>
            <color indexed="81"/>
            <rFont val="Tahoma"/>
            <family val="2"/>
          </rPr>
          <t xml:space="preserve">
Positive = Addition
Negetive = Substract/ Reduce</t>
        </r>
      </text>
    </comment>
    <comment ref="L8" authorId="0" shapeId="0" xr:uid="{5F73BC76-3BE8-4693-9A4A-B1695CA51E35}">
      <text>
        <r>
          <rPr>
            <b/>
            <sz val="9"/>
            <color indexed="81"/>
            <rFont val="Tahoma"/>
            <family val="2"/>
          </rPr>
          <t>SMG/Patel Bhavikkumar, (ERSMG):</t>
        </r>
        <r>
          <rPr>
            <sz val="9"/>
            <color indexed="81"/>
            <rFont val="Tahoma"/>
            <family val="2"/>
          </rPr>
          <t xml:space="preserve">
Positive = Addition
Negetive = Substract/ Reduce</t>
        </r>
      </text>
    </comment>
  </commentList>
</comments>
</file>

<file path=xl/sharedStrings.xml><?xml version="1.0" encoding="utf-8"?>
<sst xmlns="http://schemas.openxmlformats.org/spreadsheetml/2006/main" count="279" uniqueCount="243">
  <si>
    <t>W</t>
  </si>
  <si>
    <t>db</t>
  </si>
  <si>
    <t>Width</t>
  </si>
  <si>
    <t>A</t>
  </si>
  <si>
    <t>B</t>
  </si>
  <si>
    <t>C</t>
  </si>
  <si>
    <t>D</t>
  </si>
  <si>
    <t>E</t>
  </si>
  <si>
    <t>F</t>
  </si>
  <si>
    <t>ft</t>
  </si>
  <si>
    <t>Ft</t>
  </si>
  <si>
    <t>Phase Delay (Method 01)</t>
  </si>
  <si>
    <t>Delay ms</t>
  </si>
  <si>
    <t>Phase Difference in °</t>
  </si>
  <si>
    <t>Target Frequancy HZ</t>
  </si>
  <si>
    <t>Delay mtr</t>
  </si>
  <si>
    <t>If the sub Distance is set to 10 feet, then we should enter 10-1.76 (Round -1.8) = 8.2</t>
  </si>
  <si>
    <t>First we need to recognize that phase adjustment implemented with analog circuits is always adding "negative phase angle" to the phase response plot. 0 degree and 180 degrees on the decal, it really should have read as -180 degrees. So it is important to note "adding delay time in time domain" = "adding negative phase angle" = "subtracting physical distance in AVR".</t>
  </si>
  <si>
    <t>Note:</t>
  </si>
  <si>
    <t>Delay Ft &amp; In</t>
  </si>
  <si>
    <t>Channel/Speaker A</t>
  </si>
  <si>
    <t>Channel/Speaker B</t>
  </si>
  <si>
    <t>Large Value</t>
  </si>
  <si>
    <t>Small Value</t>
  </si>
  <si>
    <t>AVR Distance (ft)/(mtr)</t>
  </si>
  <si>
    <t>Mtr</t>
  </si>
  <si>
    <t>New Distance in AVR (ft)/(mtr)</t>
  </si>
  <si>
    <t>Phase Delay (Method 03)</t>
  </si>
  <si>
    <t>Phase Delay (Method 02) 
(15° Mic phase offset considered)</t>
  </si>
  <si>
    <t>Speed of Sound for Phase correction (D&amp;M speed of sound 300 mtr / 984 ft per second</t>
  </si>
  <si>
    <t>Room Size</t>
  </si>
  <si>
    <t>Mode</t>
  </si>
  <si>
    <t>1st Harmonic</t>
  </si>
  <si>
    <t>2nd Harmonic</t>
  </si>
  <si>
    <t>3rd Harmonic</t>
  </si>
  <si>
    <t>4th Harmonic</t>
  </si>
  <si>
    <t>H</t>
  </si>
  <si>
    <t>L</t>
  </si>
  <si>
    <t>Length</t>
  </si>
  <si>
    <t>Height</t>
  </si>
  <si>
    <t>Speed of sound:</t>
  </si>
  <si>
    <t>Feet per second</t>
  </si>
  <si>
    <t>Meter per second</t>
  </si>
  <si>
    <t>Room volume (cubic mtr/ ft)</t>
  </si>
  <si>
    <t>Meter</t>
  </si>
  <si>
    <t>Full WL</t>
  </si>
  <si>
    <t>Example</t>
  </si>
  <si>
    <t>Radiance</t>
  </si>
  <si>
    <t>Sine</t>
  </si>
  <si>
    <t>Cosine</t>
  </si>
  <si>
    <t>Room Harmonics Calculator</t>
  </si>
  <si>
    <t>Fundamental Frequency (1st Mode or Base Line Frq.)</t>
  </si>
  <si>
    <t>1st Harmonics (2nd mode)</t>
  </si>
  <si>
    <t>2nd Harmonics (3rd mode)</t>
  </si>
  <si>
    <t>3rd Harmonics (4th mode)</t>
  </si>
  <si>
    <t>4th Harmonics (5th mode)</t>
  </si>
  <si>
    <t>Select Ft or Meter</t>
  </si>
  <si>
    <t xml:space="preserve">Axial Mode </t>
  </si>
  <si>
    <t>Tangential Mode</t>
  </si>
  <si>
    <t>Oblique Room Modes</t>
  </si>
  <si>
    <t>Harmonics &gt;&gt;&gt;&gt;&gt;</t>
  </si>
  <si>
    <t>L &amp; W</t>
  </si>
  <si>
    <t>L &amp; H</t>
  </si>
  <si>
    <t>W &amp; H</t>
  </si>
  <si>
    <t>L &amp; W &amp; H</t>
  </si>
  <si>
    <t>(1, 1)</t>
  </si>
  <si>
    <t>(1,1,1)</t>
  </si>
  <si>
    <t>(1, 2)</t>
  </si>
  <si>
    <t>(1,2,1)</t>
  </si>
  <si>
    <t>(1, 3)</t>
  </si>
  <si>
    <t>(2,2,2)</t>
  </si>
  <si>
    <t>Speed of Sound (ft)</t>
  </si>
  <si>
    <t>(2, 2)</t>
  </si>
  <si>
    <t>(2,1,2)</t>
  </si>
  <si>
    <t>Speed of Sound (m)</t>
  </si>
  <si>
    <t>(2, 3)</t>
  </si>
  <si>
    <t>(3,3,3)</t>
  </si>
  <si>
    <t>RT 60</t>
  </si>
  <si>
    <t>Schroder Frequency</t>
  </si>
  <si>
    <t>(2, 4)</t>
  </si>
  <si>
    <t>Room volume (Cubic ft/ m)</t>
  </si>
  <si>
    <t>(3, 3)</t>
  </si>
  <si>
    <t>(3, 4)</t>
  </si>
  <si>
    <t>(3, 5)</t>
  </si>
  <si>
    <t>Seating Position</t>
  </si>
  <si>
    <t>Distance (ft)</t>
  </si>
  <si>
    <t>Fundamental Frequency (Hz)</t>
  </si>
  <si>
    <t>Wavelength (ft)</t>
  </si>
  <si>
    <t>Frequency Mode</t>
  </si>
  <si>
    <t>Recommendation</t>
  </si>
  <si>
    <t>Node 1 (ft)</t>
  </si>
  <si>
    <t>Node 2 (ft)</t>
  </si>
  <si>
    <t>Node 3 (ft)</t>
  </si>
  <si>
    <r>
      <rPr>
        <b/>
        <sz val="10"/>
        <color theme="1"/>
        <rFont val="Montserrat"/>
      </rPr>
      <t>Note:</t>
    </r>
    <r>
      <rPr>
        <sz val="10"/>
        <color theme="1"/>
        <rFont val="Montserrat"/>
      </rPr>
      <t xml:space="preserve"> Nodes are the point is 0 (Zero) Amplitude and Antinodes are the point Maximum Amplitude of the wavelength</t>
    </r>
  </si>
  <si>
    <r>
      <rPr>
        <b/>
        <sz val="10"/>
        <color rgb="FF000000"/>
        <rFont val="Montserrat"/>
      </rPr>
      <t xml:space="preserve">Node: </t>
    </r>
    <r>
      <rPr>
        <sz val="10"/>
        <color rgb="FF000000"/>
        <rFont val="Montserrat"/>
      </rPr>
      <t>This is a point where the air does not experience much displacement. In terms of sound, it could feel quieter because the sound wave's amplitude is nearly zero at that point. It's less likely that you’ll experience the full loudness or richness of the sound.</t>
    </r>
  </si>
  <si>
    <r>
      <rPr>
        <b/>
        <sz val="10"/>
        <color theme="1"/>
        <rFont val="Montserrat"/>
      </rPr>
      <t>At the Node:</t>
    </r>
    <r>
      <rPr>
        <sz val="10"/>
        <color theme="1"/>
        <rFont val="Montserrat"/>
      </rPr>
      <t xml:space="preserve"> If you're seated exactly at the node, you'll experience the least sound intensity. This is generally not ideal for listening because you’ll miss out on the full dynamic range of the sound.</t>
    </r>
  </si>
  <si>
    <r>
      <rPr>
        <b/>
        <sz val="10"/>
        <color rgb="FF000000"/>
        <rFont val="Montserrat"/>
      </rPr>
      <t>Antinode:</t>
    </r>
    <r>
      <rPr>
        <sz val="10"/>
        <color rgb="FF000000"/>
        <rFont val="Montserrat"/>
      </rPr>
      <t xml:space="preserve"> You feel higher sound pressure near this spot as well. So the sound experience is mixed, as both a node and antinode occur at the same point due to the alternating nature of the standing wave.</t>
    </r>
  </si>
  <si>
    <r>
      <rPr>
        <b/>
        <sz val="10"/>
        <color theme="1"/>
        <rFont val="Montserrat"/>
      </rPr>
      <t xml:space="preserve">Antinode Region: </t>
    </r>
    <r>
      <rPr>
        <sz val="10"/>
        <color theme="1"/>
        <rFont val="Montserrat"/>
      </rPr>
      <t>Generally, sitting closer to an antinodal position (not directly at the node) will give you better sound experience, as you will experience maximum sound displacement, meaning louder and fuller sound.</t>
    </r>
  </si>
  <si>
    <t>G</t>
  </si>
  <si>
    <t>I</t>
  </si>
  <si>
    <t>Harmonics</t>
  </si>
  <si>
    <t>Fequency (f) in Hz</t>
  </si>
  <si>
    <t>Speed of Sound (v) in ft/s</t>
  </si>
  <si>
    <t>Wavelength (λ) in ft</t>
  </si>
  <si>
    <t>Harmonic Mode</t>
  </si>
  <si>
    <t>Node/Antinode (Peak/Dip)</t>
  </si>
  <si>
    <t>Distance (Nearest Surface)</t>
  </si>
  <si>
    <t>Distance to Next Antinode (if Peak)</t>
  </si>
  <si>
    <t>Distance to Next Node (if Dip)</t>
  </si>
  <si>
    <t>Recommendation (Avoid/Good)</t>
  </si>
  <si>
    <t>Peak</t>
  </si>
  <si>
    <t>Dip</t>
  </si>
  <si>
    <t>Identify Optimal Seating Position</t>
  </si>
  <si>
    <t>Speaker Sensitivity (db):</t>
  </si>
  <si>
    <t>Seating Position (ft):</t>
  </si>
  <si>
    <t>Combined Sensitivity (db):</t>
  </si>
  <si>
    <t>Number of Speakers (nos.):</t>
  </si>
  <si>
    <t>Desired listening level @ MLP (db):</t>
  </si>
  <si>
    <t>Sound Propagation Loss:</t>
  </si>
  <si>
    <t>Speaker Sensitivity @ MLP (db):</t>
  </si>
  <si>
    <t>Amplifier Power (watt):</t>
  </si>
  <si>
    <t>Speaker Placement</t>
  </si>
  <si>
    <t>dB Gain from sonic reinforcement (multi speakers)</t>
  </si>
  <si>
    <t xml:space="preserve">	db Gain from placement (reinforcement from reflected sound)</t>
  </si>
  <si>
    <t>Gain from Placement</t>
  </si>
  <si>
    <t>Final Speaker Sensitivity (db):</t>
  </si>
  <si>
    <t>Away from walls</t>
  </si>
  <si>
    <t>dB SPL (1 W/1 M)</t>
  </si>
  <si>
    <t>Watt</t>
  </si>
  <si>
    <t>SPL @ MLP</t>
  </si>
  <si>
    <r>
      <t xml:space="preserve">dB Loss due to dispersion (distance) </t>
    </r>
    <r>
      <rPr>
        <b/>
        <sz val="10"/>
        <color rgb="FFFF0000"/>
        <rFont val="Montserrat"/>
      </rPr>
      <t>(6 db loss at double the distance in meter)</t>
    </r>
  </si>
  <si>
    <t>Sound Propagation Loss Calculator</t>
  </si>
  <si>
    <t>How Loud is That?</t>
  </si>
  <si>
    <t>Most home theater speakers and ampliers, even modest ones, are quite capable of producing sound pressure levels in excess of 100 dB.  So how loud is that?  For some analogies, check out this table:</t>
  </si>
  <si>
    <t>Description</t>
  </si>
  <si>
    <t>Sound Level</t>
  </si>
  <si>
    <t>Sound Intensity</t>
  </si>
  <si>
    <t>barely audible</t>
  </si>
  <si>
    <t>0 dB</t>
  </si>
  <si>
    <t>Threshold of hearing</t>
  </si>
  <si>
    <t>10 dB</t>
  </si>
  <si>
    <t>Rustling leaf</t>
  </si>
  <si>
    <t>very quiet</t>
  </si>
  <si>
    <t>20 dB</t>
  </si>
  <si>
    <t>Quiet room</t>
  </si>
  <si>
    <t>30 dB</t>
  </si>
  <si>
    <t>Soft whisper</t>
  </si>
  <si>
    <t>quiet</t>
  </si>
  <si>
    <t>40 dB</t>
  </si>
  <si>
    <t>Quiet library</t>
  </si>
  <si>
    <t>50 dB</t>
  </si>
  <si>
    <t>Average home</t>
  </si>
  <si>
    <t>moderately loud</t>
  </si>
  <si>
    <t>60 dB</t>
  </si>
  <si>
    <t>Ordinary conversation, Light traffic</t>
  </si>
  <si>
    <t>70 dB</t>
  </si>
  <si>
    <t>Vacuum cleaner, Heavy traffic</t>
  </si>
  <si>
    <t>very loud</t>
  </si>
  <si>
    <t>80 dB</t>
  </si>
  <si>
    <t>Garbage disposal</t>
  </si>
  <si>
    <t>90 dB</t>
  </si>
  <si>
    <t>Diesel truck (10 m away)</t>
  </si>
  <si>
    <t>uncomfortably loud</t>
  </si>
  <si>
    <t>100 dB</t>
  </si>
  <si>
    <t>Newspaper press</t>
  </si>
  <si>
    <t>110 dB</t>
  </si>
  <si>
    <t>Jet flyover at 300 m</t>
  </si>
  <si>
    <t>painful</t>
  </si>
  <si>
    <t>120 dB</t>
  </si>
  <si>
    <t>Threshold of pain, Thunderclap</t>
  </si>
  <si>
    <t>Sounds less than 75 dB have no significant effect on our hearing.</t>
  </si>
  <si>
    <t>Exposure to sounds above 85 dB causes short term hearing losses called temporary threshold shifts [2]. If this occurs, your ear becomes less sensitive, and sounds seem quieter than normal. After some time, normal hearing returns.</t>
  </si>
  <si>
    <t>Repeated exposure to sounds that cause temporary threshold shifts results in permanent damage to the ear in the form of a permanent threshold shift . The ear loses sensitivity in the frequencies 3,000 Hz through 6,000 Hz, resulting in a "notch" in the hearing range. Time of exposure is important, the louder the sound, the less exposure time before permanent damage sets in.</t>
  </si>
  <si>
    <t>Exposure Time</t>
  </si>
  <si>
    <t>Exposure Level (measured in dB SPL)</t>
  </si>
  <si>
    <t>8 Hours</t>
  </si>
  <si>
    <t>90 dB SPL</t>
  </si>
  <si>
    <t>6 Hours</t>
  </si>
  <si>
    <t>92 dB SPL</t>
  </si>
  <si>
    <t>4 Hours</t>
  </si>
  <si>
    <t>95 dB SPL</t>
  </si>
  <si>
    <t>3 Hours</t>
  </si>
  <si>
    <t>97 dB SPL</t>
  </si>
  <si>
    <t>2 Hours</t>
  </si>
  <si>
    <t>100 dB SPL</t>
  </si>
  <si>
    <t>1.5 Hours</t>
  </si>
  <si>
    <t>102 dB SPL</t>
  </si>
  <si>
    <t>1 Hours</t>
  </si>
  <si>
    <t>105 dB SPL</t>
  </si>
  <si>
    <t>110 dB SPL</t>
  </si>
  <si>
    <t>115 dB SPL</t>
  </si>
  <si>
    <t>Your hearing is precious, take care of it.</t>
  </si>
  <si>
    <r>
      <t>0.000000000001 W/m</t>
    </r>
    <r>
      <rPr>
        <vertAlign val="superscript"/>
        <sz val="10"/>
        <color rgb="FF000000"/>
        <rFont val="Montserrat"/>
      </rPr>
      <t>2</t>
    </r>
  </si>
  <si>
    <r>
      <t>0.00000000001 W/m</t>
    </r>
    <r>
      <rPr>
        <vertAlign val="superscript"/>
        <sz val="10"/>
        <color rgb="FF000000"/>
        <rFont val="Montserrat"/>
      </rPr>
      <t>2</t>
    </r>
  </si>
  <si>
    <r>
      <t>0.0000000001 W/m</t>
    </r>
    <r>
      <rPr>
        <vertAlign val="superscript"/>
        <sz val="10"/>
        <color rgb="FF000000"/>
        <rFont val="Montserrat"/>
      </rPr>
      <t>2</t>
    </r>
  </si>
  <si>
    <r>
      <t>0.000000001 W/m</t>
    </r>
    <r>
      <rPr>
        <vertAlign val="superscript"/>
        <sz val="10"/>
        <color rgb="FF000000"/>
        <rFont val="Montserrat"/>
      </rPr>
      <t>2</t>
    </r>
  </si>
  <si>
    <r>
      <t>0.00000001 W/m</t>
    </r>
    <r>
      <rPr>
        <vertAlign val="superscript"/>
        <sz val="10"/>
        <color rgb="FF000000"/>
        <rFont val="Montserrat"/>
      </rPr>
      <t>2</t>
    </r>
  </si>
  <si>
    <r>
      <t>0.0000001 W/m</t>
    </r>
    <r>
      <rPr>
        <vertAlign val="superscript"/>
        <sz val="10"/>
        <color rgb="FF000000"/>
        <rFont val="Montserrat"/>
      </rPr>
      <t>2</t>
    </r>
  </si>
  <si>
    <r>
      <t>0.000001 W/m</t>
    </r>
    <r>
      <rPr>
        <vertAlign val="superscript"/>
        <sz val="10"/>
        <color rgb="FF000000"/>
        <rFont val="Montserrat"/>
      </rPr>
      <t>2</t>
    </r>
  </si>
  <si>
    <r>
      <t>0.00001 W/m</t>
    </r>
    <r>
      <rPr>
        <vertAlign val="superscript"/>
        <sz val="10"/>
        <color rgb="FF000000"/>
        <rFont val="Montserrat"/>
      </rPr>
      <t>2</t>
    </r>
  </si>
  <si>
    <r>
      <t>0.0001 W/m</t>
    </r>
    <r>
      <rPr>
        <vertAlign val="superscript"/>
        <sz val="10"/>
        <color rgb="FF000000"/>
        <rFont val="Montserrat"/>
      </rPr>
      <t>2</t>
    </r>
  </si>
  <si>
    <r>
      <t>0.001 W/m</t>
    </r>
    <r>
      <rPr>
        <vertAlign val="superscript"/>
        <sz val="10"/>
        <color rgb="FF000000"/>
        <rFont val="Montserrat"/>
      </rPr>
      <t>2</t>
    </r>
  </si>
  <si>
    <r>
      <t>0.01 W/m</t>
    </r>
    <r>
      <rPr>
        <vertAlign val="superscript"/>
        <sz val="10"/>
        <color rgb="FF000000"/>
        <rFont val="Montserrat"/>
      </rPr>
      <t>2</t>
    </r>
  </si>
  <si>
    <r>
      <t>0.1 W/m</t>
    </r>
    <r>
      <rPr>
        <vertAlign val="superscript"/>
        <sz val="10"/>
        <color rgb="FF000000"/>
        <rFont val="Montserrat"/>
      </rPr>
      <t>2</t>
    </r>
  </si>
  <si>
    <r>
      <t>1 W/m</t>
    </r>
    <r>
      <rPr>
        <vertAlign val="superscript"/>
        <sz val="10"/>
        <color rgb="FF000000"/>
        <rFont val="Montserrat"/>
      </rPr>
      <t>2</t>
    </r>
  </si>
  <si>
    <t>According to OSHA, (Occupational Safety and Health Administration) the exposure time limits are below:  (these are A-weighted, most home theater measurements are made with C weighting, which typically gives higer readings for broad spectrum measurements).</t>
  </si>
  <si>
    <t>&lt;0.25 Hours</t>
  </si>
  <si>
    <t>0.5 Hours</t>
  </si>
  <si>
    <t>https://myhometheater.homestead.com/splcalculator.html#anchor</t>
  </si>
  <si>
    <t xml:space="preserve">2. The amplifier rated power per channel, expressed in watts. The calculated SPL will be RMS if amplifier power is RMS  (Root-Mean-Square), 
The peak value is the highest voltage that the waveform will ever reach, like the peak is the highest point on a mountain.
The RMS (Root-Mean-Square) value is the effective value of the total waveform. It is really the area under the curve. In audio it is the continuous or music power that the amplifier can deliver.
For audio applications, our ears are RMS instruments, not peak reading. So using RMS values makes sense, and is normally how amplifiers are rated. </t>
  </si>
  <si>
    <t>3. The distance from the speaker to the listening position. Expressed in feet. If you know the distance in meters, multiply by 3 to get an approximation in feet.</t>
  </si>
  <si>
    <t>4. The number of speakers in the system.  For stereo, use 2.  For multichannel systems, try using 3 (for left,  center, and right).  This calculation assumes that the speakers are each driven by the same power, have similar efficiencies, and are equidistant from the listening position.</t>
  </si>
  <si>
    <t>5. Speaker placement.  You may account for "room gain", that is sound reflected from the walls that "reinforces" the sound coming directly from your speakers, by selecting the box that describes your speaker placement.  This effect is most prominent at low (bass) frequencies and accounts for why subwoofers often sound louder when placed in a corner.  This is an optional selection. If you do not have a subwoofer, or full range speakers with good bass extension close to the walls or corners; you will get a more accurate number by leaving the default.</t>
  </si>
  <si>
    <t>What does this mean for human hearing?</t>
  </si>
  <si>
    <t>This calculator does not account for room acoustics, amplifier dynamic headroom or off-axis listening positions.  For interpretation of the results, see below.
Let's try…..!!!!!</t>
  </si>
  <si>
    <r>
      <rPr>
        <b/>
        <sz val="10"/>
        <color rgb="FF000000"/>
        <rFont val="Montserrat"/>
      </rPr>
      <t>Let's understand the sound, sound pressure level and a bit of human hearing before we go to the calculator !!!!!</t>
    </r>
    <r>
      <rPr>
        <sz val="10"/>
        <color rgb="FF000000"/>
        <rFont val="Montserrat"/>
      </rPr>
      <t xml:space="preserve">
1. The speaker sensitivity, typically expressed in decibels (dB) with 1 watt (or 2.83 volts across an  8 ohm speaker) measured on-axis one meter away.  Typical values are 85-89 dB for bookshelf speakers, 87 to 92 dB for floor standing models, with high efficiency speakers in the 93 to 100+ dB range.  If you are not sure, try 90 dB as a default. (Pro equipment has sensitivities as high as 111 dB!)</t>
    </r>
  </si>
  <si>
    <t>Gain from amplifier:</t>
  </si>
  <si>
    <t>Amplifier power, in watts per channel</t>
  </si>
  <si>
    <t>Peak SPL @ listening position</t>
  </si>
  <si>
    <r>
      <t xml:space="preserve">Usually 2 for stereo and more for multi-channel 
</t>
    </r>
    <r>
      <rPr>
        <sz val="8"/>
        <color rgb="FF000000"/>
        <rFont val="Montserrat"/>
      </rPr>
      <t>(assumed to be powered by the same watts per channel and same distance</t>
    </r>
  </si>
  <si>
    <t>Feet</t>
  </si>
  <si>
    <t>Antinode
1 (ft)</t>
  </si>
  <si>
    <t>Antinode
2 (ft)</t>
  </si>
  <si>
    <t>Antinode
3 (ft)</t>
  </si>
  <si>
    <t>Antinode
4 (ft)</t>
  </si>
  <si>
    <t>Axial Standing Waves</t>
  </si>
  <si>
    <t>Enter room dimensions:</t>
  </si>
  <si>
    <t>1st</t>
  </si>
  <si>
    <t>2nd</t>
  </si>
  <si>
    <t>3rd</t>
  </si>
  <si>
    <t>4th</t>
  </si>
  <si>
    <t>Height:</t>
  </si>
  <si>
    <t>Width:</t>
  </si>
  <si>
    <t>Length:</t>
  </si>
  <si>
    <t>Default = 1130.0 (344M sec.)</t>
  </si>
  <si>
    <t>Room volume =</t>
  </si>
  <si>
    <t>Cubic feet</t>
  </si>
  <si>
    <t>By Dan Siefert</t>
  </si>
  <si>
    <t>Version 4.1</t>
  </si>
  <si>
    <t>0 ft.</t>
  </si>
  <si>
    <t>LENGTH</t>
  </si>
  <si>
    <t>WIDTH</t>
  </si>
  <si>
    <t>HEIGHT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</si>
</sst>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0.0"/>
    <numFmt numFmtId="166" formatCode="0.000"/>
    <numFmt numFmtId="167" formatCode="0.0000"/>
    <numFmt numFmtId="169" formatCode="0&quot; ft&quot;"/>
    <numFmt numFmtId="170" formatCode="&quot;-&quot;0&quot; in&quot;"/>
    <numFmt numFmtId="171" formatCode="0&quot;Hz&quot;"/>
    <numFmt numFmtId="172" formatCode="0.0\f\t"/>
    <numFmt numFmtId="173" formatCode="#\ ?/4"/>
  </numFmts>
  <fonts count="30" x14ac:knownFonts="1">
    <font>
      <sz val="10"/>
      <color rgb="FF000000"/>
      <name val="Arial"/>
      <scheme val="minor"/>
    </font>
    <font>
      <b/>
      <sz val="10"/>
      <color theme="1"/>
      <name val="Montserrat"/>
    </font>
    <font>
      <sz val="10"/>
      <color theme="1"/>
      <name val="Montserrat"/>
    </font>
    <font>
      <sz val="12"/>
      <color theme="1"/>
      <name val="Montserrat"/>
    </font>
    <font>
      <b/>
      <sz val="10"/>
      <color rgb="FF000000"/>
      <name val="Montserrat"/>
    </font>
    <font>
      <sz val="10"/>
      <color rgb="FF000000"/>
      <name val="Montserrat"/>
    </font>
    <font>
      <sz val="9"/>
      <color indexed="81"/>
      <name val="Tahoma"/>
      <family val="2"/>
    </font>
    <font>
      <b/>
      <sz val="9"/>
      <color indexed="81"/>
      <name val="Tahoma"/>
      <family val="2"/>
    </font>
    <font>
      <b/>
      <sz val="8"/>
      <color theme="1"/>
      <name val="Montserrat"/>
    </font>
    <font>
      <sz val="7.5"/>
      <color rgb="FF000000"/>
      <name val="Montserrat"/>
    </font>
    <font>
      <u/>
      <sz val="10"/>
      <color theme="10"/>
      <name val="Arial"/>
      <family val="2"/>
      <scheme val="minor"/>
    </font>
    <font>
      <b/>
      <sz val="10"/>
      <color rgb="FFFF0000"/>
      <name val="Montserrat"/>
    </font>
    <font>
      <sz val="10"/>
      <color rgb="FFFF0000"/>
      <name val="Montserrat"/>
    </font>
    <font>
      <b/>
      <sz val="14"/>
      <color rgb="FF000000"/>
      <name val="Montserrat"/>
    </font>
    <font>
      <vertAlign val="superscript"/>
      <sz val="10"/>
      <color rgb="FF000000"/>
      <name val="Montserrat"/>
    </font>
    <font>
      <sz val="8"/>
      <color rgb="FF000000"/>
      <name val="Montserrat"/>
    </font>
    <font>
      <b/>
      <sz val="10"/>
      <name val="Montserrat"/>
    </font>
    <font>
      <b/>
      <sz val="10"/>
      <color indexed="12"/>
      <name val="Montserrat"/>
    </font>
    <font>
      <b/>
      <sz val="10"/>
      <color indexed="8"/>
      <name val="Montserrat"/>
    </font>
    <font>
      <b/>
      <sz val="10"/>
      <color indexed="10"/>
      <name val="Montserrat"/>
    </font>
    <font>
      <b/>
      <sz val="10"/>
      <color indexed="13"/>
      <name val="Montserrat"/>
    </font>
    <font>
      <i/>
      <sz val="10"/>
      <name val="Montserrat"/>
    </font>
    <font>
      <sz val="10"/>
      <name val="Montserrat"/>
    </font>
    <font>
      <sz val="10"/>
      <color indexed="8"/>
      <name val="Montserrat"/>
    </font>
    <font>
      <sz val="10"/>
      <color indexed="13"/>
      <name val="Montserrat"/>
    </font>
    <font>
      <sz val="10"/>
      <color indexed="10"/>
      <name val="Montserrat"/>
    </font>
    <font>
      <sz val="10"/>
      <color indexed="12"/>
      <name val="Montserrat"/>
    </font>
    <font>
      <sz val="10"/>
      <color indexed="11"/>
      <name val="Montserrat"/>
    </font>
    <font>
      <sz val="8"/>
      <name val="Montserrat"/>
    </font>
    <font>
      <u/>
      <sz val="10"/>
      <color theme="10"/>
      <name val="Montserrat"/>
    </font>
  </fonts>
  <fills count="14">
    <fill>
      <patternFill patternType="none"/>
    </fill>
    <fill>
      <patternFill patternType="gray125"/>
    </fill>
    <fill>
      <patternFill patternType="solid">
        <fgColor rgb="FFA4C2F4"/>
        <bgColor rgb="FFA4C2F4"/>
      </patternFill>
    </fill>
    <fill>
      <patternFill patternType="solid">
        <fgColor theme="6"/>
        <bgColor theme="6"/>
      </patternFill>
    </fill>
    <fill>
      <patternFill patternType="solid">
        <fgColor theme="4" tint="0.59999389629810485"/>
        <bgColor indexed="64"/>
      </patternFill>
    </fill>
    <fill>
      <patternFill patternType="solid">
        <fgColor rgb="FF92D050"/>
        <bgColor rgb="FFA4C2F4"/>
      </patternFill>
    </fill>
    <fill>
      <patternFill patternType="solid">
        <fgColor rgb="FFFFFFCC"/>
        <bgColor indexed="64"/>
      </patternFill>
    </fill>
    <fill>
      <patternFill patternType="solid">
        <fgColor rgb="FFCCFFCC"/>
        <bgColor indexed="64"/>
      </patternFill>
    </fill>
    <fill>
      <patternFill patternType="solid">
        <fgColor rgb="FF00CCFF"/>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FFF"/>
        <bgColor indexed="64"/>
      </patternFill>
    </fill>
    <fill>
      <patternFill patternType="solid">
        <fgColor theme="4" tint="0.79998168889431442"/>
        <bgColor indexed="64"/>
      </patternFill>
    </fill>
    <fill>
      <patternFill patternType="solid">
        <fgColor indexed="22"/>
        <bgColor indexed="64"/>
      </patternFill>
    </fill>
  </fills>
  <borders count="62">
    <border>
      <left/>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diagonal/>
    </border>
    <border>
      <left style="thin">
        <color indexed="64"/>
      </left>
      <right style="thin">
        <color indexed="64"/>
      </right>
      <top/>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right style="double">
        <color indexed="64"/>
      </right>
      <top style="double">
        <color indexed="64"/>
      </top>
      <bottom style="medium">
        <color indexed="64"/>
      </bottom>
      <diagonal/>
    </border>
    <border>
      <left style="double">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right style="hair">
        <color indexed="64"/>
      </right>
      <top style="medium">
        <color indexed="64"/>
      </top>
      <bottom/>
      <diagonal/>
    </border>
    <border>
      <left style="hair">
        <color indexed="64"/>
      </left>
      <right style="hair">
        <color indexed="64"/>
      </right>
      <top style="medium">
        <color indexed="64"/>
      </top>
      <bottom/>
      <diagonal/>
    </border>
    <border>
      <left style="hair">
        <color indexed="64"/>
      </left>
      <right style="double">
        <color indexed="64"/>
      </right>
      <top style="medium">
        <color indexed="64"/>
      </top>
      <bottom style="hair">
        <color indexed="64"/>
      </bottom>
      <diagonal/>
    </border>
    <border>
      <left style="double">
        <color indexed="64"/>
      </left>
      <right/>
      <top/>
      <bottom style="thin">
        <color indexed="64"/>
      </bottom>
      <diagonal/>
    </border>
    <border>
      <left/>
      <right/>
      <top/>
      <bottom style="hair">
        <color indexed="64"/>
      </bottom>
      <diagonal/>
    </border>
    <border>
      <left/>
      <right style="medium">
        <color indexed="64"/>
      </right>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double">
        <color indexed="64"/>
      </right>
      <top style="hair">
        <color indexed="64"/>
      </top>
      <bottom style="hair">
        <color indexed="64"/>
      </bottom>
      <diagonal/>
    </border>
    <border>
      <left style="double">
        <color indexed="64"/>
      </left>
      <right/>
      <top style="thin">
        <color indexed="64"/>
      </top>
      <bottom style="thin">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double">
        <color indexed="64"/>
      </left>
      <right/>
      <top style="thin">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double">
        <color indexed="64"/>
      </right>
      <top style="hair">
        <color indexed="64"/>
      </top>
      <bottom style="medium">
        <color indexed="64"/>
      </bottom>
      <diagonal/>
    </border>
    <border>
      <left style="double">
        <color indexed="64"/>
      </left>
      <right/>
      <top/>
      <bottom/>
      <diagonal/>
    </border>
    <border>
      <left/>
      <right style="double">
        <color indexed="64"/>
      </right>
      <top style="medium">
        <color indexed="64"/>
      </top>
      <bottom style="hair">
        <color indexed="64"/>
      </bottom>
      <diagonal/>
    </border>
    <border>
      <left style="double">
        <color indexed="64"/>
      </left>
      <right/>
      <top style="hair">
        <color indexed="64"/>
      </top>
      <bottom style="hair">
        <color indexed="64"/>
      </bottom>
      <diagonal/>
    </border>
    <border>
      <left/>
      <right style="double">
        <color indexed="64"/>
      </right>
      <top style="hair">
        <color indexed="64"/>
      </top>
      <bottom style="hair">
        <color indexed="64"/>
      </bottom>
      <diagonal/>
    </border>
    <border>
      <left style="double">
        <color indexed="64"/>
      </left>
      <right/>
      <top style="hair">
        <color indexed="64"/>
      </top>
      <bottom style="medium">
        <color indexed="64"/>
      </bottom>
      <diagonal/>
    </border>
    <border>
      <left style="double">
        <color indexed="64"/>
      </left>
      <right/>
      <top style="medium">
        <color indexed="64"/>
      </top>
      <bottom/>
      <diagonal/>
    </border>
    <border>
      <left/>
      <right style="double">
        <color indexed="64"/>
      </right>
      <top style="medium">
        <color indexed="64"/>
      </top>
      <bottom/>
      <diagonal/>
    </border>
    <border>
      <left/>
      <right style="double">
        <color indexed="64"/>
      </right>
      <top/>
      <bottom/>
      <diagonal/>
    </border>
    <border>
      <left style="double">
        <color indexed="64"/>
      </left>
      <right/>
      <top/>
      <bottom style="medium">
        <color indexed="64"/>
      </bottom>
      <diagonal/>
    </border>
    <border>
      <left/>
      <right style="double">
        <color indexed="64"/>
      </right>
      <top/>
      <bottom style="medium">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s>
  <cellStyleXfs count="2">
    <xf numFmtId="0" fontId="0" fillId="0" borderId="0"/>
    <xf numFmtId="0" fontId="10" fillId="0" borderId="0" applyNumberFormat="0" applyFill="0" applyBorder="0" applyAlignment="0" applyProtection="0"/>
  </cellStyleXfs>
  <cellXfs count="228">
    <xf numFmtId="0" fontId="0" fillId="0" borderId="0" xfId="0"/>
    <xf numFmtId="0" fontId="2" fillId="0" borderId="0" xfId="0" applyFont="1" applyAlignment="1">
      <alignment vertical="center"/>
    </xf>
    <xf numFmtId="0" fontId="2" fillId="0" borderId="0" xfId="0" applyFont="1" applyAlignment="1">
      <alignment horizontal="center" vertical="center"/>
    </xf>
    <xf numFmtId="0" fontId="3" fillId="0" borderId="0" xfId="0" applyFont="1" applyAlignment="1">
      <alignment vertical="center"/>
    </xf>
    <xf numFmtId="0" fontId="5" fillId="0" borderId="0" xfId="0" applyFont="1" applyAlignment="1">
      <alignment vertical="center"/>
    </xf>
    <xf numFmtId="0" fontId="4" fillId="0" borderId="0" xfId="0" applyFont="1" applyAlignment="1">
      <alignment vertical="center"/>
    </xf>
    <xf numFmtId="0" fontId="1" fillId="0" borderId="2" xfId="0" applyFont="1" applyBorder="1" applyAlignment="1">
      <alignment horizontal="center" vertical="center"/>
    </xf>
    <xf numFmtId="0" fontId="1" fillId="0" borderId="2" xfId="0" applyFont="1" applyBorder="1" applyAlignment="1">
      <alignment vertical="center"/>
    </xf>
    <xf numFmtId="0" fontId="4" fillId="0" borderId="2" xfId="0" applyFont="1" applyBorder="1" applyAlignment="1">
      <alignment vertical="center"/>
    </xf>
    <xf numFmtId="166" fontId="2" fillId="0" borderId="2" xfId="0" applyNumberFormat="1" applyFont="1" applyBorder="1" applyAlignment="1">
      <alignment vertical="center"/>
    </xf>
    <xf numFmtId="0" fontId="5" fillId="0" borderId="11" xfId="0" applyFont="1" applyBorder="1" applyAlignment="1">
      <alignment vertical="center"/>
    </xf>
    <xf numFmtId="0" fontId="4" fillId="0" borderId="11" xfId="0" applyFont="1" applyBorder="1" applyAlignment="1">
      <alignment vertical="center"/>
    </xf>
    <xf numFmtId="0" fontId="2" fillId="0" borderId="11" xfId="0" applyFont="1" applyBorder="1" applyAlignment="1">
      <alignment vertical="center"/>
    </xf>
    <xf numFmtId="0" fontId="2" fillId="0" borderId="13" xfId="0" applyFont="1" applyBorder="1" applyAlignment="1">
      <alignment vertical="center"/>
    </xf>
    <xf numFmtId="0" fontId="2" fillId="0" borderId="5" xfId="0" applyFont="1" applyBorder="1" applyAlignment="1">
      <alignment horizontal="center" vertical="center"/>
    </xf>
    <xf numFmtId="0" fontId="2" fillId="0" borderId="2" xfId="0" applyFont="1" applyBorder="1" applyAlignment="1">
      <alignment vertical="center"/>
    </xf>
    <xf numFmtId="0" fontId="1" fillId="4" borderId="2" xfId="0" applyFont="1" applyFill="1" applyBorder="1" applyAlignment="1">
      <alignment horizontal="center" vertical="center"/>
    </xf>
    <xf numFmtId="166" fontId="2" fillId="4" borderId="2" xfId="0" applyNumberFormat="1" applyFont="1" applyFill="1" applyBorder="1" applyAlignment="1">
      <alignment horizontal="center" vertical="center"/>
    </xf>
    <xf numFmtId="2" fontId="2" fillId="4" borderId="2" xfId="0" applyNumberFormat="1" applyFont="1" applyFill="1" applyBorder="1" applyAlignment="1">
      <alignment horizontal="center" vertical="center"/>
    </xf>
    <xf numFmtId="0" fontId="1" fillId="0" borderId="2" xfId="0" applyFont="1" applyBorder="1" applyAlignment="1" applyProtection="1">
      <alignment horizontal="center" vertical="center" wrapText="1"/>
      <protection locked="0"/>
    </xf>
    <xf numFmtId="0" fontId="1" fillId="0" borderId="12" xfId="0" applyFont="1" applyBorder="1" applyAlignment="1" applyProtection="1">
      <alignment horizontal="center" vertical="center" wrapText="1"/>
      <protection locked="0"/>
    </xf>
    <xf numFmtId="167" fontId="1" fillId="4" borderId="2" xfId="0" applyNumberFormat="1" applyFont="1" applyFill="1" applyBorder="1" applyAlignment="1">
      <alignment horizontal="center" vertical="center"/>
    </xf>
    <xf numFmtId="167" fontId="1" fillId="4" borderId="12" xfId="0" applyNumberFormat="1" applyFont="1" applyFill="1" applyBorder="1" applyAlignment="1">
      <alignment horizontal="center" vertical="center"/>
    </xf>
    <xf numFmtId="2" fontId="1" fillId="2" borderId="2" xfId="0" applyNumberFormat="1" applyFont="1" applyFill="1" applyBorder="1" applyAlignment="1">
      <alignment horizontal="center" vertical="center"/>
    </xf>
    <xf numFmtId="2" fontId="1" fillId="2" borderId="14" xfId="0" applyNumberFormat="1" applyFont="1" applyFill="1" applyBorder="1" applyAlignment="1">
      <alignment horizontal="center" vertical="center"/>
    </xf>
    <xf numFmtId="2" fontId="1" fillId="5" borderId="14" xfId="0" applyNumberFormat="1" applyFont="1" applyFill="1" applyBorder="1" applyAlignment="1">
      <alignment horizontal="center" vertical="center"/>
    </xf>
    <xf numFmtId="2" fontId="1" fillId="5" borderId="15" xfId="0" applyNumberFormat="1" applyFont="1" applyFill="1" applyBorder="1" applyAlignment="1">
      <alignment horizontal="center" vertical="center"/>
    </xf>
    <xf numFmtId="0" fontId="2" fillId="4" borderId="10" xfId="0" applyFont="1" applyFill="1" applyBorder="1" applyAlignment="1">
      <alignment horizontal="center" vertical="center"/>
    </xf>
    <xf numFmtId="0" fontId="1" fillId="4" borderId="10" xfId="0" applyFont="1" applyFill="1" applyBorder="1" applyAlignment="1">
      <alignment horizontal="center" vertical="center"/>
    </xf>
    <xf numFmtId="166" fontId="2" fillId="4" borderId="5" xfId="0" applyNumberFormat="1" applyFont="1" applyFill="1" applyBorder="1" applyAlignment="1">
      <alignment horizontal="center" vertical="center"/>
    </xf>
    <xf numFmtId="0" fontId="1" fillId="0" borderId="6" xfId="0" applyFont="1" applyBorder="1" applyAlignment="1" applyProtection="1">
      <alignment horizontal="center" vertical="center" wrapText="1"/>
      <protection locked="0"/>
    </xf>
    <xf numFmtId="167" fontId="1" fillId="4" borderId="6" xfId="0" applyNumberFormat="1" applyFont="1" applyFill="1" applyBorder="1" applyAlignment="1">
      <alignment horizontal="center" vertical="center"/>
    </xf>
    <xf numFmtId="167" fontId="1" fillId="4" borderId="11" xfId="0" applyNumberFormat="1" applyFont="1" applyFill="1" applyBorder="1" applyAlignment="1">
      <alignment horizontal="center" vertical="center"/>
    </xf>
    <xf numFmtId="2" fontId="1" fillId="2" borderId="6" xfId="0" applyNumberFormat="1" applyFont="1" applyFill="1" applyBorder="1" applyAlignment="1">
      <alignment horizontal="center" vertical="center"/>
    </xf>
    <xf numFmtId="2" fontId="1" fillId="2" borderId="11" xfId="0" applyNumberFormat="1" applyFont="1" applyFill="1" applyBorder="1" applyAlignment="1">
      <alignment horizontal="center" vertical="center"/>
    </xf>
    <xf numFmtId="2" fontId="1" fillId="2" borderId="12" xfId="0" applyNumberFormat="1" applyFont="1" applyFill="1" applyBorder="1" applyAlignment="1">
      <alignment horizontal="center" vertical="center"/>
    </xf>
    <xf numFmtId="2" fontId="1" fillId="5" borderId="20" xfId="0" applyNumberFormat="1" applyFont="1" applyFill="1" applyBorder="1" applyAlignment="1">
      <alignment horizontal="center" vertical="center"/>
    </xf>
    <xf numFmtId="2" fontId="1" fillId="2" borderId="13" xfId="0" applyNumberFormat="1" applyFont="1" applyFill="1" applyBorder="1" applyAlignment="1">
      <alignment horizontal="center" vertical="center"/>
    </xf>
    <xf numFmtId="0" fontId="5" fillId="0" borderId="2" xfId="0" applyFont="1" applyBorder="1" applyAlignment="1">
      <alignment vertical="center"/>
    </xf>
    <xf numFmtId="0" fontId="11" fillId="0" borderId="2" xfId="0" applyFont="1" applyBorder="1" applyAlignment="1">
      <alignment horizontal="left" vertical="center" wrapText="1"/>
    </xf>
    <xf numFmtId="0" fontId="11" fillId="0" borderId="2" xfId="0" applyFont="1" applyBorder="1" applyAlignment="1">
      <alignment vertical="center"/>
    </xf>
    <xf numFmtId="0" fontId="12" fillId="0" borderId="2" xfId="0" applyFont="1" applyBorder="1" applyAlignment="1">
      <alignment vertical="center"/>
    </xf>
    <xf numFmtId="164" fontId="12" fillId="0" borderId="2" xfId="0" applyNumberFormat="1" applyFont="1" applyBorder="1" applyAlignment="1">
      <alignment horizontal="right" vertical="center" wrapText="1"/>
    </xf>
    <xf numFmtId="0" fontId="12" fillId="0" borderId="2" xfId="0" applyFont="1" applyBorder="1" applyAlignment="1">
      <alignment horizontal="right" vertical="center"/>
    </xf>
    <xf numFmtId="0" fontId="3" fillId="0" borderId="2" xfId="0" applyFont="1" applyBorder="1" applyAlignment="1">
      <alignment vertical="center"/>
    </xf>
    <xf numFmtId="2" fontId="2" fillId="0" borderId="2" xfId="0" applyNumberFormat="1" applyFont="1" applyBorder="1" applyAlignment="1">
      <alignment horizontal="center" vertical="center"/>
    </xf>
    <xf numFmtId="2" fontId="5" fillId="0" borderId="2" xfId="0" applyNumberFormat="1" applyFont="1" applyBorder="1" applyAlignment="1">
      <alignment horizontal="center" vertical="center"/>
    </xf>
    <xf numFmtId="0" fontId="5" fillId="0" borderId="2" xfId="0" applyFont="1" applyBorder="1" applyAlignment="1">
      <alignment horizontal="center" vertical="center"/>
    </xf>
    <xf numFmtId="0" fontId="4" fillId="0" borderId="2" xfId="0" applyFont="1" applyBorder="1" applyAlignment="1">
      <alignment horizontal="center" vertical="center"/>
    </xf>
    <xf numFmtId="0" fontId="4" fillId="0" borderId="2" xfId="0" applyFont="1" applyBorder="1" applyAlignment="1">
      <alignment horizontal="center" vertical="center" wrapText="1"/>
    </xf>
    <xf numFmtId="0" fontId="4" fillId="9" borderId="2" xfId="0" applyFont="1" applyFill="1" applyBorder="1" applyAlignment="1">
      <alignment vertical="center"/>
    </xf>
    <xf numFmtId="0" fontId="1" fillId="0" borderId="6" xfId="0" applyFont="1" applyBorder="1" applyAlignment="1">
      <alignment horizontal="center" vertical="center"/>
    </xf>
    <xf numFmtId="2" fontId="2" fillId="0" borderId="6" xfId="0" applyNumberFormat="1" applyFont="1" applyBorder="1" applyAlignment="1">
      <alignment horizontal="center" vertical="center"/>
    </xf>
    <xf numFmtId="2" fontId="1" fillId="0" borderId="2" xfId="0" applyNumberFormat="1" applyFont="1" applyBorder="1" applyAlignment="1">
      <alignment horizontal="center" vertical="center"/>
    </xf>
    <xf numFmtId="0" fontId="2" fillId="0" borderId="0" xfId="0" quotePrefix="1" applyFont="1" applyAlignment="1">
      <alignment horizontal="center" vertical="center"/>
    </xf>
    <xf numFmtId="0" fontId="4" fillId="4" borderId="2"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164" fontId="4" fillId="0" borderId="2" xfId="0" applyNumberFormat="1" applyFont="1" applyBorder="1" applyAlignment="1">
      <alignment horizontal="center" vertical="center" wrapText="1"/>
    </xf>
    <xf numFmtId="2" fontId="5" fillId="0" borderId="2" xfId="0" applyNumberFormat="1" applyFont="1" applyBorder="1" applyAlignment="1">
      <alignment horizontal="center" vertical="center" wrapText="1"/>
    </xf>
    <xf numFmtId="0" fontId="5" fillId="0" borderId="2" xfId="0" applyFont="1" applyBorder="1" applyAlignment="1">
      <alignment horizontal="center" vertical="center" wrapText="1"/>
    </xf>
    <xf numFmtId="2" fontId="5" fillId="0" borderId="2" xfId="0" applyNumberFormat="1" applyFont="1" applyBorder="1" applyAlignment="1">
      <alignment horizontal="center"/>
    </xf>
    <xf numFmtId="2" fontId="2" fillId="0" borderId="2" xfId="0" applyNumberFormat="1" applyFont="1" applyBorder="1" applyAlignment="1">
      <alignment horizontal="center"/>
    </xf>
    <xf numFmtId="0" fontId="4" fillId="9" borderId="2" xfId="0" applyFont="1" applyFill="1" applyBorder="1" applyAlignment="1">
      <alignment horizontal="center" vertical="center" wrapText="1"/>
    </xf>
    <xf numFmtId="0" fontId="4" fillId="11" borderId="2" xfId="0" applyFont="1" applyFill="1" applyBorder="1" applyAlignment="1" applyProtection="1">
      <alignment horizontal="center" vertical="center" wrapText="1"/>
      <protection hidden="1"/>
    </xf>
    <xf numFmtId="0" fontId="5" fillId="11" borderId="1" xfId="0" applyFont="1" applyFill="1" applyBorder="1" applyAlignment="1" applyProtection="1">
      <alignment vertical="center" wrapText="1"/>
      <protection hidden="1"/>
    </xf>
    <xf numFmtId="0" fontId="5" fillId="11" borderId="23" xfId="0" applyFont="1" applyFill="1" applyBorder="1" applyAlignment="1" applyProtection="1">
      <alignment vertical="center" wrapText="1"/>
      <protection hidden="1"/>
    </xf>
    <xf numFmtId="0" fontId="5" fillId="0" borderId="0" xfId="0" applyFont="1" applyAlignment="1" applyProtection="1">
      <alignment vertical="center"/>
      <protection hidden="1"/>
    </xf>
    <xf numFmtId="0" fontId="4" fillId="0" borderId="2" xfId="0" applyFont="1" applyBorder="1" applyAlignment="1" applyProtection="1">
      <alignment vertical="center"/>
      <protection hidden="1"/>
    </xf>
    <xf numFmtId="0" fontId="5" fillId="0" borderId="2" xfId="0" applyFont="1" applyBorder="1" applyAlignment="1" applyProtection="1">
      <alignment vertical="center"/>
      <protection hidden="1"/>
    </xf>
    <xf numFmtId="0" fontId="5" fillId="0" borderId="2" xfId="0" applyFont="1" applyBorder="1" applyAlignment="1" applyProtection="1">
      <alignment vertical="center" wrapText="1"/>
      <protection hidden="1"/>
    </xf>
    <xf numFmtId="164" fontId="5" fillId="0" borderId="2" xfId="0" applyNumberFormat="1" applyFont="1" applyBorder="1" applyAlignment="1" applyProtection="1">
      <alignment horizontal="right" vertical="center"/>
      <protection hidden="1"/>
    </xf>
    <xf numFmtId="164" fontId="4" fillId="0" borderId="2" xfId="0" applyNumberFormat="1" applyFont="1" applyBorder="1" applyAlignment="1" applyProtection="1">
      <alignment vertical="center"/>
      <protection hidden="1"/>
    </xf>
    <xf numFmtId="164" fontId="11" fillId="10" borderId="2" xfId="0" applyNumberFormat="1" applyFont="1" applyFill="1" applyBorder="1" applyAlignment="1" applyProtection="1">
      <alignment vertical="center"/>
      <protection hidden="1"/>
    </xf>
    <xf numFmtId="164" fontId="5" fillId="0" borderId="2" xfId="0" applyNumberFormat="1" applyFont="1" applyBorder="1" applyAlignment="1" applyProtection="1">
      <alignment vertical="center"/>
      <protection hidden="1"/>
    </xf>
    <xf numFmtId="164" fontId="5" fillId="0" borderId="0" xfId="0" applyNumberFormat="1" applyFont="1" applyAlignment="1" applyProtection="1">
      <alignment vertical="center"/>
      <protection hidden="1"/>
    </xf>
    <xf numFmtId="0" fontId="4" fillId="11" borderId="23" xfId="0" applyFont="1" applyFill="1" applyBorder="1" applyAlignment="1" applyProtection="1">
      <alignment horizontal="left" vertical="center" wrapText="1"/>
      <protection hidden="1"/>
    </xf>
    <xf numFmtId="0" fontId="5" fillId="11" borderId="23" xfId="0" applyFont="1" applyFill="1" applyBorder="1" applyAlignment="1" applyProtection="1">
      <alignment horizontal="left" vertical="center" wrapText="1"/>
      <protection hidden="1"/>
    </xf>
    <xf numFmtId="164" fontId="5" fillId="12" borderId="2" xfId="0" applyNumberFormat="1" applyFont="1" applyFill="1" applyBorder="1" applyAlignment="1" applyProtection="1">
      <alignment vertical="center"/>
      <protection locked="0" hidden="1"/>
    </xf>
    <xf numFmtId="2" fontId="5" fillId="12" borderId="2" xfId="0" applyNumberFormat="1" applyFont="1" applyFill="1" applyBorder="1" applyAlignment="1" applyProtection="1">
      <alignment horizontal="right" vertical="center"/>
      <protection locked="0" hidden="1"/>
    </xf>
    <xf numFmtId="0" fontId="4" fillId="7" borderId="2" xfId="0" applyFont="1" applyFill="1" applyBorder="1" applyAlignment="1" applyProtection="1">
      <alignment vertical="center"/>
      <protection hidden="1"/>
    </xf>
    <xf numFmtId="2" fontId="2" fillId="0" borderId="0" xfId="0" applyNumberFormat="1" applyFont="1" applyAlignment="1">
      <alignment horizontal="center" vertical="center"/>
    </xf>
    <xf numFmtId="0" fontId="5" fillId="0" borderId="0" xfId="0" applyFont="1"/>
    <xf numFmtId="0" fontId="11" fillId="0" borderId="2" xfId="0" applyFont="1" applyBorder="1" applyAlignment="1">
      <alignment horizontal="center" vertical="center"/>
    </xf>
    <xf numFmtId="2" fontId="5" fillId="9" borderId="2" xfId="0" applyNumberFormat="1" applyFont="1" applyFill="1" applyBorder="1" applyAlignment="1">
      <alignment horizontal="center" vertical="center"/>
    </xf>
    <xf numFmtId="1" fontId="5" fillId="0" borderId="2" xfId="0" applyNumberFormat="1" applyFont="1" applyBorder="1" applyAlignment="1">
      <alignment horizontal="center" vertical="center"/>
    </xf>
    <xf numFmtId="164" fontId="5" fillId="0" borderId="2" xfId="0" applyNumberFormat="1" applyFont="1" applyBorder="1" applyAlignment="1">
      <alignment horizontal="center" vertical="center"/>
    </xf>
    <xf numFmtId="2" fontId="12" fillId="0" borderId="2" xfId="0" applyNumberFormat="1" applyFont="1" applyBorder="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right"/>
    </xf>
    <xf numFmtId="0" fontId="5" fillId="0" borderId="0" xfId="0" applyFont="1" applyAlignment="1">
      <alignment horizontal="center"/>
    </xf>
    <xf numFmtId="0" fontId="17" fillId="13" borderId="32" xfId="0" applyFont="1" applyFill="1" applyBorder="1" applyAlignment="1">
      <alignment horizontal="center"/>
    </xf>
    <xf numFmtId="0" fontId="18" fillId="13" borderId="33" xfId="0" applyFont="1" applyFill="1" applyBorder="1" applyAlignment="1">
      <alignment horizontal="center"/>
    </xf>
    <xf numFmtId="0" fontId="19" fillId="13" borderId="33" xfId="0" applyFont="1" applyFill="1" applyBorder="1" applyAlignment="1">
      <alignment horizontal="center"/>
    </xf>
    <xf numFmtId="0" fontId="20" fillId="13" borderId="34" xfId="0" applyFont="1" applyFill="1" applyBorder="1" applyAlignment="1">
      <alignment horizontal="center"/>
    </xf>
    <xf numFmtId="0" fontId="16" fillId="13" borderId="35" xfId="0" applyFont="1" applyFill="1" applyBorder="1" applyAlignment="1">
      <alignment horizontal="right"/>
    </xf>
    <xf numFmtId="169" fontId="21" fillId="0" borderId="36" xfId="0" applyNumberFormat="1" applyFont="1" applyBorder="1" applyAlignment="1" applyProtection="1">
      <alignment horizontal="right"/>
      <protection locked="0"/>
    </xf>
    <xf numFmtId="170" fontId="21" fillId="0" borderId="36" xfId="0" applyNumberFormat="1" applyFont="1" applyBorder="1" applyAlignment="1" applyProtection="1">
      <alignment horizontal="left"/>
      <protection locked="0"/>
    </xf>
    <xf numFmtId="0" fontId="5" fillId="13" borderId="37" xfId="0" applyFont="1" applyFill="1" applyBorder="1" applyAlignment="1">
      <alignment horizontal="center"/>
    </xf>
    <xf numFmtId="171" fontId="17" fillId="13" borderId="38" xfId="0" applyNumberFormat="1" applyFont="1" applyFill="1" applyBorder="1" applyAlignment="1">
      <alignment horizontal="right"/>
    </xf>
    <xf numFmtId="171" fontId="18" fillId="13" borderId="39" xfId="0" applyNumberFormat="1" applyFont="1" applyFill="1" applyBorder="1" applyAlignment="1">
      <alignment horizontal="right"/>
    </xf>
    <xf numFmtId="171" fontId="19" fillId="13" borderId="39" xfId="0" applyNumberFormat="1" applyFont="1" applyFill="1" applyBorder="1" applyAlignment="1">
      <alignment horizontal="right"/>
    </xf>
    <xf numFmtId="171" fontId="20" fillId="13" borderId="40" xfId="0" applyNumberFormat="1" applyFont="1" applyFill="1" applyBorder="1" applyAlignment="1">
      <alignment horizontal="right"/>
    </xf>
    <xf numFmtId="0" fontId="16" fillId="13" borderId="41" xfId="0" applyFont="1" applyFill="1" applyBorder="1" applyAlignment="1">
      <alignment horizontal="right"/>
    </xf>
    <xf numFmtId="169" fontId="21" fillId="0" borderId="42" xfId="0" applyNumberFormat="1" applyFont="1" applyBorder="1" applyAlignment="1" applyProtection="1">
      <alignment horizontal="right"/>
      <protection locked="0"/>
    </xf>
    <xf numFmtId="170" fontId="21" fillId="0" borderId="42" xfId="0" applyNumberFormat="1" applyFont="1" applyBorder="1" applyAlignment="1" applyProtection="1">
      <alignment horizontal="left"/>
      <protection locked="0"/>
    </xf>
    <xf numFmtId="0" fontId="5" fillId="13" borderId="43" xfId="0" applyFont="1" applyFill="1" applyBorder="1" applyAlignment="1">
      <alignment horizontal="center"/>
    </xf>
    <xf numFmtId="0" fontId="16" fillId="13" borderId="44" xfId="0" applyFont="1" applyFill="1" applyBorder="1" applyAlignment="1">
      <alignment horizontal="right"/>
    </xf>
    <xf numFmtId="169" fontId="21" fillId="0" borderId="45" xfId="0" applyNumberFormat="1" applyFont="1" applyBorder="1" applyAlignment="1" applyProtection="1">
      <alignment horizontal="right"/>
      <protection locked="0"/>
    </xf>
    <xf numFmtId="170" fontId="21" fillId="0" borderId="45" xfId="0" applyNumberFormat="1" applyFont="1" applyBorder="1" applyAlignment="1" applyProtection="1">
      <alignment horizontal="left"/>
      <protection locked="0"/>
    </xf>
    <xf numFmtId="0" fontId="5" fillId="13" borderId="46" xfId="0" applyFont="1" applyFill="1" applyBorder="1" applyAlignment="1">
      <alignment horizontal="center"/>
    </xf>
    <xf numFmtId="171" fontId="18" fillId="13" borderId="47" xfId="0" applyNumberFormat="1" applyFont="1" applyFill="1" applyBorder="1" applyAlignment="1">
      <alignment horizontal="right"/>
    </xf>
    <xf numFmtId="171" fontId="19" fillId="13" borderId="47" xfId="0" applyNumberFormat="1" applyFont="1" applyFill="1" applyBorder="1" applyAlignment="1">
      <alignment horizontal="right"/>
    </xf>
    <xf numFmtId="171" fontId="20" fillId="13" borderId="48" xfId="0" applyNumberFormat="1" applyFont="1" applyFill="1" applyBorder="1" applyAlignment="1">
      <alignment horizontal="right"/>
    </xf>
    <xf numFmtId="0" fontId="5" fillId="13" borderId="49" xfId="0" applyFont="1" applyFill="1" applyBorder="1" applyAlignment="1">
      <alignment horizontal="right"/>
    </xf>
    <xf numFmtId="0" fontId="22" fillId="13" borderId="49" xfId="0" applyFont="1" applyFill="1" applyBorder="1" applyAlignment="1">
      <alignment horizontal="right"/>
    </xf>
    <xf numFmtId="164" fontId="21" fillId="0" borderId="0" xfId="0" applyNumberFormat="1" applyFont="1" applyAlignment="1" applyProtection="1">
      <alignment horizontal="right"/>
      <protection locked="0"/>
    </xf>
    <xf numFmtId="0" fontId="5" fillId="13" borderId="51" xfId="0" applyFont="1" applyFill="1" applyBorder="1" applyAlignment="1">
      <alignment horizontal="right"/>
    </xf>
    <xf numFmtId="0" fontId="16" fillId="13" borderId="42" xfId="0" applyFont="1" applyFill="1" applyBorder="1" applyAlignment="1">
      <alignment horizontal="right"/>
    </xf>
    <xf numFmtId="3" fontId="16" fillId="13" borderId="42" xfId="0" applyNumberFormat="1" applyFont="1" applyFill="1" applyBorder="1" applyAlignment="1">
      <alignment horizontal="right"/>
    </xf>
    <xf numFmtId="0" fontId="16" fillId="13" borderId="42" xfId="0" applyFont="1" applyFill="1" applyBorder="1" applyAlignment="1">
      <alignment horizontal="center"/>
    </xf>
    <xf numFmtId="0" fontId="5" fillId="13" borderId="42" xfId="0" applyFont="1" applyFill="1" applyBorder="1" applyAlignment="1">
      <alignment horizontal="center"/>
    </xf>
    <xf numFmtId="0" fontId="5" fillId="13" borderId="42" xfId="0" applyFont="1" applyFill="1" applyBorder="1"/>
    <xf numFmtId="0" fontId="5" fillId="13" borderId="52" xfId="0" applyFont="1" applyFill="1" applyBorder="1"/>
    <xf numFmtId="0" fontId="5" fillId="13" borderId="54" xfId="0" applyFont="1" applyFill="1" applyBorder="1"/>
    <xf numFmtId="0" fontId="5" fillId="13" borderId="3" xfId="0" applyFont="1" applyFill="1" applyBorder="1"/>
    <xf numFmtId="169" fontId="5" fillId="13" borderId="3" xfId="0" applyNumberFormat="1" applyFont="1" applyFill="1" applyBorder="1" applyAlignment="1">
      <alignment horizontal="right"/>
    </xf>
    <xf numFmtId="170" fontId="5" fillId="13" borderId="55" xfId="0" applyNumberFormat="1" applyFont="1" applyFill="1" applyBorder="1" applyAlignment="1">
      <alignment horizontal="left"/>
    </xf>
    <xf numFmtId="0" fontId="5" fillId="13" borderId="49" xfId="0" applyFont="1" applyFill="1" applyBorder="1"/>
    <xf numFmtId="0" fontId="5" fillId="13" borderId="0" xfId="0" applyFont="1" applyFill="1"/>
    <xf numFmtId="0" fontId="5" fillId="13" borderId="56" xfId="0" applyFont="1" applyFill="1" applyBorder="1"/>
    <xf numFmtId="0" fontId="5" fillId="13" borderId="0" xfId="0" applyFont="1" applyFill="1" applyAlignment="1">
      <alignment horizontal="center"/>
    </xf>
    <xf numFmtId="171" fontId="5" fillId="0" borderId="0" xfId="0" applyNumberFormat="1" applyFont="1"/>
    <xf numFmtId="0" fontId="5" fillId="13" borderId="57" xfId="0" applyFont="1" applyFill="1" applyBorder="1" applyAlignment="1">
      <alignment horizontal="right"/>
    </xf>
    <xf numFmtId="0" fontId="5" fillId="13" borderId="4" xfId="0" applyFont="1" applyFill="1" applyBorder="1" applyAlignment="1">
      <alignment horizontal="center"/>
    </xf>
    <xf numFmtId="0" fontId="5" fillId="13" borderId="4" xfId="0" applyFont="1" applyFill="1" applyBorder="1"/>
    <xf numFmtId="0" fontId="5" fillId="13" borderId="58" xfId="0" applyFont="1" applyFill="1" applyBorder="1" applyAlignment="1">
      <alignment horizontal="right"/>
    </xf>
    <xf numFmtId="172" fontId="5" fillId="0" borderId="0" xfId="0" applyNumberFormat="1" applyFont="1" applyAlignment="1">
      <alignment horizontal="left"/>
    </xf>
    <xf numFmtId="173" fontId="24" fillId="13" borderId="49" xfId="0" applyNumberFormat="1" applyFont="1" applyFill="1" applyBorder="1" applyAlignment="1">
      <alignment horizontal="right"/>
    </xf>
    <xf numFmtId="173" fontId="25" fillId="13" borderId="0" xfId="0" applyNumberFormat="1" applyFont="1" applyFill="1" applyAlignment="1">
      <alignment horizontal="center"/>
    </xf>
    <xf numFmtId="173" fontId="22" fillId="13" borderId="0" xfId="0" applyNumberFormat="1" applyFont="1" applyFill="1" applyAlignment="1">
      <alignment horizontal="left"/>
    </xf>
    <xf numFmtId="173" fontId="24" fillId="13" borderId="0" xfId="0" applyNumberFormat="1" applyFont="1" applyFill="1" applyAlignment="1">
      <alignment horizontal="left"/>
    </xf>
    <xf numFmtId="173" fontId="26" fillId="13" borderId="0" xfId="0" applyNumberFormat="1" applyFont="1" applyFill="1" applyAlignment="1">
      <alignment horizontal="left"/>
    </xf>
    <xf numFmtId="173" fontId="24" fillId="13" borderId="56" xfId="0" applyNumberFormat="1" applyFont="1" applyFill="1" applyBorder="1" applyAlignment="1">
      <alignment horizontal="left"/>
    </xf>
    <xf numFmtId="171" fontId="24" fillId="13" borderId="49" xfId="0" applyNumberFormat="1" applyFont="1" applyFill="1" applyBorder="1" applyAlignment="1">
      <alignment horizontal="right"/>
    </xf>
    <xf numFmtId="171" fontId="25" fillId="13" borderId="0" xfId="0" applyNumberFormat="1" applyFont="1" applyFill="1" applyAlignment="1">
      <alignment horizontal="center"/>
    </xf>
    <xf numFmtId="171" fontId="22" fillId="13" borderId="0" xfId="0" applyNumberFormat="1" applyFont="1" applyFill="1" applyAlignment="1">
      <alignment horizontal="left"/>
    </xf>
    <xf numFmtId="171" fontId="27" fillId="13" borderId="0" xfId="0" applyNumberFormat="1" applyFont="1" applyFill="1" applyAlignment="1">
      <alignment horizontal="left"/>
    </xf>
    <xf numFmtId="171" fontId="26" fillId="13" borderId="0" xfId="0" applyNumberFormat="1" applyFont="1" applyFill="1" applyAlignment="1">
      <alignment horizontal="left"/>
    </xf>
    <xf numFmtId="173" fontId="25" fillId="13" borderId="0" xfId="0" applyNumberFormat="1" applyFont="1" applyFill="1" applyAlignment="1">
      <alignment horizontal="right"/>
    </xf>
    <xf numFmtId="171" fontId="27" fillId="13" borderId="56" xfId="0" applyNumberFormat="1" applyFont="1" applyFill="1" applyBorder="1" applyAlignment="1">
      <alignment horizontal="left"/>
    </xf>
    <xf numFmtId="171" fontId="28" fillId="0" borderId="0" xfId="0" applyNumberFormat="1" applyFont="1" applyAlignment="1">
      <alignment horizontal="center"/>
    </xf>
    <xf numFmtId="0" fontId="28" fillId="0" borderId="0" xfId="0" applyFont="1"/>
    <xf numFmtId="0" fontId="5" fillId="13" borderId="58" xfId="0" applyFont="1" applyFill="1" applyBorder="1"/>
    <xf numFmtId="171" fontId="24" fillId="13" borderId="0" xfId="0" applyNumberFormat="1" applyFont="1" applyFill="1" applyAlignment="1">
      <alignment horizontal="left"/>
    </xf>
    <xf numFmtId="0" fontId="5" fillId="13" borderId="0" xfId="0" applyFont="1" applyFill="1" applyAlignment="1">
      <alignment horizontal="right"/>
    </xf>
    <xf numFmtId="172" fontId="5" fillId="13" borderId="0" xfId="0" applyNumberFormat="1" applyFont="1" applyFill="1" applyAlignment="1">
      <alignment horizontal="left"/>
    </xf>
    <xf numFmtId="171" fontId="24" fillId="13" borderId="59" xfId="0" applyNumberFormat="1" applyFont="1" applyFill="1" applyBorder="1" applyAlignment="1">
      <alignment horizontal="right"/>
    </xf>
    <xf numFmtId="171" fontId="25" fillId="13" borderId="60" xfId="0" applyNumberFormat="1" applyFont="1" applyFill="1" applyBorder="1" applyAlignment="1">
      <alignment horizontal="center"/>
    </xf>
    <xf numFmtId="171" fontId="22" fillId="13" borderId="60" xfId="0" applyNumberFormat="1" applyFont="1" applyFill="1" applyBorder="1" applyAlignment="1">
      <alignment horizontal="left"/>
    </xf>
    <xf numFmtId="171" fontId="27" fillId="13" borderId="60" xfId="0" applyNumberFormat="1" applyFont="1" applyFill="1" applyBorder="1" applyAlignment="1">
      <alignment horizontal="left"/>
    </xf>
    <xf numFmtId="171" fontId="26" fillId="13" borderId="60" xfId="0" applyNumberFormat="1" applyFont="1" applyFill="1" applyBorder="1" applyAlignment="1">
      <alignment horizontal="left"/>
    </xf>
    <xf numFmtId="173" fontId="25" fillId="13" borderId="60" xfId="0" applyNumberFormat="1" applyFont="1" applyFill="1" applyBorder="1" applyAlignment="1">
      <alignment horizontal="right"/>
    </xf>
    <xf numFmtId="171" fontId="27" fillId="13" borderId="61" xfId="0" applyNumberFormat="1" applyFont="1" applyFill="1" applyBorder="1" applyAlignment="1">
      <alignment horizontal="left"/>
    </xf>
    <xf numFmtId="171" fontId="5" fillId="0" borderId="0" xfId="0" applyNumberFormat="1" applyFont="1" applyAlignment="1">
      <alignment horizontal="center"/>
    </xf>
    <xf numFmtId="0" fontId="2" fillId="3" borderId="2" xfId="0" applyFont="1" applyFill="1" applyBorder="1" applyAlignment="1" applyProtection="1">
      <alignment horizontal="center" vertical="center"/>
      <protection locked="0"/>
    </xf>
    <xf numFmtId="2" fontId="2" fillId="3" borderId="2" xfId="0" applyNumberFormat="1" applyFont="1" applyFill="1" applyBorder="1" applyAlignment="1" applyProtection="1">
      <alignment horizontal="center" vertical="center"/>
      <protection locked="0"/>
    </xf>
    <xf numFmtId="2" fontId="2" fillId="3" borderId="12" xfId="0" applyNumberFormat="1" applyFont="1" applyFill="1" applyBorder="1" applyAlignment="1" applyProtection="1">
      <alignment horizontal="center" vertical="center"/>
      <protection locked="0"/>
    </xf>
    <xf numFmtId="0" fontId="5" fillId="0" borderId="14" xfId="0" applyFont="1" applyBorder="1" applyAlignment="1">
      <alignment vertical="center"/>
    </xf>
    <xf numFmtId="0" fontId="29" fillId="0" borderId="0" xfId="1" applyFont="1" applyAlignment="1" applyProtection="1">
      <alignment vertical="center"/>
      <protection hidden="1"/>
    </xf>
    <xf numFmtId="0" fontId="5" fillId="0" borderId="0" xfId="0" applyFont="1"/>
    <xf numFmtId="0" fontId="4" fillId="4" borderId="2" xfId="0" applyFont="1" applyFill="1" applyBorder="1" applyAlignment="1" applyProtection="1">
      <alignment horizontal="left" vertical="center"/>
      <protection hidden="1"/>
    </xf>
    <xf numFmtId="0" fontId="5" fillId="0" borderId="2" xfId="0" applyFont="1" applyBorder="1" applyAlignment="1" applyProtection="1">
      <alignment horizontal="left" vertical="center" wrapText="1"/>
      <protection hidden="1"/>
    </xf>
    <xf numFmtId="0" fontId="4" fillId="4" borderId="2" xfId="0" applyFont="1" applyFill="1" applyBorder="1" applyAlignment="1" applyProtection="1">
      <alignment horizontal="center" vertical="center"/>
      <protection hidden="1"/>
    </xf>
    <xf numFmtId="0" fontId="13" fillId="0" borderId="2" xfId="0" applyFont="1" applyBorder="1" applyAlignment="1" applyProtection="1">
      <alignment horizontal="center" vertical="center" wrapText="1"/>
      <protection hidden="1"/>
    </xf>
    <xf numFmtId="0" fontId="5" fillId="0" borderId="24" xfId="0" applyFont="1" applyBorder="1" applyAlignment="1" applyProtection="1">
      <alignment horizontal="left" vertical="center" wrapText="1"/>
      <protection hidden="1"/>
    </xf>
    <xf numFmtId="0" fontId="5" fillId="0" borderId="2" xfId="0" applyFont="1" applyBorder="1" applyAlignment="1" applyProtection="1">
      <alignment horizontal="left" vertical="top" wrapText="1"/>
      <protection hidden="1"/>
    </xf>
    <xf numFmtId="0" fontId="5" fillId="0" borderId="2" xfId="0" applyFont="1" applyBorder="1" applyAlignment="1">
      <alignment horizontal="left" vertical="center" wrapText="1"/>
    </xf>
    <xf numFmtId="0" fontId="4" fillId="0" borderId="2" xfId="0" applyFont="1" applyBorder="1" applyAlignment="1">
      <alignment horizontal="center" vertical="center"/>
    </xf>
    <xf numFmtId="0" fontId="2" fillId="0" borderId="2" xfId="0" applyFont="1" applyBorder="1" applyAlignment="1">
      <alignment horizontal="left" vertical="center" wrapText="1"/>
    </xf>
    <xf numFmtId="0" fontId="4" fillId="9" borderId="2" xfId="0" applyFont="1" applyFill="1" applyBorder="1" applyAlignment="1">
      <alignment horizontal="center" vertical="center"/>
    </xf>
    <xf numFmtId="0" fontId="2" fillId="0" borderId="2" xfId="0" applyFont="1" applyBorder="1" applyAlignment="1">
      <alignment vertical="center"/>
    </xf>
    <xf numFmtId="0" fontId="1" fillId="0" borderId="2" xfId="0" applyFont="1" applyBorder="1" applyAlignment="1">
      <alignment vertical="center"/>
    </xf>
    <xf numFmtId="0" fontId="2" fillId="0" borderId="6" xfId="0" applyFont="1" applyBorder="1" applyAlignment="1">
      <alignment horizontal="center" vertical="center"/>
    </xf>
    <xf numFmtId="0" fontId="2" fillId="0" borderId="22" xfId="0" applyFont="1" applyBorder="1" applyAlignment="1">
      <alignment horizontal="center" vertical="center"/>
    </xf>
    <xf numFmtId="0" fontId="2" fillId="0" borderId="21" xfId="0" applyFont="1" applyBorder="1" applyAlignment="1">
      <alignment horizontal="center" vertical="center"/>
    </xf>
    <xf numFmtId="0" fontId="2" fillId="0" borderId="25" xfId="0" applyFont="1" applyBorder="1" applyAlignment="1">
      <alignment horizontal="center" vertical="center"/>
    </xf>
    <xf numFmtId="0" fontId="2" fillId="0" borderId="5" xfId="0" applyFont="1" applyBorder="1" applyAlignment="1">
      <alignment horizontal="center" vertical="center"/>
    </xf>
    <xf numFmtId="0" fontId="2" fillId="0" borderId="2" xfId="0" applyFont="1" applyBorder="1" applyAlignment="1">
      <alignment vertical="center" wrapText="1"/>
    </xf>
    <xf numFmtId="0" fontId="1" fillId="9" borderId="2" xfId="0" applyFont="1" applyFill="1" applyBorder="1" applyAlignment="1">
      <alignment horizontal="center" vertical="center"/>
    </xf>
    <xf numFmtId="0" fontId="1" fillId="0" borderId="2" xfId="0" applyFont="1" applyBorder="1" applyAlignment="1">
      <alignment horizontal="center" vertical="center"/>
    </xf>
    <xf numFmtId="0" fontId="1" fillId="0" borderId="6" xfId="0" applyFont="1" applyBorder="1" applyAlignment="1">
      <alignment horizontal="center" vertical="center"/>
    </xf>
    <xf numFmtId="0" fontId="2" fillId="0" borderId="2" xfId="0" applyFont="1" applyBorder="1" applyAlignment="1">
      <alignment horizontal="left" vertical="center"/>
    </xf>
    <xf numFmtId="0" fontId="5" fillId="0" borderId="21" xfId="0" applyFont="1" applyBorder="1" applyAlignment="1">
      <alignment horizontal="center" vertical="center"/>
    </xf>
    <xf numFmtId="0" fontId="5" fillId="0" borderId="25" xfId="0" applyFont="1" applyBorder="1" applyAlignment="1">
      <alignment horizontal="center" vertical="center"/>
    </xf>
    <xf numFmtId="0" fontId="5" fillId="0" borderId="5" xfId="0" applyFont="1" applyBorder="1" applyAlignment="1">
      <alignment horizontal="center" vertical="center"/>
    </xf>
    <xf numFmtId="0" fontId="22" fillId="13" borderId="3" xfId="0" applyFont="1" applyFill="1" applyBorder="1" applyAlignment="1">
      <alignment horizontal="center"/>
    </xf>
    <xf numFmtId="0" fontId="16" fillId="13" borderId="26" xfId="0" applyFont="1" applyFill="1" applyBorder="1" applyAlignment="1">
      <alignment horizontal="center"/>
    </xf>
    <xf numFmtId="0" fontId="16" fillId="13" borderId="27" xfId="0" applyFont="1" applyFill="1" applyBorder="1" applyAlignment="1">
      <alignment horizontal="center"/>
    </xf>
    <xf numFmtId="0" fontId="16" fillId="13" borderId="28" xfId="0" applyFont="1" applyFill="1" applyBorder="1" applyAlignment="1">
      <alignment horizontal="center"/>
    </xf>
    <xf numFmtId="0" fontId="16" fillId="13" borderId="29" xfId="0" applyFont="1" applyFill="1" applyBorder="1" applyAlignment="1">
      <alignment horizontal="center"/>
    </xf>
    <xf numFmtId="0" fontId="16" fillId="13" borderId="30" xfId="0" applyFont="1" applyFill="1" applyBorder="1" applyAlignment="1">
      <alignment horizontal="center"/>
    </xf>
    <xf numFmtId="0" fontId="16" fillId="13" borderId="31" xfId="0" applyFont="1" applyFill="1" applyBorder="1" applyAlignment="1">
      <alignment horizontal="center"/>
    </xf>
    <xf numFmtId="171" fontId="23" fillId="13" borderId="30" xfId="0" applyNumberFormat="1" applyFont="1" applyFill="1" applyBorder="1" applyAlignment="1">
      <alignment horizontal="left"/>
    </xf>
    <xf numFmtId="0" fontId="5" fillId="0" borderId="30" xfId="0" applyFont="1" applyBorder="1"/>
    <xf numFmtId="171" fontId="23" fillId="13" borderId="30" xfId="0" applyNumberFormat="1" applyFont="1" applyFill="1" applyBorder="1" applyAlignment="1">
      <alignment horizontal="center"/>
    </xf>
    <xf numFmtId="0" fontId="22" fillId="0" borderId="30" xfId="0" applyFont="1" applyBorder="1"/>
    <xf numFmtId="0" fontId="22" fillId="0" borderId="50" xfId="0" applyFont="1" applyBorder="1"/>
    <xf numFmtId="0" fontId="5" fillId="13" borderId="53" xfId="0" applyFont="1" applyFill="1" applyBorder="1"/>
    <xf numFmtId="0" fontId="5" fillId="0" borderId="45" xfId="0" applyFont="1" applyBorder="1"/>
    <xf numFmtId="0" fontId="23" fillId="13" borderId="42" xfId="0" applyFont="1" applyFill="1" applyBorder="1" applyAlignment="1">
      <alignment horizontal="center"/>
    </xf>
    <xf numFmtId="0" fontId="23" fillId="13" borderId="52" xfId="0" applyFont="1" applyFill="1" applyBorder="1" applyAlignment="1">
      <alignment horizont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8" borderId="7" xfId="0" applyFont="1" applyFill="1" applyBorder="1" applyAlignment="1">
      <alignment horizontal="center" vertical="center"/>
    </xf>
    <xf numFmtId="0" fontId="1" fillId="8" borderId="8" xfId="0" applyFont="1" applyFill="1" applyBorder="1" applyAlignment="1">
      <alignment horizontal="center" vertical="center"/>
    </xf>
    <xf numFmtId="0" fontId="1" fillId="8" borderId="9" xfId="0" applyFont="1" applyFill="1" applyBorder="1" applyAlignment="1">
      <alignment horizontal="center" vertical="center"/>
    </xf>
    <xf numFmtId="0" fontId="9" fillId="0" borderId="2" xfId="0" applyFont="1" applyBorder="1" applyAlignment="1">
      <alignment horizontal="center" vertical="center" wrapText="1"/>
    </xf>
    <xf numFmtId="0" fontId="9" fillId="0" borderId="12" xfId="0" applyFont="1" applyBorder="1" applyAlignment="1">
      <alignment horizontal="center" vertical="center" wrapText="1"/>
    </xf>
    <xf numFmtId="0" fontId="1" fillId="0" borderId="2" xfId="0" applyFont="1" applyBorder="1" applyAlignment="1" applyProtection="1">
      <alignment horizontal="center" vertical="center"/>
      <protection locked="0"/>
    </xf>
    <xf numFmtId="0" fontId="1" fillId="0" borderId="12" xfId="0" applyFont="1" applyBorder="1" applyAlignment="1" applyProtection="1">
      <alignment horizontal="center" vertical="center"/>
      <protection locked="0"/>
    </xf>
    <xf numFmtId="0" fontId="1" fillId="6" borderId="7" xfId="0" applyFont="1" applyFill="1" applyBorder="1" applyAlignment="1">
      <alignment horizontal="center" vertical="center"/>
    </xf>
    <xf numFmtId="0" fontId="1" fillId="6" borderId="8" xfId="0" applyFont="1" applyFill="1" applyBorder="1" applyAlignment="1">
      <alignment horizontal="center" vertical="center"/>
    </xf>
    <xf numFmtId="0" fontId="1" fillId="6" borderId="9" xfId="0" applyFont="1" applyFill="1" applyBorder="1" applyAlignment="1">
      <alignment horizontal="center" vertical="center"/>
    </xf>
    <xf numFmtId="0" fontId="8" fillId="7" borderId="7" xfId="0" applyFont="1" applyFill="1" applyBorder="1" applyAlignment="1">
      <alignment horizontal="center" vertical="center" wrapText="1"/>
    </xf>
    <xf numFmtId="0" fontId="8" fillId="7" borderId="8" xfId="0" applyFont="1" applyFill="1" applyBorder="1" applyAlignment="1">
      <alignment horizontal="center" vertical="center"/>
    </xf>
    <xf numFmtId="0" fontId="8" fillId="7" borderId="19" xfId="0" applyFont="1" applyFill="1" applyBorder="1" applyAlignment="1">
      <alignment horizontal="center" vertical="center"/>
    </xf>
  </cellXfs>
  <cellStyles count="2">
    <cellStyle name="Hyperlink" xfId="1" builtinId="8"/>
    <cellStyle name="Normal" xfId="0" builtinId="0"/>
  </cellStyles>
  <dxfs count="12">
    <dxf>
      <font>
        <color rgb="FF9C0006"/>
      </font>
      <fill>
        <patternFill>
          <bgColor rgb="FFFFC7CE"/>
        </patternFill>
      </fill>
    </dxf>
    <dxf>
      <fill>
        <patternFill>
          <bgColor rgb="FFFFC000"/>
        </patternFill>
      </fill>
    </dxf>
    <dxf>
      <fill>
        <patternFill>
          <bgColor rgb="FFCCFFCC"/>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3">
    <tableStyle name="Charts-style" pivot="0" count="3" xr9:uid="{00000000-0011-0000-FFFF-FFFF00000000}">
      <tableStyleElement type="headerRow" dxfId="11"/>
      <tableStyleElement type="firstRowStripe" dxfId="10"/>
      <tableStyleElement type="secondRowStripe" dxfId="9"/>
    </tableStyle>
    <tableStyle name="Charts-style 2" pivot="0" count="3" xr9:uid="{00000000-0011-0000-FFFF-FFFF01000000}">
      <tableStyleElement type="headerRow" dxfId="8"/>
      <tableStyleElement type="firstRowStripe" dxfId="7"/>
      <tableStyleElement type="secondRowStripe" dxfId="6"/>
    </tableStyle>
    <tableStyle name="Charts-style 3" pivot="0" count="3" xr9:uid="{00000000-0011-0000-FFFF-FFFF02000000}">
      <tableStyleElement type="headerRow" dxfId="5"/>
      <tableStyleElement type="firstRowStripe" dxfId="4"/>
      <tableStyleElement type="secondRowStripe" dxfId="3"/>
    </tableStyle>
  </tableStyles>
  <colors>
    <mruColors>
      <color rgb="FFCCFFCC"/>
      <color rgb="FF00CC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customXml" Target="../ink/ink2.xml"/><Relationship Id="rId2" Type="http://schemas.openxmlformats.org/officeDocument/2006/relationships/image" Target="../media/image9.png"/><Relationship Id="rId1" Type="http://schemas.openxmlformats.org/officeDocument/2006/relationships/customXml" Target="../ink/ink1.xml"/><Relationship Id="rId6" Type="http://schemas.openxmlformats.org/officeDocument/2006/relationships/image" Target="../media/image11.png"/><Relationship Id="rId5" Type="http://schemas.openxmlformats.org/officeDocument/2006/relationships/customXml" Target="../ink/ink3.xml"/><Relationship Id="rId4" Type="http://schemas.openxmlformats.org/officeDocument/2006/relationships/image" Target="../media/image10.pn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1223394</xdr:colOff>
      <xdr:row>4</xdr:row>
      <xdr:rowOff>1686542</xdr:rowOff>
    </xdr:from>
    <xdr:to>
      <xdr:col>1</xdr:col>
      <xdr:colOff>1134082</xdr:colOff>
      <xdr:row>4</xdr:row>
      <xdr:rowOff>1686542</xdr:rowOff>
    </xdr:to>
    <xdr:cxnSp macro="">
      <xdr:nvCxnSpPr>
        <xdr:cNvPr id="10" name="Straight Connector 9">
          <a:extLst>
            <a:ext uri="{FF2B5EF4-FFF2-40B4-BE49-F238E27FC236}">
              <a16:creationId xmlns:a16="http://schemas.microsoft.com/office/drawing/2014/main" id="{145F54D8-B983-DB0F-569D-04CD488FC0BB}"/>
            </a:ext>
          </a:extLst>
        </xdr:cNvPr>
        <xdr:cNvCxnSpPr/>
      </xdr:nvCxnSpPr>
      <xdr:spPr>
        <a:xfrm flipV="1">
          <a:off x="1223394" y="3084707"/>
          <a:ext cx="2340000" cy="0"/>
        </a:xfrm>
        <a:prstGeom prst="line">
          <a:avLst/>
        </a:prstGeom>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0</xdr:col>
      <xdr:colOff>1231721</xdr:colOff>
      <xdr:row>4</xdr:row>
      <xdr:rowOff>1187398</xdr:rowOff>
    </xdr:from>
    <xdr:to>
      <xdr:col>2</xdr:col>
      <xdr:colOff>463140</xdr:colOff>
      <xdr:row>4</xdr:row>
      <xdr:rowOff>2081278</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12" name="Ink 11">
              <a:extLst>
                <a:ext uri="{FF2B5EF4-FFF2-40B4-BE49-F238E27FC236}">
                  <a16:creationId xmlns:a16="http://schemas.microsoft.com/office/drawing/2014/main" id="{689018FB-4185-619D-F5A4-5E44E3076303}"/>
                </a:ext>
              </a:extLst>
            </xdr14:cNvPr>
            <xdr14:cNvContentPartPr/>
          </xdr14:nvContentPartPr>
          <xdr14:nvPr macro=""/>
          <xdr14:xfrm>
            <a:off x="1231721" y="2777811"/>
            <a:ext cx="2814217" cy="893880"/>
          </xdr14:xfrm>
        </xdr:contentPart>
      </mc:Choice>
      <mc:Fallback xmlns="">
        <xdr:pic>
          <xdr:nvPicPr>
            <xdr:cNvPr id="12" name="Ink 11">
              <a:extLst>
                <a:ext uri="{FF2B5EF4-FFF2-40B4-BE49-F238E27FC236}">
                  <a16:creationId xmlns:a16="http://schemas.microsoft.com/office/drawing/2014/main" id="{689018FB-4185-619D-F5A4-5E44E3076303}"/>
                </a:ext>
              </a:extLst>
            </xdr:cNvPr>
            <xdr:cNvPicPr/>
          </xdr:nvPicPr>
          <xdr:blipFill>
            <a:blip xmlns:r="http://schemas.openxmlformats.org/officeDocument/2006/relationships" r:embed="rId2"/>
            <a:stretch>
              <a:fillRect/>
            </a:stretch>
          </xdr:blipFill>
          <xdr:spPr>
            <a:xfrm>
              <a:off x="1223081" y="2768811"/>
              <a:ext cx="2831858" cy="911520"/>
            </a:xfrm>
            <a:prstGeom prst="rect">
              <a:avLst/>
            </a:prstGeom>
          </xdr:spPr>
        </xdr:pic>
      </mc:Fallback>
    </mc:AlternateContent>
    <xdr:clientData/>
  </xdr:twoCellAnchor>
  <xdr:twoCellAnchor editAs="oneCell">
    <xdr:from>
      <xdr:col>0</xdr:col>
      <xdr:colOff>1625040</xdr:colOff>
      <xdr:row>4</xdr:row>
      <xdr:rowOff>1186939</xdr:rowOff>
    </xdr:from>
    <xdr:to>
      <xdr:col>0</xdr:col>
      <xdr:colOff>2201400</xdr:colOff>
      <xdr:row>4</xdr:row>
      <xdr:rowOff>1197739</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3" name="Ink 12">
              <a:extLst>
                <a:ext uri="{FF2B5EF4-FFF2-40B4-BE49-F238E27FC236}">
                  <a16:creationId xmlns:a16="http://schemas.microsoft.com/office/drawing/2014/main" id="{79E2610B-981B-B44B-7884-1F4C25CBE3CB}"/>
                </a:ext>
              </a:extLst>
            </xdr14:cNvPr>
            <xdr14:cNvContentPartPr/>
          </xdr14:nvContentPartPr>
          <xdr14:nvPr macro=""/>
          <xdr14:xfrm>
            <a:off x="1625040" y="2777352"/>
            <a:ext cx="576360" cy="10800"/>
          </xdr14:xfrm>
        </xdr:contentPart>
      </mc:Choice>
      <mc:Fallback xmlns="">
        <xdr:pic>
          <xdr:nvPicPr>
            <xdr:cNvPr id="13" name="Ink 12">
              <a:extLst>
                <a:ext uri="{FF2B5EF4-FFF2-40B4-BE49-F238E27FC236}">
                  <a16:creationId xmlns:a16="http://schemas.microsoft.com/office/drawing/2014/main" id="{79E2610B-981B-B44B-7884-1F4C25CBE3CB}"/>
                </a:ext>
              </a:extLst>
            </xdr:cNvPr>
            <xdr:cNvPicPr/>
          </xdr:nvPicPr>
          <xdr:blipFill>
            <a:blip xmlns:r="http://schemas.openxmlformats.org/officeDocument/2006/relationships" r:embed="rId4"/>
            <a:stretch>
              <a:fillRect/>
            </a:stretch>
          </xdr:blipFill>
          <xdr:spPr>
            <a:xfrm>
              <a:off x="1618920" y="2771232"/>
              <a:ext cx="588600" cy="23040"/>
            </a:xfrm>
            <a:prstGeom prst="rect">
              <a:avLst/>
            </a:prstGeom>
          </xdr:spPr>
        </xdr:pic>
      </mc:Fallback>
    </mc:AlternateContent>
    <xdr:clientData/>
  </xdr:twoCellAnchor>
  <xdr:twoCellAnchor editAs="oneCell">
    <xdr:from>
      <xdr:col>0</xdr:col>
      <xdr:colOff>1904859</xdr:colOff>
      <xdr:row>4</xdr:row>
      <xdr:rowOff>1424476</xdr:rowOff>
    </xdr:from>
    <xdr:to>
      <xdr:col>0</xdr:col>
      <xdr:colOff>2201499</xdr:colOff>
      <xdr:row>4</xdr:row>
      <xdr:rowOff>1424836</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16" name="Ink 15">
              <a:extLst>
                <a:ext uri="{FF2B5EF4-FFF2-40B4-BE49-F238E27FC236}">
                  <a16:creationId xmlns:a16="http://schemas.microsoft.com/office/drawing/2014/main" id="{30F2EEA3-2CF7-19E2-A27C-42AEB0D3651C}"/>
                </a:ext>
              </a:extLst>
            </xdr14:cNvPr>
            <xdr14:cNvContentPartPr/>
          </xdr14:nvContentPartPr>
          <xdr14:nvPr macro=""/>
          <xdr14:xfrm>
            <a:off x="1904859" y="3014889"/>
            <a:ext cx="296640" cy="360"/>
          </xdr14:xfrm>
        </xdr:contentPart>
      </mc:Choice>
      <mc:Fallback xmlns="">
        <xdr:pic>
          <xdr:nvPicPr>
            <xdr:cNvPr id="16" name="Ink 15">
              <a:extLst>
                <a:ext uri="{FF2B5EF4-FFF2-40B4-BE49-F238E27FC236}">
                  <a16:creationId xmlns:a16="http://schemas.microsoft.com/office/drawing/2014/main" id="{30F2EEA3-2CF7-19E2-A27C-42AEB0D3651C}"/>
                </a:ext>
              </a:extLst>
            </xdr:cNvPr>
            <xdr:cNvPicPr/>
          </xdr:nvPicPr>
          <xdr:blipFill>
            <a:blip xmlns:r="http://schemas.openxmlformats.org/officeDocument/2006/relationships" r:embed="rId6"/>
            <a:stretch>
              <a:fillRect/>
            </a:stretch>
          </xdr:blipFill>
          <xdr:spPr>
            <a:xfrm>
              <a:off x="1898739" y="3008769"/>
              <a:ext cx="308880" cy="12600"/>
            </a:xfrm>
            <a:prstGeom prst="rect">
              <a:avLst/>
            </a:prstGeom>
          </xdr:spPr>
        </xdr:pic>
      </mc:Fallback>
    </mc:AlternateContent>
    <xdr:clientData/>
  </xdr:twoCellAnchor>
  <xdr:twoCellAnchor>
    <xdr:from>
      <xdr:col>0</xdr:col>
      <xdr:colOff>2202108</xdr:colOff>
      <xdr:row>4</xdr:row>
      <xdr:rowOff>1066113</xdr:rowOff>
    </xdr:from>
    <xdr:to>
      <xdr:col>1</xdr:col>
      <xdr:colOff>340800</xdr:colOff>
      <xdr:row>4</xdr:row>
      <xdr:rowOff>1293315</xdr:rowOff>
    </xdr:to>
    <xdr:sp macro="" textlink="">
      <xdr:nvSpPr>
        <xdr:cNvPr id="36" name="TextBox 35">
          <a:extLst>
            <a:ext uri="{FF2B5EF4-FFF2-40B4-BE49-F238E27FC236}">
              <a16:creationId xmlns:a16="http://schemas.microsoft.com/office/drawing/2014/main" id="{13FF37AA-80DF-C666-7EBF-C3C32AC80402}"/>
            </a:ext>
          </a:extLst>
        </xdr:cNvPr>
        <xdr:cNvSpPr txBox="1"/>
      </xdr:nvSpPr>
      <xdr:spPr>
        <a:xfrm>
          <a:off x="2202108" y="2656526"/>
          <a:ext cx="568004" cy="2272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500"/>
            <a:t>Peak Value</a:t>
          </a:r>
          <a:endParaRPr lang="en-IN" sz="1100"/>
        </a:p>
      </xdr:txBody>
    </xdr:sp>
    <xdr:clientData/>
  </xdr:twoCellAnchor>
  <xdr:twoCellAnchor>
    <xdr:from>
      <xdr:col>0</xdr:col>
      <xdr:colOff>2205953</xdr:colOff>
      <xdr:row>4</xdr:row>
      <xdr:rowOff>1323377</xdr:rowOff>
    </xdr:from>
    <xdr:to>
      <xdr:col>1</xdr:col>
      <xdr:colOff>344645</xdr:colOff>
      <xdr:row>4</xdr:row>
      <xdr:rowOff>1550579</xdr:rowOff>
    </xdr:to>
    <xdr:sp macro="" textlink="">
      <xdr:nvSpPr>
        <xdr:cNvPr id="37" name="TextBox 36">
          <a:extLst>
            <a:ext uri="{FF2B5EF4-FFF2-40B4-BE49-F238E27FC236}">
              <a16:creationId xmlns:a16="http://schemas.microsoft.com/office/drawing/2014/main" id="{5CC50811-ED00-C2D3-C9A6-30113AEC21D8}"/>
            </a:ext>
          </a:extLst>
        </xdr:cNvPr>
        <xdr:cNvSpPr txBox="1"/>
      </xdr:nvSpPr>
      <xdr:spPr>
        <a:xfrm>
          <a:off x="2205953" y="2913790"/>
          <a:ext cx="568004" cy="2272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500"/>
            <a:t>RMS Value</a:t>
          </a:r>
          <a:endParaRPr lang="en-IN" sz="1100"/>
        </a:p>
      </xdr:txBody>
    </xdr:sp>
    <xdr:clientData/>
  </xdr:twoCellAnchor>
  <xdr:twoCellAnchor>
    <xdr:from>
      <xdr:col>0</xdr:col>
      <xdr:colOff>951973</xdr:colOff>
      <xdr:row>4</xdr:row>
      <xdr:rowOff>1223421</xdr:rowOff>
    </xdr:from>
    <xdr:to>
      <xdr:col>0</xdr:col>
      <xdr:colOff>1179175</xdr:colOff>
      <xdr:row>4</xdr:row>
      <xdr:rowOff>2044316</xdr:rowOff>
    </xdr:to>
    <xdr:sp macro="" textlink="">
      <xdr:nvSpPr>
        <xdr:cNvPr id="38" name="TextBox 37">
          <a:extLst>
            <a:ext uri="{FF2B5EF4-FFF2-40B4-BE49-F238E27FC236}">
              <a16:creationId xmlns:a16="http://schemas.microsoft.com/office/drawing/2014/main" id="{C0A2830C-FBB1-4172-9CD2-1811B3E9AD59}"/>
            </a:ext>
          </a:extLst>
        </xdr:cNvPr>
        <xdr:cNvSpPr txBox="1"/>
      </xdr:nvSpPr>
      <xdr:spPr>
        <a:xfrm rot="16200000">
          <a:off x="655126" y="3110681"/>
          <a:ext cx="820895" cy="2272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Amplitude</a:t>
          </a:r>
        </a:p>
      </xdr:txBody>
    </xdr:sp>
    <xdr:clientData/>
  </xdr:twoCellAnchor>
  <xdr:twoCellAnchor>
    <xdr:from>
      <xdr:col>0</xdr:col>
      <xdr:colOff>1655430</xdr:colOff>
      <xdr:row>4</xdr:row>
      <xdr:rowOff>2136057</xdr:rowOff>
    </xdr:from>
    <xdr:to>
      <xdr:col>1</xdr:col>
      <xdr:colOff>672869</xdr:colOff>
      <xdr:row>4</xdr:row>
      <xdr:rowOff>2363259</xdr:rowOff>
    </xdr:to>
    <xdr:sp macro="" textlink="">
      <xdr:nvSpPr>
        <xdr:cNvPr id="39" name="TextBox 38">
          <a:extLst>
            <a:ext uri="{FF2B5EF4-FFF2-40B4-BE49-F238E27FC236}">
              <a16:creationId xmlns:a16="http://schemas.microsoft.com/office/drawing/2014/main" id="{528573A2-FEBF-3647-9199-08F0D8879709}"/>
            </a:ext>
          </a:extLst>
        </xdr:cNvPr>
        <xdr:cNvSpPr txBox="1"/>
      </xdr:nvSpPr>
      <xdr:spPr>
        <a:xfrm>
          <a:off x="1655430" y="3534222"/>
          <a:ext cx="1446751" cy="2272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Time (Wave length)</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14218</xdr:colOff>
      <xdr:row>9</xdr:row>
      <xdr:rowOff>0</xdr:rowOff>
    </xdr:from>
    <xdr:to>
      <xdr:col>25</xdr:col>
      <xdr:colOff>578117</xdr:colOff>
      <xdr:row>22</xdr:row>
      <xdr:rowOff>371677</xdr:rowOff>
    </xdr:to>
    <xdr:pic>
      <xdr:nvPicPr>
        <xdr:cNvPr id="2" name="Picture 1" descr="Speaker boundary interference response (SBIR)">
          <a:extLst>
            <a:ext uri="{FF2B5EF4-FFF2-40B4-BE49-F238E27FC236}">
              <a16:creationId xmlns:a16="http://schemas.microsoft.com/office/drawing/2014/main" id="{FB5CE2CD-CFF3-499E-9867-25458FF1B7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83758" y="6789420"/>
          <a:ext cx="6050299" cy="31834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22</xdr:row>
      <xdr:rowOff>589188</xdr:rowOff>
    </xdr:from>
    <xdr:to>
      <xdr:col>26</xdr:col>
      <xdr:colOff>77860</xdr:colOff>
      <xdr:row>30</xdr:row>
      <xdr:rowOff>188258</xdr:rowOff>
    </xdr:to>
    <xdr:pic>
      <xdr:nvPicPr>
        <xdr:cNvPr id="3" name="Picture 2" descr="Animation of a sound wave reflecting off a boundary, causing cancellation and a standing wave">
          <a:extLst>
            <a:ext uri="{FF2B5EF4-FFF2-40B4-BE49-F238E27FC236}">
              <a16:creationId xmlns:a16="http://schemas.microsoft.com/office/drawing/2014/main" id="{7A41648F-22AF-49EE-B3DD-2996FC13B82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369540" y="10190388"/>
          <a:ext cx="6173860" cy="22736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28575</xdr:colOff>
      <xdr:row>11</xdr:row>
      <xdr:rowOff>9525</xdr:rowOff>
    </xdr:from>
    <xdr:to>
      <xdr:col>9</xdr:col>
      <xdr:colOff>9525</xdr:colOff>
      <xdr:row>17</xdr:row>
      <xdr:rowOff>9525</xdr:rowOff>
    </xdr:to>
    <xdr:grpSp>
      <xdr:nvGrpSpPr>
        <xdr:cNvPr id="2" name="Group 136">
          <a:extLst>
            <a:ext uri="{FF2B5EF4-FFF2-40B4-BE49-F238E27FC236}">
              <a16:creationId xmlns:a16="http://schemas.microsoft.com/office/drawing/2014/main" id="{801DDC2A-F40C-4865-9465-8B0ECE36335A}"/>
            </a:ext>
          </a:extLst>
        </xdr:cNvPr>
        <xdr:cNvGrpSpPr>
          <a:grpSpLocks/>
        </xdr:cNvGrpSpPr>
      </xdr:nvGrpSpPr>
      <xdr:grpSpPr bwMode="auto">
        <a:xfrm>
          <a:off x="66675" y="2310765"/>
          <a:ext cx="5444490" cy="1242060"/>
          <a:chOff x="-1299" y="-20060"/>
          <a:chExt cx="21000" cy="102"/>
        </a:xfrm>
      </xdr:grpSpPr>
      <xdr:sp macro="" textlink="">
        <xdr:nvSpPr>
          <xdr:cNvPr id="3" name="Arc 13">
            <a:extLst>
              <a:ext uri="{FF2B5EF4-FFF2-40B4-BE49-F238E27FC236}">
                <a16:creationId xmlns:a16="http://schemas.microsoft.com/office/drawing/2014/main" id="{77B4A2C8-92C6-4CA9-8B38-2FED05557634}"/>
              </a:ext>
            </a:extLst>
          </xdr:cNvPr>
          <xdr:cNvSpPr>
            <a:spLocks/>
          </xdr:cNvSpPr>
        </xdr:nvSpPr>
        <xdr:spPr bwMode="auto">
          <a:xfrm>
            <a:off x="-1299" y="-20060"/>
            <a:ext cx="5376" cy="101"/>
          </a:xfrm>
          <a:custGeom>
            <a:avLst/>
            <a:gdLst>
              <a:gd name="T0" fmla="*/ 0 w 21600"/>
              <a:gd name="T1" fmla="*/ 0 h 21600"/>
              <a:gd name="T2" fmla="*/ 333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grpSp>
        <xdr:nvGrpSpPr>
          <xdr:cNvPr id="4" name="Group 41">
            <a:extLst>
              <a:ext uri="{FF2B5EF4-FFF2-40B4-BE49-F238E27FC236}">
                <a16:creationId xmlns:a16="http://schemas.microsoft.com/office/drawing/2014/main" id="{D889818C-6BC5-409E-91F8-1D45D5F7AB27}"/>
              </a:ext>
            </a:extLst>
          </xdr:cNvPr>
          <xdr:cNvGrpSpPr>
            <a:grpSpLocks/>
          </xdr:cNvGrpSpPr>
        </xdr:nvGrpSpPr>
        <xdr:grpSpPr bwMode="auto">
          <a:xfrm>
            <a:off x="4077" y="-20059"/>
            <a:ext cx="10206" cy="101"/>
            <a:chOff x="3380000" y="3600000"/>
            <a:chExt cx="4860000" cy="2020000"/>
          </a:xfrm>
        </xdr:grpSpPr>
        <xdr:sp macro="" textlink="">
          <xdr:nvSpPr>
            <xdr:cNvPr id="6" name="Arc 15">
              <a:extLst>
                <a:ext uri="{FF2B5EF4-FFF2-40B4-BE49-F238E27FC236}">
                  <a16:creationId xmlns:a16="http://schemas.microsoft.com/office/drawing/2014/main" id="{DD2F3225-431F-4271-9243-84BD43A9319D}"/>
                </a:ext>
              </a:extLst>
            </xdr:cNvPr>
            <xdr:cNvSpPr>
              <a:spLocks/>
            </xdr:cNvSpPr>
          </xdr:nvSpPr>
          <xdr:spPr bwMode="auto">
            <a:xfrm>
              <a:off x="5880000" y="3600000"/>
              <a:ext cx="2360000" cy="2000000"/>
            </a:xfrm>
            <a:custGeom>
              <a:avLst/>
              <a:gdLst>
                <a:gd name="T0" fmla="*/ 0 w 21600"/>
                <a:gd name="T1" fmla="*/ 0 h 21600"/>
                <a:gd name="T2" fmla="*/ 2147483646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sp macro="" textlink="">
          <xdr:nvSpPr>
            <xdr:cNvPr id="7" name="Arc 14">
              <a:extLst>
                <a:ext uri="{FF2B5EF4-FFF2-40B4-BE49-F238E27FC236}">
                  <a16:creationId xmlns:a16="http://schemas.microsoft.com/office/drawing/2014/main" id="{D28E984B-0C2F-4591-A259-B82EF5BEB694}"/>
                </a:ext>
              </a:extLst>
            </xdr:cNvPr>
            <xdr:cNvSpPr>
              <a:spLocks/>
            </xdr:cNvSpPr>
          </xdr:nvSpPr>
          <xdr:spPr bwMode="auto">
            <a:xfrm flipH="1">
              <a:off x="3380000" y="3600000"/>
              <a:ext cx="2500000" cy="2020000"/>
            </a:xfrm>
            <a:custGeom>
              <a:avLst/>
              <a:gdLst>
                <a:gd name="T0" fmla="*/ 0 w 21600"/>
                <a:gd name="T1" fmla="*/ 0 h 21600"/>
                <a:gd name="T2" fmla="*/ 2147483646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grpSp>
      <xdr:sp macro="" textlink="">
        <xdr:nvSpPr>
          <xdr:cNvPr id="5" name="Arc 16">
            <a:extLst>
              <a:ext uri="{FF2B5EF4-FFF2-40B4-BE49-F238E27FC236}">
                <a16:creationId xmlns:a16="http://schemas.microsoft.com/office/drawing/2014/main" id="{C7629568-B60F-41FA-A09E-9EDF88B94768}"/>
              </a:ext>
            </a:extLst>
          </xdr:cNvPr>
          <xdr:cNvSpPr>
            <a:spLocks/>
          </xdr:cNvSpPr>
        </xdr:nvSpPr>
        <xdr:spPr bwMode="auto">
          <a:xfrm flipH="1">
            <a:off x="14367" y="-20060"/>
            <a:ext cx="5334" cy="101"/>
          </a:xfrm>
          <a:custGeom>
            <a:avLst/>
            <a:gdLst>
              <a:gd name="T0" fmla="*/ 0 w 21600"/>
              <a:gd name="T1" fmla="*/ 0 h 21600"/>
              <a:gd name="T2" fmla="*/ 325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grpSp>
    <xdr:clientData/>
  </xdr:twoCellAnchor>
  <xdr:twoCellAnchor>
    <xdr:from>
      <xdr:col>1</xdr:col>
      <xdr:colOff>19050</xdr:colOff>
      <xdr:row>11</xdr:row>
      <xdr:rowOff>28575</xdr:rowOff>
    </xdr:from>
    <xdr:to>
      <xdr:col>9</xdr:col>
      <xdr:colOff>0</xdr:colOff>
      <xdr:row>17</xdr:row>
      <xdr:rowOff>19050</xdr:rowOff>
    </xdr:to>
    <xdr:grpSp>
      <xdr:nvGrpSpPr>
        <xdr:cNvPr id="8" name="Group 135">
          <a:extLst>
            <a:ext uri="{FF2B5EF4-FFF2-40B4-BE49-F238E27FC236}">
              <a16:creationId xmlns:a16="http://schemas.microsoft.com/office/drawing/2014/main" id="{AA6045CA-BB09-4F0A-BA53-6BD714C7F4F4}"/>
            </a:ext>
          </a:extLst>
        </xdr:cNvPr>
        <xdr:cNvGrpSpPr>
          <a:grpSpLocks/>
        </xdr:cNvGrpSpPr>
      </xdr:nvGrpSpPr>
      <xdr:grpSpPr bwMode="auto">
        <a:xfrm>
          <a:off x="57150" y="2329815"/>
          <a:ext cx="5444490" cy="1232535"/>
          <a:chOff x="-623" y="-19931"/>
          <a:chExt cx="20295" cy="200"/>
        </a:xfrm>
      </xdr:grpSpPr>
      <xdr:sp macro="" textlink="">
        <xdr:nvSpPr>
          <xdr:cNvPr id="9" name="Arc 103">
            <a:extLst>
              <a:ext uri="{FF2B5EF4-FFF2-40B4-BE49-F238E27FC236}">
                <a16:creationId xmlns:a16="http://schemas.microsoft.com/office/drawing/2014/main" id="{0539007B-B429-4A8A-940E-266F9610BC6E}"/>
              </a:ext>
            </a:extLst>
          </xdr:cNvPr>
          <xdr:cNvSpPr>
            <a:spLocks/>
          </xdr:cNvSpPr>
        </xdr:nvSpPr>
        <xdr:spPr bwMode="auto">
          <a:xfrm>
            <a:off x="-623" y="-19931"/>
            <a:ext cx="10373" cy="200"/>
          </a:xfrm>
          <a:custGeom>
            <a:avLst/>
            <a:gdLst>
              <a:gd name="T0" fmla="*/ 0 w 21600"/>
              <a:gd name="T1" fmla="*/ 0 h 21600"/>
              <a:gd name="T2" fmla="*/ 2392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sp macro="" textlink="">
        <xdr:nvSpPr>
          <xdr:cNvPr id="10" name="Arc 104">
            <a:extLst>
              <a:ext uri="{FF2B5EF4-FFF2-40B4-BE49-F238E27FC236}">
                <a16:creationId xmlns:a16="http://schemas.microsoft.com/office/drawing/2014/main" id="{FDD1571D-DB84-40C9-9F46-C5931C63CA0E}"/>
              </a:ext>
            </a:extLst>
          </xdr:cNvPr>
          <xdr:cNvSpPr>
            <a:spLocks/>
          </xdr:cNvSpPr>
        </xdr:nvSpPr>
        <xdr:spPr bwMode="auto">
          <a:xfrm flipH="1">
            <a:off x="9750" y="-19931"/>
            <a:ext cx="9922" cy="200"/>
          </a:xfrm>
          <a:custGeom>
            <a:avLst/>
            <a:gdLst>
              <a:gd name="T0" fmla="*/ 0 w 21600"/>
              <a:gd name="T1" fmla="*/ 0 h 21600"/>
              <a:gd name="T2" fmla="*/ 2094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grpSp>
    <xdr:clientData/>
  </xdr:twoCellAnchor>
  <xdr:twoCellAnchor>
    <xdr:from>
      <xdr:col>1</xdr:col>
      <xdr:colOff>1905</xdr:colOff>
      <xdr:row>11</xdr:row>
      <xdr:rowOff>0</xdr:rowOff>
    </xdr:from>
    <xdr:to>
      <xdr:col>9</xdr:col>
      <xdr:colOff>41910</xdr:colOff>
      <xdr:row>17</xdr:row>
      <xdr:rowOff>0</xdr:rowOff>
    </xdr:to>
    <xdr:grpSp>
      <xdr:nvGrpSpPr>
        <xdr:cNvPr id="11" name="Group 137">
          <a:extLst>
            <a:ext uri="{FF2B5EF4-FFF2-40B4-BE49-F238E27FC236}">
              <a16:creationId xmlns:a16="http://schemas.microsoft.com/office/drawing/2014/main" id="{7445C54F-9D67-4F82-AF7F-FB2744D6E0D7}"/>
            </a:ext>
          </a:extLst>
        </xdr:cNvPr>
        <xdr:cNvGrpSpPr>
          <a:grpSpLocks/>
        </xdr:cNvGrpSpPr>
      </xdr:nvGrpSpPr>
      <xdr:grpSpPr bwMode="auto">
        <a:xfrm>
          <a:off x="40005" y="2301240"/>
          <a:ext cx="5503545" cy="1242060"/>
          <a:chOff x="-1299" y="-20060"/>
          <a:chExt cx="21000" cy="102"/>
        </a:xfrm>
      </xdr:grpSpPr>
      <xdr:grpSp>
        <xdr:nvGrpSpPr>
          <xdr:cNvPr id="12" name="Group 115">
            <a:extLst>
              <a:ext uri="{FF2B5EF4-FFF2-40B4-BE49-F238E27FC236}">
                <a16:creationId xmlns:a16="http://schemas.microsoft.com/office/drawing/2014/main" id="{23B6CDFC-1F62-49AB-BDBA-5AEAF164B752}"/>
              </a:ext>
            </a:extLst>
          </xdr:cNvPr>
          <xdr:cNvGrpSpPr>
            <a:grpSpLocks/>
          </xdr:cNvGrpSpPr>
        </xdr:nvGrpSpPr>
        <xdr:grpSpPr bwMode="auto">
          <a:xfrm>
            <a:off x="9285" y="-20059"/>
            <a:ext cx="7014" cy="101"/>
            <a:chOff x="5860000" y="3600000"/>
            <a:chExt cx="3340000" cy="2020000"/>
          </a:xfrm>
        </xdr:grpSpPr>
        <xdr:sp macro="" textlink="">
          <xdr:nvSpPr>
            <xdr:cNvPr id="18" name="Arc 116">
              <a:extLst>
                <a:ext uri="{FF2B5EF4-FFF2-40B4-BE49-F238E27FC236}">
                  <a16:creationId xmlns:a16="http://schemas.microsoft.com/office/drawing/2014/main" id="{C1CFA327-1889-4AB7-BEDB-3D73D200E6E8}"/>
                </a:ext>
              </a:extLst>
            </xdr:cNvPr>
            <xdr:cNvSpPr>
              <a:spLocks/>
            </xdr:cNvSpPr>
          </xdr:nvSpPr>
          <xdr:spPr bwMode="auto">
            <a:xfrm>
              <a:off x="7540000" y="3600000"/>
              <a:ext cx="1660000" cy="2000000"/>
            </a:xfrm>
            <a:custGeom>
              <a:avLst/>
              <a:gdLst>
                <a:gd name="T0" fmla="*/ 0 w 21600"/>
                <a:gd name="T1" fmla="*/ 0 h 21600"/>
                <a:gd name="T2" fmla="*/ 2147483646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sp macro="" textlink="">
          <xdr:nvSpPr>
            <xdr:cNvPr id="19" name="Arc 117">
              <a:extLst>
                <a:ext uri="{FF2B5EF4-FFF2-40B4-BE49-F238E27FC236}">
                  <a16:creationId xmlns:a16="http://schemas.microsoft.com/office/drawing/2014/main" id="{DF8F4237-438E-418B-B56D-7077BC1AA9D6}"/>
                </a:ext>
              </a:extLst>
            </xdr:cNvPr>
            <xdr:cNvSpPr>
              <a:spLocks/>
            </xdr:cNvSpPr>
          </xdr:nvSpPr>
          <xdr:spPr bwMode="auto">
            <a:xfrm flipH="1">
              <a:off x="5860000" y="3600000"/>
              <a:ext cx="1680000" cy="2020000"/>
            </a:xfrm>
            <a:custGeom>
              <a:avLst/>
              <a:gdLst>
                <a:gd name="T0" fmla="*/ 0 w 21600"/>
                <a:gd name="T1" fmla="*/ 0 h 21600"/>
                <a:gd name="T2" fmla="*/ 2147483646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grpSp>
      <xdr:sp macro="" textlink="">
        <xdr:nvSpPr>
          <xdr:cNvPr id="13" name="Arc 121">
            <a:extLst>
              <a:ext uri="{FF2B5EF4-FFF2-40B4-BE49-F238E27FC236}">
                <a16:creationId xmlns:a16="http://schemas.microsoft.com/office/drawing/2014/main" id="{A08117B7-DD3B-4E65-8DF2-DB7D3FD9E6ED}"/>
              </a:ext>
            </a:extLst>
          </xdr:cNvPr>
          <xdr:cNvSpPr>
            <a:spLocks/>
          </xdr:cNvSpPr>
        </xdr:nvSpPr>
        <xdr:spPr bwMode="auto">
          <a:xfrm flipH="1">
            <a:off x="16299" y="-20060"/>
            <a:ext cx="3402" cy="100"/>
          </a:xfrm>
          <a:custGeom>
            <a:avLst/>
            <a:gdLst>
              <a:gd name="T0" fmla="*/ 0 w 21600"/>
              <a:gd name="T1" fmla="*/ 0 h 21600"/>
              <a:gd name="T2" fmla="*/ 84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grpSp>
        <xdr:nvGrpSpPr>
          <xdr:cNvPr id="14" name="Group 125">
            <a:extLst>
              <a:ext uri="{FF2B5EF4-FFF2-40B4-BE49-F238E27FC236}">
                <a16:creationId xmlns:a16="http://schemas.microsoft.com/office/drawing/2014/main" id="{2695C77D-5D15-410C-AE1B-666BCB1BA9CE}"/>
              </a:ext>
            </a:extLst>
          </xdr:cNvPr>
          <xdr:cNvGrpSpPr>
            <a:grpSpLocks/>
          </xdr:cNvGrpSpPr>
        </xdr:nvGrpSpPr>
        <xdr:grpSpPr bwMode="auto">
          <a:xfrm>
            <a:off x="2229" y="-20060"/>
            <a:ext cx="7056" cy="101"/>
            <a:chOff x="2500000" y="3580000"/>
            <a:chExt cx="3360000" cy="2020000"/>
          </a:xfrm>
        </xdr:grpSpPr>
        <xdr:sp macro="" textlink="">
          <xdr:nvSpPr>
            <xdr:cNvPr id="16" name="Arc 126">
              <a:extLst>
                <a:ext uri="{FF2B5EF4-FFF2-40B4-BE49-F238E27FC236}">
                  <a16:creationId xmlns:a16="http://schemas.microsoft.com/office/drawing/2014/main" id="{CD835F2F-E4D1-4F50-B6EE-F17DA0734F94}"/>
                </a:ext>
              </a:extLst>
            </xdr:cNvPr>
            <xdr:cNvSpPr>
              <a:spLocks/>
            </xdr:cNvSpPr>
          </xdr:nvSpPr>
          <xdr:spPr bwMode="auto">
            <a:xfrm>
              <a:off x="4180000" y="3580000"/>
              <a:ext cx="1680000" cy="2000000"/>
            </a:xfrm>
            <a:custGeom>
              <a:avLst/>
              <a:gdLst>
                <a:gd name="T0" fmla="*/ 0 w 21600"/>
                <a:gd name="T1" fmla="*/ 0 h 21600"/>
                <a:gd name="T2" fmla="*/ 2147483646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sp macro="" textlink="">
          <xdr:nvSpPr>
            <xdr:cNvPr id="17" name="Arc 127">
              <a:extLst>
                <a:ext uri="{FF2B5EF4-FFF2-40B4-BE49-F238E27FC236}">
                  <a16:creationId xmlns:a16="http://schemas.microsoft.com/office/drawing/2014/main" id="{966AF0B0-B645-453E-9C09-3E1EBB2D2026}"/>
                </a:ext>
              </a:extLst>
            </xdr:cNvPr>
            <xdr:cNvSpPr>
              <a:spLocks/>
            </xdr:cNvSpPr>
          </xdr:nvSpPr>
          <xdr:spPr bwMode="auto">
            <a:xfrm flipH="1">
              <a:off x="2500000" y="3580000"/>
              <a:ext cx="1680000" cy="2020000"/>
            </a:xfrm>
            <a:custGeom>
              <a:avLst/>
              <a:gdLst>
                <a:gd name="T0" fmla="*/ 0 w 21600"/>
                <a:gd name="T1" fmla="*/ 0 h 21600"/>
                <a:gd name="T2" fmla="*/ 2147483646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grpSp>
      <xdr:sp macro="" textlink="">
        <xdr:nvSpPr>
          <xdr:cNvPr id="15" name="Arc 128">
            <a:extLst>
              <a:ext uri="{FF2B5EF4-FFF2-40B4-BE49-F238E27FC236}">
                <a16:creationId xmlns:a16="http://schemas.microsoft.com/office/drawing/2014/main" id="{C55A6C97-CDCE-41EE-802E-D016AE92FD13}"/>
              </a:ext>
            </a:extLst>
          </xdr:cNvPr>
          <xdr:cNvSpPr>
            <a:spLocks/>
          </xdr:cNvSpPr>
        </xdr:nvSpPr>
        <xdr:spPr bwMode="auto">
          <a:xfrm>
            <a:off x="-1299" y="-20059"/>
            <a:ext cx="3528" cy="99"/>
          </a:xfrm>
          <a:custGeom>
            <a:avLst/>
            <a:gdLst>
              <a:gd name="T0" fmla="*/ 0 w 21600"/>
              <a:gd name="T1" fmla="*/ 0 h 21600"/>
              <a:gd name="T2" fmla="*/ 94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grpSp>
    <xdr:clientData/>
  </xdr:twoCellAnchor>
  <xdr:twoCellAnchor>
    <xdr:from>
      <xdr:col>1</xdr:col>
      <xdr:colOff>0</xdr:colOff>
      <xdr:row>11</xdr:row>
      <xdr:rowOff>0</xdr:rowOff>
    </xdr:from>
    <xdr:to>
      <xdr:col>9</xdr:col>
      <xdr:colOff>19050</xdr:colOff>
      <xdr:row>17</xdr:row>
      <xdr:rowOff>0</xdr:rowOff>
    </xdr:to>
    <xdr:grpSp>
      <xdr:nvGrpSpPr>
        <xdr:cNvPr id="20" name="Group 138">
          <a:extLst>
            <a:ext uri="{FF2B5EF4-FFF2-40B4-BE49-F238E27FC236}">
              <a16:creationId xmlns:a16="http://schemas.microsoft.com/office/drawing/2014/main" id="{2ABCBE20-E1FC-4D34-B567-825F73A68429}"/>
            </a:ext>
          </a:extLst>
        </xdr:cNvPr>
        <xdr:cNvGrpSpPr>
          <a:grpSpLocks/>
        </xdr:cNvGrpSpPr>
      </xdr:nvGrpSpPr>
      <xdr:grpSpPr bwMode="auto">
        <a:xfrm>
          <a:off x="38100" y="2301240"/>
          <a:ext cx="5482590" cy="1242060"/>
          <a:chOff x="-623" y="-20060"/>
          <a:chExt cx="20541" cy="102"/>
        </a:xfrm>
      </xdr:grpSpPr>
      <xdr:grpSp>
        <xdr:nvGrpSpPr>
          <xdr:cNvPr id="21" name="Group 112">
            <a:extLst>
              <a:ext uri="{FF2B5EF4-FFF2-40B4-BE49-F238E27FC236}">
                <a16:creationId xmlns:a16="http://schemas.microsoft.com/office/drawing/2014/main" id="{E0D2B32E-077F-4CBC-9C95-F214B9BAEF7C}"/>
              </a:ext>
            </a:extLst>
          </xdr:cNvPr>
          <xdr:cNvGrpSpPr>
            <a:grpSpLocks/>
          </xdr:cNvGrpSpPr>
        </xdr:nvGrpSpPr>
        <xdr:grpSpPr bwMode="auto">
          <a:xfrm>
            <a:off x="12374" y="-20059"/>
            <a:ext cx="5043" cy="101"/>
            <a:chOff x="7140000" y="3600000"/>
            <a:chExt cx="2460000" cy="2020000"/>
          </a:xfrm>
        </xdr:grpSpPr>
        <xdr:sp macro="" textlink="">
          <xdr:nvSpPr>
            <xdr:cNvPr id="30" name="Arc 113">
              <a:extLst>
                <a:ext uri="{FF2B5EF4-FFF2-40B4-BE49-F238E27FC236}">
                  <a16:creationId xmlns:a16="http://schemas.microsoft.com/office/drawing/2014/main" id="{4876D4AE-918D-4FEE-8745-D45CC2CE372F}"/>
                </a:ext>
              </a:extLst>
            </xdr:cNvPr>
            <xdr:cNvSpPr>
              <a:spLocks/>
            </xdr:cNvSpPr>
          </xdr:nvSpPr>
          <xdr:spPr bwMode="auto">
            <a:xfrm>
              <a:off x="8400000" y="3600000"/>
              <a:ext cx="1200000" cy="2000000"/>
            </a:xfrm>
            <a:custGeom>
              <a:avLst/>
              <a:gdLst>
                <a:gd name="T0" fmla="*/ 0 w 21600"/>
                <a:gd name="T1" fmla="*/ 0 h 21600"/>
                <a:gd name="T2" fmla="*/ 2147483646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FFFF00" mc:Ignorable="a14" a14:legacySpreadsheetColorIndex="13"/>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sp macro="" textlink="">
          <xdr:nvSpPr>
            <xdr:cNvPr id="31" name="Arc 114">
              <a:extLst>
                <a:ext uri="{FF2B5EF4-FFF2-40B4-BE49-F238E27FC236}">
                  <a16:creationId xmlns:a16="http://schemas.microsoft.com/office/drawing/2014/main" id="{4EA2F675-A628-4FA4-885C-D7D4A03E2FB7}"/>
                </a:ext>
              </a:extLst>
            </xdr:cNvPr>
            <xdr:cNvSpPr>
              <a:spLocks/>
            </xdr:cNvSpPr>
          </xdr:nvSpPr>
          <xdr:spPr bwMode="auto">
            <a:xfrm flipH="1">
              <a:off x="7140000" y="3600000"/>
              <a:ext cx="1260000" cy="2020000"/>
            </a:xfrm>
            <a:custGeom>
              <a:avLst/>
              <a:gdLst>
                <a:gd name="T0" fmla="*/ 0 w 21600"/>
                <a:gd name="T1" fmla="*/ 0 h 21600"/>
                <a:gd name="T2" fmla="*/ 2147483646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FFFF00" mc:Ignorable="a14" a14:legacySpreadsheetColorIndex="13"/>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grpSp>
      <xdr:sp macro="" textlink="">
        <xdr:nvSpPr>
          <xdr:cNvPr id="22" name="Arc 119">
            <a:extLst>
              <a:ext uri="{FF2B5EF4-FFF2-40B4-BE49-F238E27FC236}">
                <a16:creationId xmlns:a16="http://schemas.microsoft.com/office/drawing/2014/main" id="{7864E278-8E4E-4273-BB74-3B091D901E72}"/>
              </a:ext>
            </a:extLst>
          </xdr:cNvPr>
          <xdr:cNvSpPr>
            <a:spLocks/>
          </xdr:cNvSpPr>
        </xdr:nvSpPr>
        <xdr:spPr bwMode="auto">
          <a:xfrm>
            <a:off x="-623" y="-20059"/>
            <a:ext cx="2501" cy="99"/>
          </a:xfrm>
          <a:custGeom>
            <a:avLst/>
            <a:gdLst>
              <a:gd name="T0" fmla="*/ 0 w 21600"/>
              <a:gd name="T1" fmla="*/ 0 h 21600"/>
              <a:gd name="T2" fmla="*/ 34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FFFF00" mc:Ignorable="a14" a14:legacySpreadsheetColorIndex="13"/>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sp macro="" textlink="">
        <xdr:nvSpPr>
          <xdr:cNvPr id="23" name="Arc 124">
            <a:extLst>
              <a:ext uri="{FF2B5EF4-FFF2-40B4-BE49-F238E27FC236}">
                <a16:creationId xmlns:a16="http://schemas.microsoft.com/office/drawing/2014/main" id="{797DC8ED-AD59-4A7A-BB6C-CEA8361AFF68}"/>
              </a:ext>
            </a:extLst>
          </xdr:cNvPr>
          <xdr:cNvSpPr>
            <a:spLocks/>
          </xdr:cNvSpPr>
        </xdr:nvSpPr>
        <xdr:spPr bwMode="auto">
          <a:xfrm flipH="1">
            <a:off x="17417" y="-20060"/>
            <a:ext cx="2501" cy="100"/>
          </a:xfrm>
          <a:custGeom>
            <a:avLst/>
            <a:gdLst>
              <a:gd name="T0" fmla="*/ 0 w 21600"/>
              <a:gd name="T1" fmla="*/ 0 h 21600"/>
              <a:gd name="T2" fmla="*/ 34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FFFF00" mc:Ignorable="a14" a14:legacySpreadsheetColorIndex="13"/>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grpSp>
        <xdr:nvGrpSpPr>
          <xdr:cNvPr id="24" name="Group 129">
            <a:extLst>
              <a:ext uri="{FF2B5EF4-FFF2-40B4-BE49-F238E27FC236}">
                <a16:creationId xmlns:a16="http://schemas.microsoft.com/office/drawing/2014/main" id="{CEC2F2D3-9F8E-4C52-9F86-237694E7D0DA}"/>
              </a:ext>
            </a:extLst>
          </xdr:cNvPr>
          <xdr:cNvGrpSpPr>
            <a:grpSpLocks/>
          </xdr:cNvGrpSpPr>
        </xdr:nvGrpSpPr>
        <xdr:grpSpPr bwMode="auto">
          <a:xfrm>
            <a:off x="1878" y="-20059"/>
            <a:ext cx="5084" cy="101"/>
            <a:chOff x="2020000" y="3600000"/>
            <a:chExt cx="2480000" cy="2020000"/>
          </a:xfrm>
        </xdr:grpSpPr>
        <xdr:sp macro="" textlink="">
          <xdr:nvSpPr>
            <xdr:cNvPr id="28" name="Arc 130">
              <a:extLst>
                <a:ext uri="{FF2B5EF4-FFF2-40B4-BE49-F238E27FC236}">
                  <a16:creationId xmlns:a16="http://schemas.microsoft.com/office/drawing/2014/main" id="{F2B4011A-34BB-4E35-A365-03E95DD6B007}"/>
                </a:ext>
              </a:extLst>
            </xdr:cNvPr>
            <xdr:cNvSpPr>
              <a:spLocks/>
            </xdr:cNvSpPr>
          </xdr:nvSpPr>
          <xdr:spPr bwMode="auto">
            <a:xfrm>
              <a:off x="3300000" y="3600000"/>
              <a:ext cx="1200000" cy="2000000"/>
            </a:xfrm>
            <a:custGeom>
              <a:avLst/>
              <a:gdLst>
                <a:gd name="T0" fmla="*/ 0 w 21600"/>
                <a:gd name="T1" fmla="*/ 0 h 21600"/>
                <a:gd name="T2" fmla="*/ 2147483646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FFFF00" mc:Ignorable="a14" a14:legacySpreadsheetColorIndex="13"/>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sp macro="" textlink="">
          <xdr:nvSpPr>
            <xdr:cNvPr id="29" name="Arc 131">
              <a:extLst>
                <a:ext uri="{FF2B5EF4-FFF2-40B4-BE49-F238E27FC236}">
                  <a16:creationId xmlns:a16="http://schemas.microsoft.com/office/drawing/2014/main" id="{56DC0739-A986-422D-B35E-5C8E0A243609}"/>
                </a:ext>
              </a:extLst>
            </xdr:cNvPr>
            <xdr:cNvSpPr>
              <a:spLocks/>
            </xdr:cNvSpPr>
          </xdr:nvSpPr>
          <xdr:spPr bwMode="auto">
            <a:xfrm flipH="1">
              <a:off x="2020000" y="3600000"/>
              <a:ext cx="1280000" cy="2020000"/>
            </a:xfrm>
            <a:custGeom>
              <a:avLst/>
              <a:gdLst>
                <a:gd name="T0" fmla="*/ 0 w 21600"/>
                <a:gd name="T1" fmla="*/ 0 h 21600"/>
                <a:gd name="T2" fmla="*/ 2147483646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FFFF00" mc:Ignorable="a14" a14:legacySpreadsheetColorIndex="13"/>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grpSp>
      <xdr:grpSp>
        <xdr:nvGrpSpPr>
          <xdr:cNvPr id="25" name="Group 132">
            <a:extLst>
              <a:ext uri="{FF2B5EF4-FFF2-40B4-BE49-F238E27FC236}">
                <a16:creationId xmlns:a16="http://schemas.microsoft.com/office/drawing/2014/main" id="{44A5A2F0-2AA3-46ED-A587-F643B891AD49}"/>
              </a:ext>
            </a:extLst>
          </xdr:cNvPr>
          <xdr:cNvGrpSpPr>
            <a:grpSpLocks/>
          </xdr:cNvGrpSpPr>
        </xdr:nvGrpSpPr>
        <xdr:grpSpPr bwMode="auto">
          <a:xfrm>
            <a:off x="7044" y="-20060"/>
            <a:ext cx="5330" cy="101"/>
            <a:chOff x="4540000" y="3580000"/>
            <a:chExt cx="2600000" cy="2020000"/>
          </a:xfrm>
        </xdr:grpSpPr>
        <xdr:sp macro="" textlink="">
          <xdr:nvSpPr>
            <xdr:cNvPr id="26" name="Arc 133">
              <a:extLst>
                <a:ext uri="{FF2B5EF4-FFF2-40B4-BE49-F238E27FC236}">
                  <a16:creationId xmlns:a16="http://schemas.microsoft.com/office/drawing/2014/main" id="{ACC28C16-73BA-4AC9-99C5-B67F3AEE9B19}"/>
                </a:ext>
              </a:extLst>
            </xdr:cNvPr>
            <xdr:cNvSpPr>
              <a:spLocks/>
            </xdr:cNvSpPr>
          </xdr:nvSpPr>
          <xdr:spPr bwMode="auto">
            <a:xfrm>
              <a:off x="5900000" y="3580000"/>
              <a:ext cx="1240000" cy="2000000"/>
            </a:xfrm>
            <a:custGeom>
              <a:avLst/>
              <a:gdLst>
                <a:gd name="T0" fmla="*/ 0 w 21600"/>
                <a:gd name="T1" fmla="*/ 0 h 21600"/>
                <a:gd name="T2" fmla="*/ 2147483646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FFFF00" mc:Ignorable="a14" a14:legacySpreadsheetColorIndex="13"/>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sp macro="" textlink="">
          <xdr:nvSpPr>
            <xdr:cNvPr id="27" name="Arc 134">
              <a:extLst>
                <a:ext uri="{FF2B5EF4-FFF2-40B4-BE49-F238E27FC236}">
                  <a16:creationId xmlns:a16="http://schemas.microsoft.com/office/drawing/2014/main" id="{467A0670-7DE2-4AF2-A955-403974CF17C4}"/>
                </a:ext>
              </a:extLst>
            </xdr:cNvPr>
            <xdr:cNvSpPr>
              <a:spLocks/>
            </xdr:cNvSpPr>
          </xdr:nvSpPr>
          <xdr:spPr bwMode="auto">
            <a:xfrm flipH="1">
              <a:off x="4540000" y="3580000"/>
              <a:ext cx="1360000" cy="2020000"/>
            </a:xfrm>
            <a:custGeom>
              <a:avLst/>
              <a:gdLst>
                <a:gd name="T0" fmla="*/ 0 w 21600"/>
                <a:gd name="T1" fmla="*/ 0 h 21600"/>
                <a:gd name="T2" fmla="*/ 2147483646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FFFF00" mc:Ignorable="a14" a14:legacySpreadsheetColorIndex="13"/>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grpSp>
    </xdr:grpSp>
    <xdr:clientData/>
  </xdr:twoCellAnchor>
  <xdr:twoCellAnchor>
    <xdr:from>
      <xdr:col>1</xdr:col>
      <xdr:colOff>19050</xdr:colOff>
      <xdr:row>29</xdr:row>
      <xdr:rowOff>0</xdr:rowOff>
    </xdr:from>
    <xdr:to>
      <xdr:col>9</xdr:col>
      <xdr:colOff>0</xdr:colOff>
      <xdr:row>35</xdr:row>
      <xdr:rowOff>9525</xdr:rowOff>
    </xdr:to>
    <xdr:grpSp>
      <xdr:nvGrpSpPr>
        <xdr:cNvPr id="32" name="Group 174">
          <a:extLst>
            <a:ext uri="{FF2B5EF4-FFF2-40B4-BE49-F238E27FC236}">
              <a16:creationId xmlns:a16="http://schemas.microsoft.com/office/drawing/2014/main" id="{DA6FF6F7-B63C-402A-A30A-60CD80F985AC}"/>
            </a:ext>
          </a:extLst>
        </xdr:cNvPr>
        <xdr:cNvGrpSpPr>
          <a:grpSpLocks/>
        </xdr:cNvGrpSpPr>
      </xdr:nvGrpSpPr>
      <xdr:grpSpPr bwMode="auto">
        <a:xfrm>
          <a:off x="57150" y="5951220"/>
          <a:ext cx="5444490" cy="1251585"/>
          <a:chOff x="-1299" y="-78993"/>
          <a:chExt cx="21000" cy="206"/>
        </a:xfrm>
      </xdr:grpSpPr>
      <xdr:sp macro="" textlink="">
        <xdr:nvSpPr>
          <xdr:cNvPr id="33" name="Arc 175">
            <a:extLst>
              <a:ext uri="{FF2B5EF4-FFF2-40B4-BE49-F238E27FC236}">
                <a16:creationId xmlns:a16="http://schemas.microsoft.com/office/drawing/2014/main" id="{8DD148FC-F48F-408B-A2D5-F832E91111A5}"/>
              </a:ext>
            </a:extLst>
          </xdr:cNvPr>
          <xdr:cNvSpPr>
            <a:spLocks/>
          </xdr:cNvSpPr>
        </xdr:nvSpPr>
        <xdr:spPr bwMode="auto">
          <a:xfrm>
            <a:off x="-1299" y="-78993"/>
            <a:ext cx="5376" cy="204"/>
          </a:xfrm>
          <a:custGeom>
            <a:avLst/>
            <a:gdLst>
              <a:gd name="T0" fmla="*/ 0 w 21600"/>
              <a:gd name="T1" fmla="*/ 0 h 21600"/>
              <a:gd name="T2" fmla="*/ 333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grpSp>
        <xdr:nvGrpSpPr>
          <xdr:cNvPr id="34" name="Group 176">
            <a:extLst>
              <a:ext uri="{FF2B5EF4-FFF2-40B4-BE49-F238E27FC236}">
                <a16:creationId xmlns:a16="http://schemas.microsoft.com/office/drawing/2014/main" id="{A8066071-43A2-49E2-8576-66D6553FCFB5}"/>
              </a:ext>
            </a:extLst>
          </xdr:cNvPr>
          <xdr:cNvGrpSpPr>
            <a:grpSpLocks/>
          </xdr:cNvGrpSpPr>
        </xdr:nvGrpSpPr>
        <xdr:grpSpPr bwMode="auto">
          <a:xfrm>
            <a:off x="4077" y="-78991"/>
            <a:ext cx="10206" cy="204"/>
            <a:chOff x="3380000" y="13180000"/>
            <a:chExt cx="4860000" cy="2040000"/>
          </a:xfrm>
        </xdr:grpSpPr>
        <xdr:sp macro="" textlink="">
          <xdr:nvSpPr>
            <xdr:cNvPr id="36" name="Arc 177">
              <a:extLst>
                <a:ext uri="{FF2B5EF4-FFF2-40B4-BE49-F238E27FC236}">
                  <a16:creationId xmlns:a16="http://schemas.microsoft.com/office/drawing/2014/main" id="{FCBC0717-614B-4043-AD06-DDA55E3FC3BD}"/>
                </a:ext>
              </a:extLst>
            </xdr:cNvPr>
            <xdr:cNvSpPr>
              <a:spLocks/>
            </xdr:cNvSpPr>
          </xdr:nvSpPr>
          <xdr:spPr bwMode="auto">
            <a:xfrm>
              <a:off x="5880000" y="13180000"/>
              <a:ext cx="2360000" cy="2020000"/>
            </a:xfrm>
            <a:custGeom>
              <a:avLst/>
              <a:gdLst>
                <a:gd name="T0" fmla="*/ 0 w 21600"/>
                <a:gd name="T1" fmla="*/ 0 h 21600"/>
                <a:gd name="T2" fmla="*/ 2147483646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sp macro="" textlink="">
          <xdr:nvSpPr>
            <xdr:cNvPr id="37" name="Arc 178">
              <a:extLst>
                <a:ext uri="{FF2B5EF4-FFF2-40B4-BE49-F238E27FC236}">
                  <a16:creationId xmlns:a16="http://schemas.microsoft.com/office/drawing/2014/main" id="{008F0D65-75E7-4E0F-AF79-0E124F75A120}"/>
                </a:ext>
              </a:extLst>
            </xdr:cNvPr>
            <xdr:cNvSpPr>
              <a:spLocks/>
            </xdr:cNvSpPr>
          </xdr:nvSpPr>
          <xdr:spPr bwMode="auto">
            <a:xfrm flipH="1">
              <a:off x="3380000" y="13180000"/>
              <a:ext cx="2500000" cy="2040000"/>
            </a:xfrm>
            <a:custGeom>
              <a:avLst/>
              <a:gdLst>
                <a:gd name="T0" fmla="*/ 0 w 21600"/>
                <a:gd name="T1" fmla="*/ 0 h 21600"/>
                <a:gd name="T2" fmla="*/ 2147483646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grpSp>
      <xdr:sp macro="" textlink="">
        <xdr:nvSpPr>
          <xdr:cNvPr id="35" name="Arc 179">
            <a:extLst>
              <a:ext uri="{FF2B5EF4-FFF2-40B4-BE49-F238E27FC236}">
                <a16:creationId xmlns:a16="http://schemas.microsoft.com/office/drawing/2014/main" id="{DD11BB46-3AD7-4F1B-AA1E-8ABC0F6CD804}"/>
              </a:ext>
            </a:extLst>
          </xdr:cNvPr>
          <xdr:cNvSpPr>
            <a:spLocks/>
          </xdr:cNvSpPr>
        </xdr:nvSpPr>
        <xdr:spPr bwMode="auto">
          <a:xfrm flipH="1">
            <a:off x="14367" y="-78993"/>
            <a:ext cx="5334" cy="204"/>
          </a:xfrm>
          <a:custGeom>
            <a:avLst/>
            <a:gdLst>
              <a:gd name="T0" fmla="*/ 0 w 21600"/>
              <a:gd name="T1" fmla="*/ 0 h 21600"/>
              <a:gd name="T2" fmla="*/ 325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grpSp>
    <xdr:clientData/>
  </xdr:twoCellAnchor>
  <xdr:twoCellAnchor>
    <xdr:from>
      <xdr:col>1</xdr:col>
      <xdr:colOff>9525</xdr:colOff>
      <xdr:row>29</xdr:row>
      <xdr:rowOff>0</xdr:rowOff>
    </xdr:from>
    <xdr:to>
      <xdr:col>9</xdr:col>
      <xdr:colOff>0</xdr:colOff>
      <xdr:row>35</xdr:row>
      <xdr:rowOff>9525</xdr:rowOff>
    </xdr:to>
    <xdr:grpSp>
      <xdr:nvGrpSpPr>
        <xdr:cNvPr id="38" name="Group 192">
          <a:extLst>
            <a:ext uri="{FF2B5EF4-FFF2-40B4-BE49-F238E27FC236}">
              <a16:creationId xmlns:a16="http://schemas.microsoft.com/office/drawing/2014/main" id="{38215FED-B4A5-4523-B405-A3BA3329C6EA}"/>
            </a:ext>
          </a:extLst>
        </xdr:cNvPr>
        <xdr:cNvGrpSpPr>
          <a:grpSpLocks/>
        </xdr:cNvGrpSpPr>
      </xdr:nvGrpSpPr>
      <xdr:grpSpPr bwMode="auto">
        <a:xfrm>
          <a:off x="47625" y="5951220"/>
          <a:ext cx="5454015" cy="1251585"/>
          <a:chOff x="-623" y="-78993"/>
          <a:chExt cx="20541" cy="206"/>
        </a:xfrm>
      </xdr:grpSpPr>
      <xdr:grpSp>
        <xdr:nvGrpSpPr>
          <xdr:cNvPr id="39" name="Group 193">
            <a:extLst>
              <a:ext uri="{FF2B5EF4-FFF2-40B4-BE49-F238E27FC236}">
                <a16:creationId xmlns:a16="http://schemas.microsoft.com/office/drawing/2014/main" id="{B39FE2FE-8328-4142-AF1A-546E6A1F407B}"/>
              </a:ext>
            </a:extLst>
          </xdr:cNvPr>
          <xdr:cNvGrpSpPr>
            <a:grpSpLocks/>
          </xdr:cNvGrpSpPr>
        </xdr:nvGrpSpPr>
        <xdr:grpSpPr bwMode="auto">
          <a:xfrm>
            <a:off x="12374" y="-78991"/>
            <a:ext cx="5043" cy="204"/>
            <a:chOff x="7140000" y="13180000"/>
            <a:chExt cx="2460000" cy="2040000"/>
          </a:xfrm>
        </xdr:grpSpPr>
        <xdr:sp macro="" textlink="">
          <xdr:nvSpPr>
            <xdr:cNvPr id="48" name="Arc 194">
              <a:extLst>
                <a:ext uri="{FF2B5EF4-FFF2-40B4-BE49-F238E27FC236}">
                  <a16:creationId xmlns:a16="http://schemas.microsoft.com/office/drawing/2014/main" id="{BC7F3326-F6D5-4A4C-BDAA-783BE5C7475C}"/>
                </a:ext>
              </a:extLst>
            </xdr:cNvPr>
            <xdr:cNvSpPr>
              <a:spLocks/>
            </xdr:cNvSpPr>
          </xdr:nvSpPr>
          <xdr:spPr bwMode="auto">
            <a:xfrm>
              <a:off x="8400000" y="13180000"/>
              <a:ext cx="1200000" cy="2020000"/>
            </a:xfrm>
            <a:custGeom>
              <a:avLst/>
              <a:gdLst>
                <a:gd name="T0" fmla="*/ 0 w 21600"/>
                <a:gd name="T1" fmla="*/ 0 h 21600"/>
                <a:gd name="T2" fmla="*/ 2147483646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FFFF00" mc:Ignorable="a14" a14:legacySpreadsheetColorIndex="13"/>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sp macro="" textlink="">
          <xdr:nvSpPr>
            <xdr:cNvPr id="49" name="Arc 195">
              <a:extLst>
                <a:ext uri="{FF2B5EF4-FFF2-40B4-BE49-F238E27FC236}">
                  <a16:creationId xmlns:a16="http://schemas.microsoft.com/office/drawing/2014/main" id="{E90A1410-5396-401C-820B-1B9926904E8B}"/>
                </a:ext>
              </a:extLst>
            </xdr:cNvPr>
            <xdr:cNvSpPr>
              <a:spLocks/>
            </xdr:cNvSpPr>
          </xdr:nvSpPr>
          <xdr:spPr bwMode="auto">
            <a:xfrm flipH="1">
              <a:off x="7140000" y="13180000"/>
              <a:ext cx="1260000" cy="2040000"/>
            </a:xfrm>
            <a:custGeom>
              <a:avLst/>
              <a:gdLst>
                <a:gd name="T0" fmla="*/ 0 w 21600"/>
                <a:gd name="T1" fmla="*/ 0 h 21600"/>
                <a:gd name="T2" fmla="*/ 2147483646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FFFF00" mc:Ignorable="a14" a14:legacySpreadsheetColorIndex="13"/>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grpSp>
      <xdr:sp macro="" textlink="">
        <xdr:nvSpPr>
          <xdr:cNvPr id="40" name="Arc 196">
            <a:extLst>
              <a:ext uri="{FF2B5EF4-FFF2-40B4-BE49-F238E27FC236}">
                <a16:creationId xmlns:a16="http://schemas.microsoft.com/office/drawing/2014/main" id="{A64BC9D8-E95E-4A85-9E9D-2F339997178A}"/>
              </a:ext>
            </a:extLst>
          </xdr:cNvPr>
          <xdr:cNvSpPr>
            <a:spLocks/>
          </xdr:cNvSpPr>
        </xdr:nvSpPr>
        <xdr:spPr bwMode="auto">
          <a:xfrm>
            <a:off x="-623" y="-78991"/>
            <a:ext cx="2501" cy="200"/>
          </a:xfrm>
          <a:custGeom>
            <a:avLst/>
            <a:gdLst>
              <a:gd name="T0" fmla="*/ 0 w 21600"/>
              <a:gd name="T1" fmla="*/ 0 h 21600"/>
              <a:gd name="T2" fmla="*/ 34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FFFF00" mc:Ignorable="a14" a14:legacySpreadsheetColorIndex="13"/>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sp macro="" textlink="">
        <xdr:nvSpPr>
          <xdr:cNvPr id="41" name="Arc 197">
            <a:extLst>
              <a:ext uri="{FF2B5EF4-FFF2-40B4-BE49-F238E27FC236}">
                <a16:creationId xmlns:a16="http://schemas.microsoft.com/office/drawing/2014/main" id="{B4303EA0-D234-4389-85DA-219D16057461}"/>
              </a:ext>
            </a:extLst>
          </xdr:cNvPr>
          <xdr:cNvSpPr>
            <a:spLocks/>
          </xdr:cNvSpPr>
        </xdr:nvSpPr>
        <xdr:spPr bwMode="auto">
          <a:xfrm flipH="1">
            <a:off x="17417" y="-78993"/>
            <a:ext cx="2501" cy="202"/>
          </a:xfrm>
          <a:custGeom>
            <a:avLst/>
            <a:gdLst>
              <a:gd name="T0" fmla="*/ 0 w 21600"/>
              <a:gd name="T1" fmla="*/ 0 h 21600"/>
              <a:gd name="T2" fmla="*/ 34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FFFF00" mc:Ignorable="a14" a14:legacySpreadsheetColorIndex="13"/>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grpSp>
        <xdr:nvGrpSpPr>
          <xdr:cNvPr id="42" name="Group 198">
            <a:extLst>
              <a:ext uri="{FF2B5EF4-FFF2-40B4-BE49-F238E27FC236}">
                <a16:creationId xmlns:a16="http://schemas.microsoft.com/office/drawing/2014/main" id="{EA322ACF-2688-4482-84F6-49E264AA8B87}"/>
              </a:ext>
            </a:extLst>
          </xdr:cNvPr>
          <xdr:cNvGrpSpPr>
            <a:grpSpLocks/>
          </xdr:cNvGrpSpPr>
        </xdr:nvGrpSpPr>
        <xdr:grpSpPr bwMode="auto">
          <a:xfrm>
            <a:off x="1878" y="-78991"/>
            <a:ext cx="5084" cy="204"/>
            <a:chOff x="2020000" y="13180000"/>
            <a:chExt cx="2480000" cy="2040000"/>
          </a:xfrm>
        </xdr:grpSpPr>
        <xdr:sp macro="" textlink="">
          <xdr:nvSpPr>
            <xdr:cNvPr id="46" name="Arc 199">
              <a:extLst>
                <a:ext uri="{FF2B5EF4-FFF2-40B4-BE49-F238E27FC236}">
                  <a16:creationId xmlns:a16="http://schemas.microsoft.com/office/drawing/2014/main" id="{B328030B-7D5B-4F22-BC6A-FC0145F78AD2}"/>
                </a:ext>
              </a:extLst>
            </xdr:cNvPr>
            <xdr:cNvSpPr>
              <a:spLocks/>
            </xdr:cNvSpPr>
          </xdr:nvSpPr>
          <xdr:spPr bwMode="auto">
            <a:xfrm>
              <a:off x="3300000" y="13180000"/>
              <a:ext cx="1200000" cy="2020000"/>
            </a:xfrm>
            <a:custGeom>
              <a:avLst/>
              <a:gdLst>
                <a:gd name="T0" fmla="*/ 0 w 21600"/>
                <a:gd name="T1" fmla="*/ 0 h 21600"/>
                <a:gd name="T2" fmla="*/ 2147483646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FFFF00" mc:Ignorable="a14" a14:legacySpreadsheetColorIndex="13"/>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sp macro="" textlink="">
          <xdr:nvSpPr>
            <xdr:cNvPr id="47" name="Arc 200">
              <a:extLst>
                <a:ext uri="{FF2B5EF4-FFF2-40B4-BE49-F238E27FC236}">
                  <a16:creationId xmlns:a16="http://schemas.microsoft.com/office/drawing/2014/main" id="{9976586F-F28A-4D4B-BF5E-2116CBCFB2AA}"/>
                </a:ext>
              </a:extLst>
            </xdr:cNvPr>
            <xdr:cNvSpPr>
              <a:spLocks/>
            </xdr:cNvSpPr>
          </xdr:nvSpPr>
          <xdr:spPr bwMode="auto">
            <a:xfrm flipH="1">
              <a:off x="2020000" y="13180000"/>
              <a:ext cx="1280000" cy="2040000"/>
            </a:xfrm>
            <a:custGeom>
              <a:avLst/>
              <a:gdLst>
                <a:gd name="T0" fmla="*/ 0 w 21600"/>
                <a:gd name="T1" fmla="*/ 0 h 21600"/>
                <a:gd name="T2" fmla="*/ 2147483646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FFFF00" mc:Ignorable="a14" a14:legacySpreadsheetColorIndex="13"/>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grpSp>
      <xdr:grpSp>
        <xdr:nvGrpSpPr>
          <xdr:cNvPr id="43" name="Group 201">
            <a:extLst>
              <a:ext uri="{FF2B5EF4-FFF2-40B4-BE49-F238E27FC236}">
                <a16:creationId xmlns:a16="http://schemas.microsoft.com/office/drawing/2014/main" id="{216F2E2A-9059-4A7C-9D7B-9B8CF8FCAA18}"/>
              </a:ext>
            </a:extLst>
          </xdr:cNvPr>
          <xdr:cNvGrpSpPr>
            <a:grpSpLocks/>
          </xdr:cNvGrpSpPr>
        </xdr:nvGrpSpPr>
        <xdr:grpSpPr bwMode="auto">
          <a:xfrm>
            <a:off x="7044" y="-78993"/>
            <a:ext cx="5330" cy="204"/>
            <a:chOff x="4540000" y="13160000"/>
            <a:chExt cx="2600000" cy="2040000"/>
          </a:xfrm>
        </xdr:grpSpPr>
        <xdr:sp macro="" textlink="">
          <xdr:nvSpPr>
            <xdr:cNvPr id="44" name="Arc 202">
              <a:extLst>
                <a:ext uri="{FF2B5EF4-FFF2-40B4-BE49-F238E27FC236}">
                  <a16:creationId xmlns:a16="http://schemas.microsoft.com/office/drawing/2014/main" id="{9ED94AE1-FAFF-45F6-8AA8-98ECF156B5CF}"/>
                </a:ext>
              </a:extLst>
            </xdr:cNvPr>
            <xdr:cNvSpPr>
              <a:spLocks/>
            </xdr:cNvSpPr>
          </xdr:nvSpPr>
          <xdr:spPr bwMode="auto">
            <a:xfrm>
              <a:off x="5900000" y="13160000"/>
              <a:ext cx="1240000" cy="2020000"/>
            </a:xfrm>
            <a:custGeom>
              <a:avLst/>
              <a:gdLst>
                <a:gd name="T0" fmla="*/ 0 w 21600"/>
                <a:gd name="T1" fmla="*/ 0 h 21600"/>
                <a:gd name="T2" fmla="*/ 2147483646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FFFF00" mc:Ignorable="a14" a14:legacySpreadsheetColorIndex="13"/>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sp macro="" textlink="">
          <xdr:nvSpPr>
            <xdr:cNvPr id="45" name="Arc 203">
              <a:extLst>
                <a:ext uri="{FF2B5EF4-FFF2-40B4-BE49-F238E27FC236}">
                  <a16:creationId xmlns:a16="http://schemas.microsoft.com/office/drawing/2014/main" id="{7544AEFB-B41D-4BE7-95B7-3CAF9F2E6923}"/>
                </a:ext>
              </a:extLst>
            </xdr:cNvPr>
            <xdr:cNvSpPr>
              <a:spLocks/>
            </xdr:cNvSpPr>
          </xdr:nvSpPr>
          <xdr:spPr bwMode="auto">
            <a:xfrm flipH="1">
              <a:off x="4540000" y="13160000"/>
              <a:ext cx="1360000" cy="2040000"/>
            </a:xfrm>
            <a:custGeom>
              <a:avLst/>
              <a:gdLst>
                <a:gd name="T0" fmla="*/ 0 w 21600"/>
                <a:gd name="T1" fmla="*/ 0 h 21600"/>
                <a:gd name="T2" fmla="*/ 2147483646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FFFF00" mc:Ignorable="a14" a14:legacySpreadsheetColorIndex="13"/>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grpSp>
    </xdr:grpSp>
    <xdr:clientData/>
  </xdr:twoCellAnchor>
  <xdr:twoCellAnchor>
    <xdr:from>
      <xdr:col>1</xdr:col>
      <xdr:colOff>0</xdr:colOff>
      <xdr:row>20</xdr:row>
      <xdr:rowOff>19050</xdr:rowOff>
    </xdr:from>
    <xdr:to>
      <xdr:col>10</xdr:col>
      <xdr:colOff>0</xdr:colOff>
      <xdr:row>26</xdr:row>
      <xdr:rowOff>19050</xdr:rowOff>
    </xdr:to>
    <xdr:grpSp>
      <xdr:nvGrpSpPr>
        <xdr:cNvPr id="50" name="Group 272">
          <a:extLst>
            <a:ext uri="{FF2B5EF4-FFF2-40B4-BE49-F238E27FC236}">
              <a16:creationId xmlns:a16="http://schemas.microsoft.com/office/drawing/2014/main" id="{EBC08324-88D4-430C-BE3D-69DEBE50B76B}"/>
            </a:ext>
          </a:extLst>
        </xdr:cNvPr>
        <xdr:cNvGrpSpPr>
          <a:grpSpLocks/>
        </xdr:cNvGrpSpPr>
      </xdr:nvGrpSpPr>
      <xdr:grpSpPr bwMode="auto">
        <a:xfrm>
          <a:off x="38100" y="4156710"/>
          <a:ext cx="5509260" cy="1234440"/>
          <a:chOff x="-1299" y="-20060"/>
          <a:chExt cx="21000" cy="102"/>
        </a:xfrm>
      </xdr:grpSpPr>
      <xdr:grpSp>
        <xdr:nvGrpSpPr>
          <xdr:cNvPr id="51" name="Group 273">
            <a:extLst>
              <a:ext uri="{FF2B5EF4-FFF2-40B4-BE49-F238E27FC236}">
                <a16:creationId xmlns:a16="http://schemas.microsoft.com/office/drawing/2014/main" id="{DDCB3712-ABED-44FC-890C-BEE27D933469}"/>
              </a:ext>
            </a:extLst>
          </xdr:cNvPr>
          <xdr:cNvGrpSpPr>
            <a:grpSpLocks/>
          </xdr:cNvGrpSpPr>
        </xdr:nvGrpSpPr>
        <xdr:grpSpPr bwMode="auto">
          <a:xfrm>
            <a:off x="9285" y="-20059"/>
            <a:ext cx="7014" cy="101"/>
            <a:chOff x="5860000" y="3600000"/>
            <a:chExt cx="3340000" cy="2020000"/>
          </a:xfrm>
        </xdr:grpSpPr>
        <xdr:sp macro="" textlink="">
          <xdr:nvSpPr>
            <xdr:cNvPr id="57" name="Arc 274">
              <a:extLst>
                <a:ext uri="{FF2B5EF4-FFF2-40B4-BE49-F238E27FC236}">
                  <a16:creationId xmlns:a16="http://schemas.microsoft.com/office/drawing/2014/main" id="{25B9AA32-9A99-420C-A925-0DFCC1BFB1A2}"/>
                </a:ext>
              </a:extLst>
            </xdr:cNvPr>
            <xdr:cNvSpPr>
              <a:spLocks/>
            </xdr:cNvSpPr>
          </xdr:nvSpPr>
          <xdr:spPr bwMode="auto">
            <a:xfrm>
              <a:off x="7540000" y="3600000"/>
              <a:ext cx="1660000" cy="2000000"/>
            </a:xfrm>
            <a:custGeom>
              <a:avLst/>
              <a:gdLst>
                <a:gd name="T0" fmla="*/ 0 w 21600"/>
                <a:gd name="T1" fmla="*/ 0 h 21600"/>
                <a:gd name="T2" fmla="*/ 2147483646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sp macro="" textlink="">
          <xdr:nvSpPr>
            <xdr:cNvPr id="58" name="Arc 275">
              <a:extLst>
                <a:ext uri="{FF2B5EF4-FFF2-40B4-BE49-F238E27FC236}">
                  <a16:creationId xmlns:a16="http://schemas.microsoft.com/office/drawing/2014/main" id="{63CAD6EC-88FE-44F4-BC00-F27A50991B81}"/>
                </a:ext>
              </a:extLst>
            </xdr:cNvPr>
            <xdr:cNvSpPr>
              <a:spLocks/>
            </xdr:cNvSpPr>
          </xdr:nvSpPr>
          <xdr:spPr bwMode="auto">
            <a:xfrm flipH="1">
              <a:off x="5860000" y="3600000"/>
              <a:ext cx="1680000" cy="2020000"/>
            </a:xfrm>
            <a:custGeom>
              <a:avLst/>
              <a:gdLst>
                <a:gd name="T0" fmla="*/ 0 w 21600"/>
                <a:gd name="T1" fmla="*/ 0 h 21600"/>
                <a:gd name="T2" fmla="*/ 2147483646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grpSp>
      <xdr:sp macro="" textlink="">
        <xdr:nvSpPr>
          <xdr:cNvPr id="52" name="Arc 276">
            <a:extLst>
              <a:ext uri="{FF2B5EF4-FFF2-40B4-BE49-F238E27FC236}">
                <a16:creationId xmlns:a16="http://schemas.microsoft.com/office/drawing/2014/main" id="{33ABB481-26F1-4FCF-AE49-425E60C24975}"/>
              </a:ext>
            </a:extLst>
          </xdr:cNvPr>
          <xdr:cNvSpPr>
            <a:spLocks/>
          </xdr:cNvSpPr>
        </xdr:nvSpPr>
        <xdr:spPr bwMode="auto">
          <a:xfrm flipH="1">
            <a:off x="16299" y="-20060"/>
            <a:ext cx="3402" cy="100"/>
          </a:xfrm>
          <a:custGeom>
            <a:avLst/>
            <a:gdLst>
              <a:gd name="T0" fmla="*/ 0 w 21600"/>
              <a:gd name="T1" fmla="*/ 0 h 21600"/>
              <a:gd name="T2" fmla="*/ 84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grpSp>
        <xdr:nvGrpSpPr>
          <xdr:cNvPr id="53" name="Group 277">
            <a:extLst>
              <a:ext uri="{FF2B5EF4-FFF2-40B4-BE49-F238E27FC236}">
                <a16:creationId xmlns:a16="http://schemas.microsoft.com/office/drawing/2014/main" id="{694BA779-682E-40F6-8ED4-0FE257C5E103}"/>
              </a:ext>
            </a:extLst>
          </xdr:cNvPr>
          <xdr:cNvGrpSpPr>
            <a:grpSpLocks/>
          </xdr:cNvGrpSpPr>
        </xdr:nvGrpSpPr>
        <xdr:grpSpPr bwMode="auto">
          <a:xfrm>
            <a:off x="2229" y="-20060"/>
            <a:ext cx="7056" cy="101"/>
            <a:chOff x="2500000" y="3580000"/>
            <a:chExt cx="3360000" cy="2020000"/>
          </a:xfrm>
        </xdr:grpSpPr>
        <xdr:sp macro="" textlink="">
          <xdr:nvSpPr>
            <xdr:cNvPr id="55" name="Arc 278">
              <a:extLst>
                <a:ext uri="{FF2B5EF4-FFF2-40B4-BE49-F238E27FC236}">
                  <a16:creationId xmlns:a16="http://schemas.microsoft.com/office/drawing/2014/main" id="{01815A49-AD9F-46DA-923A-E61386BE1A92}"/>
                </a:ext>
              </a:extLst>
            </xdr:cNvPr>
            <xdr:cNvSpPr>
              <a:spLocks/>
            </xdr:cNvSpPr>
          </xdr:nvSpPr>
          <xdr:spPr bwMode="auto">
            <a:xfrm>
              <a:off x="4180000" y="3580000"/>
              <a:ext cx="1680000" cy="2000000"/>
            </a:xfrm>
            <a:custGeom>
              <a:avLst/>
              <a:gdLst>
                <a:gd name="T0" fmla="*/ 0 w 21600"/>
                <a:gd name="T1" fmla="*/ 0 h 21600"/>
                <a:gd name="T2" fmla="*/ 2147483646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sp macro="" textlink="">
          <xdr:nvSpPr>
            <xdr:cNvPr id="56" name="Arc 279">
              <a:extLst>
                <a:ext uri="{FF2B5EF4-FFF2-40B4-BE49-F238E27FC236}">
                  <a16:creationId xmlns:a16="http://schemas.microsoft.com/office/drawing/2014/main" id="{584F4285-BC15-43FD-B442-7CFB70ABCF74}"/>
                </a:ext>
              </a:extLst>
            </xdr:cNvPr>
            <xdr:cNvSpPr>
              <a:spLocks/>
            </xdr:cNvSpPr>
          </xdr:nvSpPr>
          <xdr:spPr bwMode="auto">
            <a:xfrm flipH="1">
              <a:off x="2500000" y="3580000"/>
              <a:ext cx="1680000" cy="2020000"/>
            </a:xfrm>
            <a:custGeom>
              <a:avLst/>
              <a:gdLst>
                <a:gd name="T0" fmla="*/ 0 w 21600"/>
                <a:gd name="T1" fmla="*/ 0 h 21600"/>
                <a:gd name="T2" fmla="*/ 2147483646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grpSp>
      <xdr:sp macro="" textlink="">
        <xdr:nvSpPr>
          <xdr:cNvPr id="54" name="Arc 280">
            <a:extLst>
              <a:ext uri="{FF2B5EF4-FFF2-40B4-BE49-F238E27FC236}">
                <a16:creationId xmlns:a16="http://schemas.microsoft.com/office/drawing/2014/main" id="{30D41441-AA2E-4E25-AA67-676805756BC2}"/>
              </a:ext>
            </a:extLst>
          </xdr:cNvPr>
          <xdr:cNvSpPr>
            <a:spLocks/>
          </xdr:cNvSpPr>
        </xdr:nvSpPr>
        <xdr:spPr bwMode="auto">
          <a:xfrm>
            <a:off x="-1299" y="-20059"/>
            <a:ext cx="3528" cy="99"/>
          </a:xfrm>
          <a:custGeom>
            <a:avLst/>
            <a:gdLst>
              <a:gd name="T0" fmla="*/ 0 w 21600"/>
              <a:gd name="T1" fmla="*/ 0 h 21600"/>
              <a:gd name="T2" fmla="*/ 94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grpSp>
    <xdr:clientData/>
  </xdr:twoCellAnchor>
  <xdr:twoCellAnchor>
    <xdr:from>
      <xdr:col>1</xdr:col>
      <xdr:colOff>0</xdr:colOff>
      <xdr:row>20</xdr:row>
      <xdr:rowOff>19050</xdr:rowOff>
    </xdr:from>
    <xdr:to>
      <xdr:col>9</xdr:col>
      <xdr:colOff>0</xdr:colOff>
      <xdr:row>26</xdr:row>
      <xdr:rowOff>9525</xdr:rowOff>
    </xdr:to>
    <xdr:grpSp>
      <xdr:nvGrpSpPr>
        <xdr:cNvPr id="59" name="Group 281">
          <a:extLst>
            <a:ext uri="{FF2B5EF4-FFF2-40B4-BE49-F238E27FC236}">
              <a16:creationId xmlns:a16="http://schemas.microsoft.com/office/drawing/2014/main" id="{3A9341D0-8034-4CD1-8631-2354509FB32D}"/>
            </a:ext>
          </a:extLst>
        </xdr:cNvPr>
        <xdr:cNvGrpSpPr>
          <a:grpSpLocks/>
        </xdr:cNvGrpSpPr>
      </xdr:nvGrpSpPr>
      <xdr:grpSpPr bwMode="auto">
        <a:xfrm>
          <a:off x="38100" y="4156710"/>
          <a:ext cx="5463540" cy="1224915"/>
          <a:chOff x="-623" y="-19931"/>
          <a:chExt cx="20295" cy="200"/>
        </a:xfrm>
      </xdr:grpSpPr>
      <xdr:sp macro="" textlink="">
        <xdr:nvSpPr>
          <xdr:cNvPr id="60" name="Arc 282">
            <a:extLst>
              <a:ext uri="{FF2B5EF4-FFF2-40B4-BE49-F238E27FC236}">
                <a16:creationId xmlns:a16="http://schemas.microsoft.com/office/drawing/2014/main" id="{51D7B01C-CCB4-4895-A894-EE02846740C7}"/>
              </a:ext>
            </a:extLst>
          </xdr:cNvPr>
          <xdr:cNvSpPr>
            <a:spLocks/>
          </xdr:cNvSpPr>
        </xdr:nvSpPr>
        <xdr:spPr bwMode="auto">
          <a:xfrm>
            <a:off x="-623" y="-19931"/>
            <a:ext cx="10373" cy="200"/>
          </a:xfrm>
          <a:custGeom>
            <a:avLst/>
            <a:gdLst>
              <a:gd name="T0" fmla="*/ 0 w 21600"/>
              <a:gd name="T1" fmla="*/ 0 h 21600"/>
              <a:gd name="T2" fmla="*/ 2392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sp macro="" textlink="">
        <xdr:nvSpPr>
          <xdr:cNvPr id="61" name="Arc 283">
            <a:extLst>
              <a:ext uri="{FF2B5EF4-FFF2-40B4-BE49-F238E27FC236}">
                <a16:creationId xmlns:a16="http://schemas.microsoft.com/office/drawing/2014/main" id="{8A5211E1-87D5-4951-BB60-614DEF468E32}"/>
              </a:ext>
            </a:extLst>
          </xdr:cNvPr>
          <xdr:cNvSpPr>
            <a:spLocks/>
          </xdr:cNvSpPr>
        </xdr:nvSpPr>
        <xdr:spPr bwMode="auto">
          <a:xfrm flipH="1">
            <a:off x="9750" y="-19931"/>
            <a:ext cx="9922" cy="200"/>
          </a:xfrm>
          <a:custGeom>
            <a:avLst/>
            <a:gdLst>
              <a:gd name="T0" fmla="*/ 0 w 21600"/>
              <a:gd name="T1" fmla="*/ 0 h 21600"/>
              <a:gd name="T2" fmla="*/ 2094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grpSp>
    <xdr:clientData/>
  </xdr:twoCellAnchor>
  <xdr:twoCellAnchor>
    <xdr:from>
      <xdr:col>1</xdr:col>
      <xdr:colOff>1905</xdr:colOff>
      <xdr:row>20</xdr:row>
      <xdr:rowOff>0</xdr:rowOff>
    </xdr:from>
    <xdr:to>
      <xdr:col>9</xdr:col>
      <xdr:colOff>0</xdr:colOff>
      <xdr:row>26</xdr:row>
      <xdr:rowOff>9525</xdr:rowOff>
    </xdr:to>
    <xdr:grpSp>
      <xdr:nvGrpSpPr>
        <xdr:cNvPr id="62" name="Group 284">
          <a:extLst>
            <a:ext uri="{FF2B5EF4-FFF2-40B4-BE49-F238E27FC236}">
              <a16:creationId xmlns:a16="http://schemas.microsoft.com/office/drawing/2014/main" id="{A662F887-AAED-4E7D-ADE7-A72BA44DCC81}"/>
            </a:ext>
          </a:extLst>
        </xdr:cNvPr>
        <xdr:cNvGrpSpPr>
          <a:grpSpLocks/>
        </xdr:cNvGrpSpPr>
      </xdr:nvGrpSpPr>
      <xdr:grpSpPr bwMode="auto">
        <a:xfrm>
          <a:off x="40005" y="4137660"/>
          <a:ext cx="5461635" cy="1243965"/>
          <a:chOff x="-623" y="-20060"/>
          <a:chExt cx="20541" cy="102"/>
        </a:xfrm>
      </xdr:grpSpPr>
      <xdr:grpSp>
        <xdr:nvGrpSpPr>
          <xdr:cNvPr id="63" name="Group 285">
            <a:extLst>
              <a:ext uri="{FF2B5EF4-FFF2-40B4-BE49-F238E27FC236}">
                <a16:creationId xmlns:a16="http://schemas.microsoft.com/office/drawing/2014/main" id="{B837D0AC-EA74-4ECF-950D-17C3968824CA}"/>
              </a:ext>
            </a:extLst>
          </xdr:cNvPr>
          <xdr:cNvGrpSpPr>
            <a:grpSpLocks/>
          </xdr:cNvGrpSpPr>
        </xdr:nvGrpSpPr>
        <xdr:grpSpPr bwMode="auto">
          <a:xfrm>
            <a:off x="12374" y="-20059"/>
            <a:ext cx="5043" cy="101"/>
            <a:chOff x="7140000" y="3600000"/>
            <a:chExt cx="2460000" cy="2020000"/>
          </a:xfrm>
        </xdr:grpSpPr>
        <xdr:sp macro="" textlink="">
          <xdr:nvSpPr>
            <xdr:cNvPr id="72" name="Arc 286">
              <a:extLst>
                <a:ext uri="{FF2B5EF4-FFF2-40B4-BE49-F238E27FC236}">
                  <a16:creationId xmlns:a16="http://schemas.microsoft.com/office/drawing/2014/main" id="{7C7F0243-A93D-4CA8-BB1F-5EDC33DB595B}"/>
                </a:ext>
              </a:extLst>
            </xdr:cNvPr>
            <xdr:cNvSpPr>
              <a:spLocks/>
            </xdr:cNvSpPr>
          </xdr:nvSpPr>
          <xdr:spPr bwMode="auto">
            <a:xfrm>
              <a:off x="8400000" y="3600000"/>
              <a:ext cx="1200000" cy="2000000"/>
            </a:xfrm>
            <a:custGeom>
              <a:avLst/>
              <a:gdLst>
                <a:gd name="T0" fmla="*/ 0 w 21600"/>
                <a:gd name="T1" fmla="*/ 0 h 21600"/>
                <a:gd name="T2" fmla="*/ 2147483646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FFFF00" mc:Ignorable="a14" a14:legacySpreadsheetColorIndex="13"/>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sp macro="" textlink="">
          <xdr:nvSpPr>
            <xdr:cNvPr id="73" name="Arc 287">
              <a:extLst>
                <a:ext uri="{FF2B5EF4-FFF2-40B4-BE49-F238E27FC236}">
                  <a16:creationId xmlns:a16="http://schemas.microsoft.com/office/drawing/2014/main" id="{1BBF4AA9-DBEC-4D66-A80D-14B4061FDB7E}"/>
                </a:ext>
              </a:extLst>
            </xdr:cNvPr>
            <xdr:cNvSpPr>
              <a:spLocks/>
            </xdr:cNvSpPr>
          </xdr:nvSpPr>
          <xdr:spPr bwMode="auto">
            <a:xfrm flipH="1">
              <a:off x="7140000" y="3600000"/>
              <a:ext cx="1260000" cy="2020000"/>
            </a:xfrm>
            <a:custGeom>
              <a:avLst/>
              <a:gdLst>
                <a:gd name="T0" fmla="*/ 0 w 21600"/>
                <a:gd name="T1" fmla="*/ 0 h 21600"/>
                <a:gd name="T2" fmla="*/ 2147483646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FFFF00" mc:Ignorable="a14" a14:legacySpreadsheetColorIndex="13"/>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grpSp>
      <xdr:sp macro="" textlink="">
        <xdr:nvSpPr>
          <xdr:cNvPr id="64" name="Arc 288">
            <a:extLst>
              <a:ext uri="{FF2B5EF4-FFF2-40B4-BE49-F238E27FC236}">
                <a16:creationId xmlns:a16="http://schemas.microsoft.com/office/drawing/2014/main" id="{70850EEB-82AE-4ED4-AB53-9E7FFDC3DF4A}"/>
              </a:ext>
            </a:extLst>
          </xdr:cNvPr>
          <xdr:cNvSpPr>
            <a:spLocks/>
          </xdr:cNvSpPr>
        </xdr:nvSpPr>
        <xdr:spPr bwMode="auto">
          <a:xfrm>
            <a:off x="-623" y="-20059"/>
            <a:ext cx="2501" cy="99"/>
          </a:xfrm>
          <a:custGeom>
            <a:avLst/>
            <a:gdLst>
              <a:gd name="T0" fmla="*/ 0 w 21600"/>
              <a:gd name="T1" fmla="*/ 0 h 21600"/>
              <a:gd name="T2" fmla="*/ 34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FFFF00" mc:Ignorable="a14" a14:legacySpreadsheetColorIndex="13"/>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sp macro="" textlink="">
        <xdr:nvSpPr>
          <xdr:cNvPr id="65" name="Arc 289">
            <a:extLst>
              <a:ext uri="{FF2B5EF4-FFF2-40B4-BE49-F238E27FC236}">
                <a16:creationId xmlns:a16="http://schemas.microsoft.com/office/drawing/2014/main" id="{BD8B2C18-60C8-4FA7-BB0F-36ED5D693B72}"/>
              </a:ext>
            </a:extLst>
          </xdr:cNvPr>
          <xdr:cNvSpPr>
            <a:spLocks/>
          </xdr:cNvSpPr>
        </xdr:nvSpPr>
        <xdr:spPr bwMode="auto">
          <a:xfrm flipH="1">
            <a:off x="17417" y="-20060"/>
            <a:ext cx="2501" cy="100"/>
          </a:xfrm>
          <a:custGeom>
            <a:avLst/>
            <a:gdLst>
              <a:gd name="T0" fmla="*/ 0 w 21600"/>
              <a:gd name="T1" fmla="*/ 0 h 21600"/>
              <a:gd name="T2" fmla="*/ 34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FFFF00" mc:Ignorable="a14" a14:legacySpreadsheetColorIndex="13"/>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grpSp>
        <xdr:nvGrpSpPr>
          <xdr:cNvPr id="66" name="Group 290">
            <a:extLst>
              <a:ext uri="{FF2B5EF4-FFF2-40B4-BE49-F238E27FC236}">
                <a16:creationId xmlns:a16="http://schemas.microsoft.com/office/drawing/2014/main" id="{553496A5-C0A4-417D-A1E6-C22AA216C154}"/>
              </a:ext>
            </a:extLst>
          </xdr:cNvPr>
          <xdr:cNvGrpSpPr>
            <a:grpSpLocks/>
          </xdr:cNvGrpSpPr>
        </xdr:nvGrpSpPr>
        <xdr:grpSpPr bwMode="auto">
          <a:xfrm>
            <a:off x="1878" y="-20059"/>
            <a:ext cx="5084" cy="101"/>
            <a:chOff x="2020000" y="3600000"/>
            <a:chExt cx="2480000" cy="2020000"/>
          </a:xfrm>
        </xdr:grpSpPr>
        <xdr:sp macro="" textlink="">
          <xdr:nvSpPr>
            <xdr:cNvPr id="70" name="Arc 291">
              <a:extLst>
                <a:ext uri="{FF2B5EF4-FFF2-40B4-BE49-F238E27FC236}">
                  <a16:creationId xmlns:a16="http://schemas.microsoft.com/office/drawing/2014/main" id="{EE5C5E4B-4C2E-467F-A1F3-F675102B8656}"/>
                </a:ext>
              </a:extLst>
            </xdr:cNvPr>
            <xdr:cNvSpPr>
              <a:spLocks/>
            </xdr:cNvSpPr>
          </xdr:nvSpPr>
          <xdr:spPr bwMode="auto">
            <a:xfrm>
              <a:off x="3300000" y="3600000"/>
              <a:ext cx="1200000" cy="2000000"/>
            </a:xfrm>
            <a:custGeom>
              <a:avLst/>
              <a:gdLst>
                <a:gd name="T0" fmla="*/ 0 w 21600"/>
                <a:gd name="T1" fmla="*/ 0 h 21600"/>
                <a:gd name="T2" fmla="*/ 2147483646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FFFF00" mc:Ignorable="a14" a14:legacySpreadsheetColorIndex="13"/>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sp macro="" textlink="">
          <xdr:nvSpPr>
            <xdr:cNvPr id="71" name="Arc 292">
              <a:extLst>
                <a:ext uri="{FF2B5EF4-FFF2-40B4-BE49-F238E27FC236}">
                  <a16:creationId xmlns:a16="http://schemas.microsoft.com/office/drawing/2014/main" id="{DF2050CF-443A-4064-B645-AB3FB146500E}"/>
                </a:ext>
              </a:extLst>
            </xdr:cNvPr>
            <xdr:cNvSpPr>
              <a:spLocks/>
            </xdr:cNvSpPr>
          </xdr:nvSpPr>
          <xdr:spPr bwMode="auto">
            <a:xfrm flipH="1">
              <a:off x="2020000" y="3600000"/>
              <a:ext cx="1280000" cy="2020000"/>
            </a:xfrm>
            <a:custGeom>
              <a:avLst/>
              <a:gdLst>
                <a:gd name="T0" fmla="*/ 0 w 21600"/>
                <a:gd name="T1" fmla="*/ 0 h 21600"/>
                <a:gd name="T2" fmla="*/ 2147483646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FFFF00" mc:Ignorable="a14" a14:legacySpreadsheetColorIndex="13"/>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grpSp>
      <xdr:grpSp>
        <xdr:nvGrpSpPr>
          <xdr:cNvPr id="67" name="Group 293">
            <a:extLst>
              <a:ext uri="{FF2B5EF4-FFF2-40B4-BE49-F238E27FC236}">
                <a16:creationId xmlns:a16="http://schemas.microsoft.com/office/drawing/2014/main" id="{05D0E625-2740-486C-B063-BFF17762AF8B}"/>
              </a:ext>
            </a:extLst>
          </xdr:cNvPr>
          <xdr:cNvGrpSpPr>
            <a:grpSpLocks/>
          </xdr:cNvGrpSpPr>
        </xdr:nvGrpSpPr>
        <xdr:grpSpPr bwMode="auto">
          <a:xfrm>
            <a:off x="7044" y="-20060"/>
            <a:ext cx="5330" cy="101"/>
            <a:chOff x="4540000" y="3580000"/>
            <a:chExt cx="2600000" cy="2020000"/>
          </a:xfrm>
        </xdr:grpSpPr>
        <xdr:sp macro="" textlink="">
          <xdr:nvSpPr>
            <xdr:cNvPr id="68" name="Arc 294">
              <a:extLst>
                <a:ext uri="{FF2B5EF4-FFF2-40B4-BE49-F238E27FC236}">
                  <a16:creationId xmlns:a16="http://schemas.microsoft.com/office/drawing/2014/main" id="{81374795-4392-43D8-9E61-D9FE52255FE8}"/>
                </a:ext>
              </a:extLst>
            </xdr:cNvPr>
            <xdr:cNvSpPr>
              <a:spLocks/>
            </xdr:cNvSpPr>
          </xdr:nvSpPr>
          <xdr:spPr bwMode="auto">
            <a:xfrm>
              <a:off x="5900000" y="3580000"/>
              <a:ext cx="1240000" cy="2000000"/>
            </a:xfrm>
            <a:custGeom>
              <a:avLst/>
              <a:gdLst>
                <a:gd name="T0" fmla="*/ 0 w 21600"/>
                <a:gd name="T1" fmla="*/ 0 h 21600"/>
                <a:gd name="T2" fmla="*/ 2147483646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FFFF00" mc:Ignorable="a14" a14:legacySpreadsheetColorIndex="13"/>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sp macro="" textlink="">
          <xdr:nvSpPr>
            <xdr:cNvPr id="69" name="Arc 295">
              <a:extLst>
                <a:ext uri="{FF2B5EF4-FFF2-40B4-BE49-F238E27FC236}">
                  <a16:creationId xmlns:a16="http://schemas.microsoft.com/office/drawing/2014/main" id="{322CD454-F134-4F6D-B875-E82529B4F615}"/>
                </a:ext>
              </a:extLst>
            </xdr:cNvPr>
            <xdr:cNvSpPr>
              <a:spLocks/>
            </xdr:cNvSpPr>
          </xdr:nvSpPr>
          <xdr:spPr bwMode="auto">
            <a:xfrm flipH="1">
              <a:off x="4540000" y="3580000"/>
              <a:ext cx="1360000" cy="2020000"/>
            </a:xfrm>
            <a:custGeom>
              <a:avLst/>
              <a:gdLst>
                <a:gd name="T0" fmla="*/ 0 w 21600"/>
                <a:gd name="T1" fmla="*/ 0 h 21600"/>
                <a:gd name="T2" fmla="*/ 2147483646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FFFF00" mc:Ignorable="a14" a14:legacySpreadsheetColorIndex="13"/>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grpSp>
    </xdr:grpSp>
    <xdr:clientData/>
  </xdr:twoCellAnchor>
  <xdr:twoCellAnchor>
    <xdr:from>
      <xdr:col>1</xdr:col>
      <xdr:colOff>0</xdr:colOff>
      <xdr:row>20</xdr:row>
      <xdr:rowOff>0</xdr:rowOff>
    </xdr:from>
    <xdr:to>
      <xdr:col>9</xdr:col>
      <xdr:colOff>0</xdr:colOff>
      <xdr:row>26</xdr:row>
      <xdr:rowOff>9525</xdr:rowOff>
    </xdr:to>
    <xdr:grpSp>
      <xdr:nvGrpSpPr>
        <xdr:cNvPr id="74" name="Group 296">
          <a:extLst>
            <a:ext uri="{FF2B5EF4-FFF2-40B4-BE49-F238E27FC236}">
              <a16:creationId xmlns:a16="http://schemas.microsoft.com/office/drawing/2014/main" id="{41E6B6DF-AAFC-4F7B-8795-07EEFDEFD734}"/>
            </a:ext>
          </a:extLst>
        </xdr:cNvPr>
        <xdr:cNvGrpSpPr>
          <a:grpSpLocks/>
        </xdr:cNvGrpSpPr>
      </xdr:nvGrpSpPr>
      <xdr:grpSpPr bwMode="auto">
        <a:xfrm>
          <a:off x="38100" y="4137660"/>
          <a:ext cx="5463540" cy="1243965"/>
          <a:chOff x="-1299" y="-20060"/>
          <a:chExt cx="21000" cy="102"/>
        </a:xfrm>
      </xdr:grpSpPr>
      <xdr:sp macro="" textlink="">
        <xdr:nvSpPr>
          <xdr:cNvPr id="75" name="Arc 297">
            <a:extLst>
              <a:ext uri="{FF2B5EF4-FFF2-40B4-BE49-F238E27FC236}">
                <a16:creationId xmlns:a16="http://schemas.microsoft.com/office/drawing/2014/main" id="{8536548C-0E24-4495-AAC0-F25456BA8CC6}"/>
              </a:ext>
            </a:extLst>
          </xdr:cNvPr>
          <xdr:cNvSpPr>
            <a:spLocks/>
          </xdr:cNvSpPr>
        </xdr:nvSpPr>
        <xdr:spPr bwMode="auto">
          <a:xfrm>
            <a:off x="-1299" y="-20060"/>
            <a:ext cx="5376" cy="101"/>
          </a:xfrm>
          <a:custGeom>
            <a:avLst/>
            <a:gdLst>
              <a:gd name="T0" fmla="*/ 0 w 21600"/>
              <a:gd name="T1" fmla="*/ 0 h 21600"/>
              <a:gd name="T2" fmla="*/ 333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grpSp>
        <xdr:nvGrpSpPr>
          <xdr:cNvPr id="76" name="Group 298">
            <a:extLst>
              <a:ext uri="{FF2B5EF4-FFF2-40B4-BE49-F238E27FC236}">
                <a16:creationId xmlns:a16="http://schemas.microsoft.com/office/drawing/2014/main" id="{0516DAD9-263B-413A-8D45-4DE98B9572D2}"/>
              </a:ext>
            </a:extLst>
          </xdr:cNvPr>
          <xdr:cNvGrpSpPr>
            <a:grpSpLocks/>
          </xdr:cNvGrpSpPr>
        </xdr:nvGrpSpPr>
        <xdr:grpSpPr bwMode="auto">
          <a:xfrm>
            <a:off x="4077" y="-20059"/>
            <a:ext cx="10206" cy="101"/>
            <a:chOff x="3380000" y="3600000"/>
            <a:chExt cx="4860000" cy="2020000"/>
          </a:xfrm>
        </xdr:grpSpPr>
        <xdr:sp macro="" textlink="">
          <xdr:nvSpPr>
            <xdr:cNvPr id="78" name="Arc 299">
              <a:extLst>
                <a:ext uri="{FF2B5EF4-FFF2-40B4-BE49-F238E27FC236}">
                  <a16:creationId xmlns:a16="http://schemas.microsoft.com/office/drawing/2014/main" id="{1C40E822-324E-4C8D-8302-471B8999BF69}"/>
                </a:ext>
              </a:extLst>
            </xdr:cNvPr>
            <xdr:cNvSpPr>
              <a:spLocks/>
            </xdr:cNvSpPr>
          </xdr:nvSpPr>
          <xdr:spPr bwMode="auto">
            <a:xfrm>
              <a:off x="5880000" y="3600000"/>
              <a:ext cx="2360000" cy="2000000"/>
            </a:xfrm>
            <a:custGeom>
              <a:avLst/>
              <a:gdLst>
                <a:gd name="T0" fmla="*/ 0 w 21600"/>
                <a:gd name="T1" fmla="*/ 0 h 21600"/>
                <a:gd name="T2" fmla="*/ 2147483646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sp macro="" textlink="">
          <xdr:nvSpPr>
            <xdr:cNvPr id="79" name="Arc 300">
              <a:extLst>
                <a:ext uri="{FF2B5EF4-FFF2-40B4-BE49-F238E27FC236}">
                  <a16:creationId xmlns:a16="http://schemas.microsoft.com/office/drawing/2014/main" id="{CBCB54A5-B227-426A-9C06-A8E0D25904D1}"/>
                </a:ext>
              </a:extLst>
            </xdr:cNvPr>
            <xdr:cNvSpPr>
              <a:spLocks/>
            </xdr:cNvSpPr>
          </xdr:nvSpPr>
          <xdr:spPr bwMode="auto">
            <a:xfrm flipH="1">
              <a:off x="3380000" y="3600000"/>
              <a:ext cx="2500000" cy="2020000"/>
            </a:xfrm>
            <a:custGeom>
              <a:avLst/>
              <a:gdLst>
                <a:gd name="T0" fmla="*/ 0 w 21600"/>
                <a:gd name="T1" fmla="*/ 0 h 21600"/>
                <a:gd name="T2" fmla="*/ 2147483646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grpSp>
      <xdr:sp macro="" textlink="">
        <xdr:nvSpPr>
          <xdr:cNvPr id="77" name="Arc 301">
            <a:extLst>
              <a:ext uri="{FF2B5EF4-FFF2-40B4-BE49-F238E27FC236}">
                <a16:creationId xmlns:a16="http://schemas.microsoft.com/office/drawing/2014/main" id="{03C3A514-B1F3-423E-AD86-C4A5B81159D0}"/>
              </a:ext>
            </a:extLst>
          </xdr:cNvPr>
          <xdr:cNvSpPr>
            <a:spLocks/>
          </xdr:cNvSpPr>
        </xdr:nvSpPr>
        <xdr:spPr bwMode="auto">
          <a:xfrm flipH="1">
            <a:off x="14367" y="-20060"/>
            <a:ext cx="5334" cy="101"/>
          </a:xfrm>
          <a:custGeom>
            <a:avLst/>
            <a:gdLst>
              <a:gd name="T0" fmla="*/ 0 w 21600"/>
              <a:gd name="T1" fmla="*/ 0 h 21600"/>
              <a:gd name="T2" fmla="*/ 325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grpSp>
    <xdr:clientData/>
  </xdr:twoCellAnchor>
  <xdr:twoCellAnchor>
    <xdr:from>
      <xdr:col>1</xdr:col>
      <xdr:colOff>1905</xdr:colOff>
      <xdr:row>29</xdr:row>
      <xdr:rowOff>9525</xdr:rowOff>
    </xdr:from>
    <xdr:to>
      <xdr:col>9</xdr:col>
      <xdr:colOff>0</xdr:colOff>
      <xdr:row>34</xdr:row>
      <xdr:rowOff>152400</xdr:rowOff>
    </xdr:to>
    <xdr:grpSp>
      <xdr:nvGrpSpPr>
        <xdr:cNvPr id="80" name="Group 302">
          <a:extLst>
            <a:ext uri="{FF2B5EF4-FFF2-40B4-BE49-F238E27FC236}">
              <a16:creationId xmlns:a16="http://schemas.microsoft.com/office/drawing/2014/main" id="{9CA2169D-1BA9-403E-8B43-D04CCD7CC63D}"/>
            </a:ext>
          </a:extLst>
        </xdr:cNvPr>
        <xdr:cNvGrpSpPr>
          <a:grpSpLocks/>
        </xdr:cNvGrpSpPr>
      </xdr:nvGrpSpPr>
      <xdr:grpSpPr bwMode="auto">
        <a:xfrm>
          <a:off x="40005" y="5960745"/>
          <a:ext cx="5461635" cy="1171575"/>
          <a:chOff x="-623" y="-19931"/>
          <a:chExt cx="20295" cy="200"/>
        </a:xfrm>
      </xdr:grpSpPr>
      <xdr:sp macro="" textlink="">
        <xdr:nvSpPr>
          <xdr:cNvPr id="81" name="Arc 303">
            <a:extLst>
              <a:ext uri="{FF2B5EF4-FFF2-40B4-BE49-F238E27FC236}">
                <a16:creationId xmlns:a16="http://schemas.microsoft.com/office/drawing/2014/main" id="{862CF918-ADEB-4DF7-8F23-489E3E76C507}"/>
              </a:ext>
            </a:extLst>
          </xdr:cNvPr>
          <xdr:cNvSpPr>
            <a:spLocks/>
          </xdr:cNvSpPr>
        </xdr:nvSpPr>
        <xdr:spPr bwMode="auto">
          <a:xfrm>
            <a:off x="-623" y="-19931"/>
            <a:ext cx="10373" cy="200"/>
          </a:xfrm>
          <a:custGeom>
            <a:avLst/>
            <a:gdLst>
              <a:gd name="T0" fmla="*/ 0 w 21600"/>
              <a:gd name="T1" fmla="*/ 0 h 21600"/>
              <a:gd name="T2" fmla="*/ 2392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sp macro="" textlink="">
        <xdr:nvSpPr>
          <xdr:cNvPr id="82" name="Arc 304">
            <a:extLst>
              <a:ext uri="{FF2B5EF4-FFF2-40B4-BE49-F238E27FC236}">
                <a16:creationId xmlns:a16="http://schemas.microsoft.com/office/drawing/2014/main" id="{83849E71-464D-4F37-8E01-23B730B6B318}"/>
              </a:ext>
            </a:extLst>
          </xdr:cNvPr>
          <xdr:cNvSpPr>
            <a:spLocks/>
          </xdr:cNvSpPr>
        </xdr:nvSpPr>
        <xdr:spPr bwMode="auto">
          <a:xfrm flipH="1">
            <a:off x="9750" y="-19931"/>
            <a:ext cx="9922" cy="200"/>
          </a:xfrm>
          <a:custGeom>
            <a:avLst/>
            <a:gdLst>
              <a:gd name="T0" fmla="*/ 0 w 21600"/>
              <a:gd name="T1" fmla="*/ 0 h 21600"/>
              <a:gd name="T2" fmla="*/ 2094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grpSp>
    <xdr:clientData/>
  </xdr:twoCellAnchor>
  <xdr:twoCellAnchor>
    <xdr:from>
      <xdr:col>1</xdr:col>
      <xdr:colOff>0</xdr:colOff>
      <xdr:row>29</xdr:row>
      <xdr:rowOff>0</xdr:rowOff>
    </xdr:from>
    <xdr:to>
      <xdr:col>10</xdr:col>
      <xdr:colOff>0</xdr:colOff>
      <xdr:row>35</xdr:row>
      <xdr:rowOff>0</xdr:rowOff>
    </xdr:to>
    <xdr:grpSp>
      <xdr:nvGrpSpPr>
        <xdr:cNvPr id="83" name="Group 305">
          <a:extLst>
            <a:ext uri="{FF2B5EF4-FFF2-40B4-BE49-F238E27FC236}">
              <a16:creationId xmlns:a16="http://schemas.microsoft.com/office/drawing/2014/main" id="{A4C1F142-6638-48C6-8A81-1E7C1D717DCA}"/>
            </a:ext>
          </a:extLst>
        </xdr:cNvPr>
        <xdr:cNvGrpSpPr>
          <a:grpSpLocks/>
        </xdr:cNvGrpSpPr>
      </xdr:nvGrpSpPr>
      <xdr:grpSpPr bwMode="auto">
        <a:xfrm>
          <a:off x="38100" y="5951220"/>
          <a:ext cx="5509260" cy="1242060"/>
          <a:chOff x="-1299" y="-20060"/>
          <a:chExt cx="21000" cy="102"/>
        </a:xfrm>
      </xdr:grpSpPr>
      <xdr:grpSp>
        <xdr:nvGrpSpPr>
          <xdr:cNvPr id="84" name="Group 306">
            <a:extLst>
              <a:ext uri="{FF2B5EF4-FFF2-40B4-BE49-F238E27FC236}">
                <a16:creationId xmlns:a16="http://schemas.microsoft.com/office/drawing/2014/main" id="{C78751E4-73F2-4762-ABBD-D6CAD345D3D6}"/>
              </a:ext>
            </a:extLst>
          </xdr:cNvPr>
          <xdr:cNvGrpSpPr>
            <a:grpSpLocks/>
          </xdr:cNvGrpSpPr>
        </xdr:nvGrpSpPr>
        <xdr:grpSpPr bwMode="auto">
          <a:xfrm>
            <a:off x="9285" y="-20059"/>
            <a:ext cx="7014" cy="101"/>
            <a:chOff x="5860000" y="3600000"/>
            <a:chExt cx="3340000" cy="2020000"/>
          </a:xfrm>
        </xdr:grpSpPr>
        <xdr:sp macro="" textlink="">
          <xdr:nvSpPr>
            <xdr:cNvPr id="90" name="Arc 307">
              <a:extLst>
                <a:ext uri="{FF2B5EF4-FFF2-40B4-BE49-F238E27FC236}">
                  <a16:creationId xmlns:a16="http://schemas.microsoft.com/office/drawing/2014/main" id="{66A334E8-42FA-4770-A1C4-99EC6E05054F}"/>
                </a:ext>
              </a:extLst>
            </xdr:cNvPr>
            <xdr:cNvSpPr>
              <a:spLocks/>
            </xdr:cNvSpPr>
          </xdr:nvSpPr>
          <xdr:spPr bwMode="auto">
            <a:xfrm>
              <a:off x="7540000" y="3600000"/>
              <a:ext cx="1660000" cy="2000000"/>
            </a:xfrm>
            <a:custGeom>
              <a:avLst/>
              <a:gdLst>
                <a:gd name="T0" fmla="*/ 0 w 21600"/>
                <a:gd name="T1" fmla="*/ 0 h 21600"/>
                <a:gd name="T2" fmla="*/ 2147483646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sp macro="" textlink="">
          <xdr:nvSpPr>
            <xdr:cNvPr id="91" name="Arc 308">
              <a:extLst>
                <a:ext uri="{FF2B5EF4-FFF2-40B4-BE49-F238E27FC236}">
                  <a16:creationId xmlns:a16="http://schemas.microsoft.com/office/drawing/2014/main" id="{7D20ECAA-6354-401E-81B9-350DA81BAD2E}"/>
                </a:ext>
              </a:extLst>
            </xdr:cNvPr>
            <xdr:cNvSpPr>
              <a:spLocks/>
            </xdr:cNvSpPr>
          </xdr:nvSpPr>
          <xdr:spPr bwMode="auto">
            <a:xfrm flipH="1">
              <a:off x="5860000" y="3600000"/>
              <a:ext cx="1680000" cy="2020000"/>
            </a:xfrm>
            <a:custGeom>
              <a:avLst/>
              <a:gdLst>
                <a:gd name="T0" fmla="*/ 0 w 21600"/>
                <a:gd name="T1" fmla="*/ 0 h 21600"/>
                <a:gd name="T2" fmla="*/ 2147483646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grpSp>
      <xdr:sp macro="" textlink="">
        <xdr:nvSpPr>
          <xdr:cNvPr id="85" name="Arc 309">
            <a:extLst>
              <a:ext uri="{FF2B5EF4-FFF2-40B4-BE49-F238E27FC236}">
                <a16:creationId xmlns:a16="http://schemas.microsoft.com/office/drawing/2014/main" id="{BBC789D6-D913-4688-9CB1-082547E08E9E}"/>
              </a:ext>
            </a:extLst>
          </xdr:cNvPr>
          <xdr:cNvSpPr>
            <a:spLocks/>
          </xdr:cNvSpPr>
        </xdr:nvSpPr>
        <xdr:spPr bwMode="auto">
          <a:xfrm flipH="1">
            <a:off x="16299" y="-20060"/>
            <a:ext cx="3402" cy="100"/>
          </a:xfrm>
          <a:custGeom>
            <a:avLst/>
            <a:gdLst>
              <a:gd name="T0" fmla="*/ 0 w 21600"/>
              <a:gd name="T1" fmla="*/ 0 h 21600"/>
              <a:gd name="T2" fmla="*/ 84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grpSp>
        <xdr:nvGrpSpPr>
          <xdr:cNvPr id="86" name="Group 310">
            <a:extLst>
              <a:ext uri="{FF2B5EF4-FFF2-40B4-BE49-F238E27FC236}">
                <a16:creationId xmlns:a16="http://schemas.microsoft.com/office/drawing/2014/main" id="{E3D9FB40-28B2-4363-A621-63A157576664}"/>
              </a:ext>
            </a:extLst>
          </xdr:cNvPr>
          <xdr:cNvGrpSpPr>
            <a:grpSpLocks/>
          </xdr:cNvGrpSpPr>
        </xdr:nvGrpSpPr>
        <xdr:grpSpPr bwMode="auto">
          <a:xfrm>
            <a:off x="2229" y="-20060"/>
            <a:ext cx="7056" cy="101"/>
            <a:chOff x="2500000" y="3580000"/>
            <a:chExt cx="3360000" cy="2020000"/>
          </a:xfrm>
        </xdr:grpSpPr>
        <xdr:sp macro="" textlink="">
          <xdr:nvSpPr>
            <xdr:cNvPr id="88" name="Arc 311">
              <a:extLst>
                <a:ext uri="{FF2B5EF4-FFF2-40B4-BE49-F238E27FC236}">
                  <a16:creationId xmlns:a16="http://schemas.microsoft.com/office/drawing/2014/main" id="{E76D0731-D417-49A6-89AB-E14DE1B67A77}"/>
                </a:ext>
              </a:extLst>
            </xdr:cNvPr>
            <xdr:cNvSpPr>
              <a:spLocks/>
            </xdr:cNvSpPr>
          </xdr:nvSpPr>
          <xdr:spPr bwMode="auto">
            <a:xfrm>
              <a:off x="4180000" y="3580000"/>
              <a:ext cx="1680000" cy="2000000"/>
            </a:xfrm>
            <a:custGeom>
              <a:avLst/>
              <a:gdLst>
                <a:gd name="T0" fmla="*/ 0 w 21600"/>
                <a:gd name="T1" fmla="*/ 0 h 21600"/>
                <a:gd name="T2" fmla="*/ 2147483646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sp macro="" textlink="">
          <xdr:nvSpPr>
            <xdr:cNvPr id="89" name="Arc 312">
              <a:extLst>
                <a:ext uri="{FF2B5EF4-FFF2-40B4-BE49-F238E27FC236}">
                  <a16:creationId xmlns:a16="http://schemas.microsoft.com/office/drawing/2014/main" id="{7AF3063A-25F4-4021-83B0-34DB99A033AC}"/>
                </a:ext>
              </a:extLst>
            </xdr:cNvPr>
            <xdr:cNvSpPr>
              <a:spLocks/>
            </xdr:cNvSpPr>
          </xdr:nvSpPr>
          <xdr:spPr bwMode="auto">
            <a:xfrm flipH="1">
              <a:off x="2500000" y="3580000"/>
              <a:ext cx="1680000" cy="2020000"/>
            </a:xfrm>
            <a:custGeom>
              <a:avLst/>
              <a:gdLst>
                <a:gd name="T0" fmla="*/ 0 w 21600"/>
                <a:gd name="T1" fmla="*/ 0 h 21600"/>
                <a:gd name="T2" fmla="*/ 2147483646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grpSp>
      <xdr:sp macro="" textlink="">
        <xdr:nvSpPr>
          <xdr:cNvPr id="87" name="Arc 313">
            <a:extLst>
              <a:ext uri="{FF2B5EF4-FFF2-40B4-BE49-F238E27FC236}">
                <a16:creationId xmlns:a16="http://schemas.microsoft.com/office/drawing/2014/main" id="{95DDB824-7007-4848-914C-40AB34FEB1CB}"/>
              </a:ext>
            </a:extLst>
          </xdr:cNvPr>
          <xdr:cNvSpPr>
            <a:spLocks/>
          </xdr:cNvSpPr>
        </xdr:nvSpPr>
        <xdr:spPr bwMode="auto">
          <a:xfrm>
            <a:off x="-1299" y="-20059"/>
            <a:ext cx="3528" cy="99"/>
          </a:xfrm>
          <a:custGeom>
            <a:avLst/>
            <a:gdLst>
              <a:gd name="T0" fmla="*/ 0 w 21600"/>
              <a:gd name="T1" fmla="*/ 0 h 21600"/>
              <a:gd name="T2" fmla="*/ 94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714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grpSp>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3T06:33:02.046"/>
    </inkml:context>
    <inkml:brush xml:id="br0">
      <inkml:brushProperty name="width" value="0.05" units="cm"/>
      <inkml:brushProperty name="height" value="0.05" units="cm"/>
    </inkml:brush>
  </inkml:definitions>
  <inkml:trace contextRef="#ctx0" brushRef="#br0">1 1362 24575,'0'-535'0,"1"521"0,0 0 0,1 0 0,1 0 0,0 0 0,2 0 0,0 1 0,6-15 0,56-89 0,-52 93 0,62-73 0,-69 85 0,1 1 0,0 0 0,1 1 0,1 0 0,-1 0 0,15-10 0,21-18 0,-16 11 0,45-30 0,6-5 0,-72 54 0,0 0 0,1 1 0,-1 0 0,2 0 0,0 1 0,-1 0 0,2 0 0,12-4 0,31-13 0,-45 18 0,0 0 0,1 0 0,-1 2 0,1-1 0,0 1 0,-1 0 0,21-2 0,77-6 0,-61 4 0,63 0 0,-7 6 0,112 4 0,-201-1 0,0 1 0,0 0 0,-1 0 0,2 1 0,-3 1 0,2 0 0,17 10 0,85 55 0,-91-53 0,-5-2 0,-1 1 0,-1 1 0,-1 0 0,0 2 0,-2-1 0,-1 2 0,13 21 0,-7-11 0,2-1 0,27 29 0,-32-41 0,-3 1 0,1 1 0,-2 0 0,-1 0 0,15 31 0,37 110 0,-19-44 0,-31-73 0,17 71 0,-20-68 0,22 58 0,-12-40 0,9 19 0,9 13 0,-28-67 0,0 0 0,27 45 0,-7-24 0,-1 2 0,37 91 0,-60-129 0,-1 0 0,1 0 0,1-1 0,12 13 0,13 26 0,-21-30 0,0-1 0,2 0 0,0-1 0,21 22 0,154 132 0,-9-10 0,-173-157 0,-2-1 0,1 1 0,0-1 0,2 0 0,-2-1 0,1 0 0,1 0 0,0 0 0,0-1 0,-1 0 0,2 0 0,0-1 0,-1 0 0,1 0 0,1-1 0,-3 0 0,3-1 0,0 1 0,-2-2 0,15 1 0,44-1 0,133-4 0,-166-1 0,1-2 0,-1 0 0,-1-3 0,32-12 0,-28 10 0,-10 1 0,0-2 0,46-27 0,-24 12 0,-21 10 0,0 0 0,42-38 0,23-15 0,-56 44 0,-1-2 0,0-1 0,-3-1 0,0-2 0,-4-1 0,0-1 0,-2-1 0,-2-2 0,0 0 0,-4-1 0,29-72 0,-31 45 0,11-22 0,-20 58 0,-1 0 0,0-1 0,-3 0 0,-2 0 0,0 0 0,-3-37 0,4-15 0,-3 73 0,0 1 0,1-1 0,0 0 0,1 1 0,0 0 0,0 0 0,1 0 0,8-11 0,-8 12 0,0-1 0,0 1 0,1-1 0,-3-1 0,1 1 0,-1 0 0,-1-1 0,4-16 0,-5 3 0,-1 13 0,0-1 0,1 0 0,1 1 0,0-1 0,1 1 0,0 0 0,0 0 0,7-15 0,75-106 0,-74 114 0,-3 0 0,1 0 0,7-20 0,-12 25 0,1-1 0,1 1 0,0 0 0,1 1 0,-1-1 0,3 1 0,-1 1 0,14-15 0,-12 14 0,0 0 0,0-1 0,11-16 0,-14 18 0,-1-1 0,2 1 0,2 1 0,-2-1 0,15-11 0,63-47 0,100-101 0,-176 160 0,1 1 0,0 0 0,0 1 0,0 0 0,1 1 0,1 0 0,13-5 0,-9 5 0,0-2 0,-1 0 0,16-11 0,-22 12 0,2 0 0,-1 1 0,2 0 0,-2 1 0,2 1 0,-1 0 0,0 0 0,2 1 0,-2 0 0,21-1 0,13 1 0,77 4 0,-52 1 0,-60-1 0,-1 0 0,1 1 0,0 0 0,0 1 0,-1 0 0,0 1 0,0 0 0,0 0 0,-1 1 0,1 0 0,-1 0 0,0 1 0,11 10 0,39 22 0,-18-15 0,70 55 0,-67-47 0,-32-23 0,1 1 0,-1 0 0,-1 1 0,1 0 0,-2 0 0,15 19 0,40 61 0,85 137 0,-140-208 0,-3 0 0,8 27 0,4 10 0,-6-24 0,-3-1 0,0 1 0,-3 1 0,5 47 0,-6-38 0,13 48 0,-11-53 0,10 72 0,-15-74 0,2-1 0,18 67 0,-10-69 0,22 43 0,3 7 0,-29-65 0,-1 0 0,19 26 0,-18-30 0,-1-1 0,0 1 0,-2 0 0,0 1 0,9 24 0,-11-24 0,1-1 0,1 0 0,2 0 0,-1 0 0,0-1 0,14 16 0,17 29 0,-28-42 0,0 0 0,1-2 0,0 1 0,1-1 0,14 12 0,10 9 0,-11-11 0,1-1 0,39 24 0,-60-42 0,11 4 0,-1 0 0,1-2 0,0 1 0,0-2 0,1 0 0,0 0 0,0-2 0,1 0 0,-2 0 0,21-1 0,31 7 0,6-1 0,1-3 0,123-7 0,-63 0 0,-3 2-1365,-109 0-5461</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3T06:33:07.704"/>
    </inkml:context>
    <inkml:brush xml:id="br0">
      <inkml:brushProperty name="width" value="0.035" units="cm"/>
      <inkml:brushProperty name="height" value="0.035" units="cm"/>
      <inkml:brushProperty name="color" value="#E71224"/>
    </inkml:brush>
  </inkml:definitions>
  <inkml:trace contextRef="#ctx0" brushRef="#br0">1 28 24575,'56'1'0,"3"0"0,0-3 0,85-12 0,-80 6 0,0 3 0,123 6 0,-66 2 0,704-3-1365,-804 0-5461</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3T06:33:57.234"/>
    </inkml:context>
    <inkml:brush xml:id="br0">
      <inkml:brushProperty name="width" value="0.035" units="cm"/>
      <inkml:brushProperty name="height" value="0.035" units="cm"/>
      <inkml:brushProperty name="color" value="#E71224"/>
    </inkml:brush>
  </inkml:definitions>
  <inkml:trace contextRef="#ctx0" brushRef="#br0">0 0 24575,'802'0'-1365,"-781"0"-5461</inkml:trace>
</inkm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myhometheater.homestead.com/splcalculator.html"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3C469-D29D-4956-BBDB-D6199A109068}">
  <dimension ref="A1:D69"/>
  <sheetViews>
    <sheetView tabSelected="1" zoomScale="109" workbookViewId="0">
      <selection activeCell="A50" sqref="A50:D50"/>
    </sheetView>
  </sheetViews>
  <sheetFormatPr defaultColWidth="9.109375" defaultRowHeight="16.2" x14ac:dyDescent="0.25"/>
  <cols>
    <col min="1" max="1" width="36.44140625" style="67" customWidth="1"/>
    <col min="2" max="2" width="17.33203125" style="67" customWidth="1"/>
    <col min="3" max="3" width="79.6640625" style="67" bestFit="1" customWidth="1"/>
    <col min="4" max="4" width="28.6640625" style="67" customWidth="1"/>
    <col min="5" max="8" width="9.33203125" style="67" bestFit="1" customWidth="1"/>
    <col min="9" max="16384" width="9.109375" style="67"/>
  </cols>
  <sheetData>
    <row r="1" spans="1:4" ht="21.6" x14ac:dyDescent="0.25">
      <c r="A1" s="174" t="s">
        <v>131</v>
      </c>
      <c r="B1" s="174"/>
      <c r="C1" s="174"/>
      <c r="D1" s="174"/>
    </row>
    <row r="2" spans="1:4" ht="5.25" customHeight="1" x14ac:dyDescent="0.25"/>
    <row r="3" spans="1:4" ht="77.25" customHeight="1" x14ac:dyDescent="0.25">
      <c r="A3" s="172" t="s">
        <v>215</v>
      </c>
      <c r="B3" s="172"/>
      <c r="C3" s="172"/>
      <c r="D3" s="172"/>
    </row>
    <row r="4" spans="1:4" ht="5.25" customHeight="1" x14ac:dyDescent="0.25"/>
    <row r="5" spans="1:4" ht="192" customHeight="1" x14ac:dyDescent="0.25">
      <c r="A5" s="176" t="s">
        <v>209</v>
      </c>
      <c r="B5" s="176"/>
      <c r="C5" s="176"/>
      <c r="D5" s="176"/>
    </row>
    <row r="6" spans="1:4" ht="5.25" customHeight="1" x14ac:dyDescent="0.25"/>
    <row r="7" spans="1:4" x14ac:dyDescent="0.25">
      <c r="A7" s="172" t="s">
        <v>210</v>
      </c>
      <c r="B7" s="172"/>
      <c r="C7" s="172"/>
      <c r="D7" s="172"/>
    </row>
    <row r="8" spans="1:4" ht="5.25" customHeight="1" x14ac:dyDescent="0.25"/>
    <row r="9" spans="1:4" ht="30" customHeight="1" x14ac:dyDescent="0.25">
      <c r="A9" s="172" t="s">
        <v>211</v>
      </c>
      <c r="B9" s="172"/>
      <c r="C9" s="172"/>
      <c r="D9" s="172"/>
    </row>
    <row r="10" spans="1:4" ht="5.25" customHeight="1" x14ac:dyDescent="0.25"/>
    <row r="11" spans="1:4" ht="60.75" customHeight="1" x14ac:dyDescent="0.25">
      <c r="A11" s="172" t="s">
        <v>212</v>
      </c>
      <c r="B11" s="172"/>
      <c r="C11" s="172"/>
      <c r="D11" s="172"/>
    </row>
    <row r="12" spans="1:4" ht="5.25" customHeight="1" x14ac:dyDescent="0.25"/>
    <row r="13" spans="1:4" ht="45" customHeight="1" x14ac:dyDescent="0.25">
      <c r="A13" s="172" t="s">
        <v>214</v>
      </c>
      <c r="B13" s="172"/>
      <c r="C13" s="172"/>
      <c r="D13" s="172"/>
    </row>
    <row r="14" spans="1:4" ht="5.25" customHeight="1" x14ac:dyDescent="0.25"/>
    <row r="15" spans="1:4" x14ac:dyDescent="0.25">
      <c r="A15" s="68" t="s">
        <v>113</v>
      </c>
      <c r="B15" s="78">
        <v>93</v>
      </c>
      <c r="C15" s="69" t="s">
        <v>127</v>
      </c>
    </row>
    <row r="16" spans="1:4" x14ac:dyDescent="0.25">
      <c r="A16" s="68" t="s">
        <v>114</v>
      </c>
      <c r="B16" s="78">
        <v>21</v>
      </c>
      <c r="C16" s="69" t="s">
        <v>220</v>
      </c>
    </row>
    <row r="17" spans="1:4" x14ac:dyDescent="0.25">
      <c r="A17" s="68" t="s">
        <v>117</v>
      </c>
      <c r="B17" s="78">
        <v>100</v>
      </c>
      <c r="C17" s="69" t="s">
        <v>1</v>
      </c>
    </row>
    <row r="18" spans="1:4" ht="28.2" x14ac:dyDescent="0.25">
      <c r="A18" s="68" t="s">
        <v>116</v>
      </c>
      <c r="B18" s="78">
        <v>2</v>
      </c>
      <c r="C18" s="70" t="s">
        <v>219</v>
      </c>
    </row>
    <row r="19" spans="1:4" x14ac:dyDescent="0.25">
      <c r="A19" s="68" t="s">
        <v>121</v>
      </c>
      <c r="B19" s="79" t="s">
        <v>126</v>
      </c>
      <c r="C19" s="69" t="str">
        <f>IF($B$19="Near a wall","It should be within 2 to 4 feet","It should be within 18 to 24 inches")</f>
        <v>It should be within 18 to 24 inches</v>
      </c>
    </row>
    <row r="20" spans="1:4" x14ac:dyDescent="0.25">
      <c r="A20" s="69" t="s">
        <v>115</v>
      </c>
      <c r="B20" s="71">
        <f>10*LOG($B$18*$B$25)-10*LOG($B$25)</f>
        <v>3.0102999566398125</v>
      </c>
      <c r="C20" s="69" t="s">
        <v>122</v>
      </c>
    </row>
    <row r="21" spans="1:4" x14ac:dyDescent="0.25">
      <c r="A21" s="69" t="s">
        <v>124</v>
      </c>
      <c r="B21" s="71">
        <f>IF($B$19="Near a wall",3,IF($B$19="In a corner",6,0))</f>
        <v>0</v>
      </c>
      <c r="C21" s="69" t="s">
        <v>123</v>
      </c>
    </row>
    <row r="22" spans="1:4" x14ac:dyDescent="0.25">
      <c r="A22" s="69" t="s">
        <v>125</v>
      </c>
      <c r="B22" s="72">
        <f>$B$15+$B$20+$B$21</f>
        <v>96.010299956639813</v>
      </c>
      <c r="C22" s="69" t="s">
        <v>1</v>
      </c>
    </row>
    <row r="23" spans="1:4" x14ac:dyDescent="0.25">
      <c r="A23" s="69" t="s">
        <v>118</v>
      </c>
      <c r="B23" s="73">
        <f>-20*LOG(($B$16*12/39))</f>
        <v>-16.206718675100898</v>
      </c>
      <c r="C23" s="69" t="s">
        <v>130</v>
      </c>
    </row>
    <row r="24" spans="1:4" x14ac:dyDescent="0.25">
      <c r="A24" s="69" t="s">
        <v>119</v>
      </c>
      <c r="B24" s="72">
        <f>$B$22+$B$23</f>
        <v>79.803581281538911</v>
      </c>
      <c r="C24" s="69" t="s">
        <v>1</v>
      </c>
    </row>
    <row r="25" spans="1:4" x14ac:dyDescent="0.25">
      <c r="A25" s="68" t="s">
        <v>120</v>
      </c>
      <c r="B25" s="78">
        <v>200</v>
      </c>
      <c r="C25" s="69" t="s">
        <v>128</v>
      </c>
    </row>
    <row r="26" spans="1:4" x14ac:dyDescent="0.25">
      <c r="A26" s="69" t="s">
        <v>216</v>
      </c>
      <c r="B26" s="74">
        <f>10*LOG($B$25)</f>
        <v>23.010299956639813</v>
      </c>
      <c r="C26" s="69" t="s">
        <v>217</v>
      </c>
    </row>
    <row r="27" spans="1:4" x14ac:dyDescent="0.25">
      <c r="A27" s="80" t="s">
        <v>129</v>
      </c>
      <c r="B27" s="72">
        <f>$B$15+$B$20+$B$21+$B$23+$B$26</f>
        <v>102.81388123817872</v>
      </c>
      <c r="C27" s="80" t="s">
        <v>218</v>
      </c>
    </row>
    <row r="28" spans="1:4" x14ac:dyDescent="0.25">
      <c r="B28" s="75"/>
    </row>
    <row r="29" spans="1:4" x14ac:dyDescent="0.25">
      <c r="A29" s="173" t="s">
        <v>132</v>
      </c>
      <c r="B29" s="173"/>
      <c r="C29" s="173"/>
      <c r="D29" s="173"/>
    </row>
    <row r="30" spans="1:4" ht="30.75" customHeight="1" x14ac:dyDescent="0.25">
      <c r="A30" s="175" t="s">
        <v>133</v>
      </c>
      <c r="B30" s="175"/>
      <c r="C30" s="175"/>
      <c r="D30" s="175"/>
    </row>
    <row r="31" spans="1:4" ht="5.25" customHeight="1" x14ac:dyDescent="0.25"/>
    <row r="32" spans="1:4" x14ac:dyDescent="0.25">
      <c r="A32" s="76" t="s">
        <v>134</v>
      </c>
      <c r="B32" s="76" t="s">
        <v>135</v>
      </c>
      <c r="C32" s="76" t="s">
        <v>46</v>
      </c>
      <c r="D32" s="76" t="s">
        <v>136</v>
      </c>
    </row>
    <row r="33" spans="1:4" ht="16.8" x14ac:dyDescent="0.25">
      <c r="A33" s="77" t="s">
        <v>137</v>
      </c>
      <c r="B33" s="77" t="s">
        <v>138</v>
      </c>
      <c r="C33" s="77" t="s">
        <v>139</v>
      </c>
      <c r="D33" s="77" t="s">
        <v>192</v>
      </c>
    </row>
    <row r="34" spans="1:4" ht="16.8" x14ac:dyDescent="0.25">
      <c r="A34" s="77"/>
      <c r="B34" s="77" t="s">
        <v>140</v>
      </c>
      <c r="C34" s="77" t="s">
        <v>141</v>
      </c>
      <c r="D34" s="77" t="s">
        <v>193</v>
      </c>
    </row>
    <row r="35" spans="1:4" ht="16.8" x14ac:dyDescent="0.25">
      <c r="A35" s="77" t="s">
        <v>142</v>
      </c>
      <c r="B35" s="77" t="s">
        <v>143</v>
      </c>
      <c r="C35" s="77" t="s">
        <v>144</v>
      </c>
      <c r="D35" s="77" t="s">
        <v>194</v>
      </c>
    </row>
    <row r="36" spans="1:4" ht="16.8" x14ac:dyDescent="0.25">
      <c r="A36" s="77"/>
      <c r="B36" s="77" t="s">
        <v>145</v>
      </c>
      <c r="C36" s="77" t="s">
        <v>146</v>
      </c>
      <c r="D36" s="77" t="s">
        <v>195</v>
      </c>
    </row>
    <row r="37" spans="1:4" ht="16.8" x14ac:dyDescent="0.25">
      <c r="A37" s="77" t="s">
        <v>147</v>
      </c>
      <c r="B37" s="77" t="s">
        <v>148</v>
      </c>
      <c r="C37" s="77" t="s">
        <v>149</v>
      </c>
      <c r="D37" s="77" t="s">
        <v>196</v>
      </c>
    </row>
    <row r="38" spans="1:4" ht="16.8" x14ac:dyDescent="0.25">
      <c r="A38" s="77"/>
      <c r="B38" s="77" t="s">
        <v>150</v>
      </c>
      <c r="C38" s="77" t="s">
        <v>151</v>
      </c>
      <c r="D38" s="77" t="s">
        <v>197</v>
      </c>
    </row>
    <row r="39" spans="1:4" ht="16.8" x14ac:dyDescent="0.25">
      <c r="A39" s="77" t="s">
        <v>152</v>
      </c>
      <c r="B39" s="77" t="s">
        <v>153</v>
      </c>
      <c r="C39" s="77" t="s">
        <v>154</v>
      </c>
      <c r="D39" s="77" t="s">
        <v>198</v>
      </c>
    </row>
    <row r="40" spans="1:4" ht="16.8" x14ac:dyDescent="0.25">
      <c r="A40" s="77"/>
      <c r="B40" s="77" t="s">
        <v>155</v>
      </c>
      <c r="C40" s="77" t="s">
        <v>156</v>
      </c>
      <c r="D40" s="77" t="s">
        <v>199</v>
      </c>
    </row>
    <row r="41" spans="1:4" ht="16.8" x14ac:dyDescent="0.25">
      <c r="A41" s="77" t="s">
        <v>157</v>
      </c>
      <c r="B41" s="77" t="s">
        <v>158</v>
      </c>
      <c r="C41" s="77" t="s">
        <v>159</v>
      </c>
      <c r="D41" s="77" t="s">
        <v>200</v>
      </c>
    </row>
    <row r="42" spans="1:4" ht="16.8" x14ac:dyDescent="0.25">
      <c r="A42" s="77"/>
      <c r="B42" s="77" t="s">
        <v>160</v>
      </c>
      <c r="C42" s="77" t="s">
        <v>161</v>
      </c>
      <c r="D42" s="77" t="s">
        <v>201</v>
      </c>
    </row>
    <row r="43" spans="1:4" ht="16.8" x14ac:dyDescent="0.25">
      <c r="A43" s="77" t="s">
        <v>162</v>
      </c>
      <c r="B43" s="77" t="s">
        <v>163</v>
      </c>
      <c r="C43" s="77" t="s">
        <v>164</v>
      </c>
      <c r="D43" s="77" t="s">
        <v>202</v>
      </c>
    </row>
    <row r="44" spans="1:4" ht="16.8" x14ac:dyDescent="0.25">
      <c r="A44" s="77"/>
      <c r="B44" s="77" t="s">
        <v>165</v>
      </c>
      <c r="C44" s="77" t="s">
        <v>166</v>
      </c>
      <c r="D44" s="77" t="s">
        <v>203</v>
      </c>
    </row>
    <row r="45" spans="1:4" ht="16.8" x14ac:dyDescent="0.25">
      <c r="A45" s="77" t="s">
        <v>167</v>
      </c>
      <c r="B45" s="77" t="s">
        <v>168</v>
      </c>
      <c r="C45" s="77" t="s">
        <v>169</v>
      </c>
      <c r="D45" s="77" t="s">
        <v>204</v>
      </c>
    </row>
    <row r="47" spans="1:4" x14ac:dyDescent="0.25">
      <c r="A47" s="173" t="s">
        <v>213</v>
      </c>
      <c r="B47" s="173"/>
      <c r="C47" s="173"/>
      <c r="D47" s="173"/>
    </row>
    <row r="48" spans="1:4" x14ac:dyDescent="0.25">
      <c r="A48" s="172" t="s">
        <v>170</v>
      </c>
      <c r="B48" s="172"/>
      <c r="C48" s="172"/>
      <c r="D48" s="172"/>
    </row>
    <row r="49" spans="1:4" ht="5.25" customHeight="1" x14ac:dyDescent="0.25"/>
    <row r="50" spans="1:4" ht="30" customHeight="1" x14ac:dyDescent="0.25">
      <c r="A50" s="172" t="s">
        <v>171</v>
      </c>
      <c r="B50" s="172"/>
      <c r="C50" s="172"/>
      <c r="D50" s="172"/>
    </row>
    <row r="51" spans="1:4" ht="5.25" customHeight="1" x14ac:dyDescent="0.25"/>
    <row r="52" spans="1:4" ht="30" customHeight="1" x14ac:dyDescent="0.25">
      <c r="A52" s="172" t="s">
        <v>172</v>
      </c>
      <c r="B52" s="172"/>
      <c r="C52" s="172"/>
      <c r="D52" s="172"/>
    </row>
    <row r="53" spans="1:4" ht="5.25" customHeight="1" x14ac:dyDescent="0.25"/>
    <row r="54" spans="1:4" ht="30" customHeight="1" x14ac:dyDescent="0.25">
      <c r="A54" s="172" t="s">
        <v>205</v>
      </c>
      <c r="B54" s="172"/>
      <c r="C54" s="172"/>
      <c r="D54" s="172"/>
    </row>
    <row r="55" spans="1:4" ht="5.25" customHeight="1" x14ac:dyDescent="0.25"/>
    <row r="56" spans="1:4" ht="48.6" x14ac:dyDescent="0.25">
      <c r="A56" s="64" t="s">
        <v>173</v>
      </c>
      <c r="B56" s="64" t="s">
        <v>174</v>
      </c>
    </row>
    <row r="57" spans="1:4" x14ac:dyDescent="0.25">
      <c r="A57" s="65" t="s">
        <v>175</v>
      </c>
      <c r="B57" s="65" t="s">
        <v>176</v>
      </c>
    </row>
    <row r="58" spans="1:4" x14ac:dyDescent="0.25">
      <c r="A58" s="66" t="s">
        <v>177</v>
      </c>
      <c r="B58" s="66" t="s">
        <v>178</v>
      </c>
    </row>
    <row r="59" spans="1:4" x14ac:dyDescent="0.25">
      <c r="A59" s="66" t="s">
        <v>179</v>
      </c>
      <c r="B59" s="66" t="s">
        <v>180</v>
      </c>
    </row>
    <row r="60" spans="1:4" x14ac:dyDescent="0.25">
      <c r="A60" s="66" t="s">
        <v>181</v>
      </c>
      <c r="B60" s="66" t="s">
        <v>182</v>
      </c>
    </row>
    <row r="61" spans="1:4" x14ac:dyDescent="0.25">
      <c r="A61" s="66" t="s">
        <v>183</v>
      </c>
      <c r="B61" s="66" t="s">
        <v>184</v>
      </c>
    </row>
    <row r="62" spans="1:4" x14ac:dyDescent="0.25">
      <c r="A62" s="66" t="s">
        <v>185</v>
      </c>
      <c r="B62" s="66" t="s">
        <v>186</v>
      </c>
    </row>
    <row r="63" spans="1:4" x14ac:dyDescent="0.25">
      <c r="A63" s="66" t="s">
        <v>187</v>
      </c>
      <c r="B63" s="66" t="s">
        <v>188</v>
      </c>
    </row>
    <row r="64" spans="1:4" x14ac:dyDescent="0.25">
      <c r="A64" s="66" t="s">
        <v>207</v>
      </c>
      <c r="B64" s="66" t="s">
        <v>189</v>
      </c>
    </row>
    <row r="65" spans="1:4" x14ac:dyDescent="0.25">
      <c r="A65" s="66" t="s">
        <v>206</v>
      </c>
      <c r="B65" s="66" t="s">
        <v>190</v>
      </c>
    </row>
    <row r="67" spans="1:4" x14ac:dyDescent="0.25">
      <c r="A67" s="171" t="s">
        <v>191</v>
      </c>
      <c r="B67" s="171"/>
      <c r="C67" s="171"/>
      <c r="D67" s="171"/>
    </row>
    <row r="69" spans="1:4" x14ac:dyDescent="0.25">
      <c r="A69" s="169" t="s">
        <v>208</v>
      </c>
    </row>
  </sheetData>
  <mergeCells count="15">
    <mergeCell ref="A9:D9"/>
    <mergeCell ref="A11:D11"/>
    <mergeCell ref="A13:D13"/>
    <mergeCell ref="A1:D1"/>
    <mergeCell ref="A48:D48"/>
    <mergeCell ref="A47:D47"/>
    <mergeCell ref="A30:D30"/>
    <mergeCell ref="A3:D3"/>
    <mergeCell ref="A5:D5"/>
    <mergeCell ref="A7:D7"/>
    <mergeCell ref="A67:D67"/>
    <mergeCell ref="A54:D54"/>
    <mergeCell ref="A52:D52"/>
    <mergeCell ref="A50:D50"/>
    <mergeCell ref="A29:D29"/>
  </mergeCells>
  <conditionalFormatting sqref="B27">
    <cfRule type="cellIs" dxfId="2" priority="1" operator="greaterThanOrEqual">
      <formula>$B$17</formula>
    </cfRule>
    <cfRule type="cellIs" dxfId="1" priority="2" operator="lessThan">
      <formula>$B$17</formula>
    </cfRule>
  </conditionalFormatting>
  <dataValidations count="2">
    <dataValidation type="list" allowBlank="1" showInputMessage="1" showErrorMessage="1" sqref="B18" xr:uid="{312E8106-DC04-436D-AD66-41CE51035668}">
      <formula1>"1,2,3,4,5,6,7,8,9,10,11,12,13"</formula1>
    </dataValidation>
    <dataValidation type="list" allowBlank="1" showInputMessage="1" showErrorMessage="1" sqref="B19" xr:uid="{B86C032F-FB8C-4778-BDCF-8B9BEF12EB06}">
      <formula1>" Near a wall,In a corner,Away from walls"</formula1>
    </dataValidation>
  </dataValidations>
  <hyperlinks>
    <hyperlink ref="A69" r:id="rId1" location="anchor" xr:uid="{3C8BEDA5-B5BA-4FAC-A83F-DA3027561C16}"/>
  </hyperlinks>
  <pageMargins left="0.7" right="0.7" top="0.75" bottom="0.75" header="0.3" footer="0.3"/>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F64F-FF63-4F1E-90AA-B5CA3039C7AF}">
  <dimension ref="B1:O41"/>
  <sheetViews>
    <sheetView topLeftCell="A24" workbookViewId="0">
      <selection activeCell="C24" sqref="C24"/>
    </sheetView>
  </sheetViews>
  <sheetFormatPr defaultColWidth="9.109375" defaultRowHeight="16.2" x14ac:dyDescent="0.4"/>
  <cols>
    <col min="1" max="1" width="9.109375" style="82"/>
    <col min="2" max="2" width="33.33203125" style="82" customWidth="1"/>
    <col min="3" max="3" width="15.109375" style="82" customWidth="1"/>
    <col min="4" max="4" width="15.33203125" style="82" bestFit="1" customWidth="1"/>
    <col min="5" max="10" width="13.5546875" style="82" customWidth="1"/>
    <col min="11" max="11" width="14.33203125" style="82" customWidth="1"/>
    <col min="12" max="15" width="13.5546875" style="82" customWidth="1"/>
    <col min="16" max="16384" width="9.109375" style="82"/>
  </cols>
  <sheetData>
    <row r="1" spans="2:15" x14ac:dyDescent="0.4">
      <c r="B1" s="178" t="s">
        <v>50</v>
      </c>
      <c r="C1" s="178"/>
      <c r="D1" s="178"/>
      <c r="E1" s="178"/>
      <c r="F1" s="178"/>
      <c r="G1" s="178"/>
      <c r="H1" s="178"/>
      <c r="I1" s="178"/>
      <c r="J1" s="178"/>
      <c r="K1" s="178"/>
      <c r="L1" s="178"/>
      <c r="M1" s="178"/>
      <c r="N1" s="178"/>
      <c r="O1" s="178"/>
    </row>
    <row r="2" spans="2:15" x14ac:dyDescent="0.4">
      <c r="B2" s="8" t="s">
        <v>30</v>
      </c>
      <c r="C2" s="48" t="s">
        <v>44</v>
      </c>
      <c r="D2" s="48" t="s">
        <v>10</v>
      </c>
      <c r="E2" s="48" t="s">
        <v>31</v>
      </c>
      <c r="F2" s="8" t="s">
        <v>31</v>
      </c>
      <c r="G2" s="48" t="s">
        <v>0</v>
      </c>
      <c r="H2" s="83" t="s">
        <v>45</v>
      </c>
      <c r="I2" s="48" t="s">
        <v>37</v>
      </c>
      <c r="J2" s="83" t="s">
        <v>45</v>
      </c>
      <c r="K2" s="48" t="s">
        <v>36</v>
      </c>
      <c r="L2" s="83" t="s">
        <v>45</v>
      </c>
      <c r="M2" s="39" t="s">
        <v>47</v>
      </c>
      <c r="N2" s="40" t="s">
        <v>48</v>
      </c>
      <c r="O2" s="40" t="s">
        <v>49</v>
      </c>
    </row>
    <row r="3" spans="2:15" x14ac:dyDescent="0.4">
      <c r="B3" s="8" t="s">
        <v>2</v>
      </c>
      <c r="C3" s="46">
        <f>D3/3.28084</f>
        <v>4.5719998536960045</v>
      </c>
      <c r="D3" s="84">
        <v>15</v>
      </c>
      <c r="E3" s="85">
        <f>$C$8/C3</f>
        <v>75.021874666666676</v>
      </c>
      <c r="F3" s="8" t="s">
        <v>32</v>
      </c>
      <c r="G3" s="86">
        <f>$E$3*0.5</f>
        <v>37.510937333333338</v>
      </c>
      <c r="H3" s="87">
        <f>(($C$8/G3)*3.28084)/3</f>
        <v>10</v>
      </c>
      <c r="I3" s="86">
        <f>$E$4*0.5</f>
        <v>33.097885882352941</v>
      </c>
      <c r="J3" s="87">
        <f>(($C$8/I3)*3.28084)/3</f>
        <v>11.333333333333334</v>
      </c>
      <c r="K3" s="86">
        <f>$E$5*0.5</f>
        <v>63.008293393057109</v>
      </c>
      <c r="L3" s="87">
        <f>(($C$8/K3)*3.28084)/4</f>
        <v>4.4649999999999999</v>
      </c>
      <c r="M3" s="41">
        <v>0</v>
      </c>
      <c r="N3" s="41">
        <f>SIN(M3)</f>
        <v>0</v>
      </c>
      <c r="O3" s="41">
        <f>COS(M3)</f>
        <v>1</v>
      </c>
    </row>
    <row r="4" spans="2:15" x14ac:dyDescent="0.4">
      <c r="B4" s="8" t="s">
        <v>38</v>
      </c>
      <c r="C4" s="46">
        <f>D4/3.28084</f>
        <v>5.1815998341888054</v>
      </c>
      <c r="D4" s="84">
        <v>17</v>
      </c>
      <c r="E4" s="85">
        <f>$C$8/C4</f>
        <v>66.195771764705881</v>
      </c>
      <c r="F4" s="8" t="s">
        <v>33</v>
      </c>
      <c r="G4" s="86">
        <f>$E$3*1</f>
        <v>75.021874666666676</v>
      </c>
      <c r="H4" s="87">
        <f>(($C$8/G4)*3.28084)/4</f>
        <v>3.75</v>
      </c>
      <c r="I4" s="86">
        <f>$E$4*1</f>
        <v>66.195771764705881</v>
      </c>
      <c r="J4" s="87">
        <f>(($C$8/I4)*3.28084)/2</f>
        <v>8.5</v>
      </c>
      <c r="K4" s="86">
        <f>$E$5*1</f>
        <v>126.01658678611422</v>
      </c>
      <c r="L4" s="87">
        <f>(($C$8/K4)*3.28084)</f>
        <v>8.93</v>
      </c>
      <c r="M4" s="42">
        <f>RADIANS(G3)</f>
        <v>0.65468936197592842</v>
      </c>
      <c r="N4" s="43">
        <f>SIN(K3)</f>
        <v>0.17552627907786089</v>
      </c>
      <c r="O4" s="43">
        <f>COS(M4)</f>
        <v>0.79323711785933992</v>
      </c>
    </row>
    <row r="5" spans="2:15" x14ac:dyDescent="0.4">
      <c r="B5" s="8" t="s">
        <v>39</v>
      </c>
      <c r="C5" s="46">
        <f>D5/3.28084</f>
        <v>2.7218639129003548</v>
      </c>
      <c r="D5" s="84">
        <v>8.93</v>
      </c>
      <c r="E5" s="85">
        <f>$C$8/C5</f>
        <v>126.01658678611422</v>
      </c>
      <c r="F5" s="8" t="s">
        <v>34</v>
      </c>
      <c r="G5" s="86">
        <f>$E$3*1.5</f>
        <v>112.53281200000001</v>
      </c>
      <c r="H5" s="87">
        <f>(($C$8/G5)*3.28084)</f>
        <v>10</v>
      </c>
      <c r="I5" s="86">
        <f>$E$4*1.5</f>
        <v>99.293657647058822</v>
      </c>
      <c r="J5" s="87">
        <f>(($C$8/I5)*3.28084)</f>
        <v>11.333333333333334</v>
      </c>
      <c r="K5" s="86">
        <f>$E$5*1.5</f>
        <v>189.02488017917133</v>
      </c>
      <c r="L5" s="87">
        <f>(($C$8/K5)*3.28084)</f>
        <v>5.9533333333333331</v>
      </c>
      <c r="M5" s="42">
        <f>RADIANS(G4)</f>
        <v>1.3093787239518568</v>
      </c>
      <c r="N5" s="43">
        <f>SIN(K4)</f>
        <v>0.34560237799471205</v>
      </c>
      <c r="O5" s="43">
        <f>COS(M5)</f>
        <v>0.25845025029958479</v>
      </c>
    </row>
    <row r="6" spans="2:15" x14ac:dyDescent="0.4">
      <c r="B6" s="8" t="s">
        <v>43</v>
      </c>
      <c r="C6" s="46">
        <f>C3*C4*C5</f>
        <v>64.481701026729311</v>
      </c>
      <c r="D6" s="46">
        <f>D3*D4*D5</f>
        <v>2277.15</v>
      </c>
      <c r="E6" s="193"/>
      <c r="F6" s="8" t="s">
        <v>35</v>
      </c>
      <c r="G6" s="86">
        <f>$E$3*2</f>
        <v>150.04374933333335</v>
      </c>
      <c r="H6" s="87">
        <f>(($C$8/G6)*3.28084)</f>
        <v>7.5</v>
      </c>
      <c r="I6" s="86">
        <f>$E$4*2</f>
        <v>132.39154352941176</v>
      </c>
      <c r="J6" s="87">
        <f>(($C$8/I6)*3.28084)</f>
        <v>8.5</v>
      </c>
      <c r="K6" s="86">
        <f>$E$5*2</f>
        <v>252.03317357222843</v>
      </c>
      <c r="L6" s="87">
        <f>(($C$8/K6)*3.28084)</f>
        <v>4.4649999999999999</v>
      </c>
      <c r="M6" s="42">
        <f>RADIANS(G5)</f>
        <v>1.9640680859277853</v>
      </c>
      <c r="N6" s="43">
        <f>SIN(K5)</f>
        <v>0.5049473474531192</v>
      </c>
      <c r="O6" s="43">
        <f>COS(M6)</f>
        <v>-0.3832124545440046</v>
      </c>
    </row>
    <row r="7" spans="2:15" x14ac:dyDescent="0.4">
      <c r="B7" s="8" t="s">
        <v>40</v>
      </c>
      <c r="C7" s="47">
        <v>1130</v>
      </c>
      <c r="D7" s="38" t="s">
        <v>41</v>
      </c>
      <c r="E7" s="194"/>
      <c r="F7" s="38"/>
      <c r="G7" s="38"/>
      <c r="H7" s="38"/>
      <c r="I7" s="38"/>
      <c r="J7" s="38"/>
      <c r="K7" s="38"/>
      <c r="L7" s="38"/>
      <c r="M7" s="42">
        <f>RADIANS(G6)</f>
        <v>2.6187574479037137</v>
      </c>
      <c r="N7" s="43">
        <f>SIN(K6)</f>
        <v>0.64861344517845188</v>
      </c>
      <c r="O7" s="43">
        <f>COS(M7)</f>
        <v>-0.86640693624016396</v>
      </c>
    </row>
    <row r="8" spans="2:15" ht="18" x14ac:dyDescent="0.4">
      <c r="B8" s="8" t="s">
        <v>40</v>
      </c>
      <c r="C8" s="47">
        <v>343</v>
      </c>
      <c r="D8" s="38" t="s">
        <v>42</v>
      </c>
      <c r="E8" s="195"/>
      <c r="F8" s="38"/>
      <c r="G8" s="38"/>
      <c r="H8" s="38"/>
      <c r="I8" s="38"/>
      <c r="J8" s="15"/>
      <c r="K8" s="15"/>
      <c r="L8" s="15"/>
      <c r="M8" s="15"/>
      <c r="N8" s="15"/>
      <c r="O8" s="44"/>
    </row>
    <row r="9" spans="2:15" ht="18" x14ac:dyDescent="0.4">
      <c r="B9" s="1"/>
      <c r="C9" s="1"/>
      <c r="D9" s="1"/>
      <c r="E9" s="1"/>
      <c r="F9" s="1"/>
      <c r="G9" s="1"/>
      <c r="H9" s="4"/>
      <c r="I9" s="1"/>
      <c r="J9" s="1"/>
      <c r="K9" s="1"/>
      <c r="L9" s="1"/>
      <c r="M9" s="1"/>
      <c r="N9" s="1"/>
      <c r="O9" s="3"/>
    </row>
    <row r="10" spans="2:15" x14ac:dyDescent="0.4">
      <c r="B10" s="50" t="s">
        <v>56</v>
      </c>
      <c r="C10" s="189" t="s">
        <v>9</v>
      </c>
      <c r="D10" s="189"/>
      <c r="E10" s="190" t="s">
        <v>57</v>
      </c>
      <c r="F10" s="190"/>
      <c r="G10" s="190"/>
      <c r="H10" s="190"/>
      <c r="I10" s="191"/>
      <c r="J10" s="190" t="s">
        <v>58</v>
      </c>
      <c r="K10" s="190"/>
      <c r="L10" s="190"/>
      <c r="M10" s="190"/>
      <c r="N10" s="190" t="s">
        <v>59</v>
      </c>
      <c r="O10" s="190"/>
    </row>
    <row r="11" spans="2:15" x14ac:dyDescent="0.4">
      <c r="B11" s="8" t="s">
        <v>30</v>
      </c>
      <c r="C11" s="48" t="s">
        <v>10</v>
      </c>
      <c r="D11" s="48" t="s">
        <v>44</v>
      </c>
      <c r="E11" s="178" t="s">
        <v>60</v>
      </c>
      <c r="F11" s="178"/>
      <c r="G11" s="6" t="s">
        <v>38</v>
      </c>
      <c r="H11" s="6" t="s">
        <v>2</v>
      </c>
      <c r="I11" s="51" t="s">
        <v>39</v>
      </c>
      <c r="J11" s="48" t="s">
        <v>31</v>
      </c>
      <c r="K11" s="6" t="s">
        <v>61</v>
      </c>
      <c r="L11" s="6" t="s">
        <v>62</v>
      </c>
      <c r="M11" s="6" t="s">
        <v>63</v>
      </c>
      <c r="N11" s="48" t="s">
        <v>31</v>
      </c>
      <c r="O11" s="6" t="s">
        <v>64</v>
      </c>
    </row>
    <row r="12" spans="2:15" x14ac:dyDescent="0.4">
      <c r="B12" s="8" t="s">
        <v>38</v>
      </c>
      <c r="C12" s="46">
        <v>11.4</v>
      </c>
      <c r="D12" s="46">
        <f>$C$12/3.28084</f>
        <v>3.4747198888089637</v>
      </c>
      <c r="E12" s="188" t="s">
        <v>51</v>
      </c>
      <c r="F12" s="181"/>
      <c r="G12" s="45">
        <f>IF($C$10="m",$C$15/($D$12*2)/3.28084,$C$15/($C$12*2))</f>
        <v>49.561403508771932</v>
      </c>
      <c r="H12" s="45">
        <f>IF($C$10="m",$C$15/($D$13*2)/3.28084,$C$15/($C$13*2))</f>
        <v>54.326923076923073</v>
      </c>
      <c r="I12" s="52">
        <f>IF($C$10="m",$C$15/($D$14*2)/3.28084,$C$15/($C$14*2))</f>
        <v>58.247422680412377</v>
      </c>
      <c r="J12" s="60" t="s">
        <v>65</v>
      </c>
      <c r="K12" s="45">
        <f>$C$15 / 2 * SQRT((1 / $C$12)^2 + (1 / $C$13)^2)</f>
        <v>73.537387013445269</v>
      </c>
      <c r="L12" s="45">
        <f>$C$15 / 2 * SQRT((1 / $C$12)^2 + (1 / $C$14)^2)</f>
        <v>76.479376087085924</v>
      </c>
      <c r="M12" s="45">
        <f>$C$15 / 2 * SQRT((1 / $C$13)^2 + (1 / $C$14)^2)</f>
        <v>79.650340990585434</v>
      </c>
      <c r="N12" s="47" t="s">
        <v>66</v>
      </c>
      <c r="O12" s="45">
        <f xml:space="preserve"> 1125 / 2 * SQRT((1 / $C$12)^2 + (1 / $C$13)^2 + (1 / $C$14)^2)</f>
        <v>93.395937944562618</v>
      </c>
    </row>
    <row r="13" spans="2:15" x14ac:dyDescent="0.4">
      <c r="B13" s="8" t="s">
        <v>2</v>
      </c>
      <c r="C13" s="46">
        <v>10.4</v>
      </c>
      <c r="D13" s="46">
        <f>$C$13/3.28084</f>
        <v>3.1699198985625632</v>
      </c>
      <c r="E13" s="181" t="s">
        <v>52</v>
      </c>
      <c r="F13" s="181"/>
      <c r="G13" s="45">
        <f>G12*2</f>
        <v>99.122807017543863</v>
      </c>
      <c r="H13" s="45">
        <f>H12*2</f>
        <v>108.65384615384615</v>
      </c>
      <c r="I13" s="52">
        <f>I12*2</f>
        <v>116.49484536082475</v>
      </c>
      <c r="J13" s="60" t="s">
        <v>67</v>
      </c>
      <c r="K13" s="45">
        <f>$C$15 / 2 * SQRT((1 / $C$12)^2 + (2 / $C$13)^2)</f>
        <v>119.42357808147844</v>
      </c>
      <c r="L13" s="45">
        <f>$C$15 / 2 * SQRT((1 / $C$12)^2 + (2 / $C$14)^2)</f>
        <v>126.59929586455756</v>
      </c>
      <c r="M13" s="45">
        <f>$C$15 / 2 * SQRT((1 / $C$13)^2 + (2 / $C$14)^2)</f>
        <v>128.53973536089293</v>
      </c>
      <c r="N13" s="47" t="s">
        <v>68</v>
      </c>
      <c r="O13" s="45">
        <f xml:space="preserve"> 1125 / 2 * SQRT((1 / $C$12)^2 + (2 / $C$13)^2 + (1 / $C$14)^2)</f>
        <v>132.28326482514342</v>
      </c>
    </row>
    <row r="14" spans="2:15" x14ac:dyDescent="0.4">
      <c r="B14" s="8" t="s">
        <v>39</v>
      </c>
      <c r="C14" s="46">
        <v>9.6999999999999993</v>
      </c>
      <c r="D14" s="46">
        <f>$C$14/3.28084</f>
        <v>2.9565599053900828</v>
      </c>
      <c r="E14" s="181" t="s">
        <v>53</v>
      </c>
      <c r="F14" s="181"/>
      <c r="G14" s="45">
        <f>G12*3</f>
        <v>148.68421052631578</v>
      </c>
      <c r="H14" s="45">
        <f>H12*3</f>
        <v>162.98076923076923</v>
      </c>
      <c r="I14" s="52">
        <f>I12*3</f>
        <v>174.74226804123714</v>
      </c>
      <c r="J14" s="60" t="s">
        <v>69</v>
      </c>
      <c r="K14" s="45">
        <f>$C$15 / 2 * SQRT((1 / $C$12)^2 + (3 / $C$13)^2)</f>
        <v>170.34982787432617</v>
      </c>
      <c r="L14" s="45">
        <f>$C$15 / 2 * SQRT((1 / $C$12)^2 + (3 / $C$14)^2)</f>
        <v>181.63477904287734</v>
      </c>
      <c r="M14" s="45">
        <f>$C$15 / 2 * SQRT((1 / $C$13)^2 + (3 / $C$14)^2)</f>
        <v>182.99255397748152</v>
      </c>
      <c r="N14" s="47" t="s">
        <v>70</v>
      </c>
      <c r="O14" s="45">
        <f xml:space="preserve"> 1125 / 2 * SQRT((2 / $C$12)^2 + (2 / $C$13)^2 + (2 / $C$14)^2)</f>
        <v>186.79187588912524</v>
      </c>
    </row>
    <row r="15" spans="2:15" x14ac:dyDescent="0.4">
      <c r="B15" s="7" t="s">
        <v>71</v>
      </c>
      <c r="C15" s="53">
        <v>1130</v>
      </c>
      <c r="D15" s="185"/>
      <c r="E15" s="15" t="s">
        <v>54</v>
      </c>
      <c r="F15" s="15"/>
      <c r="G15" s="45">
        <f>G12*4</f>
        <v>198.24561403508773</v>
      </c>
      <c r="H15" s="45">
        <f>H12*4</f>
        <v>217.30769230769229</v>
      </c>
      <c r="I15" s="52">
        <f>I12*4</f>
        <v>232.98969072164951</v>
      </c>
      <c r="J15" s="60" t="s">
        <v>72</v>
      </c>
      <c r="K15" s="45">
        <f>$C$15 / 2 * SQRT((2 / $C$12)^2 + (2 / $C$13)^2)</f>
        <v>147.07477402689054</v>
      </c>
      <c r="L15" s="45">
        <f>$C$15 / 2 * SQRT((2 / $C$12)^2 + (2 / $C$14)^2)</f>
        <v>152.95875217417185</v>
      </c>
      <c r="M15" s="45">
        <f>$C$15 / 2 * SQRT((2 / $C$13)^2 + (2 / $C$14)^2)</f>
        <v>159.30068198117087</v>
      </c>
      <c r="N15" s="47" t="s">
        <v>73</v>
      </c>
      <c r="O15" s="45">
        <f xml:space="preserve"> 1125 / 2 * SQRT((2 / $C$12)^2 + (1 / $C$13)^2 + (2 / $C$14)^2)</f>
        <v>161.60180682753497</v>
      </c>
    </row>
    <row r="16" spans="2:15" x14ac:dyDescent="0.4">
      <c r="B16" s="7" t="s">
        <v>74</v>
      </c>
      <c r="C16" s="53">
        <f>$C$15/3.28084</f>
        <v>344.42398897843236</v>
      </c>
      <c r="D16" s="186"/>
      <c r="E16" s="15" t="s">
        <v>55</v>
      </c>
      <c r="F16" s="15"/>
      <c r="G16" s="45">
        <f>G12*5</f>
        <v>247.80701754385967</v>
      </c>
      <c r="H16" s="45">
        <f>H12*5</f>
        <v>271.63461538461536</v>
      </c>
      <c r="I16" s="52">
        <f>I12*5</f>
        <v>291.23711340206188</v>
      </c>
      <c r="J16" s="60" t="s">
        <v>75</v>
      </c>
      <c r="K16" s="45">
        <f>$C$15 / 2 * SQRT((2 / $C$12)^2 + (3 / $C$13)^2)</f>
        <v>190.75655168326588</v>
      </c>
      <c r="L16" s="45">
        <f>$C$15 / 2 * SQRT((2 / $C$12)^2 + (3 / $C$14)^2)</f>
        <v>200.89845970348503</v>
      </c>
      <c r="M16" s="45">
        <f>$C$15 / 2 * SQRT((2 / $C$13)^2 + (3 / $C$14)^2)</f>
        <v>205.76811833765507</v>
      </c>
      <c r="N16" s="47" t="s">
        <v>76</v>
      </c>
      <c r="O16" s="45">
        <f xml:space="preserve"> 1125 / 2 * SQRT((3 / $C$12)^2 + (3 / $C$13)^2 + (3 / $C$14)^2)</f>
        <v>280.18781383368787</v>
      </c>
    </row>
    <row r="17" spans="2:15" ht="18" x14ac:dyDescent="0.4">
      <c r="B17" s="7" t="s">
        <v>77</v>
      </c>
      <c r="C17" s="53">
        <v>0.6</v>
      </c>
      <c r="D17" s="187"/>
      <c r="E17" s="182" t="s">
        <v>78</v>
      </c>
      <c r="F17" s="182"/>
      <c r="G17" s="53">
        <f xml:space="preserve"> 2000*SQRT(C17/(($C$12*$C$13*$C$14)*0.0283168))</f>
        <v>271.47420606524446</v>
      </c>
      <c r="H17" s="183"/>
      <c r="I17" s="184"/>
      <c r="J17" s="60" t="s">
        <v>79</v>
      </c>
      <c r="K17" s="45">
        <f>$C$15 / 2 * SQRT((2 / $C$12)^2 + (4 / $C$13)^2)</f>
        <v>238.84715616295688</v>
      </c>
      <c r="L17" s="45">
        <f>$C$15 / 2 * SQRT((2 / $C$12)^2 + (4 / $C$14)^2)</f>
        <v>253.19859172911512</v>
      </c>
      <c r="M17" s="45">
        <f>$C$15 / 2 * SQRT((2 / $C$13)^2 + (4 / $C$14)^2)</f>
        <v>257.07947072178587</v>
      </c>
      <c r="N17" s="1"/>
      <c r="O17" s="3"/>
    </row>
    <row r="18" spans="2:15" ht="18" x14ac:dyDescent="0.4">
      <c r="B18" s="7" t="s">
        <v>80</v>
      </c>
      <c r="C18" s="53">
        <f>$C$12*$C$13*$C$14</f>
        <v>1150.0319999999999</v>
      </c>
      <c r="D18" s="53">
        <f>$D$12*$D$13*$D$14</f>
        <v>32.56527659362429</v>
      </c>
      <c r="E18" s="4"/>
      <c r="F18" s="4"/>
      <c r="G18" s="54"/>
      <c r="H18" s="2"/>
      <c r="I18" s="2"/>
      <c r="J18" s="60" t="s">
        <v>81</v>
      </c>
      <c r="K18" s="45">
        <f>$C$15 / 2 * SQRT((3 / $C$12)^2 + (3 / $C$13)^2)</f>
        <v>220.61216104033576</v>
      </c>
      <c r="L18" s="45">
        <f>$C$15 / 2 * SQRT((3 / $C$12)^2 + (3 / $C$14)^2)</f>
        <v>229.43812826125773</v>
      </c>
      <c r="M18" s="45">
        <f>$C$15 / 2 * SQRT((3 / $C$13)^2 + (3 / $C$14)^2)</f>
        <v>238.95102297175632</v>
      </c>
      <c r="N18" s="1"/>
      <c r="O18" s="3"/>
    </row>
    <row r="19" spans="2:15" ht="18" x14ac:dyDescent="0.4">
      <c r="B19" s="4"/>
      <c r="C19" s="4"/>
      <c r="D19" s="1"/>
      <c r="E19" s="1"/>
      <c r="F19" s="1"/>
      <c r="G19" s="2"/>
      <c r="H19" s="2"/>
      <c r="I19" s="2"/>
      <c r="J19" s="60" t="s">
        <v>82</v>
      </c>
      <c r="K19" s="45">
        <f>$C$15 / 2 * SQRT((3 / $C$12)^2 + (1 / $C$13)^2)</f>
        <v>158.29848082290528</v>
      </c>
      <c r="L19" s="45">
        <f>$C$15 / 2 * SQRT((3 / $C$12)^2 + (1 / $C$14)^2)</f>
        <v>159.68643245042583</v>
      </c>
      <c r="M19" s="45">
        <f>$C$15 / 2 * SQRT((3 / $C$13)^2 + (1 / $C$14)^2)</f>
        <v>173.07655354774045</v>
      </c>
      <c r="N19" s="1"/>
      <c r="O19" s="3"/>
    </row>
    <row r="20" spans="2:15" ht="18" x14ac:dyDescent="0.4">
      <c r="B20" s="4"/>
      <c r="C20" s="4"/>
      <c r="D20" s="1"/>
      <c r="E20" s="1"/>
      <c r="F20" s="1"/>
      <c r="G20" s="2"/>
      <c r="H20" s="2"/>
      <c r="I20" s="2"/>
      <c r="J20" s="60" t="s">
        <v>83</v>
      </c>
      <c r="K20" s="45">
        <f>$C$15 / 2 * SQRT((3 / $C$12)^2 + (5 / $C$13)^2)</f>
        <v>309.66491363243222</v>
      </c>
      <c r="L20" s="45">
        <f>$C$15 / 2 * SQRT((3 / $C$12)^2 + (5 / $C$14)^2)</f>
        <v>326.99549030926897</v>
      </c>
      <c r="M20" s="45">
        <f>$C$15 / 2 * SQRT((3 / $C$13)^2 + (5 / $C$14)^2)</f>
        <v>333.73910073861396</v>
      </c>
      <c r="N20" s="1"/>
      <c r="O20" s="3"/>
    </row>
    <row r="21" spans="2:15" ht="18" x14ac:dyDescent="0.4">
      <c r="B21" s="4"/>
      <c r="C21" s="4"/>
      <c r="D21" s="1"/>
      <c r="E21" s="1"/>
      <c r="F21" s="1"/>
      <c r="G21" s="2"/>
      <c r="H21" s="2"/>
      <c r="I21" s="2"/>
      <c r="J21" s="88"/>
      <c r="K21" s="81"/>
      <c r="L21" s="81"/>
      <c r="M21" s="81"/>
      <c r="N21" s="1"/>
      <c r="O21" s="3"/>
    </row>
    <row r="22" spans="2:15" ht="18" x14ac:dyDescent="0.4">
      <c r="B22" s="180" t="s">
        <v>112</v>
      </c>
      <c r="C22" s="180"/>
      <c r="D22" s="180"/>
      <c r="E22" s="180"/>
      <c r="F22" s="180"/>
      <c r="G22" s="180"/>
      <c r="H22" s="4"/>
      <c r="I22" s="2"/>
      <c r="J22" s="2"/>
      <c r="K22" s="2"/>
      <c r="L22" s="2"/>
      <c r="M22" s="2"/>
      <c r="N22" s="1"/>
      <c r="O22" s="3"/>
    </row>
    <row r="23" spans="2:15" ht="48.6" x14ac:dyDescent="0.4">
      <c r="B23" s="49" t="s">
        <v>84</v>
      </c>
      <c r="C23" s="49" t="s">
        <v>85</v>
      </c>
      <c r="D23" s="49" t="s">
        <v>86</v>
      </c>
      <c r="E23" s="49" t="s">
        <v>87</v>
      </c>
      <c r="F23" s="49" t="s">
        <v>88</v>
      </c>
      <c r="G23" s="55" t="s">
        <v>89</v>
      </c>
      <c r="H23" s="56" t="s">
        <v>90</v>
      </c>
      <c r="I23" s="56" t="s">
        <v>91</v>
      </c>
      <c r="J23" s="56" t="s">
        <v>92</v>
      </c>
      <c r="K23" s="57" t="s">
        <v>221</v>
      </c>
      <c r="L23" s="57" t="s">
        <v>222</v>
      </c>
      <c r="M23" s="57" t="s">
        <v>223</v>
      </c>
      <c r="N23" s="57" t="s">
        <v>224</v>
      </c>
      <c r="O23" s="3"/>
    </row>
    <row r="24" spans="2:15" ht="18" x14ac:dyDescent="0.4">
      <c r="B24" s="47" t="s">
        <v>38</v>
      </c>
      <c r="C24" s="58">
        <v>11</v>
      </c>
      <c r="D24" s="59">
        <f>$C$15/$C$12</f>
        <v>99.122807017543863</v>
      </c>
      <c r="E24" s="59">
        <f>$C$15/D24</f>
        <v>11.4</v>
      </c>
      <c r="F24" s="47" t="str">
        <f>IF(MOD(C24, $C$15/(2*D24)) = 0, "Node", IF(MOD(C24, $C$15/(4*D24)) = 0, "Antinode", "NA"))</f>
        <v>NA</v>
      </c>
      <c r="G24" s="60" t="str">
        <f>IF(OR(MOD(C24, $C$15/(2*D24)) = 0, MOD(C24, $C$15/(4*D24)) = 0), "Avoid", "Good")</f>
        <v>Good</v>
      </c>
      <c r="H24" s="61">
        <v>0</v>
      </c>
      <c r="I24" s="62">
        <f>E24/2</f>
        <v>5.7</v>
      </c>
      <c r="J24" s="62">
        <f>I24+I24</f>
        <v>11.4</v>
      </c>
      <c r="K24" s="45">
        <f>E24/4</f>
        <v>2.85</v>
      </c>
      <c r="L24" s="45">
        <f>E24/2</f>
        <v>5.7</v>
      </c>
      <c r="M24" s="45">
        <f>E24/4*3</f>
        <v>8.5500000000000007</v>
      </c>
      <c r="N24" s="45">
        <f>E24</f>
        <v>11.4</v>
      </c>
      <c r="O24" s="3"/>
    </row>
    <row r="25" spans="2:15" ht="18" x14ac:dyDescent="0.4">
      <c r="B25" s="47" t="s">
        <v>2</v>
      </c>
      <c r="C25" s="58">
        <v>7</v>
      </c>
      <c r="D25" s="59">
        <f>$C$15/$C$13</f>
        <v>108.65384615384615</v>
      </c>
      <c r="E25" s="59">
        <f>$C$15/D25</f>
        <v>10.4</v>
      </c>
      <c r="F25" s="47" t="str">
        <f>IF(MOD(C25, $C$15/(2*D25)) = 0, "Node", IF(MOD(C25, $C$15/(4*D25)) = 0, "Antinode", "NA"))</f>
        <v>NA</v>
      </c>
      <c r="G25" s="60" t="str">
        <f>IF(OR(MOD(C25, $C$15/(2*D25)) = 0, MOD(C25, $C$15/(4*D25)) = 0), "Avoid", "Good")</f>
        <v>Good</v>
      </c>
      <c r="H25" s="61">
        <v>0</v>
      </c>
      <c r="I25" s="62">
        <f>E25/2</f>
        <v>5.2</v>
      </c>
      <c r="J25" s="62">
        <f>I25+I25</f>
        <v>10.4</v>
      </c>
      <c r="K25" s="45">
        <f>E25/4</f>
        <v>2.6</v>
      </c>
      <c r="L25" s="45">
        <f>E25/2</f>
        <v>5.2</v>
      </c>
      <c r="M25" s="45">
        <f>E25/4*3</f>
        <v>7.8000000000000007</v>
      </c>
      <c r="N25" s="45">
        <f>E25</f>
        <v>10.4</v>
      </c>
      <c r="O25" s="3"/>
    </row>
    <row r="26" spans="2:15" ht="18" x14ac:dyDescent="0.4">
      <c r="B26" s="47" t="s">
        <v>39</v>
      </c>
      <c r="C26" s="58">
        <v>4.5</v>
      </c>
      <c r="D26" s="59">
        <f>$C$15/$C$14</f>
        <v>116.49484536082475</v>
      </c>
      <c r="E26" s="59">
        <f>$C$15/D26</f>
        <v>9.6999999999999993</v>
      </c>
      <c r="F26" s="47" t="str">
        <f>IF(MOD(C26, $C$15/(2*D26)) = 0, "Node", IF(MOD(C26, $C$15/(4*D26)) = 0, "Antinode", "NA"))</f>
        <v>NA</v>
      </c>
      <c r="G26" s="60" t="str">
        <f>IF(OR(MOD(C26, $C$15/(2*D26)) = 0, MOD(C26, $C$15/(4*D26)) = 0), "Avoid", "Good")</f>
        <v>Good</v>
      </c>
      <c r="H26" s="61">
        <v>0</v>
      </c>
      <c r="I26" s="62">
        <f>E26/2</f>
        <v>4.8499999999999996</v>
      </c>
      <c r="J26" s="62">
        <f>I26+I26</f>
        <v>9.6999999999999993</v>
      </c>
      <c r="K26" s="45">
        <f>E26/4</f>
        <v>2.4249999999999998</v>
      </c>
      <c r="L26" s="45">
        <f>E26/2</f>
        <v>4.8499999999999996</v>
      </c>
      <c r="M26" s="45">
        <f>E26/4*3</f>
        <v>7.2749999999999995</v>
      </c>
      <c r="N26" s="45">
        <f>E26</f>
        <v>9.6999999999999993</v>
      </c>
      <c r="O26" s="3"/>
    </row>
    <row r="27" spans="2:15" ht="18" x14ac:dyDescent="0.4">
      <c r="B27" s="1"/>
      <c r="C27" s="1"/>
      <c r="D27" s="1"/>
      <c r="E27" s="1"/>
      <c r="F27" s="1"/>
      <c r="G27" s="1"/>
      <c r="H27" s="1"/>
      <c r="I27" s="1"/>
      <c r="J27" s="1"/>
      <c r="K27" s="2"/>
      <c r="L27" s="2"/>
      <c r="M27" s="2"/>
      <c r="N27" s="1"/>
      <c r="O27" s="3"/>
    </row>
    <row r="28" spans="2:15" ht="30" customHeight="1" x14ac:dyDescent="0.4">
      <c r="B28" s="181" t="s">
        <v>93</v>
      </c>
      <c r="C28" s="181"/>
      <c r="D28" s="181"/>
      <c r="E28" s="181"/>
      <c r="F28" s="181"/>
      <c r="G28" s="181"/>
      <c r="H28" s="181"/>
      <c r="I28" s="181"/>
      <c r="J28" s="181"/>
      <c r="K28" s="181"/>
      <c r="L28" s="181"/>
      <c r="M28" s="181"/>
      <c r="N28" s="181"/>
      <c r="O28" s="3"/>
    </row>
    <row r="29" spans="2:15" ht="30" customHeight="1" x14ac:dyDescent="0.4">
      <c r="B29" s="179" t="s">
        <v>94</v>
      </c>
      <c r="C29" s="179"/>
      <c r="D29" s="179"/>
      <c r="E29" s="179"/>
      <c r="F29" s="179"/>
      <c r="G29" s="179"/>
      <c r="H29" s="179"/>
      <c r="I29" s="179"/>
      <c r="J29" s="179"/>
      <c r="K29" s="179"/>
      <c r="L29" s="179"/>
      <c r="M29" s="179"/>
      <c r="N29" s="179"/>
      <c r="O29" s="3"/>
    </row>
    <row r="30" spans="2:15" ht="30" customHeight="1" x14ac:dyDescent="0.4">
      <c r="B30" s="179" t="s">
        <v>95</v>
      </c>
      <c r="C30" s="179"/>
      <c r="D30" s="179"/>
      <c r="E30" s="179"/>
      <c r="F30" s="179"/>
      <c r="G30" s="179"/>
      <c r="H30" s="179"/>
      <c r="I30" s="179"/>
      <c r="J30" s="179"/>
      <c r="K30" s="179"/>
      <c r="L30" s="179"/>
      <c r="M30" s="179"/>
      <c r="N30" s="179"/>
      <c r="O30" s="3"/>
    </row>
    <row r="31" spans="2:15" ht="30" customHeight="1" x14ac:dyDescent="0.4">
      <c r="B31" s="177" t="s">
        <v>96</v>
      </c>
      <c r="C31" s="177"/>
      <c r="D31" s="177"/>
      <c r="E31" s="177"/>
      <c r="F31" s="177"/>
      <c r="G31" s="177"/>
      <c r="H31" s="177"/>
      <c r="I31" s="177"/>
      <c r="J31" s="177"/>
      <c r="K31" s="177"/>
      <c r="L31" s="177"/>
      <c r="M31" s="177"/>
      <c r="N31" s="177"/>
      <c r="O31" s="3"/>
    </row>
    <row r="32" spans="2:15" ht="30" customHeight="1" x14ac:dyDescent="0.4">
      <c r="B32" s="179" t="s">
        <v>97</v>
      </c>
      <c r="C32" s="179"/>
      <c r="D32" s="179"/>
      <c r="E32" s="179"/>
      <c r="F32" s="179"/>
      <c r="G32" s="179"/>
      <c r="H32" s="179"/>
      <c r="I32" s="179"/>
      <c r="J32" s="179"/>
      <c r="K32" s="179"/>
      <c r="L32" s="179"/>
      <c r="M32" s="179"/>
      <c r="N32" s="179"/>
      <c r="O32" s="3"/>
    </row>
    <row r="33" spans="2:15" ht="18" x14ac:dyDescent="0.4">
      <c r="B33" s="4"/>
      <c r="C33" s="4"/>
      <c r="D33" s="4"/>
      <c r="E33" s="4"/>
      <c r="F33" s="4"/>
      <c r="G33" s="4"/>
      <c r="H33" s="4"/>
      <c r="I33" s="4"/>
      <c r="J33" s="4"/>
      <c r="K33" s="1"/>
      <c r="L33" s="1"/>
      <c r="M33" s="1"/>
      <c r="N33" s="1"/>
      <c r="O33" s="3"/>
    </row>
    <row r="34" spans="2:15" ht="18" x14ac:dyDescent="0.4">
      <c r="B34" s="38"/>
      <c r="C34" s="47" t="s">
        <v>3</v>
      </c>
      <c r="D34" s="47" t="s">
        <v>4</v>
      </c>
      <c r="E34" s="47" t="s">
        <v>5</v>
      </c>
      <c r="F34" s="47" t="s">
        <v>6</v>
      </c>
      <c r="G34" s="47" t="s">
        <v>7</v>
      </c>
      <c r="H34" s="47" t="s">
        <v>8</v>
      </c>
      <c r="I34" s="47" t="s">
        <v>98</v>
      </c>
      <c r="J34" s="47" t="s">
        <v>36</v>
      </c>
      <c r="K34" s="47" t="s">
        <v>99</v>
      </c>
      <c r="L34" s="1"/>
      <c r="M34" s="1"/>
      <c r="N34" s="1"/>
      <c r="O34" s="3"/>
    </row>
    <row r="35" spans="2:15" ht="64.8" x14ac:dyDescent="0.4">
      <c r="B35" s="7" t="s">
        <v>100</v>
      </c>
      <c r="C35" s="49" t="s">
        <v>101</v>
      </c>
      <c r="D35" s="49" t="s">
        <v>102</v>
      </c>
      <c r="E35" s="49" t="s">
        <v>103</v>
      </c>
      <c r="F35" s="49" t="s">
        <v>104</v>
      </c>
      <c r="G35" s="49" t="s">
        <v>105</v>
      </c>
      <c r="H35" s="63" t="s">
        <v>106</v>
      </c>
      <c r="I35" s="49" t="s">
        <v>107</v>
      </c>
      <c r="J35" s="49" t="s">
        <v>108</v>
      </c>
      <c r="K35" s="49" t="s">
        <v>109</v>
      </c>
      <c r="L35" s="1"/>
      <c r="M35" s="1"/>
      <c r="N35" s="1"/>
      <c r="O35" s="3"/>
    </row>
    <row r="36" spans="2:15" ht="18" x14ac:dyDescent="0.4">
      <c r="B36" s="15" t="s">
        <v>52</v>
      </c>
      <c r="C36" s="59">
        <v>62.78</v>
      </c>
      <c r="D36" s="59">
        <f>$C$15</f>
        <v>1130</v>
      </c>
      <c r="E36" s="59">
        <f>D36/C36</f>
        <v>17.999362854412233</v>
      </c>
      <c r="F36" s="59">
        <v>1</v>
      </c>
      <c r="G36" s="59" t="s">
        <v>110</v>
      </c>
      <c r="H36" s="59">
        <f>IF(G36="Peak", E36/4 * (F36*2-1), IF(G36="Dip", E36/2 * F36, "Invalid"))</f>
        <v>4.4998407136030583</v>
      </c>
      <c r="I36" s="59">
        <f>E36/4 * (F36*2)</f>
        <v>8.9996814272061165</v>
      </c>
      <c r="J36" s="59">
        <f>E36/2 * (F36+1)</f>
        <v>17.999362854412233</v>
      </c>
      <c r="K36" s="59" t="str">
        <f>IF(OR(MOD(H36, E36/2)=0, MOD(H36, E36/4)=0), "Avoid", "Good")</f>
        <v>Avoid</v>
      </c>
      <c r="L36" s="1"/>
      <c r="M36" s="1"/>
      <c r="N36" s="1"/>
      <c r="O36" s="3"/>
    </row>
    <row r="37" spans="2:15" ht="18" x14ac:dyDescent="0.4">
      <c r="B37" s="15" t="s">
        <v>53</v>
      </c>
      <c r="C37" s="59">
        <v>94.17</v>
      </c>
      <c r="D37" s="59">
        <f>$C$15</f>
        <v>1130</v>
      </c>
      <c r="E37" s="59">
        <f>D37/C37</f>
        <v>11.999575236274822</v>
      </c>
      <c r="F37" s="59">
        <v>2</v>
      </c>
      <c r="G37" s="59" t="s">
        <v>110</v>
      </c>
      <c r="H37" s="59">
        <f>IF(G37="Peak", E37/4 * (F37*2-1), IF(G37="Dip", E37/2 * F37, "Invalid"))</f>
        <v>8.9996814272061165</v>
      </c>
      <c r="I37" s="59">
        <f>E37/4 * (F37*2)</f>
        <v>11.999575236274822</v>
      </c>
      <c r="J37" s="59">
        <f>E37/2 * (F37+1)</f>
        <v>17.999362854412233</v>
      </c>
      <c r="K37" s="59" t="str">
        <f>IF(OR(MOD(H37, E37/2)=0, MOD(H37, E37/4)=0), "Avoid", "Good")</f>
        <v>Avoid</v>
      </c>
      <c r="L37" s="1"/>
      <c r="M37" s="1"/>
      <c r="N37" s="1"/>
      <c r="O37" s="3"/>
    </row>
    <row r="38" spans="2:15" ht="18" x14ac:dyDescent="0.4">
      <c r="B38" s="15" t="s">
        <v>54</v>
      </c>
      <c r="C38" s="59">
        <v>125.56</v>
      </c>
      <c r="D38" s="59">
        <f>$C$15</f>
        <v>1130</v>
      </c>
      <c r="E38" s="59">
        <f>D38/C38</f>
        <v>8.9996814272061165</v>
      </c>
      <c r="F38" s="59">
        <v>3</v>
      </c>
      <c r="G38" s="59" t="s">
        <v>110</v>
      </c>
      <c r="H38" s="59">
        <f>IF(G38="Peak", E38/4 * (F38*2-1), IF(G38="Dip", E38/2 * F38, "Invalid"))</f>
        <v>11.249601784007645</v>
      </c>
      <c r="I38" s="59">
        <f>E38/4 * (F38*2)</f>
        <v>13.499522140809175</v>
      </c>
      <c r="J38" s="59">
        <f>E38/2 * (F38+1)</f>
        <v>17.999362854412233</v>
      </c>
      <c r="K38" s="59" t="str">
        <f>IF(OR(MOD(H38, E38/2)=0, MOD(H38, E38/4)=0), "Avoid", "Good")</f>
        <v>Good</v>
      </c>
      <c r="L38" s="1"/>
      <c r="M38" s="1"/>
      <c r="N38" s="1"/>
      <c r="O38" s="3"/>
    </row>
    <row r="39" spans="2:15" ht="18" x14ac:dyDescent="0.4">
      <c r="B39" s="15" t="s">
        <v>55</v>
      </c>
      <c r="C39" s="59">
        <v>156.94</v>
      </c>
      <c r="D39" s="59">
        <f>$C$15</f>
        <v>1130</v>
      </c>
      <c r="E39" s="59">
        <f>D39/C39</f>
        <v>7.2002038995794573</v>
      </c>
      <c r="F39" s="59">
        <v>4</v>
      </c>
      <c r="G39" s="59" t="s">
        <v>111</v>
      </c>
      <c r="H39" s="59">
        <f>IF(G39="Peak", E39/4 * (F39*2-1), IF(G39="Dip", E39/2 * F39, "Invalid"))</f>
        <v>14.400407799158915</v>
      </c>
      <c r="I39" s="59">
        <f>E39/4 * (F39*2)</f>
        <v>14.400407799158915</v>
      </c>
      <c r="J39" s="59">
        <f>E39/2 * (F39+1)</f>
        <v>18.000509748948645</v>
      </c>
      <c r="K39" s="59" t="str">
        <f>IF(OR(MOD(H39, E39/2)=0, MOD(H39, E39/4)=0), "Avoid", "Good")</f>
        <v>Avoid</v>
      </c>
      <c r="L39" s="1"/>
      <c r="M39" s="1"/>
      <c r="N39" s="1"/>
      <c r="O39" s="3"/>
    </row>
    <row r="40" spans="2:15" ht="18" x14ac:dyDescent="0.4">
      <c r="B40" s="4"/>
      <c r="C40" s="4"/>
      <c r="D40" s="4"/>
      <c r="E40" s="4"/>
      <c r="F40" s="4"/>
      <c r="G40" s="4"/>
      <c r="H40" s="4"/>
      <c r="I40" s="4"/>
      <c r="J40" s="4"/>
      <c r="K40" s="4"/>
      <c r="L40" s="1"/>
      <c r="M40" s="1"/>
      <c r="N40" s="1"/>
      <c r="O40" s="3"/>
    </row>
    <row r="41" spans="2:15" ht="18" x14ac:dyDescent="0.4">
      <c r="B41" s="4"/>
      <c r="C41" s="4"/>
      <c r="D41" s="4"/>
      <c r="E41" s="4"/>
      <c r="F41" s="4"/>
      <c r="G41" s="4"/>
      <c r="H41" s="4"/>
      <c r="I41" s="4"/>
      <c r="J41" s="4"/>
      <c r="K41" s="4"/>
      <c r="L41" s="1"/>
      <c r="M41" s="1"/>
      <c r="N41" s="1"/>
      <c r="O41" s="3"/>
    </row>
  </sheetData>
  <mergeCells count="19">
    <mergeCell ref="E6:E8"/>
    <mergeCell ref="J10:M10"/>
    <mergeCell ref="N10:O10"/>
    <mergeCell ref="B1:O1"/>
    <mergeCell ref="E11:F11"/>
    <mergeCell ref="E12:F12"/>
    <mergeCell ref="E13:F13"/>
    <mergeCell ref="C10:D10"/>
    <mergeCell ref="E10:I10"/>
    <mergeCell ref="B31:N31"/>
    <mergeCell ref="B32:N32"/>
    <mergeCell ref="B22:G22"/>
    <mergeCell ref="E14:F14"/>
    <mergeCell ref="E17:F17"/>
    <mergeCell ref="B28:N28"/>
    <mergeCell ref="B29:N29"/>
    <mergeCell ref="B30:N30"/>
    <mergeCell ref="H17:I17"/>
    <mergeCell ref="D15:D17"/>
  </mergeCells>
  <conditionalFormatting sqref="G12:I16">
    <cfRule type="duplicateValues" dxfId="0" priority="1"/>
  </conditionalFormatting>
  <dataValidations count="2">
    <dataValidation type="list" allowBlank="1" showInputMessage="1" showErrorMessage="1" sqref="C10" xr:uid="{537D7B75-CD4D-4F80-BD93-94B06DC3ECC3}">
      <formula1>"m,ft"</formula1>
    </dataValidation>
    <dataValidation type="list" allowBlank="1" showInputMessage="1" showErrorMessage="1" sqref="G36:G39" xr:uid="{A68CD600-B61E-4CB5-A616-D6822BD731FD}">
      <formula1>"Peak,Dip"</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B994C-5275-4E0F-9917-4D7F6CAB6700}">
  <dimension ref="B1:J38"/>
  <sheetViews>
    <sheetView workbookViewId="0">
      <selection activeCell="L18" sqref="L18"/>
    </sheetView>
  </sheetViews>
  <sheetFormatPr defaultRowHeight="16.2" x14ac:dyDescent="0.4"/>
  <cols>
    <col min="1" max="1" width="0.5546875" style="170" customWidth="1"/>
    <col min="2" max="2" width="9.6640625" style="89" customWidth="1"/>
    <col min="3" max="3" width="11.21875" style="90" customWidth="1"/>
    <col min="4" max="4" width="8.88671875" style="90" customWidth="1"/>
    <col min="5" max="5" width="11.21875" style="90" bestFit="1" customWidth="1"/>
    <col min="6" max="6" width="9.6640625" style="90" customWidth="1"/>
    <col min="7" max="9" width="9.6640625" style="170" customWidth="1"/>
    <col min="10" max="10" width="0.6640625" style="170" customWidth="1"/>
    <col min="11" max="230" width="8.88671875" style="170"/>
    <col min="231" max="231" width="0.5546875" style="170" customWidth="1"/>
    <col min="232" max="239" width="9.6640625" style="170" customWidth="1"/>
    <col min="240" max="240" width="0.6640625" style="170" customWidth="1"/>
    <col min="241" max="241" width="54.33203125" style="170" customWidth="1"/>
    <col min="242" max="486" width="8.88671875" style="170"/>
    <col min="487" max="487" width="0.5546875" style="170" customWidth="1"/>
    <col min="488" max="495" width="9.6640625" style="170" customWidth="1"/>
    <col min="496" max="496" width="0.6640625" style="170" customWidth="1"/>
    <col min="497" max="497" width="54.33203125" style="170" customWidth="1"/>
    <col min="498" max="742" width="8.88671875" style="170"/>
    <col min="743" max="743" width="0.5546875" style="170" customWidth="1"/>
    <col min="744" max="751" width="9.6640625" style="170" customWidth="1"/>
    <col min="752" max="752" width="0.6640625" style="170" customWidth="1"/>
    <col min="753" max="753" width="54.33203125" style="170" customWidth="1"/>
    <col min="754" max="998" width="8.88671875" style="170"/>
    <col min="999" max="999" width="0.5546875" style="170" customWidth="1"/>
    <col min="1000" max="1007" width="9.6640625" style="170" customWidth="1"/>
    <col min="1008" max="1008" width="0.6640625" style="170" customWidth="1"/>
    <col min="1009" max="1009" width="54.33203125" style="170" customWidth="1"/>
    <col min="1010" max="1254" width="8.88671875" style="170"/>
    <col min="1255" max="1255" width="0.5546875" style="170" customWidth="1"/>
    <col min="1256" max="1263" width="9.6640625" style="170" customWidth="1"/>
    <col min="1264" max="1264" width="0.6640625" style="170" customWidth="1"/>
    <col min="1265" max="1265" width="54.33203125" style="170" customWidth="1"/>
    <col min="1266" max="1510" width="8.88671875" style="170"/>
    <col min="1511" max="1511" width="0.5546875" style="170" customWidth="1"/>
    <col min="1512" max="1519" width="9.6640625" style="170" customWidth="1"/>
    <col min="1520" max="1520" width="0.6640625" style="170" customWidth="1"/>
    <col min="1521" max="1521" width="54.33203125" style="170" customWidth="1"/>
    <col min="1522" max="1766" width="8.88671875" style="170"/>
    <col min="1767" max="1767" width="0.5546875" style="170" customWidth="1"/>
    <col min="1768" max="1775" width="9.6640625" style="170" customWidth="1"/>
    <col min="1776" max="1776" width="0.6640625" style="170" customWidth="1"/>
    <col min="1777" max="1777" width="54.33203125" style="170" customWidth="1"/>
    <col min="1778" max="2022" width="8.88671875" style="170"/>
    <col min="2023" max="2023" width="0.5546875" style="170" customWidth="1"/>
    <col min="2024" max="2031" width="9.6640625" style="170" customWidth="1"/>
    <col min="2032" max="2032" width="0.6640625" style="170" customWidth="1"/>
    <col min="2033" max="2033" width="54.33203125" style="170" customWidth="1"/>
    <col min="2034" max="2278" width="8.88671875" style="170"/>
    <col min="2279" max="2279" width="0.5546875" style="170" customWidth="1"/>
    <col min="2280" max="2287" width="9.6640625" style="170" customWidth="1"/>
    <col min="2288" max="2288" width="0.6640625" style="170" customWidth="1"/>
    <col min="2289" max="2289" width="54.33203125" style="170" customWidth="1"/>
    <col min="2290" max="2534" width="8.88671875" style="170"/>
    <col min="2535" max="2535" width="0.5546875" style="170" customWidth="1"/>
    <col min="2536" max="2543" width="9.6640625" style="170" customWidth="1"/>
    <col min="2544" max="2544" width="0.6640625" style="170" customWidth="1"/>
    <col min="2545" max="2545" width="54.33203125" style="170" customWidth="1"/>
    <col min="2546" max="2790" width="8.88671875" style="170"/>
    <col min="2791" max="2791" width="0.5546875" style="170" customWidth="1"/>
    <col min="2792" max="2799" width="9.6640625" style="170" customWidth="1"/>
    <col min="2800" max="2800" width="0.6640625" style="170" customWidth="1"/>
    <col min="2801" max="2801" width="54.33203125" style="170" customWidth="1"/>
    <col min="2802" max="3046" width="8.88671875" style="170"/>
    <col min="3047" max="3047" width="0.5546875" style="170" customWidth="1"/>
    <col min="3048" max="3055" width="9.6640625" style="170" customWidth="1"/>
    <col min="3056" max="3056" width="0.6640625" style="170" customWidth="1"/>
    <col min="3057" max="3057" width="54.33203125" style="170" customWidth="1"/>
    <col min="3058" max="3302" width="8.88671875" style="170"/>
    <col min="3303" max="3303" width="0.5546875" style="170" customWidth="1"/>
    <col min="3304" max="3311" width="9.6640625" style="170" customWidth="1"/>
    <col min="3312" max="3312" width="0.6640625" style="170" customWidth="1"/>
    <col min="3313" max="3313" width="54.33203125" style="170" customWidth="1"/>
    <col min="3314" max="3558" width="8.88671875" style="170"/>
    <col min="3559" max="3559" width="0.5546875" style="170" customWidth="1"/>
    <col min="3560" max="3567" width="9.6640625" style="170" customWidth="1"/>
    <col min="3568" max="3568" width="0.6640625" style="170" customWidth="1"/>
    <col min="3569" max="3569" width="54.33203125" style="170" customWidth="1"/>
    <col min="3570" max="3814" width="8.88671875" style="170"/>
    <col min="3815" max="3815" width="0.5546875" style="170" customWidth="1"/>
    <col min="3816" max="3823" width="9.6640625" style="170" customWidth="1"/>
    <col min="3824" max="3824" width="0.6640625" style="170" customWidth="1"/>
    <col min="3825" max="3825" width="54.33203125" style="170" customWidth="1"/>
    <col min="3826" max="4070" width="8.88671875" style="170"/>
    <col min="4071" max="4071" width="0.5546875" style="170" customWidth="1"/>
    <col min="4072" max="4079" width="9.6640625" style="170" customWidth="1"/>
    <col min="4080" max="4080" width="0.6640625" style="170" customWidth="1"/>
    <col min="4081" max="4081" width="54.33203125" style="170" customWidth="1"/>
    <col min="4082" max="4326" width="8.88671875" style="170"/>
    <col min="4327" max="4327" width="0.5546875" style="170" customWidth="1"/>
    <col min="4328" max="4335" width="9.6640625" style="170" customWidth="1"/>
    <col min="4336" max="4336" width="0.6640625" style="170" customWidth="1"/>
    <col min="4337" max="4337" width="54.33203125" style="170" customWidth="1"/>
    <col min="4338" max="4582" width="8.88671875" style="170"/>
    <col min="4583" max="4583" width="0.5546875" style="170" customWidth="1"/>
    <col min="4584" max="4591" width="9.6640625" style="170" customWidth="1"/>
    <col min="4592" max="4592" width="0.6640625" style="170" customWidth="1"/>
    <col min="4593" max="4593" width="54.33203125" style="170" customWidth="1"/>
    <col min="4594" max="4838" width="8.88671875" style="170"/>
    <col min="4839" max="4839" width="0.5546875" style="170" customWidth="1"/>
    <col min="4840" max="4847" width="9.6640625" style="170" customWidth="1"/>
    <col min="4848" max="4848" width="0.6640625" style="170" customWidth="1"/>
    <col min="4849" max="4849" width="54.33203125" style="170" customWidth="1"/>
    <col min="4850" max="5094" width="8.88671875" style="170"/>
    <col min="5095" max="5095" width="0.5546875" style="170" customWidth="1"/>
    <col min="5096" max="5103" width="9.6640625" style="170" customWidth="1"/>
    <col min="5104" max="5104" width="0.6640625" style="170" customWidth="1"/>
    <col min="5105" max="5105" width="54.33203125" style="170" customWidth="1"/>
    <col min="5106" max="5350" width="8.88671875" style="170"/>
    <col min="5351" max="5351" width="0.5546875" style="170" customWidth="1"/>
    <col min="5352" max="5359" width="9.6640625" style="170" customWidth="1"/>
    <col min="5360" max="5360" width="0.6640625" style="170" customWidth="1"/>
    <col min="5361" max="5361" width="54.33203125" style="170" customWidth="1"/>
    <col min="5362" max="5606" width="8.88671875" style="170"/>
    <col min="5607" max="5607" width="0.5546875" style="170" customWidth="1"/>
    <col min="5608" max="5615" width="9.6640625" style="170" customWidth="1"/>
    <col min="5616" max="5616" width="0.6640625" style="170" customWidth="1"/>
    <col min="5617" max="5617" width="54.33203125" style="170" customWidth="1"/>
    <col min="5618" max="5862" width="8.88671875" style="170"/>
    <col min="5863" max="5863" width="0.5546875" style="170" customWidth="1"/>
    <col min="5864" max="5871" width="9.6640625" style="170" customWidth="1"/>
    <col min="5872" max="5872" width="0.6640625" style="170" customWidth="1"/>
    <col min="5873" max="5873" width="54.33203125" style="170" customWidth="1"/>
    <col min="5874" max="6118" width="8.88671875" style="170"/>
    <col min="6119" max="6119" width="0.5546875" style="170" customWidth="1"/>
    <col min="6120" max="6127" width="9.6640625" style="170" customWidth="1"/>
    <col min="6128" max="6128" width="0.6640625" style="170" customWidth="1"/>
    <col min="6129" max="6129" width="54.33203125" style="170" customWidth="1"/>
    <col min="6130" max="6374" width="8.88671875" style="170"/>
    <col min="6375" max="6375" width="0.5546875" style="170" customWidth="1"/>
    <col min="6376" max="6383" width="9.6640625" style="170" customWidth="1"/>
    <col min="6384" max="6384" width="0.6640625" style="170" customWidth="1"/>
    <col min="6385" max="6385" width="54.33203125" style="170" customWidth="1"/>
    <col min="6386" max="6630" width="8.88671875" style="170"/>
    <col min="6631" max="6631" width="0.5546875" style="170" customWidth="1"/>
    <col min="6632" max="6639" width="9.6640625" style="170" customWidth="1"/>
    <col min="6640" max="6640" width="0.6640625" style="170" customWidth="1"/>
    <col min="6641" max="6641" width="54.33203125" style="170" customWidth="1"/>
    <col min="6642" max="6886" width="8.88671875" style="170"/>
    <col min="6887" max="6887" width="0.5546875" style="170" customWidth="1"/>
    <col min="6888" max="6895" width="9.6640625" style="170" customWidth="1"/>
    <col min="6896" max="6896" width="0.6640625" style="170" customWidth="1"/>
    <col min="6897" max="6897" width="54.33203125" style="170" customWidth="1"/>
    <col min="6898" max="7142" width="8.88671875" style="170"/>
    <col min="7143" max="7143" width="0.5546875" style="170" customWidth="1"/>
    <col min="7144" max="7151" width="9.6640625" style="170" customWidth="1"/>
    <col min="7152" max="7152" width="0.6640625" style="170" customWidth="1"/>
    <col min="7153" max="7153" width="54.33203125" style="170" customWidth="1"/>
    <col min="7154" max="7398" width="8.88671875" style="170"/>
    <col min="7399" max="7399" width="0.5546875" style="170" customWidth="1"/>
    <col min="7400" max="7407" width="9.6640625" style="170" customWidth="1"/>
    <col min="7408" max="7408" width="0.6640625" style="170" customWidth="1"/>
    <col min="7409" max="7409" width="54.33203125" style="170" customWidth="1"/>
    <col min="7410" max="7654" width="8.88671875" style="170"/>
    <col min="7655" max="7655" width="0.5546875" style="170" customWidth="1"/>
    <col min="7656" max="7663" width="9.6640625" style="170" customWidth="1"/>
    <col min="7664" max="7664" width="0.6640625" style="170" customWidth="1"/>
    <col min="7665" max="7665" width="54.33203125" style="170" customWidth="1"/>
    <col min="7666" max="7910" width="8.88671875" style="170"/>
    <col min="7911" max="7911" width="0.5546875" style="170" customWidth="1"/>
    <col min="7912" max="7919" width="9.6640625" style="170" customWidth="1"/>
    <col min="7920" max="7920" width="0.6640625" style="170" customWidth="1"/>
    <col min="7921" max="7921" width="54.33203125" style="170" customWidth="1"/>
    <col min="7922" max="8166" width="8.88671875" style="170"/>
    <col min="8167" max="8167" width="0.5546875" style="170" customWidth="1"/>
    <col min="8168" max="8175" width="9.6640625" style="170" customWidth="1"/>
    <col min="8176" max="8176" width="0.6640625" style="170" customWidth="1"/>
    <col min="8177" max="8177" width="54.33203125" style="170" customWidth="1"/>
    <col min="8178" max="8422" width="8.88671875" style="170"/>
    <col min="8423" max="8423" width="0.5546875" style="170" customWidth="1"/>
    <col min="8424" max="8431" width="9.6640625" style="170" customWidth="1"/>
    <col min="8432" max="8432" width="0.6640625" style="170" customWidth="1"/>
    <col min="8433" max="8433" width="54.33203125" style="170" customWidth="1"/>
    <col min="8434" max="8678" width="8.88671875" style="170"/>
    <col min="8679" max="8679" width="0.5546875" style="170" customWidth="1"/>
    <col min="8680" max="8687" width="9.6640625" style="170" customWidth="1"/>
    <col min="8688" max="8688" width="0.6640625" style="170" customWidth="1"/>
    <col min="8689" max="8689" width="54.33203125" style="170" customWidth="1"/>
    <col min="8690" max="8934" width="8.88671875" style="170"/>
    <col min="8935" max="8935" width="0.5546875" style="170" customWidth="1"/>
    <col min="8936" max="8943" width="9.6640625" style="170" customWidth="1"/>
    <col min="8944" max="8944" width="0.6640625" style="170" customWidth="1"/>
    <col min="8945" max="8945" width="54.33203125" style="170" customWidth="1"/>
    <col min="8946" max="9190" width="8.88671875" style="170"/>
    <col min="9191" max="9191" width="0.5546875" style="170" customWidth="1"/>
    <col min="9192" max="9199" width="9.6640625" style="170" customWidth="1"/>
    <col min="9200" max="9200" width="0.6640625" style="170" customWidth="1"/>
    <col min="9201" max="9201" width="54.33203125" style="170" customWidth="1"/>
    <col min="9202" max="9446" width="8.88671875" style="170"/>
    <col min="9447" max="9447" width="0.5546875" style="170" customWidth="1"/>
    <col min="9448" max="9455" width="9.6640625" style="170" customWidth="1"/>
    <col min="9456" max="9456" width="0.6640625" style="170" customWidth="1"/>
    <col min="9457" max="9457" width="54.33203125" style="170" customWidth="1"/>
    <col min="9458" max="9702" width="8.88671875" style="170"/>
    <col min="9703" max="9703" width="0.5546875" style="170" customWidth="1"/>
    <col min="9704" max="9711" width="9.6640625" style="170" customWidth="1"/>
    <col min="9712" max="9712" width="0.6640625" style="170" customWidth="1"/>
    <col min="9713" max="9713" width="54.33203125" style="170" customWidth="1"/>
    <col min="9714" max="9958" width="8.88671875" style="170"/>
    <col min="9959" max="9959" width="0.5546875" style="170" customWidth="1"/>
    <col min="9960" max="9967" width="9.6640625" style="170" customWidth="1"/>
    <col min="9968" max="9968" width="0.6640625" style="170" customWidth="1"/>
    <col min="9969" max="9969" width="54.33203125" style="170" customWidth="1"/>
    <col min="9970" max="10214" width="8.88671875" style="170"/>
    <col min="10215" max="10215" width="0.5546875" style="170" customWidth="1"/>
    <col min="10216" max="10223" width="9.6640625" style="170" customWidth="1"/>
    <col min="10224" max="10224" width="0.6640625" style="170" customWidth="1"/>
    <col min="10225" max="10225" width="54.33203125" style="170" customWidth="1"/>
    <col min="10226" max="10470" width="8.88671875" style="170"/>
    <col min="10471" max="10471" width="0.5546875" style="170" customWidth="1"/>
    <col min="10472" max="10479" width="9.6640625" style="170" customWidth="1"/>
    <col min="10480" max="10480" width="0.6640625" style="170" customWidth="1"/>
    <col min="10481" max="10481" width="54.33203125" style="170" customWidth="1"/>
    <col min="10482" max="10726" width="8.88671875" style="170"/>
    <col min="10727" max="10727" width="0.5546875" style="170" customWidth="1"/>
    <col min="10728" max="10735" width="9.6640625" style="170" customWidth="1"/>
    <col min="10736" max="10736" width="0.6640625" style="170" customWidth="1"/>
    <col min="10737" max="10737" width="54.33203125" style="170" customWidth="1"/>
    <col min="10738" max="10982" width="8.88671875" style="170"/>
    <col min="10983" max="10983" width="0.5546875" style="170" customWidth="1"/>
    <col min="10984" max="10991" width="9.6640625" style="170" customWidth="1"/>
    <col min="10992" max="10992" width="0.6640625" style="170" customWidth="1"/>
    <col min="10993" max="10993" width="54.33203125" style="170" customWidth="1"/>
    <col min="10994" max="11238" width="8.88671875" style="170"/>
    <col min="11239" max="11239" width="0.5546875" style="170" customWidth="1"/>
    <col min="11240" max="11247" width="9.6640625" style="170" customWidth="1"/>
    <col min="11248" max="11248" width="0.6640625" style="170" customWidth="1"/>
    <col min="11249" max="11249" width="54.33203125" style="170" customWidth="1"/>
    <col min="11250" max="11494" width="8.88671875" style="170"/>
    <col min="11495" max="11495" width="0.5546875" style="170" customWidth="1"/>
    <col min="11496" max="11503" width="9.6640625" style="170" customWidth="1"/>
    <col min="11504" max="11504" width="0.6640625" style="170" customWidth="1"/>
    <col min="11505" max="11505" width="54.33203125" style="170" customWidth="1"/>
    <col min="11506" max="11750" width="8.88671875" style="170"/>
    <col min="11751" max="11751" width="0.5546875" style="170" customWidth="1"/>
    <col min="11752" max="11759" width="9.6640625" style="170" customWidth="1"/>
    <col min="11760" max="11760" width="0.6640625" style="170" customWidth="1"/>
    <col min="11761" max="11761" width="54.33203125" style="170" customWidth="1"/>
    <col min="11762" max="12006" width="8.88671875" style="170"/>
    <col min="12007" max="12007" width="0.5546875" style="170" customWidth="1"/>
    <col min="12008" max="12015" width="9.6640625" style="170" customWidth="1"/>
    <col min="12016" max="12016" width="0.6640625" style="170" customWidth="1"/>
    <col min="12017" max="12017" width="54.33203125" style="170" customWidth="1"/>
    <col min="12018" max="12262" width="8.88671875" style="170"/>
    <col min="12263" max="12263" width="0.5546875" style="170" customWidth="1"/>
    <col min="12264" max="12271" width="9.6640625" style="170" customWidth="1"/>
    <col min="12272" max="12272" width="0.6640625" style="170" customWidth="1"/>
    <col min="12273" max="12273" width="54.33203125" style="170" customWidth="1"/>
    <col min="12274" max="12518" width="8.88671875" style="170"/>
    <col min="12519" max="12519" width="0.5546875" style="170" customWidth="1"/>
    <col min="12520" max="12527" width="9.6640625" style="170" customWidth="1"/>
    <col min="12528" max="12528" width="0.6640625" style="170" customWidth="1"/>
    <col min="12529" max="12529" width="54.33203125" style="170" customWidth="1"/>
    <col min="12530" max="12774" width="8.88671875" style="170"/>
    <col min="12775" max="12775" width="0.5546875" style="170" customWidth="1"/>
    <col min="12776" max="12783" width="9.6640625" style="170" customWidth="1"/>
    <col min="12784" max="12784" width="0.6640625" style="170" customWidth="1"/>
    <col min="12785" max="12785" width="54.33203125" style="170" customWidth="1"/>
    <col min="12786" max="13030" width="8.88671875" style="170"/>
    <col min="13031" max="13031" width="0.5546875" style="170" customWidth="1"/>
    <col min="13032" max="13039" width="9.6640625" style="170" customWidth="1"/>
    <col min="13040" max="13040" width="0.6640625" style="170" customWidth="1"/>
    <col min="13041" max="13041" width="54.33203125" style="170" customWidth="1"/>
    <col min="13042" max="13286" width="8.88671875" style="170"/>
    <col min="13287" max="13287" width="0.5546875" style="170" customWidth="1"/>
    <col min="13288" max="13295" width="9.6640625" style="170" customWidth="1"/>
    <col min="13296" max="13296" width="0.6640625" style="170" customWidth="1"/>
    <col min="13297" max="13297" width="54.33203125" style="170" customWidth="1"/>
    <col min="13298" max="13542" width="8.88671875" style="170"/>
    <col min="13543" max="13543" width="0.5546875" style="170" customWidth="1"/>
    <col min="13544" max="13551" width="9.6640625" style="170" customWidth="1"/>
    <col min="13552" max="13552" width="0.6640625" style="170" customWidth="1"/>
    <col min="13553" max="13553" width="54.33203125" style="170" customWidth="1"/>
    <col min="13554" max="13798" width="8.88671875" style="170"/>
    <col min="13799" max="13799" width="0.5546875" style="170" customWidth="1"/>
    <col min="13800" max="13807" width="9.6640625" style="170" customWidth="1"/>
    <col min="13808" max="13808" width="0.6640625" style="170" customWidth="1"/>
    <col min="13809" max="13809" width="54.33203125" style="170" customWidth="1"/>
    <col min="13810" max="14054" width="8.88671875" style="170"/>
    <col min="14055" max="14055" width="0.5546875" style="170" customWidth="1"/>
    <col min="14056" max="14063" width="9.6640625" style="170" customWidth="1"/>
    <col min="14064" max="14064" width="0.6640625" style="170" customWidth="1"/>
    <col min="14065" max="14065" width="54.33203125" style="170" customWidth="1"/>
    <col min="14066" max="14310" width="8.88671875" style="170"/>
    <col min="14311" max="14311" width="0.5546875" style="170" customWidth="1"/>
    <col min="14312" max="14319" width="9.6640625" style="170" customWidth="1"/>
    <col min="14320" max="14320" width="0.6640625" style="170" customWidth="1"/>
    <col min="14321" max="14321" width="54.33203125" style="170" customWidth="1"/>
    <col min="14322" max="14566" width="8.88671875" style="170"/>
    <col min="14567" max="14567" width="0.5546875" style="170" customWidth="1"/>
    <col min="14568" max="14575" width="9.6640625" style="170" customWidth="1"/>
    <col min="14576" max="14576" width="0.6640625" style="170" customWidth="1"/>
    <col min="14577" max="14577" width="54.33203125" style="170" customWidth="1"/>
    <col min="14578" max="14822" width="8.88671875" style="170"/>
    <col min="14823" max="14823" width="0.5546875" style="170" customWidth="1"/>
    <col min="14824" max="14831" width="9.6640625" style="170" customWidth="1"/>
    <col min="14832" max="14832" width="0.6640625" style="170" customWidth="1"/>
    <col min="14833" max="14833" width="54.33203125" style="170" customWidth="1"/>
    <col min="14834" max="15078" width="8.88671875" style="170"/>
    <col min="15079" max="15079" width="0.5546875" style="170" customWidth="1"/>
    <col min="15080" max="15087" width="9.6640625" style="170" customWidth="1"/>
    <col min="15088" max="15088" width="0.6640625" style="170" customWidth="1"/>
    <col min="15089" max="15089" width="54.33203125" style="170" customWidth="1"/>
    <col min="15090" max="15334" width="8.88671875" style="170"/>
    <col min="15335" max="15335" width="0.5546875" style="170" customWidth="1"/>
    <col min="15336" max="15343" width="9.6640625" style="170" customWidth="1"/>
    <col min="15344" max="15344" width="0.6640625" style="170" customWidth="1"/>
    <col min="15345" max="15345" width="54.33203125" style="170" customWidth="1"/>
    <col min="15346" max="15590" width="8.88671875" style="170"/>
    <col min="15591" max="15591" width="0.5546875" style="170" customWidth="1"/>
    <col min="15592" max="15599" width="9.6640625" style="170" customWidth="1"/>
    <col min="15600" max="15600" width="0.6640625" style="170" customWidth="1"/>
    <col min="15601" max="15601" width="54.33203125" style="170" customWidth="1"/>
    <col min="15602" max="15846" width="8.88671875" style="170"/>
    <col min="15847" max="15847" width="0.5546875" style="170" customWidth="1"/>
    <col min="15848" max="15855" width="9.6640625" style="170" customWidth="1"/>
    <col min="15856" max="15856" width="0.6640625" style="170" customWidth="1"/>
    <col min="15857" max="15857" width="54.33203125" style="170" customWidth="1"/>
    <col min="15858" max="16102" width="8.88671875" style="170"/>
    <col min="16103" max="16103" width="0.5546875" style="170" customWidth="1"/>
    <col min="16104" max="16111" width="9.6640625" style="170" customWidth="1"/>
    <col min="16112" max="16112" width="0.6640625" style="170" customWidth="1"/>
    <col min="16113" max="16113" width="54.33203125" style="170" customWidth="1"/>
    <col min="16114" max="16384" width="8.88671875" style="170"/>
  </cols>
  <sheetData>
    <row r="1" spans="2:10" ht="16.8" thickBot="1" x14ac:dyDescent="0.45"/>
    <row r="2" spans="2:10" ht="17.399999999999999" thickTop="1" thickBot="1" x14ac:dyDescent="0.45">
      <c r="B2" s="197" t="s">
        <v>225</v>
      </c>
      <c r="C2" s="198"/>
      <c r="D2" s="198"/>
      <c r="E2" s="198"/>
      <c r="F2" s="198"/>
      <c r="G2" s="198"/>
      <c r="H2" s="198"/>
      <c r="I2" s="199"/>
    </row>
    <row r="3" spans="2:10" x14ac:dyDescent="0.4">
      <c r="B3" s="200" t="s">
        <v>226</v>
      </c>
      <c r="C3" s="201"/>
      <c r="D3" s="201"/>
      <c r="E3" s="202"/>
      <c r="F3" s="91" t="s">
        <v>227</v>
      </c>
      <c r="G3" s="92" t="s">
        <v>228</v>
      </c>
      <c r="H3" s="93" t="s">
        <v>229</v>
      </c>
      <c r="I3" s="94" t="s">
        <v>230</v>
      </c>
    </row>
    <row r="4" spans="2:10" x14ac:dyDescent="0.4">
      <c r="B4" s="95" t="s">
        <v>231</v>
      </c>
      <c r="C4" s="96">
        <v>20</v>
      </c>
      <c r="D4" s="97">
        <v>0</v>
      </c>
      <c r="E4" s="98"/>
      <c r="F4" s="99">
        <f>$D$8/((C4)+D4/12)/2</f>
        <v>28.25</v>
      </c>
      <c r="G4" s="100">
        <f>$D$8/(($C4)+$D4/12)</f>
        <v>56.5</v>
      </c>
      <c r="H4" s="101">
        <f>$D$8/(($C4)+$D4/12)*1.5</f>
        <v>84.75</v>
      </c>
      <c r="I4" s="102">
        <f>$D$8/(($C4)+$D4/12)*2</f>
        <v>113</v>
      </c>
    </row>
    <row r="5" spans="2:10" x14ac:dyDescent="0.4">
      <c r="B5" s="95"/>
      <c r="C5" s="96"/>
      <c r="D5" s="97"/>
      <c r="E5" s="98"/>
      <c r="F5" s="99"/>
      <c r="G5" s="100"/>
      <c r="H5" s="101"/>
      <c r="I5" s="102"/>
    </row>
    <row r="6" spans="2:10" x14ac:dyDescent="0.4">
      <c r="B6" s="103" t="s">
        <v>232</v>
      </c>
      <c r="C6" s="104">
        <v>20</v>
      </c>
      <c r="D6" s="105">
        <v>0</v>
      </c>
      <c r="E6" s="106"/>
      <c r="F6" s="99">
        <f>D8/((C6)+D6/12)/2</f>
        <v>28.25</v>
      </c>
      <c r="G6" s="100">
        <f>$D$8/(($C6)+$D6/12)</f>
        <v>56.5</v>
      </c>
      <c r="H6" s="101">
        <f>$D$8/(($C6)+$D6/12)*1.5</f>
        <v>84.75</v>
      </c>
      <c r="I6" s="102">
        <f>$D$8/(($C6)+$D6/12)*2</f>
        <v>113</v>
      </c>
    </row>
    <row r="7" spans="2:10" ht="16.8" thickBot="1" x14ac:dyDescent="0.45">
      <c r="B7" s="107" t="s">
        <v>233</v>
      </c>
      <c r="C7" s="108">
        <v>20</v>
      </c>
      <c r="D7" s="109">
        <v>0</v>
      </c>
      <c r="E7" s="110"/>
      <c r="F7" s="99">
        <f>D8/((C7)+D7/12)/2</f>
        <v>28.25</v>
      </c>
      <c r="G7" s="111">
        <f>$D$8/(($C7)+$D7/12)</f>
        <v>56.5</v>
      </c>
      <c r="H7" s="112">
        <f>$D$8/(($C7)+$D7/12)*1.5</f>
        <v>84.75</v>
      </c>
      <c r="I7" s="113">
        <f>$D$8/(($C7)+$D7/12)*2</f>
        <v>113</v>
      </c>
    </row>
    <row r="8" spans="2:10" x14ac:dyDescent="0.4">
      <c r="B8" s="114"/>
      <c r="C8" s="115" t="s">
        <v>40</v>
      </c>
      <c r="D8" s="116">
        <v>1130</v>
      </c>
      <c r="E8" s="203" t="s">
        <v>41</v>
      </c>
      <c r="F8" s="204"/>
      <c r="G8" s="205" t="s">
        <v>234</v>
      </c>
      <c r="H8" s="206"/>
      <c r="I8" s="207"/>
    </row>
    <row r="9" spans="2:10" x14ac:dyDescent="0.4">
      <c r="B9" s="117"/>
      <c r="C9" s="118" t="s">
        <v>235</v>
      </c>
      <c r="D9" s="119">
        <f>(C4*12+D4)*(C6*12+D6)*(C7*12+D7)/1728</f>
        <v>8000</v>
      </c>
      <c r="E9" s="120" t="s">
        <v>236</v>
      </c>
      <c r="F9" s="121"/>
      <c r="G9" s="122"/>
      <c r="H9" s="122"/>
      <c r="I9" s="123"/>
    </row>
    <row r="10" spans="2:10" ht="16.8" thickBot="1" x14ac:dyDescent="0.45">
      <c r="B10" s="208" t="s">
        <v>237</v>
      </c>
      <c r="C10" s="209"/>
      <c r="D10" s="209"/>
      <c r="E10" s="209"/>
      <c r="F10" s="209"/>
      <c r="G10" s="209"/>
      <c r="H10" s="210" t="s">
        <v>238</v>
      </c>
      <c r="I10" s="211"/>
      <c r="J10" s="89"/>
    </row>
    <row r="11" spans="2:10" x14ac:dyDescent="0.4">
      <c r="B11" s="124" t="s">
        <v>239</v>
      </c>
      <c r="C11" s="125"/>
      <c r="D11" s="125"/>
      <c r="E11" s="196" t="s">
        <v>240</v>
      </c>
      <c r="F11" s="196"/>
      <c r="G11" s="125"/>
      <c r="H11" s="126">
        <f>C7</f>
        <v>20</v>
      </c>
      <c r="I11" s="127">
        <f>D7</f>
        <v>0</v>
      </c>
    </row>
    <row r="12" spans="2:10" x14ac:dyDescent="0.4">
      <c r="B12" s="128"/>
      <c r="C12" s="129"/>
      <c r="D12" s="129"/>
      <c r="E12" s="129"/>
      <c r="F12" s="129"/>
      <c r="G12" s="129"/>
      <c r="H12" s="129"/>
      <c r="I12" s="130"/>
    </row>
    <row r="13" spans="2:10" x14ac:dyDescent="0.4">
      <c r="B13" s="114"/>
      <c r="C13" s="131"/>
      <c r="D13" s="131"/>
      <c r="E13" s="131"/>
      <c r="F13" s="131"/>
      <c r="G13" s="129"/>
      <c r="H13" s="129"/>
      <c r="I13" s="130"/>
      <c r="J13" s="89"/>
    </row>
    <row r="14" spans="2:10" x14ac:dyDescent="0.4">
      <c r="B14" s="114"/>
      <c r="C14" s="131"/>
      <c r="D14" s="131"/>
      <c r="E14" s="131"/>
      <c r="F14" s="131"/>
      <c r="G14" s="129"/>
      <c r="H14" s="129"/>
      <c r="I14" s="130"/>
      <c r="J14" s="132"/>
    </row>
    <row r="15" spans="2:10" x14ac:dyDescent="0.4">
      <c r="B15" s="114"/>
      <c r="C15" s="131"/>
      <c r="D15" s="131"/>
      <c r="E15" s="131"/>
      <c r="F15" s="131"/>
      <c r="G15" s="129"/>
      <c r="H15" s="129"/>
      <c r="I15" s="130"/>
    </row>
    <row r="16" spans="2:10" x14ac:dyDescent="0.4">
      <c r="B16" s="114"/>
      <c r="C16" s="131"/>
      <c r="D16" s="131"/>
      <c r="E16" s="131"/>
      <c r="F16" s="131"/>
      <c r="G16" s="129"/>
      <c r="H16" s="131"/>
      <c r="I16" s="130"/>
    </row>
    <row r="17" spans="2:10" ht="16.8" thickBot="1" x14ac:dyDescent="0.45">
      <c r="B17" s="133"/>
      <c r="C17" s="134"/>
      <c r="D17" s="134"/>
      <c r="E17" s="134"/>
      <c r="F17" s="134"/>
      <c r="G17" s="135"/>
      <c r="H17" s="135"/>
      <c r="I17" s="136"/>
      <c r="J17" s="137"/>
    </row>
    <row r="18" spans="2:10" x14ac:dyDescent="0.4">
      <c r="B18" s="138">
        <f>($D$8/I7)*0.25</f>
        <v>2.5</v>
      </c>
      <c r="C18" s="139">
        <f>($D$8/$G7)*0.167</f>
        <v>3.3400000000000003</v>
      </c>
      <c r="D18" s="140">
        <f>C7/4</f>
        <v>5</v>
      </c>
      <c r="E18" s="141">
        <f>(($D$8/$I$7)*0.5)+$B18</f>
        <v>7.5</v>
      </c>
      <c r="F18" s="142">
        <f>($C7+($D7/12))*0.5</f>
        <v>10</v>
      </c>
      <c r="G18" s="141">
        <f>(($D$8/$I7)*0.5)+$E18</f>
        <v>12.5</v>
      </c>
      <c r="H18" s="140">
        <f>C7-D18</f>
        <v>15</v>
      </c>
      <c r="I18" s="143">
        <f>(($D$8/$I7)*1.5)+B18</f>
        <v>17.5</v>
      </c>
      <c r="J18" s="89"/>
    </row>
    <row r="19" spans="2:10" s="152" customFormat="1" ht="16.8" thickBot="1" x14ac:dyDescent="0.45">
      <c r="B19" s="144">
        <f>I7</f>
        <v>113</v>
      </c>
      <c r="C19" s="145">
        <f>H7</f>
        <v>84.75</v>
      </c>
      <c r="D19" s="146">
        <f>G7</f>
        <v>56.5</v>
      </c>
      <c r="E19" s="147"/>
      <c r="F19" s="148">
        <f>F7</f>
        <v>28.25</v>
      </c>
      <c r="G19" s="147"/>
      <c r="H19" s="149">
        <f>($D$8/$H7)+$C18</f>
        <v>16.673333333333336</v>
      </c>
      <c r="I19" s="150"/>
      <c r="J19" s="151"/>
    </row>
    <row r="20" spans="2:10" ht="13.95" customHeight="1" x14ac:dyDescent="0.4">
      <c r="B20" s="124" t="s">
        <v>239</v>
      </c>
      <c r="C20" s="125"/>
      <c r="D20" s="125"/>
      <c r="E20" s="196" t="s">
        <v>241</v>
      </c>
      <c r="F20" s="196"/>
      <c r="G20" s="125"/>
      <c r="H20" s="126">
        <f>C6</f>
        <v>20</v>
      </c>
      <c r="I20" s="127">
        <f>D6</f>
        <v>0</v>
      </c>
      <c r="J20" s="132"/>
    </row>
    <row r="21" spans="2:10" ht="15.6" customHeight="1" x14ac:dyDescent="0.4">
      <c r="B21" s="114"/>
      <c r="C21" s="131"/>
      <c r="D21" s="131"/>
      <c r="E21" s="131"/>
      <c r="F21" s="131"/>
      <c r="G21" s="129"/>
      <c r="H21" s="129"/>
      <c r="I21" s="130"/>
    </row>
    <row r="22" spans="2:10" x14ac:dyDescent="0.4">
      <c r="B22" s="114"/>
      <c r="C22" s="131"/>
      <c r="D22" s="131"/>
      <c r="E22" s="129"/>
      <c r="F22" s="129"/>
      <c r="G22" s="129"/>
      <c r="H22" s="129"/>
      <c r="I22" s="130"/>
    </row>
    <row r="23" spans="2:10" x14ac:dyDescent="0.4">
      <c r="B23" s="114"/>
      <c r="C23" s="131"/>
      <c r="D23" s="131"/>
      <c r="E23" s="131"/>
      <c r="F23" s="131"/>
      <c r="G23" s="129"/>
      <c r="H23" s="129"/>
      <c r="I23" s="130"/>
    </row>
    <row r="24" spans="2:10" x14ac:dyDescent="0.4">
      <c r="B24" s="114"/>
      <c r="C24" s="131"/>
      <c r="D24" s="131"/>
      <c r="E24" s="131"/>
      <c r="F24" s="131"/>
      <c r="G24" s="129"/>
      <c r="H24" s="129"/>
      <c r="I24" s="130"/>
      <c r="J24" s="89"/>
    </row>
    <row r="25" spans="2:10" x14ac:dyDescent="0.4">
      <c r="B25" s="114"/>
      <c r="C25" s="131"/>
      <c r="D25" s="131"/>
      <c r="E25" s="131"/>
      <c r="F25" s="131"/>
      <c r="G25" s="129"/>
      <c r="H25" s="129"/>
      <c r="I25" s="130"/>
    </row>
    <row r="26" spans="2:10" ht="16.8" thickBot="1" x14ac:dyDescent="0.45">
      <c r="B26" s="133"/>
      <c r="C26" s="134"/>
      <c r="D26" s="134"/>
      <c r="E26" s="134"/>
      <c r="F26" s="134"/>
      <c r="G26" s="135"/>
      <c r="H26" s="135"/>
      <c r="I26" s="153"/>
    </row>
    <row r="27" spans="2:10" ht="12.6" customHeight="1" x14ac:dyDescent="0.4">
      <c r="B27" s="138">
        <f>($D$8/I6)*0.25</f>
        <v>2.5</v>
      </c>
      <c r="C27" s="139">
        <f>($D$8/$G6)*0.167</f>
        <v>3.3400000000000003</v>
      </c>
      <c r="D27" s="140">
        <f>C6/4</f>
        <v>5</v>
      </c>
      <c r="E27" s="141">
        <f>(($D$8/$I6)*0.5)+$B27</f>
        <v>7.5</v>
      </c>
      <c r="F27" s="142">
        <f>($C6+($D6/12))*0.5</f>
        <v>10</v>
      </c>
      <c r="G27" s="141">
        <f>(($D$8/$I6)*0.5)+$E27</f>
        <v>12.5</v>
      </c>
      <c r="H27" s="140">
        <f>C6-D27</f>
        <v>15</v>
      </c>
      <c r="I27" s="143">
        <f>(($D$8/$I6)*1.5)+$B27</f>
        <v>17.5</v>
      </c>
    </row>
    <row r="28" spans="2:10" ht="16.8" thickBot="1" x14ac:dyDescent="0.45">
      <c r="B28" s="144">
        <f>I6</f>
        <v>113</v>
      </c>
      <c r="C28" s="145">
        <f>H6</f>
        <v>84.75</v>
      </c>
      <c r="D28" s="146">
        <f>G6</f>
        <v>56.5</v>
      </c>
      <c r="E28" s="154">
        <f>I6</f>
        <v>113</v>
      </c>
      <c r="F28" s="148">
        <f>F6</f>
        <v>28.25</v>
      </c>
      <c r="G28" s="147"/>
      <c r="H28" s="149">
        <f>($D$8/$H6)+$C27</f>
        <v>16.673333333333336</v>
      </c>
      <c r="I28" s="150"/>
    </row>
    <row r="29" spans="2:10" x14ac:dyDescent="0.4">
      <c r="B29" s="124" t="s">
        <v>239</v>
      </c>
      <c r="C29" s="125"/>
      <c r="D29" s="125"/>
      <c r="E29" s="196" t="s">
        <v>242</v>
      </c>
      <c r="F29" s="196"/>
      <c r="G29" s="125"/>
      <c r="H29" s="126">
        <f>C4</f>
        <v>20</v>
      </c>
      <c r="I29" s="127">
        <f>D4</f>
        <v>0</v>
      </c>
    </row>
    <row r="30" spans="2:10" x14ac:dyDescent="0.4">
      <c r="B30" s="114"/>
      <c r="C30" s="131"/>
      <c r="D30" s="131"/>
      <c r="E30" s="155"/>
      <c r="F30" s="156"/>
      <c r="G30" s="129"/>
      <c r="H30" s="129"/>
      <c r="I30" s="130"/>
    </row>
    <row r="31" spans="2:10" x14ac:dyDescent="0.4">
      <c r="B31" s="114"/>
      <c r="C31" s="131"/>
      <c r="D31" s="131"/>
      <c r="E31" s="131"/>
      <c r="F31" s="131"/>
      <c r="G31" s="129"/>
      <c r="H31" s="129"/>
      <c r="I31" s="130"/>
    </row>
    <row r="32" spans="2:10" x14ac:dyDescent="0.4">
      <c r="B32" s="114"/>
      <c r="C32" s="131"/>
      <c r="D32" s="131"/>
      <c r="E32" s="131"/>
      <c r="F32" s="131"/>
      <c r="G32" s="129"/>
      <c r="H32" s="129"/>
      <c r="I32" s="130"/>
    </row>
    <row r="33" spans="2:9" x14ac:dyDescent="0.4">
      <c r="B33" s="114"/>
      <c r="C33" s="131"/>
      <c r="D33" s="131"/>
      <c r="E33" s="131"/>
      <c r="F33" s="131"/>
      <c r="G33" s="129"/>
      <c r="H33" s="129"/>
      <c r="I33" s="130"/>
    </row>
    <row r="34" spans="2:9" x14ac:dyDescent="0.4">
      <c r="B34" s="114"/>
      <c r="C34" s="131"/>
      <c r="D34" s="131"/>
      <c r="E34" s="131"/>
      <c r="F34" s="131"/>
      <c r="G34" s="129"/>
      <c r="H34" s="129"/>
      <c r="I34" s="130"/>
    </row>
    <row r="35" spans="2:9" ht="16.8" thickBot="1" x14ac:dyDescent="0.45">
      <c r="B35" s="133"/>
      <c r="C35" s="134"/>
      <c r="D35" s="134"/>
      <c r="E35" s="134"/>
      <c r="F35" s="134"/>
      <c r="G35" s="135"/>
      <c r="H35" s="135"/>
      <c r="I35" s="153"/>
    </row>
    <row r="36" spans="2:9" x14ac:dyDescent="0.4">
      <c r="B36" s="138">
        <f>($D$8/I4)*0.25</f>
        <v>2.5</v>
      </c>
      <c r="C36" s="139">
        <f>($D$8/$G4)*0.167</f>
        <v>3.3400000000000003</v>
      </c>
      <c r="D36" s="140">
        <f>C4/4</f>
        <v>5</v>
      </c>
      <c r="E36" s="141">
        <f>(($D$8/$I4)*0.5)+$B36</f>
        <v>7.5</v>
      </c>
      <c r="F36" s="142">
        <f>($C4+($D4/12))*0.5</f>
        <v>10</v>
      </c>
      <c r="G36" s="141">
        <f>(($D$8/$I4)*0.5)+$E36</f>
        <v>12.5</v>
      </c>
      <c r="H36" s="140">
        <f>C4-D36</f>
        <v>15</v>
      </c>
      <c r="I36" s="143">
        <f>(($D$8/$I4)*1.5)+$B36</f>
        <v>17.5</v>
      </c>
    </row>
    <row r="37" spans="2:9" ht="16.8" thickBot="1" x14ac:dyDescent="0.45">
      <c r="B37" s="157">
        <f>I4</f>
        <v>113</v>
      </c>
      <c r="C37" s="158">
        <f>H4</f>
        <v>84.75</v>
      </c>
      <c r="D37" s="159">
        <f>G4</f>
        <v>56.5</v>
      </c>
      <c r="E37" s="160"/>
      <c r="F37" s="161">
        <f>F4</f>
        <v>28.25</v>
      </c>
      <c r="G37" s="160"/>
      <c r="H37" s="162">
        <f>($D$8/$H4)+$C36</f>
        <v>16.673333333333336</v>
      </c>
      <c r="I37" s="163"/>
    </row>
    <row r="38" spans="2:9" ht="16.8" thickTop="1" x14ac:dyDescent="0.4">
      <c r="B38" s="164"/>
      <c r="E38" s="164"/>
      <c r="H38" s="132"/>
    </row>
  </sheetData>
  <mergeCells count="9">
    <mergeCell ref="E11:F11"/>
    <mergeCell ref="E20:F20"/>
    <mergeCell ref="E29:F29"/>
    <mergeCell ref="B2:I2"/>
    <mergeCell ref="B3:E3"/>
    <mergeCell ref="E8:F8"/>
    <mergeCell ref="G8:I8"/>
    <mergeCell ref="B10:G10"/>
    <mergeCell ref="H10:I10"/>
  </mergeCells>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105EE-603E-4B2F-9629-60EA9C346E44}">
  <dimension ref="B1:M19"/>
  <sheetViews>
    <sheetView workbookViewId="0">
      <selection activeCell="B15" sqref="B15:M19"/>
    </sheetView>
  </sheetViews>
  <sheetFormatPr defaultColWidth="9.109375" defaultRowHeight="16.2" x14ac:dyDescent="0.4"/>
  <cols>
    <col min="1" max="1" width="9.109375" style="82"/>
    <col min="2" max="2" width="30.33203125" style="82" bestFit="1" customWidth="1"/>
    <col min="3" max="3" width="7.33203125" style="82" bestFit="1" customWidth="1"/>
    <col min="4" max="4" width="12.44140625" style="82" bestFit="1" customWidth="1"/>
    <col min="5" max="5" width="8.5546875" style="82" bestFit="1" customWidth="1"/>
    <col min="6" max="6" width="8" style="82" bestFit="1" customWidth="1"/>
    <col min="7" max="7" width="8.5546875" style="82" bestFit="1" customWidth="1"/>
    <col min="8" max="9" width="8.44140625" style="82" bestFit="1" customWidth="1"/>
    <col min="10" max="10" width="8.109375" style="82" bestFit="1" customWidth="1"/>
    <col min="11" max="13" width="10.33203125" style="82" customWidth="1"/>
    <col min="14" max="16384" width="9.109375" style="82"/>
  </cols>
  <sheetData>
    <row r="1" spans="2:13" ht="16.8" thickBot="1" x14ac:dyDescent="0.45"/>
    <row r="2" spans="2:13" ht="24.6" customHeight="1" x14ac:dyDescent="0.4">
      <c r="B2" s="222" t="s">
        <v>11</v>
      </c>
      <c r="C2" s="223"/>
      <c r="D2" s="223"/>
      <c r="E2" s="223"/>
      <c r="F2" s="224"/>
      <c r="G2" s="225" t="s">
        <v>28</v>
      </c>
      <c r="H2" s="226"/>
      <c r="I2" s="226"/>
      <c r="J2" s="227"/>
      <c r="K2" s="215" t="s">
        <v>27</v>
      </c>
      <c r="L2" s="216"/>
      <c r="M2" s="217"/>
    </row>
    <row r="3" spans="2:13" x14ac:dyDescent="0.4">
      <c r="B3" s="10" t="s">
        <v>20</v>
      </c>
      <c r="C3" s="165">
        <v>-104</v>
      </c>
      <c r="D3" s="9" t="s">
        <v>22</v>
      </c>
      <c r="E3" s="218" t="s">
        <v>29</v>
      </c>
      <c r="F3" s="219"/>
      <c r="G3" s="27">
        <f>C3</f>
        <v>-104</v>
      </c>
      <c r="H3" s="14">
        <f>IF(G3&lt;0,360+G3,G3)</f>
        <v>256</v>
      </c>
      <c r="I3" s="218"/>
      <c r="J3" s="219"/>
      <c r="K3" s="27">
        <f>C3</f>
        <v>-104</v>
      </c>
      <c r="L3" s="218"/>
      <c r="M3" s="219"/>
    </row>
    <row r="4" spans="2:13" x14ac:dyDescent="0.4">
      <c r="B4" s="10" t="s">
        <v>21</v>
      </c>
      <c r="C4" s="165">
        <v>-5.5</v>
      </c>
      <c r="D4" s="9" t="s">
        <v>23</v>
      </c>
      <c r="E4" s="218"/>
      <c r="F4" s="219"/>
      <c r="G4" s="27">
        <f>C4</f>
        <v>-5.5</v>
      </c>
      <c r="H4" s="14">
        <f>IF(G4&lt;0,360+G4,G4)</f>
        <v>354.5</v>
      </c>
      <c r="I4" s="218"/>
      <c r="J4" s="219"/>
      <c r="K4" s="27">
        <f>C4</f>
        <v>-5.5</v>
      </c>
      <c r="L4" s="218"/>
      <c r="M4" s="219"/>
    </row>
    <row r="5" spans="2:13" x14ac:dyDescent="0.4">
      <c r="B5" s="11" t="s">
        <v>13</v>
      </c>
      <c r="C5" s="16">
        <f>IF(C3&lt;0,360+C3,C3)-IF(C4&lt;0,360+C4,C4)</f>
        <v>-98.5</v>
      </c>
      <c r="D5" s="17">
        <f>C5/360</f>
        <v>-0.27361111111111114</v>
      </c>
      <c r="E5" s="220">
        <v>1000</v>
      </c>
      <c r="F5" s="221"/>
      <c r="G5" s="28">
        <f>H3-H4-15</f>
        <v>-113.5</v>
      </c>
      <c r="H5" s="29">
        <f>G5/360</f>
        <v>-0.31527777777777777</v>
      </c>
      <c r="I5" s="220"/>
      <c r="J5" s="221"/>
      <c r="K5" s="28">
        <f>IF(K3&lt;0,K3-K3*2,K3)-IF(K4&lt;0,K4-K4*2,K4)</f>
        <v>98.5</v>
      </c>
      <c r="L5" s="220"/>
      <c r="M5" s="221"/>
    </row>
    <row r="6" spans="2:13" x14ac:dyDescent="0.4">
      <c r="B6" s="10" t="s">
        <v>14</v>
      </c>
      <c r="C6" s="165">
        <v>80</v>
      </c>
      <c r="D6" s="18">
        <f>$E$5/C6</f>
        <v>12.5</v>
      </c>
      <c r="E6" s="19" t="s">
        <v>10</v>
      </c>
      <c r="F6" s="20" t="s">
        <v>25</v>
      </c>
      <c r="G6" s="27">
        <f>C6</f>
        <v>80</v>
      </c>
      <c r="H6" s="18">
        <f>$E$5/G6</f>
        <v>12.5</v>
      </c>
      <c r="I6" s="19" t="s">
        <v>10</v>
      </c>
      <c r="J6" s="30" t="s">
        <v>25</v>
      </c>
      <c r="K6" s="27">
        <f>C6</f>
        <v>80</v>
      </c>
      <c r="L6" s="19" t="s">
        <v>10</v>
      </c>
      <c r="M6" s="20" t="s">
        <v>25</v>
      </c>
    </row>
    <row r="7" spans="2:13" x14ac:dyDescent="0.4">
      <c r="B7" s="11" t="s">
        <v>12</v>
      </c>
      <c r="C7" s="7"/>
      <c r="D7" s="21">
        <f>D5*D6</f>
        <v>-3.4201388888888893</v>
      </c>
      <c r="E7" s="21">
        <f>D7</f>
        <v>-3.4201388888888893</v>
      </c>
      <c r="F7" s="22">
        <f>E7</f>
        <v>-3.4201388888888893</v>
      </c>
      <c r="G7" s="212"/>
      <c r="H7" s="21">
        <f>H5*H6</f>
        <v>-3.9409722222222223</v>
      </c>
      <c r="I7" s="21">
        <f>H7</f>
        <v>-3.9409722222222223</v>
      </c>
      <c r="J7" s="31">
        <f>I7</f>
        <v>-3.9409722222222223</v>
      </c>
      <c r="K7" s="32">
        <f>K5/360/K6*1000</f>
        <v>3.4201388888888893</v>
      </c>
      <c r="L7" s="21">
        <f>K7</f>
        <v>3.4201388888888893</v>
      </c>
      <c r="M7" s="22">
        <f>L7</f>
        <v>3.4201388888888893</v>
      </c>
    </row>
    <row r="8" spans="2:13" x14ac:dyDescent="0.4">
      <c r="B8" s="11" t="s">
        <v>19</v>
      </c>
      <c r="C8" s="8"/>
      <c r="D8" s="21">
        <f>IF(D7&gt;=1,D7*1.13,IF(D7&lt;=-1,D7*1.13,(D7*1.13)*12/100))</f>
        <v>-3.8647569444444447</v>
      </c>
      <c r="E8" s="21">
        <f>IF(E7&gt;=1,E7*1.13,IF(E7&lt;=-1,E7*1.13,(E7*1.13)))</f>
        <v>-3.8647569444444447</v>
      </c>
      <c r="F8" s="22"/>
      <c r="G8" s="213"/>
      <c r="H8" s="21">
        <f>IF(H7&gt;=1,H7*1.13,IF(H7&lt;=-1,H7*1.13,(H7*1.13)*12/100))</f>
        <v>-4.4532986111111104</v>
      </c>
      <c r="I8" s="21">
        <f>IF(I7&gt;=1,I7*1.13,IF(I7&lt;=-1,I7*1.13,(I7*1.13)))</f>
        <v>-4.4532986111111104</v>
      </c>
      <c r="J8" s="31"/>
      <c r="K8" s="32">
        <f>IF(K7&gt;=1,K7*1.13,IF(K7&lt;=-1,K7*1.13,(K7*1.13)*12/100))</f>
        <v>3.8647569444444447</v>
      </c>
      <c r="L8" s="21">
        <f>IF(L7&gt;=1,L7*1.13,IF(L7&lt;=-1,L7*1.13,(L7*1.13)))</f>
        <v>3.8647569444444447</v>
      </c>
      <c r="M8" s="22"/>
    </row>
    <row r="9" spans="2:13" x14ac:dyDescent="0.4">
      <c r="B9" s="11" t="s">
        <v>15</v>
      </c>
      <c r="C9" s="8"/>
      <c r="D9" s="21">
        <f>D7*0.34</f>
        <v>-1.1628472222222224</v>
      </c>
      <c r="E9" s="21">
        <f>E7*0.34</f>
        <v>-1.1628472222222224</v>
      </c>
      <c r="F9" s="22">
        <f>F7*0.34</f>
        <v>-1.1628472222222224</v>
      </c>
      <c r="G9" s="213"/>
      <c r="H9" s="21">
        <f t="shared" ref="H9:M9" si="0">H7*0.34</f>
        <v>-1.3399305555555556</v>
      </c>
      <c r="I9" s="21">
        <f t="shared" si="0"/>
        <v>-1.3399305555555556</v>
      </c>
      <c r="J9" s="31">
        <f t="shared" si="0"/>
        <v>-1.3399305555555556</v>
      </c>
      <c r="K9" s="32">
        <f t="shared" si="0"/>
        <v>1.1628472222222224</v>
      </c>
      <c r="L9" s="21">
        <f t="shared" si="0"/>
        <v>1.1628472222222224</v>
      </c>
      <c r="M9" s="22">
        <f t="shared" si="0"/>
        <v>1.1628472222222224</v>
      </c>
    </row>
    <row r="10" spans="2:13" x14ac:dyDescent="0.4">
      <c r="B10" s="12" t="s">
        <v>24</v>
      </c>
      <c r="C10" s="38"/>
      <c r="D10" s="166">
        <v>10.4</v>
      </c>
      <c r="E10" s="23">
        <f>D10</f>
        <v>10.4</v>
      </c>
      <c r="F10" s="167">
        <v>10.4</v>
      </c>
      <c r="G10" s="213"/>
      <c r="H10" s="23">
        <f>D10</f>
        <v>10.4</v>
      </c>
      <c r="I10" s="23">
        <f>H10</f>
        <v>10.4</v>
      </c>
      <c r="J10" s="33">
        <f>F10</f>
        <v>10.4</v>
      </c>
      <c r="K10" s="34">
        <f>D10</f>
        <v>10.4</v>
      </c>
      <c r="L10" s="23">
        <f>K10</f>
        <v>10.4</v>
      </c>
      <c r="M10" s="35">
        <f>F10</f>
        <v>10.4</v>
      </c>
    </row>
    <row r="11" spans="2:13" ht="16.8" thickBot="1" x14ac:dyDescent="0.45">
      <c r="B11" s="13" t="s">
        <v>26</v>
      </c>
      <c r="C11" s="168"/>
      <c r="D11" s="24">
        <f>SUM(D10,D8)</f>
        <v>6.5352430555555561</v>
      </c>
      <c r="E11" s="25">
        <f>SUM(E10,E8)</f>
        <v>6.5352430555555561</v>
      </c>
      <c r="F11" s="26">
        <f>SUM(F10,F9)</f>
        <v>9.2371527777777782</v>
      </c>
      <c r="G11" s="214"/>
      <c r="H11" s="24">
        <f>SUM(H10,H8)</f>
        <v>5.94670138888889</v>
      </c>
      <c r="I11" s="25">
        <f>SUM(I10,I8)</f>
        <v>5.94670138888889</v>
      </c>
      <c r="J11" s="36">
        <f>SUM(J10,J9)</f>
        <v>9.0600694444444443</v>
      </c>
      <c r="K11" s="37">
        <f>SUM(K10,K8)</f>
        <v>14.264756944444445</v>
      </c>
      <c r="L11" s="25">
        <f>SUM(L10,L8)</f>
        <v>14.264756944444445</v>
      </c>
      <c r="M11" s="26">
        <f>SUM(M10,M9)</f>
        <v>11.562847222222222</v>
      </c>
    </row>
    <row r="13" spans="2:13" x14ac:dyDescent="0.4">
      <c r="B13" s="5" t="s">
        <v>18</v>
      </c>
      <c r="C13" s="4"/>
      <c r="D13" s="4"/>
      <c r="E13" s="4"/>
      <c r="F13" s="4"/>
      <c r="G13" s="4"/>
      <c r="H13" s="4"/>
      <c r="I13" s="4"/>
    </row>
    <row r="14" spans="2:13" x14ac:dyDescent="0.4">
      <c r="B14" s="192" t="s">
        <v>16</v>
      </c>
      <c r="C14" s="192"/>
      <c r="D14" s="192"/>
      <c r="E14" s="192"/>
      <c r="F14" s="192"/>
      <c r="G14" s="192"/>
      <c r="H14" s="192"/>
      <c r="I14" s="192"/>
      <c r="J14" s="192"/>
      <c r="K14" s="192"/>
      <c r="L14" s="192"/>
      <c r="M14" s="192"/>
    </row>
    <row r="15" spans="2:13" ht="13.2" customHeight="1" x14ac:dyDescent="0.4">
      <c r="B15" s="179" t="s">
        <v>17</v>
      </c>
      <c r="C15" s="179"/>
      <c r="D15" s="179"/>
      <c r="E15" s="179"/>
      <c r="F15" s="179"/>
      <c r="G15" s="179"/>
      <c r="H15" s="179"/>
      <c r="I15" s="179"/>
      <c r="J15" s="179"/>
      <c r="K15" s="179"/>
      <c r="L15" s="179"/>
      <c r="M15" s="179"/>
    </row>
    <row r="16" spans="2:13" ht="13.2" customHeight="1" x14ac:dyDescent="0.4">
      <c r="B16" s="179"/>
      <c r="C16" s="179"/>
      <c r="D16" s="179"/>
      <c r="E16" s="179"/>
      <c r="F16" s="179"/>
      <c r="G16" s="179"/>
      <c r="H16" s="179"/>
      <c r="I16" s="179"/>
      <c r="J16" s="179"/>
      <c r="K16" s="179"/>
      <c r="L16" s="179"/>
      <c r="M16" s="179"/>
    </row>
    <row r="17" spans="2:13" ht="13.2" customHeight="1" x14ac:dyDescent="0.4">
      <c r="B17" s="179"/>
      <c r="C17" s="179"/>
      <c r="D17" s="179"/>
      <c r="E17" s="179"/>
      <c r="F17" s="179"/>
      <c r="G17" s="179"/>
      <c r="H17" s="179"/>
      <c r="I17" s="179"/>
      <c r="J17" s="179"/>
      <c r="K17" s="179"/>
      <c r="L17" s="179"/>
      <c r="M17" s="179"/>
    </row>
    <row r="18" spans="2:13" ht="13.2" customHeight="1" x14ac:dyDescent="0.4">
      <c r="B18" s="179"/>
      <c r="C18" s="179"/>
      <c r="D18" s="179"/>
      <c r="E18" s="179"/>
      <c r="F18" s="179"/>
      <c r="G18" s="179"/>
      <c r="H18" s="179"/>
      <c r="I18" s="179"/>
      <c r="J18" s="179"/>
      <c r="K18" s="179"/>
      <c r="L18" s="179"/>
      <c r="M18" s="179"/>
    </row>
    <row r="19" spans="2:13" ht="13.2" customHeight="1" x14ac:dyDescent="0.4">
      <c r="B19" s="179"/>
      <c r="C19" s="179"/>
      <c r="D19" s="179"/>
      <c r="E19" s="179"/>
      <c r="F19" s="179"/>
      <c r="G19" s="179"/>
      <c r="H19" s="179"/>
      <c r="I19" s="179"/>
      <c r="J19" s="179"/>
      <c r="K19" s="179"/>
      <c r="L19" s="179"/>
      <c r="M19" s="179"/>
    </row>
  </sheetData>
  <mergeCells count="12">
    <mergeCell ref="G7:G11"/>
    <mergeCell ref="B14:M14"/>
    <mergeCell ref="B15:M19"/>
    <mergeCell ref="K2:M2"/>
    <mergeCell ref="I3:J4"/>
    <mergeCell ref="I5:J5"/>
    <mergeCell ref="L3:M4"/>
    <mergeCell ref="L5:M5"/>
    <mergeCell ref="E3:F4"/>
    <mergeCell ref="E5:F5"/>
    <mergeCell ref="B2:F2"/>
    <mergeCell ref="G2:J2"/>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SPL vs Power</vt:lpstr>
      <vt:lpstr>Room Mode + Node + AntiNode</vt:lpstr>
      <vt:lpstr>Axial Standing Waves</vt:lpstr>
      <vt:lpstr>Phase Cal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Bhavik Patel</cp:lastModifiedBy>
  <dcterms:created xsi:type="dcterms:W3CDTF">2024-09-06T13:28:10Z</dcterms:created>
  <dcterms:modified xsi:type="dcterms:W3CDTF">2024-12-14T17:38:13Z</dcterms:modified>
</cp:coreProperties>
</file>